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908"/>
  <workbookPr/>
  <mc:AlternateContent xmlns:mc="http://schemas.openxmlformats.org/markup-compatibility/2006">
    <mc:Choice Requires="x15">
      <x15ac:absPath xmlns:x15ac="http://schemas.microsoft.com/office/spreadsheetml/2010/11/ac" url="/Users/ajaypatel/Desktop/Templates/"/>
    </mc:Choice>
  </mc:AlternateContent>
  <bookViews>
    <workbookView xWindow="0" yWindow="460" windowWidth="23040" windowHeight="9380" activeTab="3"/>
  </bookViews>
  <sheets>
    <sheet name="Sales" sheetId="4" r:id="rId1"/>
    <sheet name="IS" sheetId="3" r:id="rId2"/>
    <sheet name="SOTP" sheetId="7" r:id="rId3"/>
    <sheet name="WSO Cover Page" sheetId="10" r:id="rId4"/>
    <sheet name="DCF" sheetId="9" r:id="rId5"/>
    <sheet name="Key Products" sheetId="6" r:id="rId6"/>
    <sheet name="BS &amp; CF" sheetId="8" r:id="rId7"/>
    <sheet name="FX" sheetId="5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123Graph_A" localSheetId="5" hidden="1">'[2]quarterly income and e&amp;p'!#REF!</definedName>
    <definedName name="__123Graph_A" localSheetId="2" hidden="1">'[2]quarterly income and e&amp;p'!#REF!</definedName>
    <definedName name="__123Graph_A" hidden="1">'[2]quarterly income and e&amp;p'!#REF!</definedName>
    <definedName name="__123Graph_ACurrent" localSheetId="5" hidden="1">'[2]quarterly income and e&amp;p'!#REF!</definedName>
    <definedName name="__123Graph_ACurrent" localSheetId="2" hidden="1">'[2]quarterly income and e&amp;p'!#REF!</definedName>
    <definedName name="__123Graph_ACurrent" hidden="1">'[2]quarterly income and e&amp;p'!#REF!</definedName>
    <definedName name="__123Graph_B" localSheetId="5" hidden="1">'[2]quarterly income and e&amp;p'!#REF!</definedName>
    <definedName name="__123Graph_B" localSheetId="2" hidden="1">'[2]quarterly income and e&amp;p'!#REF!</definedName>
    <definedName name="__123Graph_B" hidden="1">'[2]quarterly income and e&amp;p'!#REF!</definedName>
    <definedName name="__123Graph_BCurrent" localSheetId="5" hidden="1">'[2]quarterly income and e&amp;p'!#REF!</definedName>
    <definedName name="__123Graph_BCurrent" localSheetId="2" hidden="1">'[2]quarterly income and e&amp;p'!#REF!</definedName>
    <definedName name="__123Graph_BCurrent" hidden="1">'[2]quarterly income and e&amp;p'!#REF!</definedName>
    <definedName name="__123Graph_C" localSheetId="5" hidden="1">'[2]quarterly income and e&amp;p'!#REF!</definedName>
    <definedName name="__123Graph_C" localSheetId="2" hidden="1">'[2]quarterly income and e&amp;p'!#REF!</definedName>
    <definedName name="__123Graph_C" hidden="1">'[2]quarterly income and e&amp;p'!#REF!</definedName>
    <definedName name="__123Graph_CCurrent" localSheetId="5" hidden="1">'[2]quarterly income and e&amp;p'!#REF!</definedName>
    <definedName name="__123Graph_CCurrent" localSheetId="2" hidden="1">'[2]quarterly income and e&amp;p'!#REF!</definedName>
    <definedName name="__123Graph_CCurrent" hidden="1">'[2]quarterly income and e&amp;p'!#REF!</definedName>
    <definedName name="__123Graph_D" localSheetId="5" hidden="1">'[2]quarterly income and e&amp;p'!#REF!</definedName>
    <definedName name="__123Graph_D" localSheetId="2" hidden="1">'[2]quarterly income and e&amp;p'!#REF!</definedName>
    <definedName name="__123Graph_D" hidden="1">'[2]quarterly income and e&amp;p'!#REF!</definedName>
    <definedName name="__123Graph_DCurrent" localSheetId="5" hidden="1">'[2]quarterly income and e&amp;p'!#REF!</definedName>
    <definedName name="__123Graph_DCurrent" localSheetId="2" hidden="1">'[2]quarterly income and e&amp;p'!#REF!</definedName>
    <definedName name="__123Graph_DCurrent" hidden="1">'[2]quarterly income and e&amp;p'!#REF!</definedName>
    <definedName name="__123Graph_E" localSheetId="5" hidden="1">'[2]quarterly income and e&amp;p'!#REF!</definedName>
    <definedName name="__123Graph_E" localSheetId="2" hidden="1">'[2]quarterly income and e&amp;p'!#REF!</definedName>
    <definedName name="__123Graph_E" hidden="1">'[2]quarterly income and e&amp;p'!#REF!</definedName>
    <definedName name="__123Graph_ECurrent" localSheetId="5" hidden="1">'[2]quarterly income and e&amp;p'!#REF!</definedName>
    <definedName name="__123Graph_ECurrent" localSheetId="2" hidden="1">'[2]quarterly income and e&amp;p'!#REF!</definedName>
    <definedName name="__123Graph_ECurrent" hidden="1">'[2]quarterly income and e&amp;p'!#REF!</definedName>
    <definedName name="__ahp2">[3]DATA!$A$106:$I$130</definedName>
    <definedName name="__amo01" localSheetId="5">#REF!</definedName>
    <definedName name="__amo01" localSheetId="2">#REF!</definedName>
    <definedName name="__amo01">#REF!</definedName>
    <definedName name="__amo02" localSheetId="5">#REF!</definedName>
    <definedName name="__amo02" localSheetId="2">#REF!</definedName>
    <definedName name="__amo02">#REF!</definedName>
    <definedName name="__amo03" localSheetId="5">#REF!</definedName>
    <definedName name="__amo03" localSheetId="2">#REF!</definedName>
    <definedName name="__amo03">#REF!</definedName>
    <definedName name="__amo04" localSheetId="5">#REF!</definedName>
    <definedName name="__amo04" localSheetId="2">#REF!</definedName>
    <definedName name="__amo04">#REF!</definedName>
    <definedName name="__amo05" localSheetId="5">#REF!</definedName>
    <definedName name="__amo05" localSheetId="2">#REF!</definedName>
    <definedName name="__amo05">#REF!</definedName>
    <definedName name="__eps01" localSheetId="5">'[4]quarterly income'!#REF!</definedName>
    <definedName name="__eps01" localSheetId="2">'[4]quarterly income'!#REF!</definedName>
    <definedName name="__eps01">'[4]quarterly income'!#REF!</definedName>
    <definedName name="__eps02" localSheetId="5">'[4]quarterly income'!#REF!</definedName>
    <definedName name="__eps02" localSheetId="2">'[4]quarterly income'!#REF!</definedName>
    <definedName name="__eps02">'[4]quarterly income'!#REF!</definedName>
    <definedName name="__eps93">'[5]#REF'!$X$180</definedName>
    <definedName name="__eps94">'[5]#REF'!$AE$180</definedName>
    <definedName name="__eps95" localSheetId="5">'[6]Inc Stmt'!#REF!</definedName>
    <definedName name="__eps95" localSheetId="2">'[6]Inc Stmt'!#REF!</definedName>
    <definedName name="__eps95">'[6]Inc Stmt'!#REF!</definedName>
    <definedName name="__eps96" localSheetId="5">'[6]Inc Stmt'!#REF!</definedName>
    <definedName name="__eps96" localSheetId="2">'[6]Inc Stmt'!#REF!</definedName>
    <definedName name="__eps96">'[6]Inc Stmt'!#REF!</definedName>
    <definedName name="__eps97" localSheetId="5">'[6]Inc Stmt'!#REF!</definedName>
    <definedName name="__eps97" localSheetId="2">'[6]Inc Stmt'!#REF!</definedName>
    <definedName name="__eps97">'[6]Inc Stmt'!#REF!</definedName>
    <definedName name="__eps98" localSheetId="5">'[6]Inc Stmt'!#REF!</definedName>
    <definedName name="__eps98" localSheetId="2">'[6]Inc Stmt'!#REF!</definedName>
    <definedName name="__eps98">'[6]Inc Stmt'!#REF!</definedName>
    <definedName name="__eps99" localSheetId="5">'[4]quarterly income'!#REF!</definedName>
    <definedName name="__eps99" localSheetId="2">'[4]quarterly income'!#REF!</definedName>
    <definedName name="__eps99">'[4]quarterly income'!#REF!</definedName>
    <definedName name="__FDS_HYPERLINK_TOGGLE_STATE__" hidden="1">"ON"</definedName>
    <definedName name="__jnj2">[3]DATA!$A$158:$I$182</definedName>
    <definedName name="__lly2">[3]DATA!$A$184:$I$208</definedName>
    <definedName name="__mi01" localSheetId="5">'[4]Balance Sheet Cash Flow'!#REF!</definedName>
    <definedName name="__mi01" localSheetId="2">'[4]Balance Sheet Cash Flow'!#REF!</definedName>
    <definedName name="__mi01">'[4]Balance Sheet Cash Flow'!#REF!</definedName>
    <definedName name="__mi02" localSheetId="5">'[4]Balance Sheet Cash Flow'!#REF!</definedName>
    <definedName name="__mi02" localSheetId="2">'[4]Balance Sheet Cash Flow'!#REF!</definedName>
    <definedName name="__mi02">'[4]Balance Sheet Cash Flow'!#REF!</definedName>
    <definedName name="__mi99" localSheetId="5">'[4]Balance Sheet Cash Flow'!#REF!</definedName>
    <definedName name="__mi99" localSheetId="2">'[4]Balance Sheet Cash Flow'!#REF!</definedName>
    <definedName name="__mi99">'[4]Balance Sheet Cash Flow'!#REF!</definedName>
    <definedName name="__mrk2">[3]DATA!$A$54:$I$79</definedName>
    <definedName name="__net93">'[5]#REF'!$X$178</definedName>
    <definedName name="__net94">'[5]#REF'!$AE$178</definedName>
    <definedName name="__pfe2">[3]DATA!$A$28:$I$52</definedName>
    <definedName name="__rd01">[1]Inputs!$P$21</definedName>
    <definedName name="__rd02">[1]Inputs!$U$21</definedName>
    <definedName name="__rd99">[1]Inputs!$F$21</definedName>
    <definedName name="__rev94" localSheetId="5">'[6]Inc Stmt'!#REF!</definedName>
    <definedName name="__rev94" localSheetId="2">'[6]Inc Stmt'!#REF!</definedName>
    <definedName name="__rev94">'[6]Inc Stmt'!#REF!</definedName>
    <definedName name="__rev95" localSheetId="5">'[6]Inc Stmt'!#REF!</definedName>
    <definedName name="__rev95" localSheetId="2">'[6]Inc Stmt'!#REF!</definedName>
    <definedName name="__rev95">'[6]Inc Stmt'!#REF!</definedName>
    <definedName name="__rev96" localSheetId="5">'[6]Inc Stmt'!#REF!</definedName>
    <definedName name="__rev96" localSheetId="2">'[6]Inc Stmt'!#REF!</definedName>
    <definedName name="__rev96">'[6]Inc Stmt'!#REF!</definedName>
    <definedName name="__rev97" localSheetId="5">'[6]Inc Stmt'!#REF!</definedName>
    <definedName name="__rev97" localSheetId="2">'[6]Inc Stmt'!#REF!</definedName>
    <definedName name="__rev97">'[6]Inc Stmt'!#REF!</definedName>
    <definedName name="__rev98" localSheetId="5">'[6]Inc Stmt'!#REF!</definedName>
    <definedName name="__rev98" localSheetId="2">'[6]Inc Stmt'!#REF!</definedName>
    <definedName name="__rev98">'[6]Inc Stmt'!#REF!</definedName>
    <definedName name="__sgp2">[3]DATA!$A$80:$I$104</definedName>
    <definedName name="__sls93">'[5]#REF'!$X$166</definedName>
    <definedName name="__sls94">'[5]#REF'!$AE$166</definedName>
    <definedName name="__wla2">[3]DATA!$A$210:$I$235</definedName>
    <definedName name="_1_0EBITDA_Sh" localSheetId="5">[7]NOPAT_VDF!#REF!</definedName>
    <definedName name="_1_0EBITDA_Sh" localSheetId="2">[7]NOPAT_VDF!#REF!</definedName>
    <definedName name="_1_0EBITDA_Sh">[7]NOPAT_VDF!#REF!</definedName>
    <definedName name="_103_3_0Income_before_ta" localSheetId="5">[7]NOPAT_VDF!#REF!</definedName>
    <definedName name="_103_3_0Income_before_ta" localSheetId="2">[7]NOPAT_VDF!#REF!</definedName>
    <definedName name="_103_3_0Income_before_ta">[7]NOPAT_VDF!#REF!</definedName>
    <definedName name="_104_3_0Income_before_ta" localSheetId="5">[7]NOPAT_VDF!#REF!</definedName>
    <definedName name="_104_3_0Income_before_ta" localSheetId="2">[7]NOPAT_VDF!#REF!</definedName>
    <definedName name="_104_3_0Income_before_ta">[7]NOPAT_VDF!#REF!</definedName>
    <definedName name="_117_3_0Increase_in_other_liabilit" localSheetId="5">[7]NOPAT_VDF!#REF!</definedName>
    <definedName name="_117_3_0Increase_in_other_liabilit" localSheetId="2">[7]NOPAT_VDF!#REF!</definedName>
    <definedName name="_117_3_0Increase_in_other_liabilit">[7]NOPAT_VDF!#REF!</definedName>
    <definedName name="_118_3_0Increase_in_other_liabilit" localSheetId="5">[7]NOPAT_VDF!#REF!</definedName>
    <definedName name="_118_3_0Increase_in_other_liabilit" localSheetId="2">[7]NOPAT_VDF!#REF!</definedName>
    <definedName name="_118_3_0Increase_in_other_liabilit">[7]NOPAT_VDF!#REF!</definedName>
    <definedName name="_13_0EBITDA_Sh" localSheetId="5">[7]NOPAT_VDF!#REF!</definedName>
    <definedName name="_13_0EBITDA_Sh" localSheetId="2">[7]NOPAT_VDF!#REF!</definedName>
    <definedName name="_13_0EBITDA_Sh">[7]NOPAT_VDF!#REF!</definedName>
    <definedName name="_131_3_0Other_Segment_Reven" localSheetId="5">[7]NOPAT_VDF!#REF!</definedName>
    <definedName name="_131_3_0Other_Segment_Reven" localSheetId="2">[7]NOPAT_VDF!#REF!</definedName>
    <definedName name="_131_3_0Other_Segment_Reven">[7]NOPAT_VDF!#REF!</definedName>
    <definedName name="_132_3_0Other_Segment_Reven" localSheetId="5">[7]NOPAT_VDF!#REF!</definedName>
    <definedName name="_132_3_0Other_Segment_Reven" localSheetId="2">[7]NOPAT_VDF!#REF!</definedName>
    <definedName name="_132_3_0Other_Segment_Reven">[7]NOPAT_VDF!#REF!</definedName>
    <definedName name="_14_0EBITDA_Sh" localSheetId="5">[7]NOPAT_VDF!#REF!</definedName>
    <definedName name="_14_0EBITDA_Sh" localSheetId="2">[7]NOPAT_VDF!#REF!</definedName>
    <definedName name="_14_0EBITDA_Sh">[7]NOPAT_VDF!#REF!</definedName>
    <definedName name="_1994" localSheetId="5">#REF!</definedName>
    <definedName name="_1994" localSheetId="2">#REF!</definedName>
    <definedName name="_1994">#REF!</definedName>
    <definedName name="_1995" localSheetId="5">#REF!</definedName>
    <definedName name="_1995" localSheetId="2">#REF!</definedName>
    <definedName name="_1995">#REF!</definedName>
    <definedName name="_1996" localSheetId="5">#REF!</definedName>
    <definedName name="_1996" localSheetId="2">#REF!</definedName>
    <definedName name="_1996">#REF!</definedName>
    <definedName name="_1997" localSheetId="5">#REF!</definedName>
    <definedName name="_1997" localSheetId="2">#REF!</definedName>
    <definedName name="_1997">#REF!</definedName>
    <definedName name="_1998" localSheetId="5">#REF!</definedName>
    <definedName name="_1998" localSheetId="2">#REF!</definedName>
    <definedName name="_1998">#REF!</definedName>
    <definedName name="_1999" localSheetId="5">#REF!</definedName>
    <definedName name="_1999" localSheetId="2">#REF!</definedName>
    <definedName name="_1999">#REF!</definedName>
    <definedName name="_1Q94" localSheetId="5">#REF!</definedName>
    <definedName name="_1Q94" localSheetId="2">#REF!</definedName>
    <definedName name="_1Q94">#REF!</definedName>
    <definedName name="_1Q95" localSheetId="5">#REF!</definedName>
    <definedName name="_1Q95" localSheetId="2">#REF!</definedName>
    <definedName name="_1Q95">#REF!</definedName>
    <definedName name="_2_0NOPAT_Sh" localSheetId="5">[7]NOPAT_VDF!#REF!</definedName>
    <definedName name="_2_0NOPAT_Sh" localSheetId="2">[7]NOPAT_VDF!#REF!</definedName>
    <definedName name="_2_0NOPAT_Sh">[7]NOPAT_VDF!#REF!</definedName>
    <definedName name="_27_0NOPAT_Sh" localSheetId="5">[7]NOPAT_VDF!#REF!</definedName>
    <definedName name="_27_0NOPAT_Sh" localSheetId="2">[7]NOPAT_VDF!#REF!</definedName>
    <definedName name="_27_0NOPAT_Sh">[7]NOPAT_VDF!#REF!</definedName>
    <definedName name="_28_0NOPAT_Sh" localSheetId="5">[7]NOPAT_VDF!#REF!</definedName>
    <definedName name="_28_0NOPAT_Sh" localSheetId="2">[7]NOPAT_VDF!#REF!</definedName>
    <definedName name="_28_0NOPAT_Sh">[7]NOPAT_VDF!#REF!</definedName>
    <definedName name="_2Q94" localSheetId="5">#REF!</definedName>
    <definedName name="_2Q94" localSheetId="2">#REF!</definedName>
    <definedName name="_2Q94">#REF!</definedName>
    <definedName name="_2Q95" localSheetId="5">#REF!</definedName>
    <definedName name="_2Q95" localSheetId="2">#REF!</definedName>
    <definedName name="_2Q95">#REF!</definedName>
    <definedName name="_3_._0Gross_inc_gro" localSheetId="5">[7]NOPAT_VDF!#REF!</definedName>
    <definedName name="_3_._0Gross_inc_gro" localSheetId="2">[7]NOPAT_VDF!#REF!</definedName>
    <definedName name="_3_._0Gross_inc_gro">[7]NOPAT_VDF!#REF!</definedName>
    <definedName name="_3Q94" localSheetId="5">#REF!</definedName>
    <definedName name="_3Q94" localSheetId="2">#REF!</definedName>
    <definedName name="_3Q94">#REF!</definedName>
    <definedName name="_3Q95" localSheetId="5">#REF!</definedName>
    <definedName name="_3Q95" localSheetId="2">#REF!</definedName>
    <definedName name="_3Q95">#REF!</definedName>
    <definedName name="_4_._0Restructuring_char" localSheetId="5">'[7]Invested capital_VDF'!#REF!</definedName>
    <definedName name="_4_._0Restructuring_char" localSheetId="2">'[7]Invested capital_VDF'!#REF!</definedName>
    <definedName name="_4_._0Restructuring_char">'[7]Invested capital_VDF'!#REF!</definedName>
    <definedName name="_41_._0Gross_inc_gro" localSheetId="5">[7]NOPAT_VDF!#REF!</definedName>
    <definedName name="_41_._0Gross_inc_gro" localSheetId="2">[7]NOPAT_VDF!#REF!</definedName>
    <definedName name="_41_._0Gross_inc_gro">[7]NOPAT_VDF!#REF!</definedName>
    <definedName name="_42_._0Gross_inc_gro" localSheetId="5">[7]NOPAT_VDF!#REF!</definedName>
    <definedName name="_42_._0Gross_inc_gro" localSheetId="2">[7]NOPAT_VDF!#REF!</definedName>
    <definedName name="_42_._0Gross_inc_gro">[7]NOPAT_VDF!#REF!</definedName>
    <definedName name="_4Q94" localSheetId="5">#REF!</definedName>
    <definedName name="_4Q94" localSheetId="2">#REF!</definedName>
    <definedName name="_4Q94">#REF!</definedName>
    <definedName name="_4Q95" localSheetId="5">#REF!</definedName>
    <definedName name="_4Q95" localSheetId="2">#REF!</definedName>
    <definedName name="_4Q95">#REF!</definedName>
    <definedName name="_5_._0SGA_gro" localSheetId="5">[7]NOPAT_VDF!#REF!</definedName>
    <definedName name="_5_._0SGA_gro" localSheetId="2">[7]NOPAT_VDF!#REF!</definedName>
    <definedName name="_5_._0SGA_gro">[7]NOPAT_VDF!#REF!</definedName>
    <definedName name="_50__Special_Reserve" localSheetId="5">#REF!</definedName>
    <definedName name="_50__Special_Reserve" localSheetId="2">#REF!</definedName>
    <definedName name="_50__Special_Reserve">#REF!</definedName>
    <definedName name="_55_._0Restructuring_char" localSheetId="5">'[7]Invested capital_VDF'!#REF!</definedName>
    <definedName name="_55_._0Restructuring_char" localSheetId="2">'[7]Invested capital_VDF'!#REF!</definedName>
    <definedName name="_55_._0Restructuring_char">'[7]Invested capital_VDF'!#REF!</definedName>
    <definedName name="_56_._0Restructuring_char" localSheetId="5">'[7]Invested capital_VDF'!#REF!</definedName>
    <definedName name="_56_._0Restructuring_char" localSheetId="2">'[7]Invested capital_VDF'!#REF!</definedName>
    <definedName name="_56_._0Restructuring_char">'[7]Invested capital_VDF'!#REF!</definedName>
    <definedName name="_6_._0Shares_repurchase_liabil" localSheetId="5">'[7]Invested capital_VDF'!#REF!</definedName>
    <definedName name="_6_._0Shares_repurchase_liabil" localSheetId="2">'[7]Invested capital_VDF'!#REF!</definedName>
    <definedName name="_6_._0Shares_repurchase_liabil">'[7]Invested capital_VDF'!#REF!</definedName>
    <definedName name="_69_._0SGA_gro" localSheetId="5">[7]NOPAT_VDF!#REF!</definedName>
    <definedName name="_69_._0SGA_gro" localSheetId="2">[7]NOPAT_VDF!#REF!</definedName>
    <definedName name="_69_._0SGA_gro">[7]NOPAT_VDF!#REF!</definedName>
    <definedName name="_7_3_0Income_before_ta" localSheetId="5">[7]NOPAT_VDF!#REF!</definedName>
    <definedName name="_7_3_0Income_before_ta" localSheetId="2">[7]NOPAT_VDF!#REF!</definedName>
    <definedName name="_7_3_0Income_before_ta">[7]NOPAT_VDF!#REF!</definedName>
    <definedName name="_70_._0SGA_gro" localSheetId="5">[7]NOPAT_VDF!#REF!</definedName>
    <definedName name="_70_._0SGA_gro" localSheetId="2">[7]NOPAT_VDF!#REF!</definedName>
    <definedName name="_70_._0SGA_gro">[7]NOPAT_VDF!#REF!</definedName>
    <definedName name="_8_3_0Increase_in_other_liabilit" localSheetId="5">[7]NOPAT_VDF!#REF!</definedName>
    <definedName name="_8_3_0Increase_in_other_liabilit" localSheetId="2">[7]NOPAT_VDF!#REF!</definedName>
    <definedName name="_8_3_0Increase_in_other_liabilit">[7]NOPAT_VDF!#REF!</definedName>
    <definedName name="_83_._0Shares_repurchase_liabil" localSheetId="5">'[7]Invested capital_VDF'!#REF!</definedName>
    <definedName name="_83_._0Shares_repurchase_liabil" localSheetId="2">'[7]Invested capital_VDF'!#REF!</definedName>
    <definedName name="_83_._0Shares_repurchase_liabil">'[7]Invested capital_VDF'!#REF!</definedName>
    <definedName name="_84_._0Shares_repurchase_liabil" localSheetId="5">'[7]Invested capital_VDF'!#REF!</definedName>
    <definedName name="_84_._0Shares_repurchase_liabil" localSheetId="2">'[7]Invested capital_VDF'!#REF!</definedName>
    <definedName name="_84_._0Shares_repurchase_liabil">'[7]Invested capital_VDF'!#REF!</definedName>
    <definedName name="_9_3_0Other_Segment_Reven" localSheetId="5">[7]NOPAT_VDF!#REF!</definedName>
    <definedName name="_9_3_0Other_Segment_Reven" localSheetId="2">[7]NOPAT_VDF!#REF!</definedName>
    <definedName name="_9_3_0Other_Segment_Reven">[7]NOPAT_VDF!#REF!</definedName>
    <definedName name="_90_0Print_Area" localSheetId="5">#REF!</definedName>
    <definedName name="_90_0Print_Area" localSheetId="2">#REF!</definedName>
    <definedName name="_90_0Print_Area">#REF!</definedName>
    <definedName name="_ahp2">[3]DATA!$A$106:$I$130</definedName>
    <definedName name="_amt203" localSheetId="5">'[4]Balance Sheet Cash Flow'!#REF!</definedName>
    <definedName name="_amt203" localSheetId="2">'[4]Balance Sheet Cash Flow'!#REF!</definedName>
    <definedName name="_amt203">'[4]Balance Sheet Cash Flow'!#REF!</definedName>
    <definedName name="_eps05">'[8]quarterly income'!$L$37</definedName>
    <definedName name="_eps95" localSheetId="5">'[6]Inc Stmt'!#REF!</definedName>
    <definedName name="_eps95" localSheetId="2">'[6]Inc Stmt'!#REF!</definedName>
    <definedName name="_eps95">'[6]Inc Stmt'!#REF!</definedName>
    <definedName name="_eps96" localSheetId="5">'[6]Inc Stmt'!#REF!</definedName>
    <definedName name="_eps96" localSheetId="2">'[6]Inc Stmt'!#REF!</definedName>
    <definedName name="_eps96">'[6]Inc Stmt'!#REF!</definedName>
    <definedName name="_eps97" localSheetId="5">'[6]Inc Stmt'!#REF!</definedName>
    <definedName name="_eps97" localSheetId="2">'[6]Inc Stmt'!#REF!</definedName>
    <definedName name="_eps97">'[6]Inc Stmt'!#REF!</definedName>
    <definedName name="_eps98" localSheetId="5">'[6]Inc Stmt'!#REF!</definedName>
    <definedName name="_eps98" localSheetId="2">'[6]Inc Stmt'!#REF!</definedName>
    <definedName name="_eps98">'[6]Inc Stmt'!#REF!</definedName>
    <definedName name="_Fill" hidden="1">[1]__FDSCACHE__!$A$103:$A$108</definedName>
    <definedName name="_FYE1997" localSheetId="5">#REF!</definedName>
    <definedName name="_FYE1997" localSheetId="2">#REF!</definedName>
    <definedName name="_FYE1997">#REF!</definedName>
    <definedName name="_jnj2">[3]DATA!$A$158:$I$182</definedName>
    <definedName name="_lly2">[3]DATA!$A$184:$I$208</definedName>
    <definedName name="_mi03">[9]BSCF!$G$19</definedName>
    <definedName name="_mi04">[9]BSCF!$H$19</definedName>
    <definedName name="_mi05">[9]BSCF!$I$19</definedName>
    <definedName name="_mi06">[9]BSCF!$J$19</definedName>
    <definedName name="_mi07" localSheetId="4">'[8]Balance Sheet Cash Flow'!$G$20</definedName>
    <definedName name="_mi07">[9]BSCF!$K$19</definedName>
    <definedName name="_mrk2">[3]DATA!$A$54:$I$79</definedName>
    <definedName name="_Order1" hidden="1">0</definedName>
    <definedName name="_Order2" hidden="1">255</definedName>
    <definedName name="_Parse_In" localSheetId="4" hidden="1">[10]Comps!#REF!</definedName>
    <definedName name="_Parse_In" localSheetId="5" hidden="1">[11]Comps!#REF!</definedName>
    <definedName name="_Parse_In" localSheetId="2" hidden="1">[11]Comps!#REF!</definedName>
    <definedName name="_Parse_In" hidden="1">[11]Comps!#REF!</definedName>
    <definedName name="_Parse_Out" localSheetId="4" hidden="1">[10]Comps!#REF!</definedName>
    <definedName name="_Parse_Out" localSheetId="5" hidden="1">[11]Comps!#REF!</definedName>
    <definedName name="_Parse_Out" localSheetId="2" hidden="1">[11]Comps!#REF!</definedName>
    <definedName name="_Parse_Out" hidden="1">[11]Comps!#REF!</definedName>
    <definedName name="_pfe2">[3]DATA!$A$28:$I$52</definedName>
    <definedName name="_rd03">[1]Inputs!$Z$21</definedName>
    <definedName name="_rd04">[1]Inputs!$AE$21</definedName>
    <definedName name="_rd05">[1]Inputs!$AJ$21</definedName>
    <definedName name="_rd06">[1]Inputs!$AO$21</definedName>
    <definedName name="_rd07">[1]Inputs!$AT$21</definedName>
    <definedName name="_rev94" localSheetId="5">'[6]Inc Stmt'!#REF!</definedName>
    <definedName name="_rev94" localSheetId="2">'[6]Inc Stmt'!#REF!</definedName>
    <definedName name="_rev94">'[6]Inc Stmt'!#REF!</definedName>
    <definedName name="_rev95" localSheetId="5">'[6]Inc Stmt'!#REF!</definedName>
    <definedName name="_rev95" localSheetId="2">'[6]Inc Stmt'!#REF!</definedName>
    <definedName name="_rev95">'[6]Inc Stmt'!#REF!</definedName>
    <definedName name="_rev96" localSheetId="5">'[6]Inc Stmt'!#REF!</definedName>
    <definedName name="_rev96" localSheetId="2">'[6]Inc Stmt'!#REF!</definedName>
    <definedName name="_rev96">'[6]Inc Stmt'!#REF!</definedName>
    <definedName name="_rev97" localSheetId="5">'[6]Inc Stmt'!#REF!</definedName>
    <definedName name="_rev97" localSheetId="2">'[6]Inc Stmt'!#REF!</definedName>
    <definedName name="_rev97">'[6]Inc Stmt'!#REF!</definedName>
    <definedName name="_rev98" localSheetId="5">'[6]Inc Stmt'!#REF!</definedName>
    <definedName name="_rev98" localSheetId="2">'[6]Inc Stmt'!#REF!</definedName>
    <definedName name="_rev98">'[6]Inc Stmt'!#REF!</definedName>
    <definedName name="_scenchg_count">1</definedName>
    <definedName name="_sgp2">[3]DATA!$A$80:$I$104</definedName>
    <definedName name="_SKF107647" localSheetId="5">[12]Sales!#REF!</definedName>
    <definedName name="_SKF107647" localSheetId="2">[12]Sales!#REF!</definedName>
    <definedName name="_SKF107647">[12]Sales!#REF!</definedName>
    <definedName name="_Table2_Out" localSheetId="5" hidden="1">#REF!</definedName>
    <definedName name="_Table2_Out" localSheetId="2" hidden="1">#REF!</definedName>
    <definedName name="_Table2_Out" hidden="1">#REF!</definedName>
    <definedName name="_via01" localSheetId="5">'[4]Qtr. Product Sales'!#REF!</definedName>
    <definedName name="_via01" localSheetId="2">'[4]Qtr. Product Sales'!#REF!</definedName>
    <definedName name="_via01">'[4]Qtr. Product Sales'!#REF!</definedName>
    <definedName name="_via02" localSheetId="5">'[4]Qtr. Product Sales'!#REF!</definedName>
    <definedName name="_via02" localSheetId="2">'[4]Qtr. Product Sales'!#REF!</definedName>
    <definedName name="_via02">'[4]Qtr. Product Sales'!#REF!</definedName>
    <definedName name="_via03">'[4]Qtr. Product Sales'!$B$250</definedName>
    <definedName name="_via04">'[4]Qtr. Product Sales'!$G$250</definedName>
    <definedName name="_via05">'[4]Qtr. Product Sales'!$L$250</definedName>
    <definedName name="_via99" localSheetId="5">'[4]Qtr. Product Sales'!#REF!</definedName>
    <definedName name="_via99" localSheetId="2">'[4]Qtr. Product Sales'!#REF!</definedName>
    <definedName name="_via99">'[4]Qtr. Product Sales'!#REF!</definedName>
    <definedName name="_wla2">[3]DATA!$A$210:$I$235</definedName>
    <definedName name="\b">#N/A</definedName>
    <definedName name="\C">[1]__FDSCACHE__!$H$107</definedName>
    <definedName name="\D">[1]__FDSCACHE__!$H$109</definedName>
    <definedName name="\E">[1]__FDSCACHE__!$H$111</definedName>
    <definedName name="\F">[1]__FDSCACHE__!$H$113</definedName>
    <definedName name="\G">[1]__FDSCACHE__!$H$115</definedName>
    <definedName name="\H">[1]__FDSCACHE__!$H$117</definedName>
    <definedName name="\I">[1]__FDSCACHE__!$H$119</definedName>
    <definedName name="\L">[1]__FDSCACHE__!$H$103</definedName>
    <definedName name="\O" localSheetId="5">#REF!</definedName>
    <definedName name="\O" localSheetId="2">#REF!</definedName>
    <definedName name="\O">#REF!</definedName>
    <definedName name="\T">[1]__FDSCACHE__!$H$100</definedName>
    <definedName name="a" localSheetId="4">{"Price","FDX","TS1/TS132","D","0","0","V"}</definedName>
    <definedName name="a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.1995" localSheetId="4">'[13]Annual Model'!#REF!</definedName>
    <definedName name="A.1995" localSheetId="5">'[13]Annual Model'!#REF!</definedName>
    <definedName name="A.1995" localSheetId="2">'[13]Annual Model'!#REF!</definedName>
    <definedName name="A.1995">'[13]Annual Model'!#REF!</definedName>
    <definedName name="A.1996" localSheetId="5">'[13]Annual Model'!#REF!</definedName>
    <definedName name="A.1996" localSheetId="2">'[13]Annual Model'!#REF!</definedName>
    <definedName name="A.1996">'[13]Annual Model'!#REF!</definedName>
    <definedName name="A.1997" localSheetId="5">'[13]Annual Model'!#REF!</definedName>
    <definedName name="A.1997" localSheetId="2">'[13]Annual Model'!#REF!</definedName>
    <definedName name="A.1997">'[13]Annual Model'!#REF!</definedName>
    <definedName name="A.1998" localSheetId="5">'[13]Annual Model'!#REF!</definedName>
    <definedName name="A.1998" localSheetId="2">'[13]Annual Model'!#REF!</definedName>
    <definedName name="A.1998">'[13]Annual Model'!#REF!</definedName>
    <definedName name="A.1999" localSheetId="5">'[14]Annual Model'!#REF!</definedName>
    <definedName name="A.1999" localSheetId="2">'[14]Annual Model'!#REF!</definedName>
    <definedName name="A.1999">'[14]Annual Model'!#REF!</definedName>
    <definedName name="aa" hidden="1">{#N/A,#N/A,FALSE,"Inc";#N/A,#N/A,FALSE,"Prod";#N/A,#N/A,FALSE,"QInc";#N/A,#N/A,FALSE,"QProd"}</definedName>
    <definedName name="AA_Print_BalanceSheet_Annual" localSheetId="5">#REF!</definedName>
    <definedName name="AA_Print_BalanceSheet_Annual" localSheetId="2">#REF!</definedName>
    <definedName name="AA_Print_BalanceSheet_Annual">#REF!</definedName>
    <definedName name="AA_Print_BalanceSheet_Quarter" localSheetId="5">#REF!</definedName>
    <definedName name="AA_Print_BalanceSheet_Quarter" localSheetId="2">#REF!</definedName>
    <definedName name="AA_Print_BalanceSheet_Quarter">#REF!</definedName>
    <definedName name="AA_Print_BPCS_Annual" localSheetId="5">#REF!</definedName>
    <definedName name="AA_Print_BPCS_Annual" localSheetId="2">#REF!</definedName>
    <definedName name="AA_Print_BPCS_Annual">#REF!</definedName>
    <definedName name="AA_Print_BPCS_Quarter" localSheetId="5">#REF!</definedName>
    <definedName name="AA_Print_BPCS_Quarter" localSheetId="2">#REF!</definedName>
    <definedName name="AA_Print_BPCS_Quarter">#REF!</definedName>
    <definedName name="AA_Print_Capex_Annual" localSheetId="5">#REF!</definedName>
    <definedName name="AA_Print_Capex_Annual" localSheetId="2">#REF!</definedName>
    <definedName name="AA_Print_Capex_Annual">#REF!</definedName>
    <definedName name="AA_Print_Capex_Quarter" localSheetId="5">#REF!</definedName>
    <definedName name="AA_Print_Capex_Quarter" localSheetId="2">#REF!</definedName>
    <definedName name="AA_Print_Capex_Quarter">#REF!</definedName>
    <definedName name="AA_Print_CashFlow_Annual" localSheetId="5">#REF!</definedName>
    <definedName name="AA_Print_CashFlow_Annual" localSheetId="2">#REF!</definedName>
    <definedName name="AA_Print_CashFlow_Annual">#REF!</definedName>
    <definedName name="AA_Print_CashFlow_Quarter" localSheetId="5">#REF!</definedName>
    <definedName name="AA_Print_CashFlow_Quarter" localSheetId="2">#REF!</definedName>
    <definedName name="AA_Print_CashFlow_Quarter">#REF!</definedName>
    <definedName name="AA_Print_Equip_Annual" localSheetId="5">#REF!</definedName>
    <definedName name="AA_Print_Equip_Annual" localSheetId="2">#REF!</definedName>
    <definedName name="AA_Print_Equip_Annual">#REF!</definedName>
    <definedName name="AA_Print_Equip_Quarter" localSheetId="5">#REF!</definedName>
    <definedName name="AA_Print_Equip_Quarter" localSheetId="2">#REF!</definedName>
    <definedName name="AA_Print_Equip_Quarter">#REF!</definedName>
    <definedName name="AA_Print_IncomeStatement_Annual" localSheetId="5">#REF!</definedName>
    <definedName name="AA_Print_IncomeStatement_Annual" localSheetId="2">#REF!</definedName>
    <definedName name="AA_Print_IncomeStatement_Annual">#REF!</definedName>
    <definedName name="AA_Print_IncomeStatement_Quarter" localSheetId="5">#REF!</definedName>
    <definedName name="AA_Print_IncomeStatement_Quarter" localSheetId="2">#REF!</definedName>
    <definedName name="AA_Print_IncomeStatement_Quarter">#REF!</definedName>
    <definedName name="AA_Print_Opex_Annual" localSheetId="5">#REF!</definedName>
    <definedName name="AA_Print_Opex_Annual" localSheetId="2">#REF!</definedName>
    <definedName name="AA_Print_Opex_Annual">#REF!</definedName>
    <definedName name="AA_Print_Opex_Quarter" localSheetId="5">#REF!</definedName>
    <definedName name="AA_Print_Opex_Quarter" localSheetId="2">#REF!</definedName>
    <definedName name="AA_Print_Opex_Quarter">#REF!</definedName>
    <definedName name="AA_Print_Ownership_Annual" localSheetId="5">#REF!</definedName>
    <definedName name="AA_Print_Ownership_Annual" localSheetId="2">#REF!</definedName>
    <definedName name="AA_Print_Ownership_Annual">#REF!</definedName>
    <definedName name="AA_Print_Ownership_Quarter" localSheetId="5">#REF!</definedName>
    <definedName name="AA_Print_Ownership_Quarter" localSheetId="2">#REF!</definedName>
    <definedName name="AA_Print_Ownership_Quarter">#REF!</definedName>
    <definedName name="AA_Print_Subscribers_Annual" localSheetId="5">#REF!</definedName>
    <definedName name="AA_Print_Subscribers_Annual" localSheetId="2">#REF!</definedName>
    <definedName name="AA_Print_Subscribers_Annual">#REF!</definedName>
    <definedName name="AA_Print_Subscribers_Quarter" localSheetId="5">#REF!</definedName>
    <definedName name="AA_Print_Subscribers_Quarter" localSheetId="2">#REF!</definedName>
    <definedName name="AA_Print_Subscribers_Quarter">#REF!</definedName>
    <definedName name="AA_Print_Summary_Annual" localSheetId="5">#REF!</definedName>
    <definedName name="AA_Print_Summary_Annual" localSheetId="2">#REF!</definedName>
    <definedName name="AA_Print_Summary_Annual">#REF!</definedName>
    <definedName name="AA_Print_Summary_Quarter" localSheetId="5">#REF!</definedName>
    <definedName name="AA_Print_Summary_Quarter" localSheetId="2">#REF!</definedName>
    <definedName name="AA_Print_Summary_Quarter">#REF!</definedName>
    <definedName name="AA_Print_ValuationAsset" localSheetId="5">#REF!</definedName>
    <definedName name="AA_Print_ValuationAsset" localSheetId="2">#REF!</definedName>
    <definedName name="AA_Print_ValuationAsset">#REF!</definedName>
    <definedName name="AA_Print_ValuationDCF" localSheetId="5">#REF!</definedName>
    <definedName name="AA_Print_ValuationDCF" localSheetId="2">#REF!</definedName>
    <definedName name="AA_Print_ValuationDCF">#REF!</definedName>
    <definedName name="AA_Print_ValuationDCF_Sum" localSheetId="5">#REF!</definedName>
    <definedName name="AA_Print_ValuationDCF_Sum" localSheetId="2">#REF!</definedName>
    <definedName name="AA_Print_ValuationDCF_Sum">#REF!</definedName>
    <definedName name="aab" hidden="1">{#N/A,#N/A,FALSE,"Inc";#N/A,#N/A,FALSE,"Prod";#N/A,#N/A,FALSE,"QInc";#N/A,#N/A,FALSE,"QProd"}</definedName>
    <definedName name="aabcd" hidden="1">{#N/A,#N/A,FALSE,"Inc";#N/A,#N/A,FALSE,"Prod";#N/A,#N/A,FALSE,"QInc";#N/A,#N/A,FALSE,"QProd"}</definedName>
    <definedName name="ab" hidden="1">{#N/A,#N/A,FALSE,"Inc";#N/A,#N/A,FALSE,"Prod";#N/A,#N/A,FALSE,"QInc";#N/A,#N/A,FALSE,"QProd"}</definedName>
    <definedName name="AbbrevQtr" localSheetId="5">#REF!</definedName>
    <definedName name="AbbrevQtr" localSheetId="2">#REF!</definedName>
    <definedName name="AbbrevQtr">#REF!</definedName>
    <definedName name="abcd" hidden="1">{#N/A,#N/A,FALSE,"Inc";#N/A,#N/A,FALSE,"Prod";#N/A,#N/A,FALSE,"QInc";#N/A,#N/A,FALSE,"QProd"}</definedName>
    <definedName name="acash00" localSheetId="5">'[4]Balance Sheet Cash Flow'!#REF!</definedName>
    <definedName name="acash00" localSheetId="2">'[4]Balance Sheet Cash Flow'!#REF!</definedName>
    <definedName name="acash00">'[4]Balance Sheet Cash Flow'!#REF!</definedName>
    <definedName name="acash01" localSheetId="5">'[4]Balance Sheet Cash Flow'!#REF!</definedName>
    <definedName name="acash01" localSheetId="2">'[4]Balance Sheet Cash Flow'!#REF!</definedName>
    <definedName name="acash01">'[4]Balance Sheet Cash Flow'!#REF!</definedName>
    <definedName name="acash02" localSheetId="5">'[4]Balance Sheet Cash Flow'!#REF!</definedName>
    <definedName name="acash02" localSheetId="2">'[4]Balance Sheet Cash Flow'!#REF!</definedName>
    <definedName name="acash02">'[4]Balance Sheet Cash Flow'!#REF!</definedName>
    <definedName name="acash03" localSheetId="5">#REF!</definedName>
    <definedName name="acash03" localSheetId="2">#REF!</definedName>
    <definedName name="acash03">#REF!</definedName>
    <definedName name="acash04" localSheetId="5">#REF!</definedName>
    <definedName name="acash04" localSheetId="2">#REF!</definedName>
    <definedName name="acash04">#REF!</definedName>
    <definedName name="Acc_payable_growth_fore" localSheetId="5">#REF!</definedName>
    <definedName name="Acc_payable_growth_fore" localSheetId="2">#REF!</definedName>
    <definedName name="Acc_payable_growth_fore">#REF!</definedName>
    <definedName name="Acc_Rec_growth_fore" localSheetId="5">#REF!</definedName>
    <definedName name="Acc_Rec_growth_fore" localSheetId="2">#REF!</definedName>
    <definedName name="Acc_Rec_growth_fore">#REF!</definedName>
    <definedName name="Accrued_compensation_growth_fore" localSheetId="5">#REF!</definedName>
    <definedName name="Accrued_compensation_growth_fore" localSheetId="2">#REF!</definedName>
    <definedName name="Accrued_compensation_growth_fore">#REF!</definedName>
    <definedName name="Accrued_Expenditure" localSheetId="5">#REF!</definedName>
    <definedName name="Accrued_Expenditure" localSheetId="2">#REF!</definedName>
    <definedName name="Accrued_Expenditure">#REF!</definedName>
    <definedName name="Accrued_expenses_growth_fore" localSheetId="5">#REF!</definedName>
    <definedName name="Accrued_expenses_growth_fore" localSheetId="2">#REF!</definedName>
    <definedName name="Accrued_expenses_growth_fore">#REF!</definedName>
    <definedName name="accu01" localSheetId="5">'[4]Qtr. Product Sales'!#REF!</definedName>
    <definedName name="accu01" localSheetId="2">'[4]Qtr. Product Sales'!#REF!</definedName>
    <definedName name="accu01">'[4]Qtr. Product Sales'!#REF!</definedName>
    <definedName name="accu02" localSheetId="5">'[4]Qtr. Product Sales'!#REF!</definedName>
    <definedName name="accu02" localSheetId="2">'[4]Qtr. Product Sales'!#REF!</definedName>
    <definedName name="accu02">'[4]Qtr. Product Sales'!#REF!</definedName>
    <definedName name="Accum_Cap_Expenses_growth_fore" localSheetId="5">#REF!</definedName>
    <definedName name="Accum_Cap_Expenses_growth_fore" localSheetId="2">#REF!</definedName>
    <definedName name="Accum_Cap_Expenses_growth_fore">#REF!</definedName>
    <definedName name="Accum_Goodwill_Amort_growth_fore" localSheetId="5">#REF!</definedName>
    <definedName name="Accum_Goodwill_Amort_growth_fore" localSheetId="2">#REF!</definedName>
    <definedName name="Accum_Goodwill_Amort_growth_fore">#REF!</definedName>
    <definedName name="Acellular_pertussis_booster">[12]Sales!$A$90:$AG$90</definedName>
    <definedName name="acquirorname" localSheetId="5">#REF!</definedName>
    <definedName name="acquirorname" localSheetId="2">#REF!</definedName>
    <definedName name="acquirorname">#REF!</definedName>
    <definedName name="Acquisitions" localSheetId="5">#REF!</definedName>
    <definedName name="Acquisitions" localSheetId="2">#REF!</definedName>
    <definedName name="Acquisitions">#REF!</definedName>
    <definedName name="adasasddas" localSheetId="5">[7]NOPAT_VDF!#REF!</definedName>
    <definedName name="adasasddas" localSheetId="2">[7]NOPAT_VDF!#REF!</definedName>
    <definedName name="adasasddas">[7]NOPAT_VDF!#REF!</definedName>
    <definedName name="adb" hidden="1">{#N/A,#N/A,FALSE,"Inc";#N/A,#N/A,FALSE,"Prod";#N/A,#N/A,FALSE,"QInc";#N/A,#N/A,FALSE,"QProd"}</definedName>
    <definedName name="ADD_FWD" localSheetId="5">#REF!</definedName>
    <definedName name="ADD_FWD" localSheetId="2">#REF!</definedName>
    <definedName name="ADD_FWD">#REF!</definedName>
    <definedName name="adebt00" localSheetId="5">'[4]Balance Sheet Cash Flow'!#REF!</definedName>
    <definedName name="adebt00" localSheetId="2">'[4]Balance Sheet Cash Flow'!#REF!</definedName>
    <definedName name="adebt00">'[4]Balance Sheet Cash Flow'!#REF!</definedName>
    <definedName name="adebt01" localSheetId="5">'[4]Balance Sheet Cash Flow'!#REF!</definedName>
    <definedName name="adebt01" localSheetId="2">'[4]Balance Sheet Cash Flow'!#REF!</definedName>
    <definedName name="adebt01">'[4]Balance Sheet Cash Flow'!#REF!</definedName>
    <definedName name="adebt02" localSheetId="5">'[4]Balance Sheet Cash Flow'!#REF!</definedName>
    <definedName name="adebt02" localSheetId="2">'[4]Balance Sheet Cash Flow'!#REF!</definedName>
    <definedName name="adebt02">'[4]Balance Sheet Cash Flow'!#REF!</definedName>
    <definedName name="adebt03" localSheetId="5">#REF!</definedName>
    <definedName name="adebt03" localSheetId="2">#REF!</definedName>
    <definedName name="adebt03">#REF!</definedName>
    <definedName name="adebt04" localSheetId="5">#REF!</definedName>
    <definedName name="adebt04" localSheetId="2">#REF!</definedName>
    <definedName name="adebt04">#REF!</definedName>
    <definedName name="Adj_net_oper_fore" localSheetId="5">#REF!</definedName>
    <definedName name="Adj_net_oper_fore" localSheetId="2">#REF!</definedName>
    <definedName name="Adj_net_oper_fore">#REF!</definedName>
    <definedName name="Adjusted_Net_Operating_Profit">[15]NOPAT_VDF!$C$26:$AU$26</definedName>
    <definedName name="adsadsda" localSheetId="5">[7]NOPAT_VDF!#REF!</definedName>
    <definedName name="adsadsda" localSheetId="2">[7]NOPAT_VDF!#REF!</definedName>
    <definedName name="adsadsda">[7]NOPAT_VDF!#REF!</definedName>
    <definedName name="af" localSheetId="5">'[5]#REF'!#REF!</definedName>
    <definedName name="af" localSheetId="2">'[5]#REF'!#REF!</definedName>
    <definedName name="af">'[5]#REF'!#REF!</definedName>
    <definedName name="AGY" localSheetId="5">#REF!</definedName>
    <definedName name="AGY" localSheetId="2">#REF!</definedName>
    <definedName name="AGY">#REF!</definedName>
    <definedName name="AGY_00Ea" localSheetId="5">#REF!</definedName>
    <definedName name="AGY_00Ea" localSheetId="2">#REF!</definedName>
    <definedName name="AGY_00Ea">#REF!</definedName>
    <definedName name="AGY_00EPS" localSheetId="5">#REF!</definedName>
    <definedName name="AGY_00EPS" localSheetId="2">#REF!</definedName>
    <definedName name="AGY_00EPS">#REF!</definedName>
    <definedName name="AGY_01Ea" localSheetId="5">#REF!</definedName>
    <definedName name="AGY_01Ea" localSheetId="2">#REF!</definedName>
    <definedName name="AGY_01Ea">#REF!</definedName>
    <definedName name="AGY_01EPS" localSheetId="5">#REF!</definedName>
    <definedName name="AGY_01EPS" localSheetId="2">#REF!</definedName>
    <definedName name="AGY_01EPS">#REF!</definedName>
    <definedName name="AGY_99Ea" localSheetId="5">#REF!</definedName>
    <definedName name="AGY_99Ea" localSheetId="2">#REF!</definedName>
    <definedName name="AGY_99Ea">#REF!</definedName>
    <definedName name="AGY_99EPS" localSheetId="5">#REF!</definedName>
    <definedName name="AGY_99EPS" localSheetId="2">#REF!</definedName>
    <definedName name="AGY_99EPS">#REF!</definedName>
    <definedName name="AGY_Rating">[16]Industry!$D$6</definedName>
    <definedName name="AGY_Target">[16]Industry!$C$6</definedName>
    <definedName name="alle01">[1]Sheet1!$Z$36</definedName>
    <definedName name="alle02">[1]Sheet1!$AE$36</definedName>
    <definedName name="alli01" localSheetId="5">'[4]Qtr. Product Sales'!#REF!</definedName>
    <definedName name="alli01" localSheetId="2">'[4]Qtr. Product Sales'!#REF!</definedName>
    <definedName name="alli01">'[4]Qtr. Product Sales'!#REF!</definedName>
    <definedName name="alli02" localSheetId="5">'[4]Qtr. Product Sales'!#REF!</definedName>
    <definedName name="alli02" localSheetId="2">'[4]Qtr. Product Sales'!#REF!</definedName>
    <definedName name="alli02">'[4]Qtr. Product Sales'!#REF!</definedName>
    <definedName name="ALLY" localSheetId="5">#REF!</definedName>
    <definedName name="ALLY" localSheetId="2">#REF!</definedName>
    <definedName name="ALLY">#REF!</definedName>
    <definedName name="amo00" localSheetId="5">#REF!</definedName>
    <definedName name="amo00" localSheetId="2">#REF!</definedName>
    <definedName name="amo00">#REF!</definedName>
    <definedName name="Amortisation" localSheetId="5">#REF!</definedName>
    <definedName name="Amortisation" localSheetId="2">#REF!</definedName>
    <definedName name="Amortisation">#REF!</definedName>
    <definedName name="Amortization_of_Acquired_Technology_Rights" localSheetId="5">#REF!</definedName>
    <definedName name="Amortization_of_Acquired_Technology_Rights" localSheetId="2">#REF!</definedName>
    <definedName name="Amortization_of_Acquired_Technology_Rights">#REF!</definedName>
    <definedName name="Amortization_of_Goodwill" localSheetId="5">#REF!</definedName>
    <definedName name="Amortization_of_Goodwill" localSheetId="2">#REF!</definedName>
    <definedName name="Amortization_of_Goodwill">#REF!</definedName>
    <definedName name="Amoxil">[12]Sales!$A$27:$AG$27</definedName>
    <definedName name="amtq100" localSheetId="5">'[4]Balance Sheet Cash Flow'!#REF!</definedName>
    <definedName name="amtq100" localSheetId="2">'[4]Balance Sheet Cash Flow'!#REF!</definedName>
    <definedName name="amtq100">'[4]Balance Sheet Cash Flow'!#REF!</definedName>
    <definedName name="amtq101" localSheetId="5">'[4]Balance Sheet Cash Flow'!#REF!</definedName>
    <definedName name="amtq101" localSheetId="2">'[4]Balance Sheet Cash Flow'!#REF!</definedName>
    <definedName name="amtq101">'[4]Balance Sheet Cash Flow'!#REF!</definedName>
    <definedName name="amtq102" localSheetId="5">'[4]Balance Sheet Cash Flow'!#REF!</definedName>
    <definedName name="amtq102" localSheetId="2">'[4]Balance Sheet Cash Flow'!#REF!</definedName>
    <definedName name="amtq102">'[4]Balance Sheet Cash Flow'!#REF!</definedName>
    <definedName name="amtq103" localSheetId="5">'[4]Balance Sheet Cash Flow'!#REF!</definedName>
    <definedName name="amtq103" localSheetId="2">'[4]Balance Sheet Cash Flow'!#REF!</definedName>
    <definedName name="amtq103">'[4]Balance Sheet Cash Flow'!#REF!</definedName>
    <definedName name="amtq104" localSheetId="5">'[4]Balance Sheet Cash Flow'!#REF!</definedName>
    <definedName name="amtq104" localSheetId="2">'[4]Balance Sheet Cash Flow'!#REF!</definedName>
    <definedName name="amtq104">'[4]Balance Sheet Cash Flow'!#REF!</definedName>
    <definedName name="amtq105" localSheetId="5">'[4]Balance Sheet Cash Flow'!#REF!</definedName>
    <definedName name="amtq105" localSheetId="2">'[4]Balance Sheet Cash Flow'!#REF!</definedName>
    <definedName name="amtq105">'[4]Balance Sheet Cash Flow'!#REF!</definedName>
    <definedName name="amtq200" localSheetId="5">'[4]Balance Sheet Cash Flow'!#REF!</definedName>
    <definedName name="amtq200" localSheetId="2">'[4]Balance Sheet Cash Flow'!#REF!</definedName>
    <definedName name="amtq200">'[4]Balance Sheet Cash Flow'!#REF!</definedName>
    <definedName name="amtq201" localSheetId="5">'[4]Balance Sheet Cash Flow'!#REF!</definedName>
    <definedName name="amtq201" localSheetId="2">'[4]Balance Sheet Cash Flow'!#REF!</definedName>
    <definedName name="amtq201">'[4]Balance Sheet Cash Flow'!#REF!</definedName>
    <definedName name="amtq202" localSheetId="5">'[4]Balance Sheet Cash Flow'!#REF!</definedName>
    <definedName name="amtq202" localSheetId="2">'[4]Balance Sheet Cash Flow'!#REF!</definedName>
    <definedName name="amtq202">'[4]Balance Sheet Cash Flow'!#REF!</definedName>
    <definedName name="amtq203" localSheetId="5">'[4]Balance Sheet Cash Flow'!#REF!</definedName>
    <definedName name="amtq203" localSheetId="2">'[4]Balance Sheet Cash Flow'!#REF!</definedName>
    <definedName name="amtq203">'[4]Balance Sheet Cash Flow'!#REF!</definedName>
    <definedName name="amtq204" localSheetId="5">'[4]Balance Sheet Cash Flow'!#REF!</definedName>
    <definedName name="amtq204" localSheetId="2">'[4]Balance Sheet Cash Flow'!#REF!</definedName>
    <definedName name="amtq204">'[4]Balance Sheet Cash Flow'!#REF!</definedName>
    <definedName name="amtq205" localSheetId="5">'[4]Balance Sheet Cash Flow'!#REF!</definedName>
    <definedName name="amtq205" localSheetId="2">'[4]Balance Sheet Cash Flow'!#REF!</definedName>
    <definedName name="amtq205">'[4]Balance Sheet Cash Flow'!#REF!</definedName>
    <definedName name="amtq300" localSheetId="5">'[4]Balance Sheet Cash Flow'!#REF!</definedName>
    <definedName name="amtq300" localSheetId="2">'[4]Balance Sheet Cash Flow'!#REF!</definedName>
    <definedName name="amtq300">'[4]Balance Sheet Cash Flow'!#REF!</definedName>
    <definedName name="amtq301" localSheetId="5">'[4]Balance Sheet Cash Flow'!#REF!</definedName>
    <definedName name="amtq301" localSheetId="2">'[4]Balance Sheet Cash Flow'!#REF!</definedName>
    <definedName name="amtq301">'[4]Balance Sheet Cash Flow'!#REF!</definedName>
    <definedName name="amtq302" localSheetId="5">'[4]Balance Sheet Cash Flow'!#REF!</definedName>
    <definedName name="amtq302" localSheetId="2">'[4]Balance Sheet Cash Flow'!#REF!</definedName>
    <definedName name="amtq302">'[4]Balance Sheet Cash Flow'!#REF!</definedName>
    <definedName name="amtq303" localSheetId="5">'[4]Balance Sheet Cash Flow'!#REF!</definedName>
    <definedName name="amtq303" localSheetId="2">'[4]Balance Sheet Cash Flow'!#REF!</definedName>
    <definedName name="amtq303">'[4]Balance Sheet Cash Flow'!#REF!</definedName>
    <definedName name="amtq304" localSheetId="5">'[4]Balance Sheet Cash Flow'!#REF!</definedName>
    <definedName name="amtq304" localSheetId="2">'[4]Balance Sheet Cash Flow'!#REF!</definedName>
    <definedName name="amtq304">'[4]Balance Sheet Cash Flow'!#REF!</definedName>
    <definedName name="amtq305" localSheetId="5">'[4]Balance Sheet Cash Flow'!#REF!</definedName>
    <definedName name="amtq305" localSheetId="2">'[4]Balance Sheet Cash Flow'!#REF!</definedName>
    <definedName name="amtq305">'[4]Balance Sheet Cash Flow'!#REF!</definedName>
    <definedName name="amtq400" localSheetId="5">'[4]Balance Sheet Cash Flow'!#REF!</definedName>
    <definedName name="amtq400" localSheetId="2">'[4]Balance Sheet Cash Flow'!#REF!</definedName>
    <definedName name="amtq400">'[4]Balance Sheet Cash Flow'!#REF!</definedName>
    <definedName name="amtq401" localSheetId="5">'[4]Balance Sheet Cash Flow'!#REF!</definedName>
    <definedName name="amtq401" localSheetId="2">'[4]Balance Sheet Cash Flow'!#REF!</definedName>
    <definedName name="amtq401">'[4]Balance Sheet Cash Flow'!#REF!</definedName>
    <definedName name="amtq402" localSheetId="5">'[4]Balance Sheet Cash Flow'!#REF!</definedName>
    <definedName name="amtq402" localSheetId="2">'[4]Balance Sheet Cash Flow'!#REF!</definedName>
    <definedName name="amtq402">'[4]Balance Sheet Cash Flow'!#REF!</definedName>
    <definedName name="amtq403" localSheetId="5">'[4]Balance Sheet Cash Flow'!#REF!</definedName>
    <definedName name="amtq403" localSheetId="2">'[4]Balance Sheet Cash Flow'!#REF!</definedName>
    <definedName name="amtq403">'[4]Balance Sheet Cash Flow'!#REF!</definedName>
    <definedName name="amtq404" localSheetId="5">'[4]Balance Sheet Cash Flow'!#REF!</definedName>
    <definedName name="amtq404" localSheetId="2">'[4]Balance Sheet Cash Flow'!#REF!</definedName>
    <definedName name="amtq404">'[4]Balance Sheet Cash Flow'!#REF!</definedName>
    <definedName name="amtq405" localSheetId="5">'[4]Balance Sheet Cash Flow'!#REF!</definedName>
    <definedName name="amtq405" localSheetId="2">'[4]Balance Sheet Cash Flow'!#REF!</definedName>
    <definedName name="amtq405">'[4]Balance Sheet Cash Flow'!#REF!</definedName>
    <definedName name="Androderm" localSheetId="5">[12]Sales!#REF!</definedName>
    <definedName name="Androderm" localSheetId="2">[12]Sales!#REF!</definedName>
    <definedName name="Androderm">[12]Sales!#REF!</definedName>
    <definedName name="annual" localSheetId="5">'[17]IGT MODEL'!#REF!</definedName>
    <definedName name="annual" localSheetId="2">'[17]IGT MODEL'!#REF!</definedName>
    <definedName name="annual">'[17]IGT MODEL'!#REF!</definedName>
    <definedName name="Argentina" localSheetId="4">#REF!</definedName>
    <definedName name="Argentina" localSheetId="5">#REF!</definedName>
    <definedName name="Argentina" localSheetId="2">#REF!</definedName>
    <definedName name="Argentina">#REF!</definedName>
    <definedName name="ASCA" localSheetId="5">#REF!</definedName>
    <definedName name="ASCA" localSheetId="2">#REF!</definedName>
    <definedName name="ASCA">#REF!</definedName>
    <definedName name="ASCA_00EPS">'[18]Earnings Model'!$I$61</definedName>
    <definedName name="ASCA_99EPS">'[18]Earnings Model'!$D$61</definedName>
    <definedName name="ASCA_CONS00" localSheetId="5">#REF!</definedName>
    <definedName name="ASCA_CONS00" localSheetId="2">#REF!</definedName>
    <definedName name="ASCA_CONS00">#REF!</definedName>
    <definedName name="ASCA_CONS01" localSheetId="5">#REF!</definedName>
    <definedName name="ASCA_CONS01" localSheetId="2">#REF!</definedName>
    <definedName name="ASCA_CONS01">#REF!</definedName>
    <definedName name="ASCA_CONS99" localSheetId="5">#REF!</definedName>
    <definedName name="ASCA_CONS99" localSheetId="2">#REF!</definedName>
    <definedName name="ASCA_CONS99">#REF!</definedName>
    <definedName name="ASCA_CONSENSUS" localSheetId="5">#REF!</definedName>
    <definedName name="ASCA_CONSENSUS" localSheetId="2">#REF!</definedName>
    <definedName name="ASCA_CONSENSUS">#REF!</definedName>
    <definedName name="as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d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SOC" localSheetId="5">#REF!</definedName>
    <definedName name="ASSOC" localSheetId="2">#REF!</definedName>
    <definedName name="ASSOC">#REF!</definedName>
    <definedName name="Associates" localSheetId="5">#REF!</definedName>
    <definedName name="Associates" localSheetId="2">#REF!</definedName>
    <definedName name="Associates">#REF!</definedName>
    <definedName name="Augmentin">[12]Sales!$A$26:$AG$26</definedName>
    <definedName name="Average_invested_capital">'[15]Invested capital_VDF'!$C$89:$AZ$89</definedName>
    <definedName name="Average_invested_capital_DCF">[15]DCF_VDF!$C$78:$AZ$78</definedName>
    <definedName name="AvgUUPerMo">[1]__FDSCACHE__!$F$34:$N$34</definedName>
    <definedName name="AZR" localSheetId="5">#REF!</definedName>
    <definedName name="AZR" localSheetId="2">#REF!</definedName>
    <definedName name="AZR">#REF!</definedName>
    <definedName name="AZR_00Ea" localSheetId="5">#REF!</definedName>
    <definedName name="AZR_00Ea" localSheetId="2">#REF!</definedName>
    <definedName name="AZR_00Ea">#REF!</definedName>
    <definedName name="AZR_00EPS" localSheetId="5">#REF!</definedName>
    <definedName name="AZR_00EPS" localSheetId="2">#REF!</definedName>
    <definedName name="AZR_00EPS">#REF!</definedName>
    <definedName name="azr_01ea" localSheetId="5">'[19]AZR Earnings Model'!#REF!</definedName>
    <definedName name="azr_01ea" localSheetId="2">'[19]AZR Earnings Model'!#REF!</definedName>
    <definedName name="azr_01ea">'[19]AZR Earnings Model'!#REF!</definedName>
    <definedName name="AZR_99Ea" localSheetId="5">#REF!</definedName>
    <definedName name="AZR_99Ea" localSheetId="2">#REF!</definedName>
    <definedName name="AZR_99Ea">#REF!</definedName>
    <definedName name="AZR_99EPS" localSheetId="5">#REF!</definedName>
    <definedName name="AZR_99EPS" localSheetId="2">#REF!</definedName>
    <definedName name="AZR_99EPS">#REF!</definedName>
    <definedName name="AZR_Rating">[16]Industry!$D$7</definedName>
    <definedName name="AZR_Target">[16]Industry!$C$7</definedName>
    <definedName name="b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ACK_A">[20]AcqIS:AcqBSCF!$A$54:$N$55</definedName>
    <definedName name="Bactroban">[12]Sales!$A$35:$AG$35</definedName>
    <definedName name="bcash00" localSheetId="5">'[4]Balance Sheet Cash Flow'!#REF!</definedName>
    <definedName name="bcash00" localSheetId="2">'[4]Balance Sheet Cash Flow'!#REF!</definedName>
    <definedName name="bcash00">'[4]Balance Sheet Cash Flow'!#REF!</definedName>
    <definedName name="bcash00\" localSheetId="5">#REF!</definedName>
    <definedName name="bcash00\" localSheetId="2">#REF!</definedName>
    <definedName name="bcash00\">#REF!</definedName>
    <definedName name="bcash01" localSheetId="5">'[4]Balance Sheet Cash Flow'!#REF!</definedName>
    <definedName name="bcash01" localSheetId="2">'[4]Balance Sheet Cash Flow'!#REF!</definedName>
    <definedName name="bcash01">'[4]Balance Sheet Cash Flow'!#REF!</definedName>
    <definedName name="bcash02" localSheetId="5">'[4]Balance Sheet Cash Flow'!#REF!</definedName>
    <definedName name="bcash02" localSheetId="2">'[4]Balance Sheet Cash Flow'!#REF!</definedName>
    <definedName name="bcash02">'[4]Balance Sheet Cash Flow'!#REF!</definedName>
    <definedName name="bcash03" localSheetId="5">#REF!</definedName>
    <definedName name="bcash03" localSheetId="2">#REF!</definedName>
    <definedName name="bcash03">#REF!</definedName>
    <definedName name="bcash04" localSheetId="5">#REF!</definedName>
    <definedName name="bcash04" localSheetId="2">#REF!</definedName>
    <definedName name="bcash04">#REF!</definedName>
    <definedName name="bcd" hidden="1">{#N/A,#N/A,FALSE,"Inc";#N/A,#N/A,FALSE,"Prod";#N/A,#N/A,FALSE,"QInc";#N/A,#N/A,FALSE,"QProd"}</definedName>
    <definedName name="bcdf" hidden="1">{#N/A,#N/A,FALSE,"Inc";#N/A,#N/A,FALSE,"Prod";#N/A,#N/A,FALSE,"QInc";#N/A,#N/A,FALSE,"QProd"}</definedName>
    <definedName name="bdcdfgbzvgsdfb" localSheetId="5">[7]NOPAT_VDF!#REF!</definedName>
    <definedName name="bdcdfgbzvgsdfb" localSheetId="2">[7]NOPAT_VDF!#REF!</definedName>
    <definedName name="bdcdfgbzvgsdfb">[7]NOPAT_VDF!#REF!</definedName>
    <definedName name="bdebt00" localSheetId="5">'[4]Balance Sheet Cash Flow'!#REF!</definedName>
    <definedName name="bdebt00" localSheetId="2">'[4]Balance Sheet Cash Flow'!#REF!</definedName>
    <definedName name="bdebt00">'[4]Balance Sheet Cash Flow'!#REF!</definedName>
    <definedName name="bdebt01" localSheetId="5">'[4]Balance Sheet Cash Flow'!#REF!</definedName>
    <definedName name="bdebt01" localSheetId="2">'[4]Balance Sheet Cash Flow'!#REF!</definedName>
    <definedName name="bdebt01">'[4]Balance Sheet Cash Flow'!#REF!</definedName>
    <definedName name="bdebt02" localSheetId="5">'[4]Balance Sheet Cash Flow'!#REF!</definedName>
    <definedName name="bdebt02" localSheetId="2">'[4]Balance Sheet Cash Flow'!#REF!</definedName>
    <definedName name="bdebt02">'[4]Balance Sheet Cash Flow'!#REF!</definedName>
    <definedName name="bdebt03" localSheetId="5">#REF!</definedName>
    <definedName name="bdebt03" localSheetId="2">#REF!</definedName>
    <definedName name="bdebt03">#REF!</definedName>
    <definedName name="bdebt04" localSheetId="5">#REF!</definedName>
    <definedName name="bdebt04" localSheetId="2">#REF!</definedName>
    <definedName name="bdebt04">#REF!</definedName>
    <definedName name="Belle_SC_Own_Pct" localSheetId="5">#REF!</definedName>
    <definedName name="Belle_SC_Own_Pct" localSheetId="2">#REF!</definedName>
    <definedName name="Belle_SC_Own_Pct">#REF!</definedName>
    <definedName name="beta_company" localSheetId="5">#REF!</definedName>
    <definedName name="beta_company" localSheetId="2">#REF!</definedName>
    <definedName name="beta_company">#REF!</definedName>
    <definedName name="beta_current" localSheetId="5">#REF!</definedName>
    <definedName name="beta_current" localSheetId="2">#REF!</definedName>
    <definedName name="beta_current">#REF!</definedName>
    <definedName name="beta_rd" localSheetId="5">#REF!</definedName>
    <definedName name="beta_rd" localSheetId="2">#REF!</definedName>
    <definedName name="beta_rd">#REF!</definedName>
    <definedName name="BLPH1" localSheetId="5" hidden="1">#REF!</definedName>
    <definedName name="BLPH1" localSheetId="2" hidden="1">#REF!</definedName>
    <definedName name="BLPH1" hidden="1">#REF!</definedName>
    <definedName name="BLPH11" localSheetId="5" hidden="1">#REF!</definedName>
    <definedName name="BLPH11" localSheetId="2" hidden="1">#REF!</definedName>
    <definedName name="BLPH11" hidden="1">#REF!</definedName>
    <definedName name="BLPH12" localSheetId="5" hidden="1">#REF!</definedName>
    <definedName name="BLPH12" localSheetId="2" hidden="1">#REF!</definedName>
    <definedName name="BLPH12" hidden="1">#REF!</definedName>
    <definedName name="BLPH2" localSheetId="5" hidden="1">#REF!</definedName>
    <definedName name="BLPH2" localSheetId="2" hidden="1">#REF!</definedName>
    <definedName name="BLPH2" hidden="1">#REF!</definedName>
    <definedName name="BLPH3" localSheetId="5" hidden="1">[21]stats!#REF!</definedName>
    <definedName name="BLPH3" localSheetId="2" hidden="1">[21]stats!#REF!</definedName>
    <definedName name="BLPH3" hidden="1">[21]stats!#REF!</definedName>
    <definedName name="BLPH4" localSheetId="5" hidden="1">#REF!</definedName>
    <definedName name="BLPH4" localSheetId="2" hidden="1">#REF!</definedName>
    <definedName name="BLPH4" hidden="1">#REF!</definedName>
    <definedName name="BLPH5" localSheetId="5" hidden="1">#REF!</definedName>
    <definedName name="BLPH5" localSheetId="2" hidden="1">#REF!</definedName>
    <definedName name="BLPH5" hidden="1">#REF!</definedName>
    <definedName name="BLPH6" localSheetId="5" hidden="1">#REF!</definedName>
    <definedName name="BLPH6" localSheetId="2" hidden="1">#REF!</definedName>
    <definedName name="BLPH6" hidden="1">#REF!</definedName>
    <definedName name="BMYEPS1">[1]Inputs!$AE$38</definedName>
    <definedName name="BMYEPS2">[1]Inputs!$AJ$38</definedName>
    <definedName name="BOTTLING">"printbottling"</definedName>
    <definedName name="BRL_32872" localSheetId="5">[12]Sales!#REF!</definedName>
    <definedName name="BRL_32872" localSheetId="2">[12]Sales!#REF!</definedName>
    <definedName name="BRL_32872">[12]Sales!#REF!</definedName>
    <definedName name="BRL_49653" localSheetId="5">[12]Sales!#REF!</definedName>
    <definedName name="BRL_49653" localSheetId="2">[12]Sales!#REF!</definedName>
    <definedName name="BRL_49653">[12]Sales!#REF!</definedName>
    <definedName name="BSMinorities" localSheetId="5">#REF!</definedName>
    <definedName name="BSMinorities" localSheetId="2">#REF!</definedName>
    <definedName name="BSMinorities">#REF!</definedName>
    <definedName name="Button3">"Button2"</definedName>
    <definedName name="BYD" localSheetId="5">#REF!</definedName>
    <definedName name="BYD" localSheetId="2">#REF!</definedName>
    <definedName name="BYD">#REF!</definedName>
    <definedName name="BYD_00Ea" localSheetId="5">#REF!</definedName>
    <definedName name="BYD_00Ea" localSheetId="2">#REF!</definedName>
    <definedName name="BYD_00Ea">#REF!</definedName>
    <definedName name="BYD_00EPS" localSheetId="5">#REF!</definedName>
    <definedName name="BYD_00EPS" localSheetId="2">#REF!</definedName>
    <definedName name="BYD_00EPS">#REF!</definedName>
    <definedName name="BYD_01Ea" localSheetId="5">#REF!</definedName>
    <definedName name="BYD_01Ea" localSheetId="2">#REF!</definedName>
    <definedName name="BYD_01Ea">#REF!</definedName>
    <definedName name="BYD_01EPS" localSheetId="5">#REF!</definedName>
    <definedName name="BYD_01EPS" localSheetId="2">#REF!</definedName>
    <definedName name="BYD_01EPS">#REF!</definedName>
    <definedName name="BYD_99Ea" localSheetId="5">#REF!</definedName>
    <definedName name="BYD_99Ea" localSheetId="2">#REF!</definedName>
    <definedName name="BYD_99Ea">#REF!</definedName>
    <definedName name="BYD_99EPS" localSheetId="5">#REF!</definedName>
    <definedName name="BYD_99EPS" localSheetId="2">#REF!</definedName>
    <definedName name="BYD_99EPS">#REF!</definedName>
    <definedName name="BYD_EPS01" localSheetId="5">#REF!</definedName>
    <definedName name="BYD_EPS01" localSheetId="2">#REF!</definedName>
    <definedName name="BYD_EPS01">#REF!</definedName>
    <definedName name="BYD_Rating">[16]Industry!$D$8</definedName>
    <definedName name="BYD_Target">[16]Industry!$C$8</definedName>
    <definedName name="Calif" localSheetId="5">'[22]FRXQH&amp;Q'!#REF!</definedName>
    <definedName name="Calif" localSheetId="2">'[22]FRXQH&amp;Q'!#REF!</definedName>
    <definedName name="Calif">'[22]FRXQH&amp;Q'!#REF!</definedName>
    <definedName name="Campylobacter">[12]Sales!$A$89:$AG$89</definedName>
    <definedName name="Cap_Interest">[23]ProForma!$A$169:$IV$169</definedName>
    <definedName name="CAPEX" localSheetId="5">#REF!</definedName>
    <definedName name="CAPEX" localSheetId="2">#REF!</definedName>
    <definedName name="CAPEX">#REF!</definedName>
    <definedName name="CAPEX__Financial" localSheetId="5">#REF!</definedName>
    <definedName name="CAPEX__Financial" localSheetId="2">#REF!</definedName>
    <definedName name="CAPEX__Financial">#REF!</definedName>
    <definedName name="CAPEX__Intangibles" localSheetId="5">#REF!</definedName>
    <definedName name="CAPEX__Intangibles" localSheetId="2">#REF!</definedName>
    <definedName name="CAPEX__Intangibles">#REF!</definedName>
    <definedName name="CAPEX_SALES" localSheetId="5">#REF!</definedName>
    <definedName name="CAPEX_SALES" localSheetId="2">#REF!</definedName>
    <definedName name="CAPEX_SALES">#REF!</definedName>
    <definedName name="Cash_DCF">[15]DCF_VDF!$C$33:$AZ$33</definedName>
    <definedName name="CASH_FLOW_ANALYSIS" localSheetId="5">#REF!</definedName>
    <definedName name="CASH_FLOW_ANALYSIS" localSheetId="2">#REF!</definedName>
    <definedName name="CASH_FLOW_ANALYSIS">#REF!</definedName>
    <definedName name="Cash_fore" localSheetId="5">#REF!</definedName>
    <definedName name="Cash_fore" localSheetId="2">#REF!</definedName>
    <definedName name="Cash_fore">#REF!</definedName>
    <definedName name="Cash_growth_fore" localSheetId="5">#REF!</definedName>
    <definedName name="Cash_growth_fore" localSheetId="2">#REF!</definedName>
    <definedName name="Cash_growth_fore">#REF!</definedName>
    <definedName name="Cash_Operating_Taxes">[15]NOPAT_VDF!$C$39:$AU$39</definedName>
    <definedName name="Cash_operating_taxes_fore" localSheetId="5">#REF!</definedName>
    <definedName name="Cash_operating_taxes_fore" localSheetId="2">#REF!</definedName>
    <definedName name="Cash_operating_taxes_fore">#REF!</definedName>
    <definedName name="cash\flow" localSheetId="5">'[17]IGT MODEL'!#REF!</definedName>
    <definedName name="cash\flow" localSheetId="2">'[17]IGT MODEL'!#REF!</definedName>
    <definedName name="cash\flow">'[17]IGT MODEL'!#REF!</definedName>
    <definedName name="CCL" localSheetId="5">#REF!</definedName>
    <definedName name="CCL" localSheetId="2">#REF!</definedName>
    <definedName name="CCL">#REF!</definedName>
    <definedName name="c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CFPS__DM" localSheetId="5">#REF!</definedName>
    <definedName name="CFPS__DM" localSheetId="2">#REF!</definedName>
    <definedName name="CFPS__DM">#REF!</definedName>
    <definedName name="CFPS_Curr_Yr" localSheetId="5">#REF!</definedName>
    <definedName name="CFPS_Curr_Yr" localSheetId="2">#REF!</definedName>
    <definedName name="CFPS_Curr_Yr">#REF!</definedName>
    <definedName name="CFPS_Lst_Yr" localSheetId="5">#REF!</definedName>
    <definedName name="CFPS_Lst_Yr" localSheetId="2">#REF!</definedName>
    <definedName name="CFPS_Lst_Yr">#REF!</definedName>
    <definedName name="CFPS_Next_Yr" localSheetId="5">#REF!</definedName>
    <definedName name="CFPS_Next_Yr" localSheetId="2">#REF!</definedName>
    <definedName name="CFPS_Next_Yr">#REF!</definedName>
    <definedName name="Change_in_NWC" localSheetId="5">#REF!</definedName>
    <definedName name="Change_in_NWC" localSheetId="2">#REF!</definedName>
    <definedName name="Change_in_NWC">#REF!</definedName>
    <definedName name="Charts" localSheetId="5">#REF!</definedName>
    <definedName name="Charts" localSheetId="2">#REF!</definedName>
    <definedName name="Charts">#REF!</definedName>
    <definedName name="Charts1" localSheetId="4">#REF!</definedName>
    <definedName name="Charts1" localSheetId="5">#REF!</definedName>
    <definedName name="Charts1" localSheetId="2">#REF!</definedName>
    <definedName name="Charts1">#REF!</definedName>
    <definedName name="Charts2" localSheetId="4">#REF!</definedName>
    <definedName name="Charts2" localSheetId="5">#REF!</definedName>
    <definedName name="Charts2" localSheetId="2">#REF!</definedName>
    <definedName name="Charts2">#REF!</definedName>
    <definedName name="CHH">'[24]THE LINK FOR ALL'!$B$42</definedName>
    <definedName name="CHH_CONS00">'[24]THE LINK FOR ALL'!$F$15</definedName>
    <definedName name="CHH_CONS01">'[24]THE LINK FOR ALL'!$G$15</definedName>
    <definedName name="CHH_CONS99" localSheetId="5">#REF!</definedName>
    <definedName name="CHH_CONS99" localSheetId="2">#REF!</definedName>
    <definedName name="CHH_CONS99">#REF!</definedName>
    <definedName name="Chile1" localSheetId="4">#REF!</definedName>
    <definedName name="Chile1" localSheetId="5">#REF!</definedName>
    <definedName name="Chile1" localSheetId="2">#REF!</definedName>
    <definedName name="Chile1">#REF!</definedName>
    <definedName name="Chile2" localSheetId="4">#REF!</definedName>
    <definedName name="Chile2" localSheetId="5">#REF!</definedName>
    <definedName name="Chile2" localSheetId="2">#REF!</definedName>
    <definedName name="Chile2">#REF!</definedName>
    <definedName name="clar01" localSheetId="5">'[1]Qtr. Sales'!#REF!</definedName>
    <definedName name="clar01" localSheetId="2">'[1]Qtr. Sales'!#REF!</definedName>
    <definedName name="clar01">'[1]Qtr. Sales'!#REF!</definedName>
    <definedName name="clar02" localSheetId="5">'[1]Qtr. Sales'!#REF!</definedName>
    <definedName name="clar02" localSheetId="2">'[1]Qtr. Sales'!#REF!</definedName>
    <definedName name="clar02">'[1]Qtr. Sales'!#REF!</definedName>
    <definedName name="Classic_flu">[12]Sales!$A$67:$AG$67</definedName>
    <definedName name="CleanArea" localSheetId="5">#REF!,#REF!</definedName>
    <definedName name="CleanArea" localSheetId="2">#REF!,#REF!</definedName>
    <definedName name="CleanArea">#REF!,#REF!</definedName>
    <definedName name="Closed_End" localSheetId="4">#REF!</definedName>
    <definedName name="Closed_End" localSheetId="5">#REF!</definedName>
    <definedName name="Closed_End" localSheetId="2">#REF!</definedName>
    <definedName name="Closed_End">#REF!</definedName>
    <definedName name="cogs" localSheetId="5">#REF!</definedName>
    <definedName name="cogs" localSheetId="2">#REF!</definedName>
    <definedName name="cogs">#REF!</definedName>
    <definedName name="COGS_1997_EBIT" localSheetId="5">#REF!</definedName>
    <definedName name="COGS_1997_EBIT" localSheetId="2">#REF!</definedName>
    <definedName name="COGS_1997_EBIT">#REF!</definedName>
    <definedName name="COGS_1998_EBIT" localSheetId="5">#REF!</definedName>
    <definedName name="COGS_1998_EBIT" localSheetId="2">#REF!</definedName>
    <definedName name="COGS_1998_EBIT">#REF!</definedName>
    <definedName name="COGS_1999_EBIT" localSheetId="5">#REF!</definedName>
    <definedName name="COGS_1999_EBIT" localSheetId="2">#REF!</definedName>
    <definedName name="COGS_1999_EBIT">#REF!</definedName>
    <definedName name="COGS_2000_EBIT" localSheetId="5">#REF!</definedName>
    <definedName name="COGS_2000_EBIT" localSheetId="2">#REF!</definedName>
    <definedName name="COGS_2000_EBIT">#REF!</definedName>
    <definedName name="COGS_2001_EBIT" localSheetId="5">#REF!</definedName>
    <definedName name="COGS_2001_EBIT" localSheetId="2">#REF!</definedName>
    <definedName name="COGS_2001_EBIT">#REF!</definedName>
    <definedName name="COGS_2002_EBIT" localSheetId="5">#REF!</definedName>
    <definedName name="COGS_2002_EBIT" localSheetId="2">#REF!</definedName>
    <definedName name="COGS_2002_EBIT">#REF!</definedName>
    <definedName name="COGS_2003_EBIT" localSheetId="5">#REF!</definedName>
    <definedName name="COGS_2003_EBIT" localSheetId="2">#REF!</definedName>
    <definedName name="COGS_2003_EBIT">#REF!</definedName>
    <definedName name="COGS_2004_EBIT" localSheetId="5">#REF!</definedName>
    <definedName name="COGS_2004_EBIT" localSheetId="2">#REF!</definedName>
    <definedName name="COGS_2004_EBIT">#REF!</definedName>
    <definedName name="COGS_2005_EBIT" localSheetId="5">#REF!</definedName>
    <definedName name="COGS_2005_EBIT" localSheetId="2">#REF!</definedName>
    <definedName name="COGS_2005_EBIT">#REF!</definedName>
    <definedName name="COGS_2006_EBIT" localSheetId="5">#REF!</definedName>
    <definedName name="COGS_2006_EBIT" localSheetId="2">#REF!</definedName>
    <definedName name="COGS_2006_EBIT">#REF!</definedName>
    <definedName name="CONSOLIDATED_BALANCE_SHEET" localSheetId="5">#REF!</definedName>
    <definedName name="CONSOLIDATED_BALANCE_SHEET" localSheetId="2">#REF!</definedName>
    <definedName name="CONSOLIDATED_BALANCE_SHEET">#REF!</definedName>
    <definedName name="CONTRACT_PD" localSheetId="5">#REF!</definedName>
    <definedName name="CONTRACT_PD" localSheetId="2">#REF!</definedName>
    <definedName name="CONTRACT_PD">#REF!</definedName>
    <definedName name="ConversionRate" localSheetId="5">#REF!</definedName>
    <definedName name="ConversionRate" localSheetId="2">#REF!</definedName>
    <definedName name="ConversionRate">#REF!</definedName>
    <definedName name="Coreg_Kredex">[12]Sales!$A$100:$AG$100</definedName>
    <definedName name="Cost_capital_copy" localSheetId="5">#REF!</definedName>
    <definedName name="Cost_capital_copy" localSheetId="2">#REF!</definedName>
    <definedName name="Cost_capital_copy">#REF!</definedName>
    <definedName name="cost_debt" localSheetId="5">#REF!</definedName>
    <definedName name="cost_debt" localSheetId="2">#REF!</definedName>
    <definedName name="cost_debt">#REF!</definedName>
    <definedName name="Cost_of_capital" localSheetId="5">#REF!</definedName>
    <definedName name="Cost_of_capital" localSheetId="2">#REF!</definedName>
    <definedName name="Cost_of_capital">#REF!</definedName>
    <definedName name="Cost_of_Sales" localSheetId="5">#REF!</definedName>
    <definedName name="Cost_of_Sales" localSheetId="2">#REF!</definedName>
    <definedName name="Cost_of_Sales">#REF!</definedName>
    <definedName name="cost_pref" localSheetId="5">#REF!</definedName>
    <definedName name="cost_pref" localSheetId="2">#REF!</definedName>
    <definedName name="cost_pref">#REF!</definedName>
    <definedName name="costperhead" localSheetId="5">#REF!</definedName>
    <definedName name="costperhead" localSheetId="2">#REF!</definedName>
    <definedName name="costperhead">#REF!</definedName>
    <definedName name="Creditor_days" localSheetId="5">#REF!</definedName>
    <definedName name="Creditor_days" localSheetId="2">#REF!</definedName>
    <definedName name="Creditor_days">#REF!</definedName>
    <definedName name="_xlnm.Criteria" localSheetId="5">[25]Comps!#REF!</definedName>
    <definedName name="_xlnm.Criteria" localSheetId="2">[25]Comps!#REF!</definedName>
    <definedName name="_xlnm.Criteria">[25]Comps!#REF!</definedName>
    <definedName name="Criteria_MI" localSheetId="5">[25]Comps!#REF!</definedName>
    <definedName name="Criteria_MI" localSheetId="2">[25]Comps!#REF!</definedName>
    <definedName name="Criteria_MI">[25]Comps!#REF!</definedName>
    <definedName name="CSDS" localSheetId="5">#REF!</definedName>
    <definedName name="CSDS" localSheetId="2">#REF!</definedName>
    <definedName name="CSDS">#REF!</definedName>
    <definedName name="CSDS_CONS00" localSheetId="5">#REF!</definedName>
    <definedName name="CSDS_CONS00" localSheetId="2">#REF!</definedName>
    <definedName name="CSDS_CONS00">#REF!</definedName>
    <definedName name="CSDS_CONS01" localSheetId="5">#REF!</definedName>
    <definedName name="CSDS_CONS01" localSheetId="2">#REF!</definedName>
    <definedName name="CSDS_CONS01">#REF!</definedName>
    <definedName name="CSDS_CONS99" localSheetId="5">#REF!</definedName>
    <definedName name="CSDS_CONS99" localSheetId="2">#REF!</definedName>
    <definedName name="CSDS_CONS99">#REF!</definedName>
    <definedName name="CSDS_CONSENSUS" localSheetId="5">#REF!</definedName>
    <definedName name="CSDS_CONSENSUS" localSheetId="2">#REF!</definedName>
    <definedName name="CSDS_CONSENSUS">#REF!</definedName>
    <definedName name="current_bus_wacc" localSheetId="5">#REF!</definedName>
    <definedName name="current_bus_wacc" localSheetId="2">#REF!</definedName>
    <definedName name="current_bus_wacc">#REF!</definedName>
    <definedName name="Customer_deposits_growth_fore" localSheetId="5">#REF!</definedName>
    <definedName name="Customer_deposits_growth_fore" localSheetId="2">#REF!</definedName>
    <definedName name="Customer_deposits_growth_fore">#REF!</definedName>
    <definedName name="_xlnm.Database" localSheetId="5">[25]Comps!#REF!</definedName>
    <definedName name="_xlnm.Database" localSheetId="2">[25]Comps!#REF!</definedName>
    <definedName name="_xlnm.Database">[25]Comps!#REF!</definedName>
    <definedName name="Database_MI" localSheetId="5">[25]Comps!#REF!</definedName>
    <definedName name="Database_MI" localSheetId="2">[25]Comps!#REF!</definedName>
    <definedName name="Database_MI">[25]Comps!#REF!</definedName>
    <definedName name="Date" localSheetId="5">#REF!</definedName>
    <definedName name="Date" localSheetId="2">#REF!</definedName>
    <definedName name="Date">#REF!</definedName>
    <definedName name="DCF_EY1">[15]DCF_VDF!$D$1:$D$65536</definedName>
    <definedName name="DCF_EY10">[15]DCF_VDF!$M$1:$M$65536</definedName>
    <definedName name="DCF_EY14">[15]DCF_VDF!$Q$1:$Q$65536</definedName>
    <definedName name="DCF_EY15">[15]DCF_VDF!$R$1:$R$65536</definedName>
    <definedName name="DCF_EY2">[15]DCF_VDF!$E$1:$E$65536</definedName>
    <definedName name="DCF_EY24">[15]DCF_VDF!$AA$1:$AA$65536</definedName>
    <definedName name="DCF_EY25">[15]DCF_VDF!$AB$1:$AB$65536</definedName>
    <definedName name="DCF_EY3">[15]DCF_VDF!$F$1:$F$65536</definedName>
    <definedName name="DCF_EY4">[15]DCF_VDF!$G$1:$G$65536</definedName>
    <definedName name="DCF_EY5">[15]DCF_VDF!$H$1:$H$65536</definedName>
    <definedName name="DCF_EY9">[15]DCF_VDF!$L$1:$L$65536</definedName>
    <definedName name="DCF_P">[15]DCF_VDF!$C$1:$C$65536</definedName>
    <definedName name="DCFCashFlowCapitalExpenditureTotal" localSheetId="5">#REF!</definedName>
    <definedName name="DCFCashFlowCapitalExpenditureTotal" localSheetId="2">#REF!</definedName>
    <definedName name="DCFCashFlowCapitalExpenditureTotal">#REF!</definedName>
    <definedName name="DCFCashFlowChangeinNWI" localSheetId="5">#REF!</definedName>
    <definedName name="DCFCashFlowChangeinNWI" localSheetId="2">#REF!</definedName>
    <definedName name="DCFCashFlowChangeinNWI">#REF!</definedName>
    <definedName name="DCFCashFlowFirstLineofBusinessCapitalExpenditureTotal" localSheetId="5">#REF!</definedName>
    <definedName name="DCFCashFlowFirstLineofBusinessCapitalExpenditureTotal" localSheetId="2">#REF!</definedName>
    <definedName name="DCFCashFlowFirstLineofBusinessCapitalExpenditureTotal">#REF!</definedName>
    <definedName name="DCFCashFlowFirstLineofBusinessChangeinNWI" localSheetId="5">#REF!</definedName>
    <definedName name="DCFCashFlowFirstLineofBusinessChangeinNWI" localSheetId="2">#REF!</definedName>
    <definedName name="DCFCashFlowFirstLineofBusinessChangeinNWI">#REF!</definedName>
    <definedName name="DCFCashFlowFirstLineofBusinessOtherFCFAdjustments" localSheetId="5">#REF!</definedName>
    <definedName name="DCFCashFlowFirstLineofBusinessOtherFCFAdjustments" localSheetId="2">#REF!</definedName>
    <definedName name="DCFCashFlowFirstLineofBusinessOtherFCFAdjustments">#REF!</definedName>
    <definedName name="DCFCashFlowOtherFCFAdjustments" localSheetId="5">#REF!</definedName>
    <definedName name="DCFCashFlowOtherFCFAdjustments" localSheetId="2">#REF!</definedName>
    <definedName name="DCFCashFlowOtherFCFAdjustments">#REF!</definedName>
    <definedName name="DCFCashFlowSecondLineofBusinessCapitalExpenditureTotal" localSheetId="5">#REF!</definedName>
    <definedName name="DCFCashFlowSecondLineofBusinessCapitalExpenditureTotal" localSheetId="2">#REF!</definedName>
    <definedName name="DCFCashFlowSecondLineofBusinessCapitalExpenditureTotal">#REF!</definedName>
    <definedName name="DCFCashFlowSecondLineofBusinessChangeinNWI" localSheetId="5">#REF!</definedName>
    <definedName name="DCFCashFlowSecondLineofBusinessChangeinNWI" localSheetId="2">#REF!</definedName>
    <definedName name="DCFCashFlowSecondLineofBusinessChangeinNWI">#REF!</definedName>
    <definedName name="DCFCashFlowSecondLineofBusinessOtherFCFAdjustments" localSheetId="5">#REF!</definedName>
    <definedName name="DCFCashFlowSecondLineofBusinessOtherFCFAdjustments" localSheetId="2">#REF!</definedName>
    <definedName name="DCFCashFlowSecondLineofBusinessOtherFCFAdjustments">#REF!</definedName>
    <definedName name="DCFCashFlowThirdLineofBusinessCapitalExpenditureTotal" localSheetId="5">#REF!</definedName>
    <definedName name="DCFCashFlowThirdLineofBusinessCapitalExpenditureTotal" localSheetId="2">#REF!</definedName>
    <definedName name="DCFCashFlowThirdLineofBusinessCapitalExpenditureTotal">#REF!</definedName>
    <definedName name="DCFCashFlowThirdLineofBusinessChangeinNWI" localSheetId="5">#REF!</definedName>
    <definedName name="DCFCashFlowThirdLineofBusinessChangeinNWI" localSheetId="2">#REF!</definedName>
    <definedName name="DCFCashFlowThirdLineofBusinessChangeinNWI">#REF!</definedName>
    <definedName name="DCFCashFlowThirdLineofBusinessOtherFCFAdjustments" localSheetId="5">#REF!</definedName>
    <definedName name="DCFCashFlowThirdLineofBusinessOtherFCFAdjustments" localSheetId="2">#REF!</definedName>
    <definedName name="DCFCashFlowThirdLineofBusinessOtherFCFAdjustments">#REF!</definedName>
    <definedName name="DCFDiscountRate" localSheetId="5">#REF!</definedName>
    <definedName name="DCFDiscountRate" localSheetId="2">#REF!</definedName>
    <definedName name="DCFDiscountRate">#REF!</definedName>
    <definedName name="DCFFirstLineofBusinessDiscountRate" localSheetId="5">#REF!</definedName>
    <definedName name="DCFFirstLineofBusinessDiscountRate" localSheetId="2">#REF!</definedName>
    <definedName name="DCFFirstLineofBusinessDiscountRate">#REF!</definedName>
    <definedName name="DCFIncomeEarningsBeforeInterestAfterTax" localSheetId="5">#REF!</definedName>
    <definedName name="DCFIncomeEarningsBeforeInterestAfterTax" localSheetId="2">#REF!</definedName>
    <definedName name="DCFIncomeEarningsBeforeInterestAfterTax">#REF!</definedName>
    <definedName name="DCFIncomeEBIAT" localSheetId="5">#REF!</definedName>
    <definedName name="DCFIncomeEBIAT" localSheetId="2">#REF!</definedName>
    <definedName name="DCFIncomeEBIAT">#REF!</definedName>
    <definedName name="DCFIncomeFCF" localSheetId="5">#REF!</definedName>
    <definedName name="DCFIncomeFCF" localSheetId="2">#REF!</definedName>
    <definedName name="DCFIncomeFCF">#REF!</definedName>
    <definedName name="DCFIncomeFirstLineofBusinessEarningsBeforeInterestAfterTax" localSheetId="5">#REF!</definedName>
    <definedName name="DCFIncomeFirstLineofBusinessEarningsBeforeInterestAfterTax" localSheetId="2">#REF!</definedName>
    <definedName name="DCFIncomeFirstLineofBusinessEarningsBeforeInterestAfterTax">#REF!</definedName>
    <definedName name="DCFIncomeFirstLineofBusinessFreeCashFlowUnlevered" localSheetId="5">#REF!</definedName>
    <definedName name="DCFIncomeFirstLineofBusinessFreeCashFlowUnlevered" localSheetId="2">#REF!</definedName>
    <definedName name="DCFIncomeFirstLineofBusinessFreeCashFlowUnlevered">#REF!</definedName>
    <definedName name="DCFIncomeFirstLineofBusinessOperatingCashFlow" localSheetId="5">#REF!</definedName>
    <definedName name="DCFIncomeFirstLineofBusinessOperatingCashFlow" localSheetId="2">#REF!</definedName>
    <definedName name="DCFIncomeFirstLineofBusinessOperatingCashFlow">#REF!</definedName>
    <definedName name="DCFIncomeFirstLineofBusinessOperatingIncome" localSheetId="5">#REF!</definedName>
    <definedName name="DCFIncomeFirstLineofBusinessOperatingIncome" localSheetId="2">#REF!</definedName>
    <definedName name="DCFIncomeFirstLineofBusinessOperatingIncome">#REF!</definedName>
    <definedName name="DCFIncomeFreeCashFlowUnlevered" localSheetId="5">#REF!</definedName>
    <definedName name="DCFIncomeFreeCashFlowUnlevered" localSheetId="2">#REF!</definedName>
    <definedName name="DCFIncomeFreeCashFlowUnlevered">#REF!</definedName>
    <definedName name="DCFIncomeOperatingCashFlow" localSheetId="5">#REF!</definedName>
    <definedName name="DCFIncomeOperatingCashFlow" localSheetId="2">#REF!</definedName>
    <definedName name="DCFIncomeOperatingCashFlow">#REF!</definedName>
    <definedName name="DCFIncomeOperatingIncome" localSheetId="5">#REF!</definedName>
    <definedName name="DCFIncomeOperatingIncome" localSheetId="2">#REF!</definedName>
    <definedName name="DCFIncomeOperatingIncome">#REF!</definedName>
    <definedName name="DCFIncomeSecondLineofBusinessEarningsBeforeInterestAfterTax" localSheetId="5">#REF!</definedName>
    <definedName name="DCFIncomeSecondLineofBusinessEarningsBeforeInterestAfterTax" localSheetId="2">#REF!</definedName>
    <definedName name="DCFIncomeSecondLineofBusinessEarningsBeforeInterestAfterTax">#REF!</definedName>
    <definedName name="DCFIncomeSecondLineofBusinessFreeCashFlowUnlevered" localSheetId="5">#REF!</definedName>
    <definedName name="DCFIncomeSecondLineofBusinessFreeCashFlowUnlevered" localSheetId="2">#REF!</definedName>
    <definedName name="DCFIncomeSecondLineofBusinessFreeCashFlowUnlevered">#REF!</definedName>
    <definedName name="DCFIncomeSecondLineofBusinessOperatingCashFlow" localSheetId="5">#REF!</definedName>
    <definedName name="DCFIncomeSecondLineofBusinessOperatingCashFlow" localSheetId="2">#REF!</definedName>
    <definedName name="DCFIncomeSecondLineofBusinessOperatingCashFlow">#REF!</definedName>
    <definedName name="DCFIncomeSecondLineofBusinessOperatingIncome" localSheetId="5">#REF!</definedName>
    <definedName name="DCFIncomeSecondLineofBusinessOperatingIncome" localSheetId="2">#REF!</definedName>
    <definedName name="DCFIncomeSecondLineofBusinessOperatingIncome">#REF!</definedName>
    <definedName name="DCFIncomeThirdLineofBusinessEarningsBeforeInterestAfterTax" localSheetId="5">#REF!</definedName>
    <definedName name="DCFIncomeThirdLineofBusinessEarningsBeforeInterestAfterTax" localSheetId="2">#REF!</definedName>
    <definedName name="DCFIncomeThirdLineofBusinessEarningsBeforeInterestAfterTax">#REF!</definedName>
    <definedName name="DCFIncomeThirdLineofBusinessFreeCashFlowUnlevered" localSheetId="5">#REF!</definedName>
    <definedName name="DCFIncomeThirdLineofBusinessFreeCashFlowUnlevered" localSheetId="2">#REF!</definedName>
    <definedName name="DCFIncomeThirdLineofBusinessFreeCashFlowUnlevered">#REF!</definedName>
    <definedName name="DCFIncomeThirdLineofBusinessOperatingCashFlow" localSheetId="5">#REF!</definedName>
    <definedName name="DCFIncomeThirdLineofBusinessOperatingCashFlow" localSheetId="2">#REF!</definedName>
    <definedName name="DCFIncomeThirdLineofBusinessOperatingCashFlow">#REF!</definedName>
    <definedName name="DCFIncomeThirdLineofBusinessOperatingIncome" localSheetId="5">#REF!</definedName>
    <definedName name="DCFIncomeThirdLineofBusinessOperatingIncome" localSheetId="2">#REF!</definedName>
    <definedName name="DCFIncomeThirdLineofBusinessOperatingIncome">#REF!</definedName>
    <definedName name="DCFNonOpOtherExFirstLineOfBusinessIncomeTaxesRate" localSheetId="5">#REF!</definedName>
    <definedName name="DCFNonOpOtherExFirstLineOfBusinessIncomeTaxesRate" localSheetId="2">#REF!</definedName>
    <definedName name="DCFNonOpOtherExFirstLineOfBusinessIncomeTaxesRate">#REF!</definedName>
    <definedName name="DCFNonOpOtherExIncomeTaxesRate" localSheetId="5">#REF!</definedName>
    <definedName name="DCFNonOpOtherExIncomeTaxesRate" localSheetId="2">#REF!</definedName>
    <definedName name="DCFNonOpOtherExIncomeTaxesRate">#REF!</definedName>
    <definedName name="DCFNonOpOtherExSecondLineOfBusinessIncomeTaxesRate" localSheetId="5">#REF!</definedName>
    <definedName name="DCFNonOpOtherExSecondLineOfBusinessIncomeTaxesRate" localSheetId="2">#REF!</definedName>
    <definedName name="DCFNonOpOtherExSecondLineOfBusinessIncomeTaxesRate">#REF!</definedName>
    <definedName name="DCFOpExDepreciationAmortization" localSheetId="5">#REF!</definedName>
    <definedName name="DCFOpExDepreciationAmortization" localSheetId="2">#REF!</definedName>
    <definedName name="DCFOpExDepreciationAmortization">#REF!</definedName>
    <definedName name="DCFOpExFirstLineofBusinessDepreciationAmortization" localSheetId="5">#REF!</definedName>
    <definedName name="DCFOpExFirstLineofBusinessDepreciationAmortization" localSheetId="2">#REF!</definedName>
    <definedName name="DCFOpExFirstLineofBusinessDepreciationAmortization">#REF!</definedName>
    <definedName name="DCFOpExSecondLineofBusinessDepreciationAmortization" localSheetId="5">#REF!</definedName>
    <definedName name="DCFOpExSecondLineofBusinessDepreciationAmortization" localSheetId="2">#REF!</definedName>
    <definedName name="DCFOpExSecondLineofBusinessDepreciationAmortization">#REF!</definedName>
    <definedName name="DCFOpExThirdLineofBusinessDepreciationAmortization" localSheetId="5">#REF!</definedName>
    <definedName name="DCFOpExThirdLineofBusinessDepreciationAmortization" localSheetId="2">#REF!</definedName>
    <definedName name="DCFOpExThirdLineofBusinessDepreciationAmortization">#REF!</definedName>
    <definedName name="DCFRevenuesFirstLineofBusinessTotal" localSheetId="5">#REF!</definedName>
    <definedName name="DCFRevenuesFirstLineofBusinessTotal" localSheetId="2">#REF!</definedName>
    <definedName name="DCFRevenuesFirstLineofBusinessTotal">#REF!</definedName>
    <definedName name="DCFRevenuesOther">0</definedName>
    <definedName name="DCFRevenuesSecondLineofBusinessTotal" localSheetId="5">#REF!</definedName>
    <definedName name="DCFRevenuesSecondLineofBusinessTotal" localSheetId="2">#REF!</definedName>
    <definedName name="DCFRevenuesSecondLineofBusinessTotal">#REF!</definedName>
    <definedName name="DCFRevenuesThirdLineofBusinessTotal" localSheetId="5">#REF!</definedName>
    <definedName name="DCFRevenuesThirdLineofBusinessTotal" localSheetId="2">#REF!</definedName>
    <definedName name="DCFRevenuesThirdLineofBusinessTotal">#REF!</definedName>
    <definedName name="DCFRevenuesTotal" localSheetId="5">#REF!</definedName>
    <definedName name="DCFRevenuesTotal" localSheetId="2">#REF!</definedName>
    <definedName name="DCFRevenuesTotal">#REF!</definedName>
    <definedName name="DCFSecondLineofBusinessDiscountRate" localSheetId="5">#REF!</definedName>
    <definedName name="DCFSecondLineofBusinessDiscountRate" localSheetId="2">#REF!</definedName>
    <definedName name="DCFSecondLineofBusinessDiscountRate">#REF!</definedName>
    <definedName name="DCFStatsPOPS" localSheetId="5">#REF!</definedName>
    <definedName name="DCFStatsPOPS" localSheetId="2">#REF!</definedName>
    <definedName name="DCFStatsPOPS">#REF!</definedName>
    <definedName name="DCFStatsPOPsEnding" localSheetId="5">#REF!</definedName>
    <definedName name="DCFStatsPOPsEnding" localSheetId="2">#REF!</definedName>
    <definedName name="DCFStatsPOPsEnding">#REF!</definedName>
    <definedName name="DCFStatsPOPSFirstLineOfBusiness" localSheetId="5">#REF!</definedName>
    <definedName name="DCFStatsPOPSFirstLineOfBusiness" localSheetId="2">#REF!</definedName>
    <definedName name="DCFStatsPOPSFirstLineOfBusiness">#REF!</definedName>
    <definedName name="DCFStatsPOPsFirstLineofBusinessEnding" localSheetId="5">#REF!</definedName>
    <definedName name="DCFStatsPOPsFirstLineofBusinessEnding" localSheetId="2">#REF!</definedName>
    <definedName name="DCFStatsPOPsFirstLineofBusinessEnding">#REF!</definedName>
    <definedName name="DCFStatsPOPsSecondLineofBusinessEnding" localSheetId="5">#REF!</definedName>
    <definedName name="DCFStatsPOPsSecondLineofBusinessEnding" localSheetId="2">#REF!</definedName>
    <definedName name="DCFStatsPOPsSecondLineofBusinessEnding">#REF!</definedName>
    <definedName name="DCFStatsPOPsThirdLineofBusinessEnding" localSheetId="5">#REF!</definedName>
    <definedName name="DCFStatsPOPsThirdLineofBusinessEnding" localSheetId="2">#REF!</definedName>
    <definedName name="DCFStatsPOPsThirdLineofBusinessEnding">#REF!</definedName>
    <definedName name="DCFStatsSubscribersEnding" localSheetId="5">#REF!</definedName>
    <definedName name="DCFStatsSubscribersEnding" localSheetId="2">#REF!</definedName>
    <definedName name="DCFStatsSubscribersEnding">#REF!</definedName>
    <definedName name="DCFStatsSubscribersFirstLineofBusinessEnding" localSheetId="5">#REF!</definedName>
    <definedName name="DCFStatsSubscribersFirstLineofBusinessEnding" localSheetId="2">#REF!</definedName>
    <definedName name="DCFStatsSubscribersFirstLineofBusinessEnding">#REF!</definedName>
    <definedName name="DCFStatsSubscribersSecondLineofBusinessEnding" localSheetId="5">#REF!</definedName>
    <definedName name="DCFStatsSubscribersSecondLineofBusinessEnding" localSheetId="2">#REF!</definedName>
    <definedName name="DCFStatsSubscribersSecondLineofBusinessEnding">#REF!</definedName>
    <definedName name="DCFStatsSubscribersThirdLineofBusinessEnding" localSheetId="5">#REF!</definedName>
    <definedName name="DCFStatsSubscribersThirdLineofBusinessEnding" localSheetId="2">#REF!</definedName>
    <definedName name="DCFStatsSubscribersThirdLineofBusinessEnding">#REF!</definedName>
    <definedName name="DCFThirdLineofBusinessDiscountRate" localSheetId="5">#REF!</definedName>
    <definedName name="DCFThirdLineofBusinessDiscountRate" localSheetId="2">#REF!</definedName>
    <definedName name="DCFThirdLineofBusinessDiscountRate">#REF!</definedName>
    <definedName name="ddd" localSheetId="5" hidden="1">'[2]quarterly income and e&amp;p'!#REF!</definedName>
    <definedName name="ddd" localSheetId="2" hidden="1">'[2]quarterly income and e&amp;p'!#REF!</definedName>
    <definedName name="ddd" hidden="1">'[2]quarterly income and e&amp;p'!#REF!</definedName>
    <definedName name="Debt_growth">[15]NOPAT_VDF!$M$153:$Q$153</definedName>
    <definedName name="Debtor_days" localSheetId="5">#REF!</definedName>
    <definedName name="Debtor_days" localSheetId="2">#REF!</definedName>
    <definedName name="Debtor_days">#REF!</definedName>
    <definedName name="Deferred_Charges" localSheetId="5">#REF!</definedName>
    <definedName name="Deferred_Charges" localSheetId="2">#REF!</definedName>
    <definedName name="Deferred_Charges">#REF!</definedName>
    <definedName name="Deferred_tax_asset_growth_fore" localSheetId="5">#REF!</definedName>
    <definedName name="Deferred_tax_asset_growth_fore" localSheetId="2">#REF!</definedName>
    <definedName name="Deferred_tax_asset_growth_fore">#REF!</definedName>
    <definedName name="Deferred_tax_liability_growth_fore" localSheetId="5">#REF!</definedName>
    <definedName name="Deferred_tax_liability_growth_fore" localSheetId="2">#REF!</definedName>
    <definedName name="Deferred_tax_liability_growth_fore">#REF!</definedName>
    <definedName name="Dep_and_Amort">[15]NOPAT_VDF!$C$100:$AU$100</definedName>
    <definedName name="Dep_margin_fore" localSheetId="5">#REF!</definedName>
    <definedName name="Dep_margin_fore" localSheetId="2">#REF!</definedName>
    <definedName name="Dep_margin_fore">#REF!</definedName>
    <definedName name="depa00" localSheetId="5">'[4]Balance Sheet Cash Flow'!#REF!</definedName>
    <definedName name="depa00" localSheetId="2">'[4]Balance Sheet Cash Flow'!#REF!</definedName>
    <definedName name="depa00">'[4]Balance Sheet Cash Flow'!#REF!</definedName>
    <definedName name="depa01" localSheetId="5">'[4]Balance Sheet Cash Flow'!#REF!</definedName>
    <definedName name="depa01" localSheetId="2">'[4]Balance Sheet Cash Flow'!#REF!</definedName>
    <definedName name="depa01">'[4]Balance Sheet Cash Flow'!#REF!</definedName>
    <definedName name="depa02" localSheetId="5">'[4]Balance Sheet Cash Flow'!#REF!</definedName>
    <definedName name="depa02" localSheetId="2">'[4]Balance Sheet Cash Flow'!#REF!</definedName>
    <definedName name="depa02">'[4]Balance Sheet Cash Flow'!#REF!</definedName>
    <definedName name="depa03" localSheetId="5">'[4]Balance Sheet Cash Flow'!#REF!</definedName>
    <definedName name="depa03" localSheetId="2">'[4]Balance Sheet Cash Flow'!#REF!</definedName>
    <definedName name="depa03">'[4]Balance Sheet Cash Flow'!#REF!</definedName>
    <definedName name="depa04" localSheetId="5">'[4]Balance Sheet Cash Flow'!#REF!</definedName>
    <definedName name="depa04" localSheetId="2">'[4]Balance Sheet Cash Flow'!#REF!</definedName>
    <definedName name="depa04">'[4]Balance Sheet Cash Flow'!#REF!</definedName>
    <definedName name="depa05" localSheetId="5">'[4]Balance Sheet Cash Flow'!#REF!</definedName>
    <definedName name="depa05" localSheetId="2">'[4]Balance Sheet Cash Flow'!#REF!</definedName>
    <definedName name="depa05">'[4]Balance Sheet Cash Flow'!#REF!</definedName>
    <definedName name="depa06" localSheetId="5">'[4]Balance Sheet Cash Flow'!#REF!</definedName>
    <definedName name="depa06" localSheetId="2">'[4]Balance Sheet Cash Flow'!#REF!</definedName>
    <definedName name="depa06">'[4]Balance Sheet Cash Flow'!#REF!</definedName>
    <definedName name="depa07" localSheetId="5">'[4]Balance Sheet Cash Flow'!#REF!</definedName>
    <definedName name="depa07" localSheetId="2">'[4]Balance Sheet Cash Flow'!#REF!</definedName>
    <definedName name="depa07">'[4]Balance Sheet Cash Flow'!#REF!</definedName>
    <definedName name="depq100" localSheetId="5">'[4]Balance Sheet Cash Flow'!#REF!</definedName>
    <definedName name="depq100" localSheetId="2">'[4]Balance Sheet Cash Flow'!#REF!</definedName>
    <definedName name="depq100">'[4]Balance Sheet Cash Flow'!#REF!</definedName>
    <definedName name="depq101" localSheetId="5">'[4]Balance Sheet Cash Flow'!#REF!</definedName>
    <definedName name="depq101" localSheetId="2">'[4]Balance Sheet Cash Flow'!#REF!</definedName>
    <definedName name="depq101">'[4]Balance Sheet Cash Flow'!#REF!</definedName>
    <definedName name="depq200" localSheetId="5">'[4]Balance Sheet Cash Flow'!#REF!</definedName>
    <definedName name="depq200" localSheetId="2">'[4]Balance Sheet Cash Flow'!#REF!</definedName>
    <definedName name="depq200">'[4]Balance Sheet Cash Flow'!#REF!</definedName>
    <definedName name="depq201" localSheetId="5">'[4]Balance Sheet Cash Flow'!#REF!</definedName>
    <definedName name="depq201" localSheetId="2">'[4]Balance Sheet Cash Flow'!#REF!</definedName>
    <definedName name="depq201">'[4]Balance Sheet Cash Flow'!#REF!</definedName>
    <definedName name="depq300" localSheetId="5">'[4]Balance Sheet Cash Flow'!#REF!</definedName>
    <definedName name="depq300" localSheetId="2">'[4]Balance Sheet Cash Flow'!#REF!</definedName>
    <definedName name="depq300">'[4]Balance Sheet Cash Flow'!#REF!</definedName>
    <definedName name="depq301" localSheetId="5">'[4]Balance Sheet Cash Flow'!#REF!</definedName>
    <definedName name="depq301" localSheetId="2">'[4]Balance Sheet Cash Flow'!#REF!</definedName>
    <definedName name="depq301">'[4]Balance Sheet Cash Flow'!#REF!</definedName>
    <definedName name="depq4" localSheetId="5">[26]BSCF!#REF!</definedName>
    <definedName name="depq4" localSheetId="2">[26]BSCF!#REF!</definedName>
    <definedName name="depq4">[26]BSCF!#REF!</definedName>
    <definedName name="depq400" localSheetId="5">'[4]Balance Sheet Cash Flow'!#REF!</definedName>
    <definedName name="depq400" localSheetId="2">'[4]Balance Sheet Cash Flow'!#REF!</definedName>
    <definedName name="depq400">'[4]Balance Sheet Cash Flow'!#REF!</definedName>
    <definedName name="depq401" localSheetId="5">'[4]Balance Sheet Cash Flow'!#REF!</definedName>
    <definedName name="depq401" localSheetId="2">'[4]Balance Sheet Cash Flow'!#REF!</definedName>
    <definedName name="depq401">'[4]Balance Sheet Cash Flow'!#REF!</definedName>
    <definedName name="depq402" localSheetId="5">'[27]Balance Sheet Cash Flow'!#REF!</definedName>
    <definedName name="depq402" localSheetId="2">'[27]Balance Sheet Cash Flow'!#REF!</definedName>
    <definedName name="depq402">'[27]Balance Sheet Cash Flow'!#REF!</definedName>
    <definedName name="depq403" localSheetId="5">'[27]Balance Sheet Cash Flow'!#REF!</definedName>
    <definedName name="depq403" localSheetId="2">'[27]Balance Sheet Cash Flow'!#REF!</definedName>
    <definedName name="depq403">'[27]Balance Sheet Cash Flow'!#REF!</definedName>
    <definedName name="Depreciation">[15]NOPAT_VDF!$C$104:$AE$104</definedName>
    <definedName name="Depreciation___Amortization" localSheetId="5">#REF!</definedName>
    <definedName name="Depreciation___Amortization" localSheetId="2">#REF!</definedName>
    <definedName name="Depreciation___Amortization">#REF!</definedName>
    <definedName name="Depreciation_fore" localSheetId="5">#REF!</definedName>
    <definedName name="Depreciation_fore" localSheetId="2">#REF!</definedName>
    <definedName name="Depreciation_fore">#REF!</definedName>
    <definedName name="Depreciation_of_PP_E" localSheetId="5">#REF!</definedName>
    <definedName name="Depreciation_of_PP_E" localSheetId="2">#REF!</definedName>
    <definedName name="Depreciation_of_PP_E">#REF!</definedName>
    <definedName name="dfssfdfsd" localSheetId="5">[7]NOPAT_VDF!#REF!</definedName>
    <definedName name="dfssfdfsd" localSheetId="2">[7]NOPAT_VDF!#REF!</definedName>
    <definedName name="dfssfdfsd">[7]NOPAT_VDF!#REF!</definedName>
    <definedName name="diab01">'[26]Qtr. Product Sales'!$U$221</definedName>
    <definedName name="diab02">'[26]Qtr. Product Sales'!$Z$221</definedName>
    <definedName name="Diluted_shares">'[1]Quarterly Product Sales'!$A$315:$IV$315</definedName>
    <definedName name="Disposals" localSheetId="5">#REF!</definedName>
    <definedName name="Disposals" localSheetId="2">#REF!</definedName>
    <definedName name="Disposals">#REF!</definedName>
    <definedName name="Diversified" localSheetId="5">[12]Sales!#REF!</definedName>
    <definedName name="Diversified" localSheetId="2">[12]Sales!#REF!</definedName>
    <definedName name="Diversified">[12]Sales!#REF!</definedName>
    <definedName name="DnA_fore" localSheetId="5">#REF!</definedName>
    <definedName name="DnA_fore" localSheetId="2">#REF!</definedName>
    <definedName name="DnA_fore">#REF!</definedName>
    <definedName name="DnA_growth_fore" localSheetId="5">#REF!</definedName>
    <definedName name="DnA_growth_fore" localSheetId="2">#REF!</definedName>
    <definedName name="DnA_growth_fore">#REF!</definedName>
    <definedName name="DOSESPLIT_1">'[28]Scenario Builder'!$C$5:$L$5</definedName>
    <definedName name="DOSESPLIT_10">'[28]Scenario Builder'!$C$14:$L$14</definedName>
    <definedName name="DOSESPLIT_11">'[28]Scenario Builder'!$C$15:$L$15</definedName>
    <definedName name="DOSESPLIT_2">'[28]Scenario Builder'!$C$6:$L$6</definedName>
    <definedName name="DOSESPLIT_3">'[28]Scenario Builder'!$C$7:$L$7</definedName>
    <definedName name="DOSESPLIT_4">'[28]Scenario Builder'!$C$8:$L$8</definedName>
    <definedName name="DOSESPLIT_5">'[28]Scenario Builder'!$C$9:$L$9</definedName>
    <definedName name="DOSESPLIT_6">'[28]Scenario Builder'!$C$10:$L$10</definedName>
    <definedName name="DOSESPLIT_7">'[28]Scenario Builder'!$C$11:$L$11</definedName>
    <definedName name="DOSESPLIT_8">'[28]Scenario Builder'!$C$12:$L$12</definedName>
    <definedName name="DOSESPLIT_9">'[28]Scenario Builder'!$C$13:$L$13</definedName>
    <definedName name="Download_series" localSheetId="5">[29]!Download_series</definedName>
    <definedName name="Download_series" localSheetId="2">[29]!Download_series</definedName>
    <definedName name="Download_series">[29]!Download_series</definedName>
    <definedName name="dps_" localSheetId="5">#REF!</definedName>
    <definedName name="dps_" localSheetId="2">#REF!</definedName>
    <definedName name="dps_">#REF!</definedName>
    <definedName name="DPS__DM__Ord" localSheetId="5">#REF!</definedName>
    <definedName name="DPS__DM__Ord" localSheetId="2">#REF!</definedName>
    <definedName name="DPS__DM__Ord">#REF!</definedName>
    <definedName name="DPS__DM__Pref" localSheetId="5">#REF!</definedName>
    <definedName name="DPS__DM__Pref" localSheetId="2">#REF!</definedName>
    <definedName name="DPS__DM__Pref">#REF!</definedName>
    <definedName name="DPS_Curr_Yr" localSheetId="5">#REF!</definedName>
    <definedName name="DPS_Curr_Yr" localSheetId="2">#REF!</definedName>
    <definedName name="DPS_Curr_Yr">#REF!</definedName>
    <definedName name="DPS_Lst_Yr" localSheetId="5">#REF!</definedName>
    <definedName name="DPS_Lst_Yr" localSheetId="2">#REF!</definedName>
    <definedName name="DPS_Lst_Yr">#REF!</definedName>
    <definedName name="DPS_Next_Yr" localSheetId="5">#REF!</definedName>
    <definedName name="DPS_Next_Yr" localSheetId="2">#REF!</definedName>
    <definedName name="DPS_Next_Yr">#REF!</definedName>
    <definedName name="dps_ratio" localSheetId="5">#REF!</definedName>
    <definedName name="dps_ratio" localSheetId="2">#REF!</definedName>
    <definedName name="dps_ratio">#REF!</definedName>
    <definedName name="DS0_S0">OFFSET([30]Sheet2!$R$48,1,-1,MAX(2,COUNTA(OFFSET([30]Sheet2!$R$48,1,0,65493,1))+1),1)</definedName>
    <definedName name="DS0_S1">OFFSET([30]Sheet2!$R$48,1,0,MAX(2,COUNTA(OFFSET([30]Sheet2!$R$48,1,0,65493,1))+1),1)</definedName>
    <definedName name="dupo01" localSheetId="5">'[31]Qtr. Product Sales'!#REF!</definedName>
    <definedName name="dupo01" localSheetId="2">'[31]Qtr. Product Sales'!#REF!</definedName>
    <definedName name="dupo01">'[31]Qtr. Product Sales'!#REF!</definedName>
    <definedName name="dupo02" localSheetId="5">'[31]Qtr. Product Sales'!#REF!</definedName>
    <definedName name="dupo02" localSheetId="2">'[31]Qtr. Product Sales'!#REF!</definedName>
    <definedName name="dupo02">'[31]Qtr. Product Sales'!#REF!</definedName>
    <definedName name="DVFA___SG_EPS__DM" localSheetId="5">#REF!</definedName>
    <definedName name="DVFA___SG_EPS__DM" localSheetId="2">#REF!</definedName>
    <definedName name="DVFA___SG_EPS__DM">#REF!</definedName>
    <definedName name="DVFA___SG_Net_Profit" localSheetId="5">#REF!</definedName>
    <definedName name="DVFA___SG_Net_Profit" localSheetId="2">#REF!</definedName>
    <definedName name="DVFA___SG_Net_Profit">#REF!</definedName>
    <definedName name="Dyazide" localSheetId="5">[12]Sales!#REF!</definedName>
    <definedName name="Dyazide" localSheetId="2">[12]Sales!#REF!</definedName>
    <definedName name="Dyazide">[12]Sales!#REF!</definedName>
    <definedName name="ear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arnings" localSheetId="5">#REF!</definedName>
    <definedName name="earnings" localSheetId="2">#REF!</definedName>
    <definedName name="earnings">#REF!</definedName>
    <definedName name="earn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BDIT" localSheetId="5">#REF!</definedName>
    <definedName name="EBDIT" localSheetId="2">#REF!</definedName>
    <definedName name="EBDIT">#REF!</definedName>
    <definedName name="EBIT">[15]NOPAT_VDF!$C$17:$AZ$17</definedName>
    <definedName name="EBIT_CONT_BUS_NO_RD" localSheetId="5">#REF!</definedName>
    <definedName name="EBIT_CONT_BUS_NO_RD" localSheetId="2">#REF!</definedName>
    <definedName name="EBIT_CONT_BUS_NO_RD">#REF!</definedName>
    <definedName name="EBIT_CONT_BUS_RD" localSheetId="5">#REF!</definedName>
    <definedName name="EBIT_CONT_BUS_RD" localSheetId="2">#REF!</definedName>
    <definedName name="EBIT_CONT_BUS_RD">#REF!</definedName>
    <definedName name="EBIT_fore" localSheetId="5">#REF!</definedName>
    <definedName name="EBIT_fore" localSheetId="2">#REF!</definedName>
    <definedName name="EBIT_fore">#REF!</definedName>
    <definedName name="EBIT_margin">[15]NOPAT_VDF!$C$111:$AU$111</definedName>
    <definedName name="EBIT_margin_fore" localSheetId="5">#REF!</definedName>
    <definedName name="EBIT_margin_fore" localSheetId="2">#REF!</definedName>
    <definedName name="EBIT_margin_fore">#REF!</definedName>
    <definedName name="ebit00" localSheetId="5">'[4]quarterly income'!#REF!</definedName>
    <definedName name="ebit00" localSheetId="2">'[4]quarterly income'!#REF!</definedName>
    <definedName name="ebit00">'[4]quarterly income'!#REF!</definedName>
    <definedName name="ebit01" localSheetId="5">'[4]quarterly income'!#REF!</definedName>
    <definedName name="ebit01" localSheetId="2">'[4]quarterly income'!#REF!</definedName>
    <definedName name="ebit01">'[4]quarterly income'!#REF!</definedName>
    <definedName name="ebit02" localSheetId="5">'[4]quarterly income'!#REF!</definedName>
    <definedName name="ebit02" localSheetId="2">'[4]quarterly income'!#REF!</definedName>
    <definedName name="ebit02">'[4]quarterly income'!#REF!</definedName>
    <definedName name="EBITA">[15]NOPAT_VDF!$C$101:$AZ$101</definedName>
    <definedName name="EBITA_fore" localSheetId="5">#REF!</definedName>
    <definedName name="EBITA_fore" localSheetId="2">#REF!</definedName>
    <definedName name="EBITA_fore">#REF!</definedName>
    <definedName name="EBITDA">[15]NOPAT_VDF!$C$102:$AE$102</definedName>
    <definedName name="EBITDA_DCF">[15]DCF_VDF!$C$15:$AZ$15</definedName>
    <definedName name="EBITDA_fore" localSheetId="5">#REF!</definedName>
    <definedName name="EBITDA_fore" localSheetId="2">#REF!</definedName>
    <definedName name="EBITDA_fore">#REF!</definedName>
    <definedName name="EBITDA_growth_avg" localSheetId="5">[15]NOPAT_VDF!#REF!</definedName>
    <definedName name="EBITDA_growth_avg" localSheetId="2">[15]NOPAT_VDF!#REF!</definedName>
    <definedName name="EBITDA_growth_avg">[15]NOPAT_VDF!#REF!</definedName>
    <definedName name="EBITDA_margin">[15]NOPAT_VDF!$C$109:$AZ$109</definedName>
    <definedName name="EBITDA_margin_fore" localSheetId="5">#REF!</definedName>
    <definedName name="EBITDA_margin_fore" localSheetId="2">#REF!</definedName>
    <definedName name="EBITDA_margin_fore">#REF!</definedName>
    <definedName name="EBITDA_Margin_projection" localSheetId="5">#REF!</definedName>
    <definedName name="EBITDA_Margin_projection" localSheetId="2">#REF!</definedName>
    <definedName name="EBITDA_Margin_projection">#REF!</definedName>
    <definedName name="EBITDA_Share" localSheetId="5">[15]NOPAT_VDF!#REF!</definedName>
    <definedName name="EBITDA_Share" localSheetId="2">[15]NOPAT_VDF!#REF!</definedName>
    <definedName name="EBITDA_Share">[15]NOPAT_VDF!#REF!</definedName>
    <definedName name="eCommRev">[1]__FDSCACHE__!$F$78:$N$78</definedName>
    <definedName name="eef">[1]QTRTEMP!$C$6</definedName>
    <definedName name="effe01">[1]Sheet1!$Z$42</definedName>
    <definedName name="effe02">[1]Sheet1!$AE$42</definedName>
    <definedName name="Engerix_B">[12]Sales!$A$64:$AG$64</definedName>
    <definedName name="Enterotoxogenic_E_coli">[12]Sales!$A$91:$AG$91</definedName>
    <definedName name="ENTERPRISE_VALUE" localSheetId="5">#REF!</definedName>
    <definedName name="ENTERPRISE_VALUE" localSheetId="2">#REF!</definedName>
    <definedName name="ENTERPRISE_VALUE">#REF!</definedName>
    <definedName name="EPS">[15]NOPAT_VDF!$C$96:$AU$96</definedName>
    <definedName name="EPS_Curr_Qtr" localSheetId="5">#REF!</definedName>
    <definedName name="EPS_Curr_Qtr" localSheetId="2">#REF!</definedName>
    <definedName name="EPS_Curr_Qtr">#REF!</definedName>
    <definedName name="EPS_Curr_Yr" localSheetId="5">#REF!</definedName>
    <definedName name="EPS_Curr_Yr" localSheetId="2">#REF!</definedName>
    <definedName name="EPS_Curr_Yr">#REF!</definedName>
    <definedName name="EPS_growth_avg" localSheetId="5">[15]NOPAT_VDF!#REF!</definedName>
    <definedName name="EPS_growth_avg" localSheetId="2">[15]NOPAT_VDF!#REF!</definedName>
    <definedName name="EPS_growth_avg">[15]NOPAT_VDF!#REF!</definedName>
    <definedName name="EPS_Growth_Rate" localSheetId="5">#REF!</definedName>
    <definedName name="EPS_Growth_Rate" localSheetId="2">#REF!</definedName>
    <definedName name="EPS_Growth_Rate">#REF!</definedName>
    <definedName name="EPS_Lst_Yr" localSheetId="5">#REF!</definedName>
    <definedName name="EPS_Lst_Yr" localSheetId="2">#REF!</definedName>
    <definedName name="EPS_Lst_Yr">#REF!</definedName>
    <definedName name="EPS_Next_Yr" localSheetId="5">#REF!</definedName>
    <definedName name="EPS_Next_Yr" localSheetId="2">#REF!</definedName>
    <definedName name="EPS_Next_Yr">#REF!</definedName>
    <definedName name="EPS_Qtr_Date" localSheetId="5">#REF!</definedName>
    <definedName name="EPS_Qtr_Date" localSheetId="2">#REF!</definedName>
    <definedName name="EPS_Qtr_Date">#REF!</definedName>
    <definedName name="eps00" localSheetId="5">'[4]quarterly income'!#REF!</definedName>
    <definedName name="eps00" localSheetId="2">'[4]quarterly income'!#REF!</definedName>
    <definedName name="eps00">'[4]quarterly income'!#REF!</definedName>
    <definedName name="eps00gw" localSheetId="5">'[31]quarterly income'!#REF!</definedName>
    <definedName name="eps00gw" localSheetId="2">'[31]quarterly income'!#REF!</definedName>
    <definedName name="eps00gw">'[31]quarterly income'!#REF!</definedName>
    <definedName name="eps01gw" localSheetId="5">'[31]quarterly income'!#REF!</definedName>
    <definedName name="eps01gw" localSheetId="2">'[31]quarterly income'!#REF!</definedName>
    <definedName name="eps01gw">'[31]quarterly income'!#REF!</definedName>
    <definedName name="eps02gw" localSheetId="5">'[31]quarterly income'!#REF!</definedName>
    <definedName name="eps02gw" localSheetId="2">'[31]quarterly income'!#REF!</definedName>
    <definedName name="eps02gw">'[31]quarterly income'!#REF!</definedName>
    <definedName name="eps03gw" localSheetId="5">'[31]quarterly income'!#REF!</definedName>
    <definedName name="eps03gw" localSheetId="2">'[31]quarterly income'!#REF!</definedName>
    <definedName name="eps03gw">'[31]quarterly income'!#REF!</definedName>
    <definedName name="eps04gw" localSheetId="5">'[31]quarterly income'!#REF!</definedName>
    <definedName name="eps04gw" localSheetId="2">'[31]quarterly income'!#REF!</definedName>
    <definedName name="eps04gw">'[31]quarterly income'!#REF!</definedName>
    <definedName name="eps05gw" localSheetId="5">'[31]quarterly income'!#REF!</definedName>
    <definedName name="eps05gw" localSheetId="2">'[31]quarterly income'!#REF!</definedName>
    <definedName name="eps05gw">'[31]quarterly income'!#REF!</definedName>
    <definedName name="eps06gw" localSheetId="5">'[31]quarterly income'!#REF!</definedName>
    <definedName name="eps06gw" localSheetId="2">'[31]quarterly income'!#REF!</definedName>
    <definedName name="eps06gw">'[31]quarterly income'!#REF!</definedName>
    <definedName name="eps07gw" localSheetId="5">#REF!</definedName>
    <definedName name="eps07gw" localSheetId="2">#REF!</definedName>
    <definedName name="eps07gw">#REF!</definedName>
    <definedName name="eps99gw" localSheetId="5">#REF!</definedName>
    <definedName name="eps99gw" localSheetId="2">#REF!</definedName>
    <definedName name="eps99gw">#REF!</definedName>
    <definedName name="epsgw07" localSheetId="5">#REF!</definedName>
    <definedName name="epsgw07" localSheetId="2">#REF!</definedName>
    <definedName name="epsgw07">#REF!</definedName>
    <definedName name="Equity_Ticker" localSheetId="5">#REF!</definedName>
    <definedName name="Equity_Ticker" localSheetId="2">#REF!</definedName>
    <definedName name="Equity_Ticker">#REF!</definedName>
    <definedName name="erf">[1]QTRTEMP!$C$5</definedName>
    <definedName name="ESA">'[24]THE LINK FOR ALL'!$B$52</definedName>
    <definedName name="ESA_CONS00">'[24]THE LINK FOR ALL'!$F$28</definedName>
    <definedName name="ESA_CONS01">'[24]THE LINK FOR ALL'!$G$28</definedName>
    <definedName name="ESA_CONS99" localSheetId="5">#REF!</definedName>
    <definedName name="ESA_CONS99" localSheetId="2">#REF!</definedName>
    <definedName name="ESA_CONS99">#REF!</definedName>
    <definedName name="EV" localSheetId="5">#REF!</definedName>
    <definedName name="EV" localSheetId="2">#REF!</definedName>
    <definedName name="EV">#REF!</definedName>
    <definedName name="EV_EBDIT" localSheetId="5">#REF!</definedName>
    <definedName name="EV_EBDIT" localSheetId="2">#REF!</definedName>
    <definedName name="EV_EBDIT">#REF!</definedName>
    <definedName name="EV_EBIT" localSheetId="5">#REF!</definedName>
    <definedName name="EV_EBIT" localSheetId="2">#REF!</definedName>
    <definedName name="EV_EBIT">#REF!</definedName>
    <definedName name="EV_SALES" localSheetId="5">#REF!</definedName>
    <definedName name="EV_SALES" localSheetId="2">#REF!</definedName>
    <definedName name="EV_SALES">#REF!</definedName>
    <definedName name="evis01">'[26]Qtr. Product Sales'!$U$173</definedName>
    <definedName name="evis02">'[26]Qtr. Product Sales'!$Z$173</definedName>
    <definedName name="ExcelPath">#N/A</definedName>
    <definedName name="Excess_cash">'[15]Invested capital_VDF'!$C$5:$AE$5</definedName>
    <definedName name="EXIT" localSheetId="5">#REF!</definedName>
    <definedName name="EXIT" localSheetId="2">#REF!</definedName>
    <definedName name="EXIT">#REF!</definedName>
    <definedName name="Expl_forecast_1st_yr" localSheetId="5">#REF!</definedName>
    <definedName name="Expl_forecast_1st_yr" localSheetId="2">#REF!</definedName>
    <definedName name="Expl_forecast_1st_yr">#REF!</definedName>
    <definedName name="Expl_forecast_2nd_yr" localSheetId="5">#REF!</definedName>
    <definedName name="Expl_forecast_2nd_yr" localSheetId="2">#REF!</definedName>
    <definedName name="Expl_forecast_2nd_yr">#REF!</definedName>
    <definedName name="Expl_forecast_3rd_yr" localSheetId="5">#REF!</definedName>
    <definedName name="Expl_forecast_3rd_yr" localSheetId="2">#REF!</definedName>
    <definedName name="Expl_forecast_3rd_yr">#REF!</definedName>
    <definedName name="EXPLICIT_SWITCH" localSheetId="5">#REF!</definedName>
    <definedName name="EXPLICIT_SWITCH" localSheetId="2">#REF!</definedName>
    <definedName name="EXPLICIT_SWITCH">#REF!</definedName>
    <definedName name="ExtExpFactor">[1]QTRTEMP!$C$6</definedName>
    <definedName name="_xlnm.Extract" localSheetId="5">[25]Comps!#REF!</definedName>
    <definedName name="_xlnm.Extract" localSheetId="2">[25]Comps!#REF!</definedName>
    <definedName name="_xlnm.Extract">[25]Comps!#REF!</definedName>
    <definedName name="Extract_MI" localSheetId="5">[25]Comps!#REF!</definedName>
    <definedName name="Extract_MI" localSheetId="2">[25]Comps!#REF!</definedName>
    <definedName name="Extract_MI">[25]Comps!#REF!</definedName>
    <definedName name="Extraordinary_Expenses" localSheetId="5">#REF!</definedName>
    <definedName name="Extraordinary_Expenses" localSheetId="2">#REF!</definedName>
    <definedName name="Extraordinary_Expenses">#REF!</definedName>
    <definedName name="Extraordinary_Income" localSheetId="5">#REF!</definedName>
    <definedName name="Extraordinary_Income" localSheetId="2">#REF!</definedName>
    <definedName name="Extraordinary_Income">#REF!</definedName>
    <definedName name="ExtRevFactor">[1]QTRTEMP!$C$5</definedName>
    <definedName name="Famvir" localSheetId="5">[12]Sales!#REF!</definedName>
    <definedName name="Famvir" localSheetId="2">[12]Sales!#REF!</definedName>
    <definedName name="Famvir">[12]Sales!#REF!</definedName>
    <definedName name="Financial_Statement">'[17]IGT MODEL'!$A$1:$AH$95</definedName>
    <definedName name="Fixed_asset_turns">'[15]Invested capital_VDF'!$C$99:$AU$99</definedName>
    <definedName name="Fixed_asset_turns_fore" localSheetId="5">#REF!</definedName>
    <definedName name="Fixed_asset_turns_fore" localSheetId="2">#REF!</definedName>
    <definedName name="Fixed_asset_turns_fore">#REF!</definedName>
    <definedName name="fixed_assets" localSheetId="5">#REF!</definedName>
    <definedName name="fixed_assets" localSheetId="2">#REF!</definedName>
    <definedName name="fixed_assets">#REF!</definedName>
    <definedName name="ForecastVersion">'[5]#REF'!$A$2</definedName>
    <definedName name="fosa01" localSheetId="5">'[32]Qtr. Product Sales'!#REF!</definedName>
    <definedName name="fosa01" localSheetId="2">'[32]Qtr. Product Sales'!#REF!</definedName>
    <definedName name="fosa01">'[32]Qtr. Product Sales'!#REF!</definedName>
    <definedName name="fosa02" localSheetId="5">'[32]Qtr. Product Sales'!#REF!</definedName>
    <definedName name="fosa02" localSheetId="2">'[32]Qtr. Product Sales'!#REF!</definedName>
    <definedName name="fosa02">'[32]Qtr. Product Sales'!#REF!</definedName>
    <definedName name="FR_CODE_COPY_LINK">" "</definedName>
    <definedName name="FR_CODE_DOWNLOAD_START">" "</definedName>
    <definedName name="FR_CODE_STOCK_LINK">" "</definedName>
    <definedName name="FR_COM_ABBR">" "</definedName>
    <definedName name="FR_COM_ABBR_LINK">" "</definedName>
    <definedName name="FR_COM_AGG">0</definedName>
    <definedName name="FR_COM_NAME_LINK" localSheetId="5">#REF!</definedName>
    <definedName name="FR_COM_NAME_LINK" localSheetId="2">#REF!</definedName>
    <definedName name="FR_COM_NAME_LINK">#REF!</definedName>
    <definedName name="FR_COU_ABBR">" "</definedName>
    <definedName name="FR_COU_ABBR_LINK">" "</definedName>
    <definedName name="FR_COU_NAME_LINK">" "</definedName>
    <definedName name="FR_DATABOX_DOWNLOAD">"N"</definedName>
    <definedName name="FR_DISP_HIDDEN">FALSE</definedName>
    <definedName name="FR_END_DATE">"'"</definedName>
    <definedName name="FR_LINKS_OVERRUN">TRUE</definedName>
    <definedName name="FR_LOG_END_DATE">"'"</definedName>
    <definedName name="FR_LOG_START_DATE">"'"</definedName>
    <definedName name="FR_REPORT_TYPE">""</definedName>
    <definedName name="FR_RPT_AREA_LINK">" "</definedName>
    <definedName name="FR_RPT_FOOTER_LINK">" "</definedName>
    <definedName name="FR_RPT_HEADER_LINK">" "</definedName>
    <definedName name="FR_RPT_LINE_SPACING">1</definedName>
    <definedName name="FR_RPT_PAGE_BREAK">0</definedName>
    <definedName name="FR_SHOW_LINK_MARKER">TRUE</definedName>
    <definedName name="FR_START_DATE">"'"</definedName>
    <definedName name="FR_USE_BILLIONS">FALSE</definedName>
    <definedName name="FR_USE_DIMFAC">TRUE</definedName>
    <definedName name="FR_USE_LOCAL_CCY">TRUE</definedName>
    <definedName name="FR_USE_PRICEFACTORING">FALSE</definedName>
    <definedName name="FR_WORKBOOK">"K:\sectors\DrugLrgCap\MODELS\PFE-model.xls"</definedName>
    <definedName name="FS">'[24]THE LINK FOR ALL'!$B$46</definedName>
    <definedName name="FS_00EA">'[33]Earnings Model 4-26-00'!$P$26</definedName>
    <definedName name="FS_00EPS" localSheetId="5">#REF!</definedName>
    <definedName name="FS_00EPS" localSheetId="2">#REF!</definedName>
    <definedName name="FS_00EPS">#REF!</definedName>
    <definedName name="FS_01EA">'[33]Earnings Model 4-26-00'!$U$26</definedName>
    <definedName name="FS_01EPS" localSheetId="5">#REF!</definedName>
    <definedName name="FS_01EPS" localSheetId="2">#REF!</definedName>
    <definedName name="FS_01EPS">#REF!</definedName>
    <definedName name="FS_99EA">'[33]Earnings Model 4-26-00'!$K$26</definedName>
    <definedName name="FS_99EPS" localSheetId="5">#REF!</definedName>
    <definedName name="FS_99EPS" localSheetId="2">#REF!</definedName>
    <definedName name="FS_99EPS">#REF!</definedName>
    <definedName name="FS_CONS00" localSheetId="5">#REF!</definedName>
    <definedName name="FS_CONS00" localSheetId="2">#REF!</definedName>
    <definedName name="FS_CONS00">#REF!</definedName>
    <definedName name="FS_CONS01" localSheetId="5">#REF!</definedName>
    <definedName name="FS_CONS01" localSheetId="2">#REF!</definedName>
    <definedName name="FS_CONS01">#REF!</definedName>
    <definedName name="FS_CONS99" localSheetId="5">#REF!</definedName>
    <definedName name="FS_CONS99" localSheetId="2">#REF!</definedName>
    <definedName name="FS_CONS99">#REF!</definedName>
    <definedName name="FS_Rating">'[16]Industry (2)'!$D$5</definedName>
    <definedName name="FS_Target">'[16]Industry (2)'!$C$5</definedName>
    <definedName name="FY_1996" localSheetId="5">#REF!</definedName>
    <definedName name="FY_1996" localSheetId="2">#REF!</definedName>
    <definedName name="FY_1996">#REF!</definedName>
    <definedName name="Gaming_Device_Demand" localSheetId="5">'[17]IGT MODEL'!#REF!</definedName>
    <definedName name="Gaming_Device_Demand" localSheetId="2">'[17]IGT MODEL'!#REF!</definedName>
    <definedName name="Gaming_Device_Demand">'[17]IGT MODEL'!#REF!</definedName>
    <definedName name="Gaming_Device_Demand_Analysis" localSheetId="5">'[17]IGT MODEL'!#REF!</definedName>
    <definedName name="Gaming_Device_Demand_Analysis" localSheetId="2">'[17]IGT MODEL'!#REF!</definedName>
    <definedName name="Gaming_Device_Demand_Analysis">'[17]IGT MODEL'!#REF!</definedName>
    <definedName name="GAX" localSheetId="5">#REF!</definedName>
    <definedName name="GAX" localSheetId="2">#REF!</definedName>
    <definedName name="GAX">#REF!</definedName>
    <definedName name="gd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emz01">'[26]Qtr. Product Sales'!$U$287</definedName>
    <definedName name="gemz02">'[26]Qtr. Product Sales'!$Z$287</definedName>
    <definedName name="GeneralAnnualizingFactor" localSheetId="5">#REF!</definedName>
    <definedName name="GeneralAnnualizingFactor" localSheetId="2">#REF!</definedName>
    <definedName name="GeneralAnnualizingFactor">#REF!</definedName>
    <definedName name="GeneralCompanyName" localSheetId="5">#REF!</definedName>
    <definedName name="GeneralCompanyName" localSheetId="2">#REF!</definedName>
    <definedName name="GeneralCompanyName">#REF!</definedName>
    <definedName name="GeneralConsolidatedBusiness" localSheetId="5">#REF!</definedName>
    <definedName name="GeneralConsolidatedBusiness" localSheetId="2">#REF!</definedName>
    <definedName name="GeneralConsolidatedBusiness">#REF!</definedName>
    <definedName name="GeneralDate" localSheetId="5">#REF!</definedName>
    <definedName name="GeneralDate" localSheetId="2">#REF!</definedName>
    <definedName name="GeneralDate">#REF!</definedName>
    <definedName name="GeneralFirstLineofBusiness" localSheetId="5">#REF!</definedName>
    <definedName name="GeneralFirstLineofBusiness" localSheetId="2">#REF!</definedName>
    <definedName name="GeneralFirstLineofBusiness">#REF!</definedName>
    <definedName name="GeneralMonthsInPeriod" localSheetId="5">#REF!</definedName>
    <definedName name="GeneralMonthsInPeriod" localSheetId="2">#REF!</definedName>
    <definedName name="GeneralMonthsInPeriod">#REF!</definedName>
    <definedName name="GeneralSecondLineofBusiness" localSheetId="5">#REF!</definedName>
    <definedName name="GeneralSecondLineofBusiness" localSheetId="2">#REF!</definedName>
    <definedName name="GeneralSecondLineofBusiness">#REF!</definedName>
    <definedName name="GeneralThirdLineofBusiness" localSheetId="5">#REF!</definedName>
    <definedName name="GeneralThirdLineofBusiness" localSheetId="2">#REF!</definedName>
    <definedName name="GeneralThirdLineofBusiness">#REF!</definedName>
    <definedName name="GeneralTicker" localSheetId="5">#REF!</definedName>
    <definedName name="GeneralTicker" localSheetId="2">#REF!</definedName>
    <definedName name="GeneralTicker">#REF!</definedName>
    <definedName name="GeneralTimeStrip" localSheetId="5">#REF!</definedName>
    <definedName name="GeneralTimeStrip" localSheetId="2">#REF!</definedName>
    <definedName name="GeneralTimeStrip">#REF!</definedName>
    <definedName name="Germany_Sales" localSheetId="5">#REF!</definedName>
    <definedName name="Germany_Sales" localSheetId="2">#REF!</definedName>
    <definedName name="Germany_Sales">#REF!</definedName>
    <definedName name="gls_ACT_EST_ROW" localSheetId="4" hidden="1">#REF!</definedName>
    <definedName name="gls_ACT_EST_ROW" localSheetId="5" hidden="1">#REF!</definedName>
    <definedName name="gls_ACT_EST_ROW" localSheetId="2" hidden="1">#REF!</definedName>
    <definedName name="gls_ACT_EST_ROW" hidden="1">#REF!</definedName>
    <definedName name="gls_ACT_FORM_OFFSET" localSheetId="4" hidden="1">#REF!</definedName>
    <definedName name="gls_ACT_FORM_OFFSET" localSheetId="5" hidden="1">#REF!</definedName>
    <definedName name="gls_ACT_FORM_OFFSET" localSheetId="2" hidden="1">#REF!</definedName>
    <definedName name="gls_ACT_FORM_OFFSET" hidden="1">#REF!</definedName>
    <definedName name="gls_AnalystEmpNoHeading" localSheetId="4" hidden="1">#REF!</definedName>
    <definedName name="gls_AnalystEmpNoHeading" localSheetId="5" hidden="1">#REF!</definedName>
    <definedName name="gls_AnalystEmpNoHeading" localSheetId="2" hidden="1">#REF!</definedName>
    <definedName name="gls_AnalystEmpNoHeading" hidden="1">#REF!</definedName>
    <definedName name="gls_AnalystNameHeading" localSheetId="4" hidden="1">#REF!</definedName>
    <definedName name="gls_AnalystNameHeading" localSheetId="5" hidden="1">#REF!</definedName>
    <definedName name="gls_AnalystNameHeading" localSheetId="2" hidden="1">#REF!</definedName>
    <definedName name="gls_AnalystNameHeading" hidden="1">#REF!</definedName>
    <definedName name="gls_EST_FORM_OFFSET" localSheetId="4" hidden="1">#REF!</definedName>
    <definedName name="gls_EST_FORM_OFFSET" localSheetId="5" hidden="1">#REF!</definedName>
    <definedName name="gls_EST_FORM_OFFSET" localSheetId="2" hidden="1">#REF!</definedName>
    <definedName name="gls_EST_FORM_OFFSET" hidden="1">#REF!</definedName>
    <definedName name="gls_EXTERNAL_COL_REF" localSheetId="4" hidden="1">#REF!</definedName>
    <definedName name="gls_EXTERNAL_COL_REF" localSheetId="5" hidden="1">#REF!</definedName>
    <definedName name="gls_EXTERNAL_COL_REF" localSheetId="2" hidden="1">#REF!</definedName>
    <definedName name="gls_EXTERNAL_COL_REF" hidden="1">#REF!</definedName>
    <definedName name="gls_FIRST_ITEM" localSheetId="4" hidden="1">#REF!</definedName>
    <definedName name="gls_FIRST_ITEM" localSheetId="5" hidden="1">#REF!</definedName>
    <definedName name="gls_FIRST_ITEM" localSheetId="2" hidden="1">#REF!</definedName>
    <definedName name="gls_FIRST_ITEM" hidden="1">#REF!</definedName>
    <definedName name="gls_FIRST_PK" localSheetId="4" hidden="1">#REF!</definedName>
    <definedName name="gls_FIRST_PK" localSheetId="5" hidden="1">#REF!</definedName>
    <definedName name="gls_FIRST_PK" localSheetId="2" hidden="1">#REF!</definedName>
    <definedName name="gls_FIRST_PK" hidden="1">#REF!</definedName>
    <definedName name="gls_FIRST_ROWMULT" localSheetId="4" hidden="1">#REF!</definedName>
    <definedName name="gls_FIRST_ROWMULT" localSheetId="5" hidden="1">#REF!</definedName>
    <definedName name="gls_FIRST_ROWMULT" localSheetId="2" hidden="1">#REF!</definedName>
    <definedName name="gls_FIRST_ROWMULT" hidden="1">#REF!</definedName>
    <definedName name="gls_FIRST_UNITS" localSheetId="4" hidden="1">#REF!</definedName>
    <definedName name="gls_FIRST_UNITS" localSheetId="5" hidden="1">#REF!</definedName>
    <definedName name="gls_FIRST_UNITS" localSheetId="2" hidden="1">#REF!</definedName>
    <definedName name="gls_FIRST_UNITS" hidden="1">#REF!</definedName>
    <definedName name="gls_FIXED_NAMES" localSheetId="4" hidden="1">#REF!</definedName>
    <definedName name="gls_FIXED_NAMES" localSheetId="5" hidden="1">#REF!</definedName>
    <definedName name="gls_FIXED_NAMES" localSheetId="2" hidden="1">#REF!</definedName>
    <definedName name="gls_FIXED_NAMES" hidden="1">#REF!</definedName>
    <definedName name="gls_FONT_STATUS" localSheetId="4" hidden="1">#REF!</definedName>
    <definedName name="gls_FONT_STATUS" localSheetId="5" hidden="1">#REF!</definedName>
    <definedName name="gls_FONT_STATUS" localSheetId="2" hidden="1">#REF!</definedName>
    <definedName name="gls_FONT_STATUS" hidden="1">#REF!</definedName>
    <definedName name="gls_GenAccountingConvention" localSheetId="4" hidden="1">#REF!</definedName>
    <definedName name="gls_GenAccountingConvention" localSheetId="5" hidden="1">#REF!</definedName>
    <definedName name="gls_GenAccountingConvention" localSheetId="2" hidden="1">#REF!</definedName>
    <definedName name="gls_GenAccountingConvention" hidden="1">#REF!</definedName>
    <definedName name="gls_GenAdditionalInfo" localSheetId="5" hidden="1">#REF!</definedName>
    <definedName name="gls_GenAdditionalInfo" localSheetId="2" hidden="1">#REF!</definedName>
    <definedName name="gls_GenAdditionalInfo" hidden="1">#REF!</definedName>
    <definedName name="gls_GenComments" localSheetId="5" hidden="1">#REF!</definedName>
    <definedName name="gls_GenComments" localSheetId="2" hidden="1">#REF!</definedName>
    <definedName name="gls_GenComments" hidden="1">#REF!</definedName>
    <definedName name="gls_GenCompany" localSheetId="4" hidden="1">#REF!</definedName>
    <definedName name="gls_GenCompany" localSheetId="5" hidden="1">#REF!</definedName>
    <definedName name="gls_GenCompany" localSheetId="2" hidden="1">#REF!</definedName>
    <definedName name="gls_GenCompany" hidden="1">#REF!</definedName>
    <definedName name="gls_GenCompanyInfo" localSheetId="4" hidden="1">#REF!</definedName>
    <definedName name="gls_GenCompanyInfo" localSheetId="5" hidden="1">#REF!</definedName>
    <definedName name="gls_GenCompanyInfo" localSheetId="2" hidden="1">#REF!</definedName>
    <definedName name="gls_GenCompanyInfo" hidden="1">#REF!</definedName>
    <definedName name="gls_GenCountry" localSheetId="4" hidden="1">#REF!</definedName>
    <definedName name="gls_GenCountry" localSheetId="5" hidden="1">#REF!</definedName>
    <definedName name="gls_GenCountry" localSheetId="2" hidden="1">#REF!</definedName>
    <definedName name="gls_GenCountry" hidden="1">#REF!</definedName>
    <definedName name="gls_GenCurrency" localSheetId="4" hidden="1">#REF!</definedName>
    <definedName name="gls_GenCurrency" localSheetId="5" hidden="1">#REF!</definedName>
    <definedName name="gls_GenCurrency" localSheetId="2" hidden="1">#REF!</definedName>
    <definedName name="gls_GenCurrency" hidden="1">#REF!</definedName>
    <definedName name="gls_GenCurrencyMultiplier" localSheetId="4" hidden="1">#REF!</definedName>
    <definedName name="gls_GenCurrencyMultiplier" localSheetId="5" hidden="1">#REF!</definedName>
    <definedName name="gls_GenCurrencyMultiplier" localSheetId="2" hidden="1">#REF!</definedName>
    <definedName name="gls_GenCurrencyMultiplier" hidden="1">#REF!</definedName>
    <definedName name="gls_GenEnterCompInfo" localSheetId="4" hidden="1">#REF!</definedName>
    <definedName name="gls_GenEnterCompInfo" localSheetId="5" hidden="1">#REF!</definedName>
    <definedName name="gls_GenEnterCompInfo" localSheetId="2" hidden="1">#REF!</definedName>
    <definedName name="gls_GenEnterCompInfo" hidden="1">#REF!</definedName>
    <definedName name="gls_GenEPSComment" localSheetId="5" hidden="1">#REF!</definedName>
    <definedName name="gls_GenEPSComment" localSheetId="2" hidden="1">#REF!</definedName>
    <definedName name="gls_GenEPSComment" hidden="1">#REF!</definedName>
    <definedName name="gls_GenHomeRegion" localSheetId="5" hidden="1">#REF!</definedName>
    <definedName name="gls_GenHomeRegion" localSheetId="2" hidden="1">#REF!</definedName>
    <definedName name="gls_GenHomeRegion" hidden="1">#REF!</definedName>
    <definedName name="gls_GenLastPriceTargetRevised" localSheetId="4" hidden="1">#REF!</definedName>
    <definedName name="gls_GenLastPriceTargetRevised" localSheetId="5" hidden="1">#REF!</definedName>
    <definedName name="gls_GenLastPriceTargetRevised" localSheetId="2" hidden="1">#REF!</definedName>
    <definedName name="gls_GenLastPriceTargetRevised" hidden="1">#REF!</definedName>
    <definedName name="gls_GenLastPublished" localSheetId="4" hidden="1">#REF!</definedName>
    <definedName name="gls_GenLastPublished" localSheetId="5" hidden="1">#REF!</definedName>
    <definedName name="gls_GenLastPublished" localSheetId="2" hidden="1">#REF!</definedName>
    <definedName name="gls_GenLastPublished" hidden="1">#REF!</definedName>
    <definedName name="gls_GenLastRecRevised" localSheetId="4" hidden="1">#REF!</definedName>
    <definedName name="gls_GenLastRecRevised" localSheetId="5" hidden="1">#REF!</definedName>
    <definedName name="gls_GenLastRecRevised" localSheetId="2" hidden="1">#REF!</definedName>
    <definedName name="gls_GenLastRecRevised" hidden="1">#REF!</definedName>
    <definedName name="gls_GenMainInfo" localSheetId="4" hidden="1">#REF!</definedName>
    <definedName name="gls_GenMainInfo" localSheetId="5" hidden="1">#REF!</definedName>
    <definedName name="gls_GenMainInfo" localSheetId="2" hidden="1">#REF!</definedName>
    <definedName name="gls_GenMainInfo" hidden="1">#REF!</definedName>
    <definedName name="gls_GenNoteComment" localSheetId="5" hidden="1">#REF!</definedName>
    <definedName name="gls_GenNoteComment" localSheetId="2" hidden="1">#REF!</definedName>
    <definedName name="gls_GenNoteComment" hidden="1">#REF!</definedName>
    <definedName name="gls_GenProfile" localSheetId="4" hidden="1">#REF!</definedName>
    <definedName name="gls_GenProfile" localSheetId="5" hidden="1">#REF!</definedName>
    <definedName name="gls_GenProfile" localSheetId="2" hidden="1">#REF!</definedName>
    <definedName name="gls_GenProfile" hidden="1">#REF!</definedName>
    <definedName name="gls_GenRecComment" localSheetId="4" hidden="1">#REF!</definedName>
    <definedName name="gls_GenRecComment" localSheetId="5" hidden="1">#REF!</definedName>
    <definedName name="gls_GenRecComment" localSheetId="2" hidden="1">#REF!</definedName>
    <definedName name="gls_GenRecComment" hidden="1">#REF!</definedName>
    <definedName name="gls_GenSaleslineInfo" localSheetId="5" hidden="1">#REF!</definedName>
    <definedName name="gls_GenSaleslineInfo" localSheetId="2" hidden="1">#REF!</definedName>
    <definedName name="gls_GenSaleslineInfo" hidden="1">#REF!</definedName>
    <definedName name="gls_GenSalesSplitByRegion" localSheetId="5" hidden="1">#REF!</definedName>
    <definedName name="gls_GenSalesSplitByRegion" localSheetId="2" hidden="1">#REF!</definedName>
    <definedName name="gls_GenSalesSplitByRegion" hidden="1">#REF!</definedName>
    <definedName name="gls_GenSalesSplitHeading" localSheetId="5" hidden="1">#REF!</definedName>
    <definedName name="gls_GenSalesSplitHeading" localSheetId="2" hidden="1">#REF!</definedName>
    <definedName name="gls_GenSalesSplitHeading" hidden="1">#REF!</definedName>
    <definedName name="gls_GenSheetVersion" localSheetId="4" hidden="1">#REF!</definedName>
    <definedName name="gls_GenSheetVersion" localSheetId="5" hidden="1">#REF!</definedName>
    <definedName name="gls_GenSheetVersion" localSheetId="2" hidden="1">#REF!</definedName>
    <definedName name="gls_GenSheetVersion" hidden="1">#REF!</definedName>
    <definedName name="gls_genStockCore" localSheetId="4" hidden="1">#REF!</definedName>
    <definedName name="gls_genStockCore" localSheetId="5" hidden="1">#REF!</definedName>
    <definedName name="gls_genStockCore" localSheetId="2" hidden="1">#REF!</definedName>
    <definedName name="gls_genStockCore" hidden="1">#REF!</definedName>
    <definedName name="gls_genStockRec" localSheetId="4" hidden="1">#REF!</definedName>
    <definedName name="gls_genStockRec" localSheetId="5" hidden="1">#REF!</definedName>
    <definedName name="gls_genStockRec" localSheetId="2" hidden="1">#REF!</definedName>
    <definedName name="gls_genStockRec" hidden="1">#REF!</definedName>
    <definedName name="gls_GenTargetCurrency" localSheetId="4" hidden="1">#REF!</definedName>
    <definedName name="gls_GenTargetCurrency" localSheetId="5" hidden="1">#REF!</definedName>
    <definedName name="gls_GenTargetCurrency" localSheetId="2" hidden="1">#REF!</definedName>
    <definedName name="gls_GenTargetCurrency" hidden="1">#REF!</definedName>
    <definedName name="gls_IssuedStockClassHeading" localSheetId="4" hidden="1">#REF!</definedName>
    <definedName name="gls_IssuedStockClassHeading" localSheetId="5" hidden="1">#REF!</definedName>
    <definedName name="gls_IssuedStockClassHeading" localSheetId="2" hidden="1">#REF!</definedName>
    <definedName name="gls_IssuedStockClassHeading" hidden="1">#REF!</definedName>
    <definedName name="gls_IssuedStockCodeHeading" localSheetId="4" hidden="1">#REF!</definedName>
    <definedName name="gls_IssuedStockCodeHeading" localSheetId="5" hidden="1">#REF!</definedName>
    <definedName name="gls_IssuedStockCodeHeading" localSheetId="2" hidden="1">#REF!</definedName>
    <definedName name="gls_IssuedStockCodeHeading" hidden="1">#REF!</definedName>
    <definedName name="gls_IssuedStockFreeFloatHeading" localSheetId="4" hidden="1">#REF!</definedName>
    <definedName name="gls_IssuedStockFreeFloatHeading" localSheetId="5" hidden="1">#REF!</definedName>
    <definedName name="gls_IssuedStockFreeFloatHeading" localSheetId="2" hidden="1">#REF!</definedName>
    <definedName name="gls_IssuedStockFreeFloatHeading" hidden="1">#REF!</definedName>
    <definedName name="gls_KEY_DATA" localSheetId="4" hidden="1">#REF!</definedName>
    <definedName name="gls_KEY_DATA" localSheetId="5" hidden="1">#REF!</definedName>
    <definedName name="gls_KEY_DATA" localSheetId="2" hidden="1">#REF!</definedName>
    <definedName name="gls_KEY_DATA" hidden="1">#REF!</definedName>
    <definedName name="gls_KEY_VALUE" localSheetId="4" hidden="1">#REF!</definedName>
    <definedName name="gls_KEY_VALUE" localSheetId="5" hidden="1">#REF!</definedName>
    <definedName name="gls_KEY_VALUE" localSheetId="2" hidden="1">#REF!</definedName>
    <definedName name="gls_KEY_VALUE" hidden="1">#REF!</definedName>
    <definedName name="gls_PERIOD_CODE" localSheetId="4" hidden="1">#REF!</definedName>
    <definedName name="gls_PERIOD_CODE" localSheetId="5" hidden="1">#REF!</definedName>
    <definedName name="gls_PERIOD_CODE" localSheetId="2" hidden="1">#REF!</definedName>
    <definedName name="gls_PERIOD_CODE" hidden="1">#REF!</definedName>
    <definedName name="gls_PERIOD_INDICATOR" localSheetId="4" hidden="1">#REF!</definedName>
    <definedName name="gls_PERIOD_INDICATOR" localSheetId="5" hidden="1">#REF!</definedName>
    <definedName name="gls_PERIOD_INDICATOR" localSheetId="2" hidden="1">#REF!</definedName>
    <definedName name="gls_PERIOD_INDICATOR" hidden="1">#REF!</definedName>
    <definedName name="gls_PERIOD_PARENT_OR_CONSOL" localSheetId="4" hidden="1">#REF!</definedName>
    <definedName name="gls_PERIOD_PARENT_OR_CONSOL" localSheetId="5" hidden="1">#REF!</definedName>
    <definedName name="gls_PERIOD_PARENT_OR_CONSOL" localSheetId="2" hidden="1">#REF!</definedName>
    <definedName name="gls_PERIOD_PARENT_OR_CONSOL" hidden="1">#REF!</definedName>
    <definedName name="gls_PERIOD_TYPE" localSheetId="4" hidden="1">#REF!</definedName>
    <definedName name="gls_PERIOD_TYPE" localSheetId="5" hidden="1">#REF!</definedName>
    <definedName name="gls_PERIOD_TYPE" localSheetId="2" hidden="1">#REF!</definedName>
    <definedName name="gls_PERIOD_TYPE" hidden="1">#REF!</definedName>
    <definedName name="gls_PrincipalStockClass" localSheetId="4" hidden="1">#REF!</definedName>
    <definedName name="gls_PrincipalStockClass" localSheetId="5" hidden="1">#REF!</definedName>
    <definedName name="gls_PrincipalStockClass" localSheetId="2" hidden="1">#REF!</definedName>
    <definedName name="gls_PrincipalStockClass" hidden="1">#REF!</definedName>
    <definedName name="gls_Recommendations" localSheetId="5" hidden="1">#REF!</definedName>
    <definedName name="gls_Recommendations" localSheetId="2" hidden="1">#REF!</definedName>
    <definedName name="gls_Recommendations" hidden="1">#REF!</definedName>
    <definedName name="gls_SASS5HistEPSGrowth" localSheetId="5" hidden="1">#REF!</definedName>
    <definedName name="gls_SASS5HistEPSGrowth" localSheetId="2" hidden="1">#REF!</definedName>
    <definedName name="gls_SASS5HistEPSGrowth" hidden="1">#REF!</definedName>
    <definedName name="gls_SASS5ProjEPSGrowth" localSheetId="5" hidden="1">#REF!</definedName>
    <definedName name="gls_SASS5ProjEPSGrowth" localSheetId="2" hidden="1">#REF!</definedName>
    <definedName name="gls_SASS5ProjEPSGrowth" hidden="1">#REF!</definedName>
    <definedName name="gls_SASSDirectorHoldings" localSheetId="5" hidden="1">#REF!</definedName>
    <definedName name="gls_SASSDirectorHoldings" localSheetId="2" hidden="1">#REF!</definedName>
    <definedName name="gls_SASSDirectorHoldings" hidden="1">#REF!</definedName>
    <definedName name="gls_SASSEPS45AGR" localSheetId="5" hidden="1">#REF!</definedName>
    <definedName name="gls_SASSEPS45AGR" localSheetId="2" hidden="1">#REF!</definedName>
    <definedName name="gls_SASSEPS45AGR" hidden="1">#REF!</definedName>
    <definedName name="gls_SASSIsInterimLastAnnounce" localSheetId="5" hidden="1">#REF!</definedName>
    <definedName name="gls_SASSIsInterimLastAnnounce" localSheetId="2" hidden="1">#REF!</definedName>
    <definedName name="gls_SASSIsInterimLastAnnounce" hidden="1">#REF!</definedName>
    <definedName name="gls_SASSLastAnnounce" localSheetId="5" hidden="1">#REF!</definedName>
    <definedName name="gls_SASSLastAnnounce" localSheetId="2" hidden="1">#REF!</definedName>
    <definedName name="gls_SASSLastAnnounce" hidden="1">#REF!</definedName>
    <definedName name="gls_SASSNETDIV45AGR" localSheetId="5" hidden="1">#REF!</definedName>
    <definedName name="gls_SASSNETDIV45AGR" localSheetId="2" hidden="1">#REF!</definedName>
    <definedName name="gls_SASSNETDIV45AGR" hidden="1">#REF!</definedName>
    <definedName name="gls_ShareholderClassHeading" localSheetId="4" hidden="1">#REF!</definedName>
    <definedName name="gls_ShareholderClassHeading" localSheetId="5" hidden="1">#REF!</definedName>
    <definedName name="gls_ShareholderClassHeading" localSheetId="2" hidden="1">#REF!</definedName>
    <definedName name="gls_ShareholderClassHeading" hidden="1">#REF!</definedName>
    <definedName name="gls_ShareholderHolding" localSheetId="4" hidden="1">#REF!</definedName>
    <definedName name="gls_ShareholderHolding" localSheetId="5" hidden="1">#REF!</definedName>
    <definedName name="gls_ShareholderHolding" localSheetId="2" hidden="1">#REF!</definedName>
    <definedName name="gls_ShareholderHolding" hidden="1">#REF!</definedName>
    <definedName name="gls_ShareholderHoldingHeading" localSheetId="4" hidden="1">#REF!</definedName>
    <definedName name="gls_ShareholderHoldingHeading" localSheetId="5" hidden="1">#REF!</definedName>
    <definedName name="gls_ShareholderHoldingHeading" localSheetId="2" hidden="1">#REF!</definedName>
    <definedName name="gls_ShareholderHoldingHeading" hidden="1">#REF!</definedName>
    <definedName name="gls_ShareholderName" localSheetId="4" hidden="1">#REF!</definedName>
    <definedName name="gls_ShareholderName" localSheetId="5" hidden="1">#REF!</definedName>
    <definedName name="gls_ShareholderName" localSheetId="2" hidden="1">#REF!</definedName>
    <definedName name="gls_ShareholderName" hidden="1">#REF!</definedName>
    <definedName name="gls_ShareholderNameHeading" localSheetId="4" hidden="1">#REF!</definedName>
    <definedName name="gls_ShareholderNameHeading" localSheetId="5" hidden="1">#REF!</definedName>
    <definedName name="gls_ShareholderNameHeading" localSheetId="2" hidden="1">#REF!</definedName>
    <definedName name="gls_ShareholderNameHeading" hidden="1">#REF!</definedName>
    <definedName name="gls_ShareholdingName" localSheetId="4" hidden="1">#REF!</definedName>
    <definedName name="gls_ShareholdingName" localSheetId="5" hidden="1">#REF!</definedName>
    <definedName name="gls_ShareholdingName" localSheetId="2" hidden="1">#REF!</definedName>
    <definedName name="gls_ShareholdingName" hidden="1">#REF!</definedName>
    <definedName name="gls_SPARE_YEARS" localSheetId="4" hidden="1">#REF!</definedName>
    <definedName name="gls_SPARE_YEARS" localSheetId="5" hidden="1">#REF!</definedName>
    <definedName name="gls_SPARE_YEARS" localSheetId="2" hidden="1">#REF!</definedName>
    <definedName name="gls_SPARE_YEARS" hidden="1">#REF!</definedName>
    <definedName name="gls_START_FORMULA_OVERRIDEABLE" localSheetId="4" hidden="1">#REF!</definedName>
    <definedName name="gls_START_FORMULA_OVERRIDEABLE" localSheetId="5" hidden="1">#REF!</definedName>
    <definedName name="gls_START_FORMULA_OVERRIDEABLE" localSheetId="2" hidden="1">#REF!</definedName>
    <definedName name="gls_START_FORMULA_OVERRIDEABLE" hidden="1">#REF!</definedName>
    <definedName name="gls_START_LOCAL_NAMES" localSheetId="4" hidden="1">#REF!</definedName>
    <definedName name="gls_START_LOCAL_NAMES" localSheetId="5" hidden="1">#REF!</definedName>
    <definedName name="gls_START_LOCAL_NAMES" localSheetId="2" hidden="1">#REF!</definedName>
    <definedName name="gls_START_LOCAL_NAMES" hidden="1">#REF!</definedName>
    <definedName name="gls_START_PERIOD_CURRENCY" localSheetId="4" hidden="1">#REF!</definedName>
    <definedName name="gls_START_PERIOD_CURRENCY" localSheetId="5" hidden="1">#REF!</definedName>
    <definedName name="gls_START_PERIOD_CURRENCY" localSheetId="2" hidden="1">#REF!</definedName>
    <definedName name="gls_START_PERIOD_CURRENCY" hidden="1">#REF!</definedName>
    <definedName name="gls_START_STATUS" localSheetId="4" hidden="1">#REF!</definedName>
    <definedName name="gls_START_STATUS" localSheetId="5" hidden="1">#REF!</definedName>
    <definedName name="gls_START_STATUS" localSheetId="2" hidden="1">#REF!</definedName>
    <definedName name="gls_START_STATUS" hidden="1">#REF!</definedName>
    <definedName name="gls_START_USER_REQ" localSheetId="5" hidden="1">#REF!</definedName>
    <definedName name="gls_START_USER_REQ" localSheetId="2" hidden="1">#REF!</definedName>
    <definedName name="gls_START_USER_REQ" hidden="1">#REF!</definedName>
    <definedName name="gls_START_USER_STATUS" localSheetId="4" hidden="1">#REF!</definedName>
    <definedName name="gls_START_USER_STATUS" localSheetId="5" hidden="1">#REF!</definedName>
    <definedName name="gls_START_USER_STATUS" localSheetId="2" hidden="1">#REF!</definedName>
    <definedName name="gls_START_USER_STATUS" hidden="1">#REF!</definedName>
    <definedName name="gls_START_VALIDATION" localSheetId="4" hidden="1">#REF!</definedName>
    <definedName name="gls_START_VALIDATION" localSheetId="5" hidden="1">#REF!</definedName>
    <definedName name="gls_START_VALIDATION" localSheetId="2" hidden="1">#REF!</definedName>
    <definedName name="gls_START_VALIDATION" hidden="1">#REF!</definedName>
    <definedName name="gls_START_WHAT" localSheetId="4" hidden="1">#REF!</definedName>
    <definedName name="gls_START_WHAT" localSheetId="5" hidden="1">#REF!</definedName>
    <definedName name="gls_START_WHAT" localSheetId="2" hidden="1">#REF!</definedName>
    <definedName name="gls_START_WHAT" hidden="1">#REF!</definedName>
    <definedName name="gls_START_YEAR" localSheetId="4" hidden="1">#REF!</definedName>
    <definedName name="gls_START_YEAR" localSheetId="5" hidden="1">#REF!</definedName>
    <definedName name="gls_START_YEAR" localSheetId="2" hidden="1">#REF!</definedName>
    <definedName name="gls_START_YEAR" hidden="1">#REF!</definedName>
    <definedName name="gls_TEMP_PERIOD_CODE" localSheetId="4" hidden="1">#REF!</definedName>
    <definedName name="gls_TEMP_PERIOD_CODE" localSheetId="5" hidden="1">#REF!</definedName>
    <definedName name="gls_TEMP_PERIOD_CODE" localSheetId="2" hidden="1">#REF!</definedName>
    <definedName name="gls_TEMP_PERIOD_CODE" hidden="1">#REF!</definedName>
    <definedName name="gls_YEAR_AE_CONTROL" localSheetId="4" hidden="1">#REF!</definedName>
    <definedName name="gls_YEAR_AE_CONTROL" localSheetId="5" hidden="1">#REF!</definedName>
    <definedName name="gls_YEAR_AE_CONTROL" localSheetId="2" hidden="1">#REF!</definedName>
    <definedName name="gls_YEAR_AE_CONTROL" hidden="1">#REF!</definedName>
    <definedName name="gls_YEAR_END_ROW" localSheetId="4" hidden="1">#REF!</definedName>
    <definedName name="gls_YEAR_END_ROW" localSheetId="5" hidden="1">#REF!</definedName>
    <definedName name="gls_YEAR_END_ROW" localSheetId="2" hidden="1">#REF!</definedName>
    <definedName name="gls_YEAR_END_ROW" hidden="1">#REF!</definedName>
    <definedName name="gluc01" localSheetId="5">[1]REPORTER!#REF!</definedName>
    <definedName name="gluc01" localSheetId="2">[1]REPORTER!#REF!</definedName>
    <definedName name="gluc01">[1]REPORTER!#REF!</definedName>
    <definedName name="gluc02" localSheetId="5">[1]REPORTER!#REF!</definedName>
    <definedName name="gluc02" localSheetId="2">[1]REPORTER!#REF!</definedName>
    <definedName name="gluc02">[1]REPORTER!#REF!</definedName>
    <definedName name="gluco01">[1]REPORTER!$P$244</definedName>
    <definedName name="gluco02">[1]REPORTER!$U$244</definedName>
    <definedName name="GMTC" localSheetId="5">#REF!</definedName>
    <definedName name="GMTC" localSheetId="2">#REF!</definedName>
    <definedName name="GMTC">#REF!</definedName>
    <definedName name="GMTC_CONS00" localSheetId="5">#REF!</definedName>
    <definedName name="GMTC_CONS00" localSheetId="2">#REF!</definedName>
    <definedName name="GMTC_CONS00">#REF!</definedName>
    <definedName name="GMTC_CONS01" localSheetId="5">#REF!</definedName>
    <definedName name="GMTC_CONS01" localSheetId="2">#REF!</definedName>
    <definedName name="GMTC_CONS01">#REF!</definedName>
    <definedName name="GMTC_CONS99" localSheetId="5">#REF!</definedName>
    <definedName name="GMTC_CONS99" localSheetId="2">#REF!</definedName>
    <definedName name="GMTC_CONS99">#REF!</definedName>
    <definedName name="GND" localSheetId="5">#REF!</definedName>
    <definedName name="GND" localSheetId="2">#REF!</definedName>
    <definedName name="GND">#REF!</definedName>
    <definedName name="GND_CONSENSUS" localSheetId="5">#REF!</definedName>
    <definedName name="GND_CONSENSUS" localSheetId="2">#REF!</definedName>
    <definedName name="GND_CONSENSUS">#REF!</definedName>
    <definedName name="Goodwill_growth_fore" localSheetId="5">#REF!</definedName>
    <definedName name="Goodwill_growth_fore" localSheetId="2">#REF!</definedName>
    <definedName name="Goodwill_growth_fore">#REF!</definedName>
    <definedName name="gresdfrgh" localSheetId="5">'[7]Invested capital_VDF'!#REF!</definedName>
    <definedName name="gresdfrgh" localSheetId="2">'[7]Invested capital_VDF'!#REF!</definedName>
    <definedName name="gresdfrgh">'[7]Invested capital_VDF'!#REF!</definedName>
    <definedName name="Gross_inc_growth" localSheetId="5">[15]NOPAT_VDF!#REF!</definedName>
    <definedName name="Gross_inc_growth" localSheetId="2">[15]NOPAT_VDF!#REF!</definedName>
    <definedName name="Gross_inc_growth">[15]NOPAT_VDF!#REF!</definedName>
    <definedName name="Gross_income">[15]NOPAT_VDF!$C$10:$AE$10</definedName>
    <definedName name="Gross_income_fore" localSheetId="5">#REF!</definedName>
    <definedName name="Gross_income_fore" localSheetId="2">#REF!</definedName>
    <definedName name="Gross_income_fore">#REF!</definedName>
    <definedName name="Gross_income_growth_avg" localSheetId="5">#REF!</definedName>
    <definedName name="Gross_income_growth_avg" localSheetId="2">#REF!</definedName>
    <definedName name="Gross_income_growth_avg">#REF!</definedName>
    <definedName name="Gross_margin_fore" localSheetId="5">#REF!</definedName>
    <definedName name="Gross_margin_fore" localSheetId="2">#REF!</definedName>
    <definedName name="Gross_margin_fore">#REF!</definedName>
    <definedName name="growthrate">'[5]#REF'!$W$43</definedName>
    <definedName name="GT" localSheetId="5">'[34]FRX BS&amp;CF'!#REF!</definedName>
    <definedName name="GT" localSheetId="2">'[34]FRX BS&amp;CF'!#REF!</definedName>
    <definedName name="GT">'[34]FRX BS&amp;CF'!#REF!</definedName>
    <definedName name="GTK" localSheetId="5">#REF!</definedName>
    <definedName name="GTK" localSheetId="2">#REF!</definedName>
    <definedName name="GTK">#REF!</definedName>
    <definedName name="GUC">'[24]THE LINK FOR ALL'!$B$53</definedName>
    <definedName name="GUC_CONS00">'[24]THE LINK FOR ALL'!$F$25</definedName>
    <definedName name="GUC_CONS01">'[24]THE LINK FOR ALL'!$G$25</definedName>
    <definedName name="GUC_CONS99" localSheetId="5">#REF!</definedName>
    <definedName name="GUC_CONS99" localSheetId="2">#REF!</definedName>
    <definedName name="GUC_CONS99">#REF!</definedName>
    <definedName name="guidanc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uid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uide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Halfan" localSheetId="5">[12]Sales!#REF!</definedName>
    <definedName name="Halfan" localSheetId="2">[12]Sales!#REF!</definedName>
    <definedName name="Halfan">[12]Sales!#REF!</definedName>
    <definedName name="Havrix">[12]Sales!$A$65:$AG$65</definedName>
    <definedName name="hCash_Flow" localSheetId="4">'[13]Annual Model'!#REF!</definedName>
    <definedName name="hCash_Flow" localSheetId="5">'[13]Annual Model'!#REF!</definedName>
    <definedName name="hCash_Flow" localSheetId="2">'[13]Annual Model'!#REF!</definedName>
    <definedName name="hCash_Flow">'[13]Annual Model'!#REF!</definedName>
    <definedName name="Headcount" localSheetId="5">#REF!</definedName>
    <definedName name="Headcount" localSheetId="2">#REF!</definedName>
    <definedName name="Headcount">#REF!</definedName>
    <definedName name="Herpes_simplex_Hep_B">[12]Sales!$A$94:$AG$94</definedName>
    <definedName name="HET">[35]Prices!$B$12</definedName>
    <definedName name="HET_00Ea" localSheetId="5">#REF!</definedName>
    <definedName name="HET_00Ea" localSheetId="2">#REF!</definedName>
    <definedName name="HET_00Ea">#REF!</definedName>
    <definedName name="HET_00EPS" localSheetId="5">#REF!</definedName>
    <definedName name="HET_00EPS" localSheetId="2">#REF!</definedName>
    <definedName name="HET_00EPS">#REF!</definedName>
    <definedName name="HET_01Ea" localSheetId="5">#REF!</definedName>
    <definedName name="HET_01Ea" localSheetId="2">#REF!</definedName>
    <definedName name="HET_01Ea">#REF!</definedName>
    <definedName name="HET_01EPS" localSheetId="5">#REF!</definedName>
    <definedName name="HET_01EPS" localSheetId="2">#REF!</definedName>
    <definedName name="HET_01EPS">#REF!</definedName>
    <definedName name="HET_99Ea" localSheetId="5">#REF!</definedName>
    <definedName name="HET_99Ea" localSheetId="2">#REF!</definedName>
    <definedName name="HET_99Ea">#REF!</definedName>
    <definedName name="HET_99EPS" localSheetId="5">#REF!</definedName>
    <definedName name="HET_99EPS" localSheetId="2">#REF!</definedName>
    <definedName name="HET_99EPS">#REF!</definedName>
    <definedName name="HET_Rating">[16]Industry!$D$9</definedName>
    <definedName name="HET_Target">[16]Industry!$C$9</definedName>
    <definedName name="HLT">'[24]THE LINK FOR ALL'!$B$43</definedName>
    <definedName name="HLT_00EA" localSheetId="5">#REF!</definedName>
    <definedName name="HLT_00EA" localSheetId="2">#REF!</definedName>
    <definedName name="HLT_00EA">#REF!</definedName>
    <definedName name="HLT_00EPS" localSheetId="5">#REF!</definedName>
    <definedName name="HLT_00EPS" localSheetId="2">#REF!</definedName>
    <definedName name="HLT_00EPS">#REF!</definedName>
    <definedName name="HLT_01EA" localSheetId="5">#REF!</definedName>
    <definedName name="HLT_01EA" localSheetId="2">#REF!</definedName>
    <definedName name="HLT_01EA">#REF!</definedName>
    <definedName name="HLT_01EPS" localSheetId="5">#REF!</definedName>
    <definedName name="HLT_01EPS" localSheetId="2">#REF!</definedName>
    <definedName name="HLT_01EPS">#REF!</definedName>
    <definedName name="HLT_99EA" localSheetId="5">#REF!</definedName>
    <definedName name="HLT_99EA" localSheetId="2">#REF!</definedName>
    <definedName name="HLT_99EA">#REF!</definedName>
    <definedName name="HLT_99EPS" localSheetId="5">#REF!</definedName>
    <definedName name="HLT_99EPS" localSheetId="2">#REF!</definedName>
    <definedName name="HLT_99EPS">#REF!</definedName>
    <definedName name="HLT_CONS00" localSheetId="5">'[24]THE LINK FOR ALL'!#REF!</definedName>
    <definedName name="HLT_CONS00" localSheetId="2">'[24]THE LINK FOR ALL'!#REF!</definedName>
    <definedName name="HLT_CONS00">'[24]THE LINK FOR ALL'!#REF!</definedName>
    <definedName name="HLT_CONS01" localSheetId="5">'[24]THE LINK FOR ALL'!#REF!</definedName>
    <definedName name="HLT_CONS01" localSheetId="2">'[24]THE LINK FOR ALL'!#REF!</definedName>
    <definedName name="HLT_CONS01">'[24]THE LINK FOR ALL'!#REF!</definedName>
    <definedName name="HLT_CONS99" localSheetId="5">'[24]THE LINK FOR ALL'!#REF!</definedName>
    <definedName name="HLT_CONS99" localSheetId="2">'[24]THE LINK FOR ALL'!#REF!</definedName>
    <definedName name="HLT_CONS99">'[24]THE LINK FOR ALL'!#REF!</definedName>
    <definedName name="HLT_Rating">'[16]Industry (2)'!$D$6</definedName>
    <definedName name="HLT_Target">'[16]Industry (2)'!$C$6</definedName>
    <definedName name="HMT" localSheetId="5">#REF!</definedName>
    <definedName name="HMT" localSheetId="2">#REF!</definedName>
    <definedName name="HMT">#REF!</definedName>
    <definedName name="HMT_CONS00" localSheetId="5">#REF!</definedName>
    <definedName name="HMT_CONS00" localSheetId="2">#REF!</definedName>
    <definedName name="HMT_CONS00">#REF!</definedName>
    <definedName name="HMT_CONS01" localSheetId="5">#REF!</definedName>
    <definedName name="HMT_CONS01" localSheetId="2">#REF!</definedName>
    <definedName name="HMT_CONS01">#REF!</definedName>
    <definedName name="HMT_CONS99" localSheetId="5">#REF!</definedName>
    <definedName name="HMT_CONS99" localSheetId="2">#REF!</definedName>
    <definedName name="HMT_CONS99">#REF!</definedName>
    <definedName name="HOT">'[24]THE LINK FOR ALL'!$B$45</definedName>
    <definedName name="HOT_00EA" localSheetId="5">#REF!</definedName>
    <definedName name="HOT_00EA" localSheetId="2">#REF!</definedName>
    <definedName name="HOT_00EA">#REF!</definedName>
    <definedName name="HOT_00EPS" localSheetId="5">#REF!</definedName>
    <definedName name="HOT_00EPS" localSheetId="2">#REF!</definedName>
    <definedName name="HOT_00EPS">#REF!</definedName>
    <definedName name="HOT_01EA" localSheetId="5">#REF!</definedName>
    <definedName name="HOT_01EA" localSheetId="2">#REF!</definedName>
    <definedName name="HOT_01EA">#REF!</definedName>
    <definedName name="HOT_01EPS" localSheetId="5">#REF!</definedName>
    <definedName name="HOT_01EPS" localSheetId="2">#REF!</definedName>
    <definedName name="HOT_01EPS">#REF!</definedName>
    <definedName name="HOT_99EA" localSheetId="5">#REF!</definedName>
    <definedName name="HOT_99EA" localSheetId="2">#REF!</definedName>
    <definedName name="HOT_99EA">#REF!</definedName>
    <definedName name="HOT_99EPS" localSheetId="5">#REF!</definedName>
    <definedName name="HOT_99EPS" localSheetId="2">#REF!</definedName>
    <definedName name="HOT_99EPS">#REF!</definedName>
    <definedName name="HOT_CONS00" localSheetId="5">#REF!</definedName>
    <definedName name="HOT_CONS00" localSheetId="2">#REF!</definedName>
    <definedName name="HOT_CONS00">#REF!</definedName>
    <definedName name="HOT_CONS01" localSheetId="5">#REF!</definedName>
    <definedName name="HOT_CONS01" localSheetId="2">#REF!</definedName>
    <definedName name="HOT_CONS01">#REF!</definedName>
    <definedName name="HOT_CONS99" localSheetId="5">#REF!</definedName>
    <definedName name="HOT_CONS99" localSheetId="2">#REF!</definedName>
    <definedName name="HOT_CONS99">#REF!</definedName>
    <definedName name="HOT_Rating">'[16]Industry (2)'!$D$8</definedName>
    <definedName name="HOT_Target">'[16]Industry (2)'!$C$8</definedName>
    <definedName name="Human_Papilloma_virus">[12]Sales!$A$95:$AG$95</definedName>
    <definedName name="HWCC_CONSENSUS" localSheetId="5">#REF!</definedName>
    <definedName name="HWCC_CONSENSUS" localSheetId="2">#REF!</definedName>
    <definedName name="HWCC_CONSENSUS">#REF!</definedName>
    <definedName name="HWD" localSheetId="5">#REF!</definedName>
    <definedName name="HWD" localSheetId="2">#REF!</definedName>
    <definedName name="HWD">#REF!</definedName>
    <definedName name="HWD_CONS00" localSheetId="5">#REF!</definedName>
    <definedName name="HWD_CONS00" localSheetId="2">#REF!</definedName>
    <definedName name="HWD_CONS00">#REF!</definedName>
    <definedName name="HWD_CONS01" localSheetId="5">#REF!</definedName>
    <definedName name="HWD_CONS01" localSheetId="2">#REF!</definedName>
    <definedName name="HWD_CONS01">#REF!</definedName>
    <definedName name="HWD_CONS99" localSheetId="5">#REF!</definedName>
    <definedName name="HWD_CONS99" localSheetId="2">#REF!</definedName>
    <definedName name="HWD_CONS99">#REF!</definedName>
    <definedName name="Hycamtin">[12]Sales!$A$80:$AG$80</definedName>
    <definedName name="iBalance_Sheet" localSheetId="4">'[13]Annual Model'!#REF!</definedName>
    <definedName name="iBalance_Sheet" localSheetId="5">'[13]Annual Model'!#REF!</definedName>
    <definedName name="iBalance_Sheet" localSheetId="2">'[13]Annual Model'!#REF!</definedName>
    <definedName name="iBalance_Sheet">'[13]Annual Model'!#REF!</definedName>
    <definedName name="IC_1">'[15]Invested capital_VDF'!$P$1:$P$65536</definedName>
    <definedName name="IC_2">'[15]Invested capital_VDF'!$O$1:$O$65536</definedName>
    <definedName name="IC_P">'[15]Invested capital_VDF'!$Q$1:$Q$65536</definedName>
    <definedName name="IC_P1">'[15]Invested capital_VDF'!$R$1:$R$65536</definedName>
    <definedName name="IC_P2">'[15]Invested capital_VDF'!$S$1:$S$65536</definedName>
    <definedName name="IC_P3">'[7]Invested capital_VDF'!$T$1:$T$65536</definedName>
    <definedName name="Idoxifene">[12]Sales!$A$81:$AG$81</definedName>
    <definedName name="IGT" localSheetId="5">#REF!</definedName>
    <definedName name="IGT" localSheetId="2">#REF!</definedName>
    <definedName name="IGT">#REF!</definedName>
    <definedName name="IGT_00Ea" localSheetId="5">#REF!</definedName>
    <definedName name="IGT_00Ea" localSheetId="2">#REF!</definedName>
    <definedName name="IGT_00Ea">#REF!</definedName>
    <definedName name="IGT_00EPS" localSheetId="5">#REF!</definedName>
    <definedName name="IGT_00EPS" localSheetId="2">#REF!</definedName>
    <definedName name="IGT_00EPS">#REF!</definedName>
    <definedName name="IGT_01Ea" localSheetId="5">#REF!</definedName>
    <definedName name="IGT_01Ea" localSheetId="2">#REF!</definedName>
    <definedName name="IGT_01Ea">#REF!</definedName>
    <definedName name="IGT_01EPS" localSheetId="5">#REF!</definedName>
    <definedName name="IGT_01EPS" localSheetId="2">#REF!</definedName>
    <definedName name="IGT_01EPS">#REF!</definedName>
    <definedName name="IGT_99Ea" localSheetId="5">#REF!</definedName>
    <definedName name="IGT_99Ea" localSheetId="2">#REF!</definedName>
    <definedName name="IGT_99Ea">#REF!</definedName>
    <definedName name="IGT_99EPS" localSheetId="5">#REF!</definedName>
    <definedName name="IGT_99EPS" localSheetId="2">#REF!</definedName>
    <definedName name="IGT_99EPS">#REF!</definedName>
    <definedName name="IGT_Rating">[16]Industry!$D$11</definedName>
    <definedName name="IGT_Target">[16]Industry!$C$11</definedName>
    <definedName name="ImpressionEquivalent">'[5]#REF'!$C$179</definedName>
    <definedName name="Inc_cap_RnD_fore" localSheetId="5">#REF!</definedName>
    <definedName name="Inc_cap_RnD_fore" localSheetId="2">#REF!</definedName>
    <definedName name="Inc_cap_RnD_fore">#REF!</definedName>
    <definedName name="inc_tax" localSheetId="5">#REF!</definedName>
    <definedName name="inc_tax" localSheetId="2">#REF!</definedName>
    <definedName name="inc_tax">#REF!</definedName>
    <definedName name="Income_before_taxes" localSheetId="5">[15]NOPAT_VDF!#REF!</definedName>
    <definedName name="Income_before_taxes" localSheetId="2">[15]NOPAT_VDF!#REF!</definedName>
    <definedName name="Income_before_taxes">[15]NOPAT_VDF!#REF!</definedName>
    <definedName name="Income_equivalents">[15]NOPAT_VDF!$C$30:$AZ$30</definedName>
    <definedName name="Income_equivalents_fore" localSheetId="5">#REF!</definedName>
    <definedName name="Income_equivalents_fore" localSheetId="2">#REF!</definedName>
    <definedName name="Income_equivalents_fore">#REF!</definedName>
    <definedName name="Income_form_uncons_subs_fore" localSheetId="5">#REF!</definedName>
    <definedName name="Income_form_uncons_subs_fore" localSheetId="2">#REF!</definedName>
    <definedName name="Income_form_uncons_subs_fore">#REF!</definedName>
    <definedName name="Income_from_Unconsolidated_Subs">[15]NOPAT_VDF!$C$48:$AZ$48</definedName>
    <definedName name="Income_tax">[15]NOPAT_VDF!$C$34:$AE$34</definedName>
    <definedName name="Income_tax_fore" localSheetId="5">#REF!</definedName>
    <definedName name="Income_tax_fore" localSheetId="2">#REF!</definedName>
    <definedName name="Income_tax_fore">#REF!</definedName>
    <definedName name="Income_tax_growth_fore" localSheetId="5">#REF!</definedName>
    <definedName name="Income_tax_growth_fore" localSheetId="2">#REF!</definedName>
    <definedName name="Income_tax_growth_fore">#REF!</definedName>
    <definedName name="Income_taxes_payable_growth_fore" localSheetId="5">#REF!</definedName>
    <definedName name="Income_taxes_payable_growth_fore" localSheetId="2">#REF!</definedName>
    <definedName name="Income_taxes_payable_growth_fore">#REF!</definedName>
    <definedName name="Increase_cap_RnD_fore" localSheetId="5">#REF!</definedName>
    <definedName name="Increase_cap_RnD_fore" localSheetId="2">#REF!</definedName>
    <definedName name="Increase_cap_RnD_fore">#REF!</definedName>
    <definedName name="Increase_Capitalized_R_D_net">[15]NOPAT_VDF!$C$22:$AZ$22</definedName>
    <definedName name="Increase_in_other_liabilities" localSheetId="5">[15]NOPAT_VDF!#REF!</definedName>
    <definedName name="Increase_in_other_liabilities" localSheetId="2">[15]NOPAT_VDF!#REF!</definedName>
    <definedName name="Increase_in_other_liabilities">[15]NOPAT_VDF!#REF!</definedName>
    <definedName name="Infanrix">[12]Sales!$A$86:$AG$86</definedName>
    <definedName name="InfoNext">#N/A</definedName>
    <definedName name="InfoPrev">#N/A</definedName>
    <definedName name="Int_Rate_Assump">[23]ProForma!$A$192:$IV$192</definedName>
    <definedName name="Intangible_Assets" localSheetId="5">#REF!</definedName>
    <definedName name="Intangible_Assets" localSheetId="2">#REF!</definedName>
    <definedName name="Intangible_Assets">#REF!</definedName>
    <definedName name="Interest_exp_growth_fore" localSheetId="5">#REF!</definedName>
    <definedName name="Interest_exp_growth_fore" localSheetId="2">#REF!</definedName>
    <definedName name="Interest_exp_growth_fore">#REF!</definedName>
    <definedName name="Interest_exp_inc_fore" localSheetId="5">#REF!</definedName>
    <definedName name="Interest_exp_inc_fore" localSheetId="2">#REF!</definedName>
    <definedName name="Interest_exp_inc_fore">#REF!</definedName>
    <definedName name="Interest_expense_income">[15]NOPAT_VDF!$C$63:$AE$63</definedName>
    <definedName name="Inventory_growth_fore" localSheetId="5">#REF!</definedName>
    <definedName name="Inventory_growth_fore" localSheetId="2">#REF!</definedName>
    <definedName name="Inventory_growth_fore">#REF!</definedName>
    <definedName name="Invested_capital">'[15]Invested capital_VDF'!$C$87:$AE$87</definedName>
    <definedName name="Invested_capital_DCF">[15]DCF_VDF!$C$77:$AZ$77</definedName>
    <definedName name="Invested_capital_growth_fore" localSheetId="5">#REF!</definedName>
    <definedName name="Invested_capital_growth_fore" localSheetId="2">#REF!</definedName>
    <definedName name="Invested_capital_growth_fore">#REF!</definedName>
    <definedName name="Invested_capital_turns">'[15]Invested capital_VDF'!$C$102:$AU$102</definedName>
    <definedName name="Invested_capital_turns_DCF">[15]DCF_VDF!$C$83:$AZ$83</definedName>
    <definedName name="Invested_capital_turns_fore" localSheetId="5">#REF!</definedName>
    <definedName name="Invested_capital_turns_fore" localSheetId="2">#REF!</definedName>
    <definedName name="Invested_capital_turns_fore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CIQ" hidden="1">"c12103"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CIQ" hidden="1">"c12756"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NO_THOM" hidden="1">"c5094"</definedName>
    <definedName name="IQ_AVG_BROKER_REC_REUT" hidden="1">"c3630"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DIRECT_FAX" hidden="1">"c15176"</definedName>
    <definedName name="IQ_BOARD_MEMBER_DIRECT_PHONE" hidden="1">"c15175"</definedName>
    <definedName name="IQ_BOARD_MEMBER_EMAIL" hidden="1">"c15177"</definedName>
    <definedName name="IQ_BOARD_MEMBER_ID" hidden="1">"c13756"</definedName>
    <definedName name="IQ_BOARD_MEMBER_MAIN_FAX" hidden="1">"c15174"</definedName>
    <definedName name="IQ_BOARD_MEMBER_MAIN_PHONE" hidden="1">"c15173"</definedName>
    <definedName name="IQ_BOARD_MEMBER_OFFICE_ADDRESS" hidden="1">"c15172"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REUT" hidden="1">"c5477"</definedName>
    <definedName name="IQ_BV_SHARE_ACT_OR_EST_THOM" hidden="1">"c5312"</definedName>
    <definedName name="IQ_BV_SHARE_DET_EST" hidden="1">"c12047"</definedName>
    <definedName name="IQ_BV_SHARE_DET_EST_CIQ" hidden="1">"c12107"</definedName>
    <definedName name="IQ_BV_SHARE_DET_EST_CURRENCY" hidden="1">"c12456"</definedName>
    <definedName name="IQ_BV_SHARE_DET_EST_CURRENCY_CIQ" hidden="1">"c12500"</definedName>
    <definedName name="IQ_BV_SHARE_DET_EST_CURRENCY_THOM" hidden="1">"c12476"</definedName>
    <definedName name="IQ_BV_SHARE_DET_EST_DATE" hidden="1">"c12200"</definedName>
    <definedName name="IQ_BV_SHARE_DET_EST_DATE_CIQ" hidden="1">"c12253"</definedName>
    <definedName name="IQ_BV_SHARE_DET_EST_DATE_THOM" hidden="1">"c12225"</definedName>
    <definedName name="IQ_BV_SHARE_DET_EST_INCL" hidden="1">"c12339"</definedName>
    <definedName name="IQ_BV_SHARE_DET_EST_INCL_CIQ" hidden="1">"c12383"</definedName>
    <definedName name="IQ_BV_SHARE_DET_EST_INCL_THOM" hidden="1">"c12359"</definedName>
    <definedName name="IQ_BV_SHARE_DET_EST_ORIGIN" hidden="1">"c12573"</definedName>
    <definedName name="IQ_BV_SHARE_DET_EST_ORIGIN_CIQ" hidden="1">"c12622"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CIQ" hidden="1">"c3800"</definedName>
    <definedName name="IQ_BV_SHARE_EST_REUT" hidden="1">"c5439"</definedName>
    <definedName name="IQ_BV_SHARE_EST_THOM" hidden="1">"c4020"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HIGH_EST_THOM" hidden="1">"c4022"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LOW_EST_THOM" hidden="1">"c4023"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MEDIAN_EST_THOM" hidden="1">"c4021"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NUM_EST_THOM" hidden="1">"c4024"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HARE_STDDEV_EST_THOM" hidden="1">"c4025"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REUT" hidden="1">"c5474"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IQ" hidden="1">"c12108"</definedName>
    <definedName name="IQ_CAPEX_DET_EST_CURRENCY" hidden="1">"c12457"</definedName>
    <definedName name="IQ_CAPEX_DET_EST_CURRENCY_CIQ" hidden="1">"c12501"</definedName>
    <definedName name="IQ_CAPEX_DET_EST_CURRENCY_THOM" hidden="1">"c12477"</definedName>
    <definedName name="IQ_CAPEX_DET_EST_DATE" hidden="1">"c12201"</definedName>
    <definedName name="IQ_CAPEX_DET_EST_DATE_CIQ" hidden="1">"c12254"</definedName>
    <definedName name="IQ_CAPEX_DET_EST_DATE_THOM" hidden="1">"c12226"</definedName>
    <definedName name="IQ_CAPEX_DET_EST_INCL" hidden="1">"c12340"</definedName>
    <definedName name="IQ_CAPEX_DET_EST_INCL_CIQ" hidden="1">"c12384"</definedName>
    <definedName name="IQ_CAPEX_DET_EST_INCL_THOM" hidden="1">"c12360"</definedName>
    <definedName name="IQ_CAPEX_DET_EST_ORIGIN" hidden="1">"c12765"</definedName>
    <definedName name="IQ_CAPEX_DET_EST_ORIGIN_CIQ" hidden="1">"c12766"</definedName>
    <definedName name="IQ_CAPEX_DET_EST_ORIGIN_CIQ_COL" hidden="1">"c12767"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CIQ" hidden="1">"c3807"</definedName>
    <definedName name="IQ_CAPEX_EST_REUT" hidden="1">"c3969"</definedName>
    <definedName name="IQ_CAPEX_EST_THOM" hidden="1">"c5502"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EST_THOM" hidden="1">"c5504"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EST_THOM" hidden="1">"c5505"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MEDIAN_EST_THOM" hidden="1">"c5503"</definedName>
    <definedName name="IQ_CAPEX_NUM_EST" hidden="1">"c3521"</definedName>
    <definedName name="IQ_CAPEX_NUM_EST_CIQ" hidden="1">"c3811"</definedName>
    <definedName name="IQ_CAPEX_NUM_EST_REUT" hidden="1">"c3973"</definedName>
    <definedName name="IQ_CAPEX_NUM_EST_THOM" hidden="1">"c5506"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ACT_OR_EST_REUT" hidden="1">"c5463"</definedName>
    <definedName name="IQ_CFPS_ACT_OR_EST_THOM" hidden="1">"c5301"</definedName>
    <definedName name="IQ_CFPS_DET_EST" hidden="1">"c12049"</definedName>
    <definedName name="IQ_CFPS_DET_EST_CIQ" hidden="1">"c12109"</definedName>
    <definedName name="IQ_CFPS_DET_EST_CURRENCY" hidden="1">"c12458"</definedName>
    <definedName name="IQ_CFPS_DET_EST_CURRENCY_CIQ" hidden="1">"c12502"</definedName>
    <definedName name="IQ_CFPS_DET_EST_CURRENCY_THOM" hidden="1">"c12479"</definedName>
    <definedName name="IQ_CFPS_DET_EST_DATE" hidden="1">"c12202"</definedName>
    <definedName name="IQ_CFPS_DET_EST_DATE_CIQ" hidden="1">"c12255"</definedName>
    <definedName name="IQ_CFPS_DET_EST_DATE_THOM" hidden="1">"c12228"</definedName>
    <definedName name="IQ_CFPS_DET_EST_INCL" hidden="1">"c12341"</definedName>
    <definedName name="IQ_CFPS_DET_EST_INCL_CIQ" hidden="1">"c12385"</definedName>
    <definedName name="IQ_CFPS_DET_EST_INCL_THOM" hidden="1">"c12362"</definedName>
    <definedName name="IQ_CFPS_DET_EST_ORIGIN" hidden="1">"c12575"</definedName>
    <definedName name="IQ_CFPS_DET_EST_ORIGIN_CIQ" hidden="1">"c12624"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CIQ" hidden="1">"c3675"</definedName>
    <definedName name="IQ_CFPS_EST_REUT" hidden="1">"c3844"</definedName>
    <definedName name="IQ_CFPS_EST_THOM" hidden="1">"c4006"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EST_THOM" hidden="1">"c4008"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EST_REUT" hidden="1">"c3847"</definedName>
    <definedName name="IQ_CFPS_LOW_EST_THOM" hidden="1">"c4009"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MEDIAN_EST_THOM" hidden="1">"c4007"</definedName>
    <definedName name="IQ_CFPS_NUM_EST" hidden="1">"c1671"</definedName>
    <definedName name="IQ_CFPS_NUM_EST_CIQ" hidden="1">"c3679"</definedName>
    <definedName name="IQ_CFPS_NUM_EST_REUT" hidden="1">"c3848"</definedName>
    <definedName name="IQ_CFPS_NUM_EST_THOM" hidden="1">"c4010"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DET_EST" hidden="1">"c13610"</definedName>
    <definedName name="IQ_COM_TARGET_PRICE_DET_EST_CIQ" hidden="1">"c13603"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_FDIC" hidden="1">"c6522"</definedName>
    <definedName name="IQ_CONTRACTS_OTHER_COMMODITIES_EQUITIES._FDIC" hidden="1">"c6522"</definedName>
    <definedName name="IQ_CONTRIB_ID_DET_EST" hidden="1">"c12045"</definedName>
    <definedName name="IQ_CONTRIB_ID_DET_EST_CIQ" hidden="1">"c12105"</definedName>
    <definedName name="IQ_CONTRIB_ID_DET_EST_THOM" hidden="1">"c12073"</definedName>
    <definedName name="IQ_CONTRIB_ID_NON_PER_DET_EST" hidden="1">"c13824"</definedName>
    <definedName name="IQ_CONTRIB_ID_NON_PER_DET_EST_CIQ" hidden="1">"c13825"</definedName>
    <definedName name="IQ_CONTRIB_NAME_DET_EST" hidden="1">"c12046"</definedName>
    <definedName name="IQ_CONTRIB_NAME_DET_EST_CIQ" hidden="1">"c12106"</definedName>
    <definedName name="IQ_CONTRIB_NAME_DET_EST_THOM" hidden="1">"c12074"</definedName>
    <definedName name="IQ_CONTRIB_NAME_NON_PER_DET_EST" hidden="1">"c12760"</definedName>
    <definedName name="IQ_CONTRIB_NAME_NON_PER_DET_EST_CIQ" hidden="1">"c12761"</definedName>
    <definedName name="IQ_CONTRIB_NAME_NON_PER_DET_EST_THOM" hidden="1">"c12764"</definedName>
    <definedName name="IQ_CONTRIB_REC_DET_EST" hidden="1">"c12051"</definedName>
    <definedName name="IQ_CONTRIB_REC_DET_EST_CIQ" hidden="1">"c12111"</definedName>
    <definedName name="IQ_CONTRIB_REC_DET_EST_DATE" hidden="1">"c12204"</definedName>
    <definedName name="IQ_CONTRIB_REC_DET_EST_DATE_CIQ" hidden="1">"c12257"</definedName>
    <definedName name="IQ_CONTRIB_REC_DET_EST_DATE_THOM" hidden="1">"c12230"</definedName>
    <definedName name="IQ_CONTRIB_REC_DET_EST_ORIGIN" hidden="1">"c12577"</definedName>
    <definedName name="IQ_CONTRIB_REC_DET_EST_ORIGIN_CIQ" hidden="1">"c12626"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FF_LASTCLOSE_TARGET_PRICE_THOM" hidden="1">"c5278"</definedName>
    <definedName name="IQ_DIG_SUB_BASIC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REUT" hidden="1">"c5464"</definedName>
    <definedName name="IQ_DPS_ACT_OR_EST_THOM" hidden="1">"c5302"</definedName>
    <definedName name="IQ_DPS_DET_EST" hidden="1">"c12052"</definedName>
    <definedName name="IQ_DPS_DET_EST_CIQ" hidden="1">"c12112"</definedName>
    <definedName name="IQ_DPS_DET_EST_CURRENCY" hidden="1">"c12459"</definedName>
    <definedName name="IQ_DPS_DET_EST_CURRENCY_CIQ" hidden="1">"c12503"</definedName>
    <definedName name="IQ_DPS_DET_EST_CURRENCY_THOM" hidden="1">"c12480"</definedName>
    <definedName name="IQ_DPS_DET_EST_DATE" hidden="1">"c12205"</definedName>
    <definedName name="IQ_DPS_DET_EST_DATE_CIQ" hidden="1">"c12258"</definedName>
    <definedName name="IQ_DPS_DET_EST_DATE_THOM" hidden="1">"c12231"</definedName>
    <definedName name="IQ_DPS_DET_EST_INCL" hidden="1">"c12342"</definedName>
    <definedName name="IQ_DPS_DET_EST_INCL_CIQ" hidden="1">"c12386"</definedName>
    <definedName name="IQ_DPS_DET_EST_INCL_THOM" hidden="1">"c12363"</definedName>
    <definedName name="IQ_DPS_DET_EST_ORIGIN" hidden="1">"c12578"</definedName>
    <definedName name="IQ_DPS_DET_EST_ORIGIN_CIQ" hidden="1">"c12627"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REUT" hidden="1">"c3851"</definedName>
    <definedName name="IQ_DPS_EST_THOM" hidden="1">"c4013"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EST_REUT" hidden="1">"c3853"</definedName>
    <definedName name="IQ_DPS_HIGH_EST_THOM" hidden="1">"c4015"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EST_REUT" hidden="1">"c3854"</definedName>
    <definedName name="IQ_DPS_LOW_EST_THOM" hidden="1">"c4016"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MEDIAN_EST_THOM" hidden="1">"c4014"</definedName>
    <definedName name="IQ_DPS_NUM_EST" hidden="1">"c1678"</definedName>
    <definedName name="IQ_DPS_NUM_EST_CIQ" hidden="1">"c3686"</definedName>
    <definedName name="IQ_DPS_NUM_EST_REUT" hidden="1">"c3855"</definedName>
    <definedName name="IQ_DPS_NUM_EST_THOM" hidden="1">"c4017"</definedName>
    <definedName name="IQ_DPS_STDDEV_EST" hidden="1">"c1679"</definedName>
    <definedName name="IQ_DPS_STDDEV_EST_CIQ" hidden="1">"c3687"</definedName>
    <definedName name="IQ_DPS_STDDEV_EST_REUT" hidden="1">"c3856"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REUT" hidden="1">"c5465"</definedName>
    <definedName name="IQ_EBIT_ACT_OR_EST_THOM" hidden="1">"c5303"</definedName>
    <definedName name="IQ_EBIT_DET_EST" hidden="1">"c12053"</definedName>
    <definedName name="IQ_EBIT_DET_EST_CIQ" hidden="1">"c12113"</definedName>
    <definedName name="IQ_EBIT_DET_EST_CURRENCY" hidden="1">"c12460"</definedName>
    <definedName name="IQ_EBIT_DET_EST_CURRENCY_CIQ" hidden="1">"c12504"</definedName>
    <definedName name="IQ_EBIT_DET_EST_CURRENCY_THOM" hidden="1">"c12481"</definedName>
    <definedName name="IQ_EBIT_DET_EST_DATE" hidden="1">"c12206"</definedName>
    <definedName name="IQ_EBIT_DET_EST_DATE_CIQ" hidden="1">"c12259"</definedName>
    <definedName name="IQ_EBIT_DET_EST_DATE_THOM" hidden="1">"c12232"</definedName>
    <definedName name="IQ_EBIT_DET_EST_INCL" hidden="1">"c12343"</definedName>
    <definedName name="IQ_EBIT_DET_EST_INCL_CIQ" hidden="1">"c12387"</definedName>
    <definedName name="IQ_EBIT_DET_EST_INCL_THOM" hidden="1">"c12364"</definedName>
    <definedName name="IQ_EBIT_DET_EST_ORIGIN" hidden="1">"c12579"</definedName>
    <definedName name="IQ_EBIT_DET_EST_ORIGIN_CIQ" hidden="1">"c12628"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 hidden="1">"c5333"</definedName>
    <definedName name="IQ_EBIT_EST_THOM" hidden="1">"c5105"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EST_THOM" hidden="1">"c5107"</definedName>
    <definedName name="IQ_EBIT_HIGH_GUIDANCE" hidden="1">"c4172"</definedName>
    <definedName name="IQ_EBIT_HIGH_GUIDANCE_CIQ" hidden="1">"c4584"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EST_THOM" hidden="1">"c5108"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MEDIAN_EST_THOM" hidden="1">"c5106"</definedName>
    <definedName name="IQ_EBIT_NUM_EST" hidden="1">"c1685"</definedName>
    <definedName name="IQ_EBIT_NUM_EST_CIQ" hidden="1">"c4678"</definedName>
    <definedName name="IQ_EBIT_NUM_EST_REUT" hidden="1">"c5337"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 hidden="1">"c5462"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IQ" hidden="1">"c12114"</definedName>
    <definedName name="IQ_EBITDA_DET_EST_CURRENCY" hidden="1">"c12461"</definedName>
    <definedName name="IQ_EBITDA_DET_EST_CURRENCY_CIQ" hidden="1">"c12505"</definedName>
    <definedName name="IQ_EBITDA_DET_EST_CURRENCY_THOM" hidden="1">"c12482"</definedName>
    <definedName name="IQ_EBITDA_DET_EST_DATE" hidden="1">"c12207"</definedName>
    <definedName name="IQ_EBITDA_DET_EST_DATE_CIQ" hidden="1">"c12260"</definedName>
    <definedName name="IQ_EBITDA_DET_EST_DATE_THOM" hidden="1">"c12233"</definedName>
    <definedName name="IQ_EBITDA_DET_EST_INCL" hidden="1">"c12344"</definedName>
    <definedName name="IQ_EBITDA_DET_EST_INCL_CIQ" hidden="1">"c12388"</definedName>
    <definedName name="IQ_EBITDA_DET_EST_INCL_THOM" hidden="1">"c12365"</definedName>
    <definedName name="IQ_EBITDA_DET_EST_ORIGIN" hidden="1">"c12580"</definedName>
    <definedName name="IQ_EBITDA_DET_EST_ORIGIN_CIQ" hidden="1">"c12629"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ST_THOM" hidden="1">"c3658"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EST_THOM" hidden="1">"c3660"</definedName>
    <definedName name="IQ_EBITDA_HIGH_GUIDANCE" hidden="1">"c4170"</definedName>
    <definedName name="IQ_EBITDA_HIGH_GUIDANCE_CIQ" hidden="1">"c4582"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EST_THOM" hidden="1">"c3661"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OTHER" hidden="1">"c15615"</definedName>
    <definedName name="IQ_ECS_NUM_SHAREHOLDERS_OTHER_ABS" hidden="1">"c15632"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CIQ" hidden="1">"c12104"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 hidden="1">"c5460"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IQ" hidden="1">"c13573"</definedName>
    <definedName name="IQ_EPS_DET_EST_CURRENCY" hidden="1">"c13583"</definedName>
    <definedName name="IQ_EPS_DET_EST_CURRENCY_CIQ" hidden="1">"c13585"</definedName>
    <definedName name="IQ_EPS_DET_EST_CURRENCY_THOM" hidden="1">"c12484"</definedName>
    <definedName name="IQ_EPS_DET_EST_DATE" hidden="1">"c13575"</definedName>
    <definedName name="IQ_EPS_DET_EST_DATE_CIQ" hidden="1">"c13577"</definedName>
    <definedName name="IQ_EPS_DET_EST_DATE_THOM" hidden="1">"c12235"</definedName>
    <definedName name="IQ_EPS_DET_EST_INCL" hidden="1">"c13587"</definedName>
    <definedName name="IQ_EPS_DET_EST_INCL_CIQ" hidden="1">"c13589"</definedName>
    <definedName name="IQ_EPS_DET_EST_INCL_THOM" hidden="1">"c12367"</definedName>
    <definedName name="IQ_EPS_DET_EST_ORIGIN" hidden="1">"c13579"</definedName>
    <definedName name="IQ_EPS_DET_EST_ORIGIN_CIQ" hidden="1">"c13581"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BOTTOM_UP_THOM" hidden="1">"c5647"</definedName>
    <definedName name="IQ_EPS_EST_CIQ" hidden="1">"c4994"</definedName>
    <definedName name="IQ_EPS_EST_REUT" hidden="1">"c5453"</definedName>
    <definedName name="IQ_EPS_EST_THOM" hidden="1">"c5290"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ROWTH_GUIDANCE" hidden="1">"c13495"</definedName>
    <definedName name="IQ_EPS_GROWTH_HIGH_GUIDANCE" hidden="1">"c13496"</definedName>
    <definedName name="IQ_EPS_GROWTH_LOW_GUIDANCE" hidden="1">"c13497"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DET_EST" hidden="1">"c12056"</definedName>
    <definedName name="IQ_EPS_GW_DET_EST_CIQ" hidden="1">"c12118"</definedName>
    <definedName name="IQ_EPS_GW_DET_EST_CURRENCY" hidden="1">"c12463"</definedName>
    <definedName name="IQ_EPS_GW_DET_EST_CURRENCY_CIQ" hidden="1">"c12509"</definedName>
    <definedName name="IQ_EPS_GW_DET_EST_CURRENCY_THOM" hidden="1">"c12485"</definedName>
    <definedName name="IQ_EPS_GW_DET_EST_DATE" hidden="1">"c12209"</definedName>
    <definedName name="IQ_EPS_GW_DET_EST_DATE_CIQ" hidden="1">"c12264"</definedName>
    <definedName name="IQ_EPS_GW_DET_EST_DATE_THOM" hidden="1">"c12236"</definedName>
    <definedName name="IQ_EPS_GW_DET_EST_INCL" hidden="1">"c12346"</definedName>
    <definedName name="IQ_EPS_GW_DET_EST_INCL_CIQ" hidden="1">"c12392"</definedName>
    <definedName name="IQ_EPS_GW_DET_EST_INCL_THOM" hidden="1">"c12368"</definedName>
    <definedName name="IQ_EPS_GW_DET_EST_ORIGIN" hidden="1">"c12582"</definedName>
    <definedName name="IQ_EPS_GW_DET_EST_ORIGIN_CIQ" hidden="1">"c12633"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REUT" hidden="1">"c5389"</definedName>
    <definedName name="IQ_EPS_GW_EST_THOM" hidden="1">"c5133"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EST_THOM" hidden="1">"c5135"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EST_THOM" hidden="1">"c5136"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REUT" hidden="1">"c5454"</definedName>
    <definedName name="IQ_EPS_HIGH_EST_THOM" hidden="1">"c5291"</definedName>
    <definedName name="IQ_EPS_LOW_EST" hidden="1">"c401"</definedName>
    <definedName name="IQ_EPS_LOW_EST_CIQ" hidden="1">"c4996"</definedName>
    <definedName name="IQ_EPS_LOW_EST_REUT" hidden="1">"c5455"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IQ" hidden="1">"c12120"</definedName>
    <definedName name="IQ_EPS_NORM_DET_EST_CURRENCY" hidden="1">"c12465"</definedName>
    <definedName name="IQ_EPS_NORM_DET_EST_CURRENCY_CIQ" hidden="1">"c12511"</definedName>
    <definedName name="IQ_EPS_NORM_DET_EST_DATE" hidden="1">"c12211"</definedName>
    <definedName name="IQ_EPS_NORM_DET_EST_DATE_CIQ" hidden="1">"c12266"</definedName>
    <definedName name="IQ_EPS_NORM_DET_EST_INCL" hidden="1">"c12348"</definedName>
    <definedName name="IQ_EPS_NORM_DET_EST_INCL_CIQ" hidden="1">"c12394"</definedName>
    <definedName name="IQ_EPS_NORM_DET_EST_ORIGIN" hidden="1">"c12583"</definedName>
    <definedName name="IQ_EPS_NORM_DET_EST_ORIGIN_CIQ" hidden="1">"c12635"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_ACT_OR_EST_THOM" hidden="1">"c5307"</definedName>
    <definedName name="IQ_EPS_REPORTED_DET_EST" hidden="1">"c12057"</definedName>
    <definedName name="IQ_EPS_REPORTED_DET_EST_CIQ" hidden="1">"c12119"</definedName>
    <definedName name="IQ_EPS_REPORTED_DET_EST_CURRENCY" hidden="1">"c12464"</definedName>
    <definedName name="IQ_EPS_REPORTED_DET_EST_CURRENCY_CIQ" hidden="1">"c12510"</definedName>
    <definedName name="IQ_EPS_REPORTED_DET_EST_CURRENCY_THOM" hidden="1">"c12486"</definedName>
    <definedName name="IQ_EPS_REPORTED_DET_EST_DATE" hidden="1">"c12210"</definedName>
    <definedName name="IQ_EPS_REPORTED_DET_EST_DATE_CIQ" hidden="1">"c12265"</definedName>
    <definedName name="IQ_EPS_REPORTED_DET_EST_DATE_THOM" hidden="1">"c12237"</definedName>
    <definedName name="IQ_EPS_REPORTED_DET_EST_INCL" hidden="1">"c12347"</definedName>
    <definedName name="IQ_EPS_REPORTED_DET_EST_INCL_CIQ" hidden="1">"c12393"</definedName>
    <definedName name="IQ_EPS_REPORTED_DET_EST_INCL_THOM" hidden="1">"c12369"</definedName>
    <definedName name="IQ_EPS_REPORTED_DET_EST_ORIGIN" hidden="1">"c12772"</definedName>
    <definedName name="IQ_EPS_REPORTED_DET_EST_ORIGIN_CIQ" hidden="1">"c12634"</definedName>
    <definedName name="IQ_EPS_REPORTED_DET_EST_ORIGIN_THOM" hidden="1">"c12607"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REUT" hidden="1">"c5396"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BV_SHARE_THOM" hidden="1">"c4026"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CFPS_THOM" hidden="1">"c4012"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DPS_THOM" hidden="1">"c4019"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ITDA_THOM" hidden="1">"c3998"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PORTED_THOM" hidden="1">"c5146"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EPS_THOM" hidden="1">"c5294"</definedName>
    <definedName name="IQ_EST_ACT_FFO" hidden="1">"c4407"</definedName>
    <definedName name="IQ_EST_ACT_FFO_ADJ" hidden="1">"c4406"</definedName>
    <definedName name="IQ_EST_ACT_FFO_ADJ_CIQ" hidden="1">"c4931"</definedName>
    <definedName name="IQ_EST_ACT_FFO_CIQ" hidden="1">"c4932"</definedName>
    <definedName name="IQ_EST_ACT_FFO_REUT" hidden="1">"c3843"</definedName>
    <definedName name="IQ_EST_ACT_FFO_SHARE" hidden="1">"c1666"</definedName>
    <definedName name="IQ_EST_ACT_FFO_SHARE_CIQ" hidden="1">"c3674"</definedName>
    <definedName name="IQ_EST_ACT_FFO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AV_THOM" hidden="1">"c5600"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ET_DEBT_THOM" hidden="1">"c4033"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NI_THOM" hidden="1">"c5132"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OPER_INC_THOM" hidden="1">"c5118"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INC_THOM" hidden="1">"c5125"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ASSETS_THOM" hidden="1">"c4040"</definedName>
    <definedName name="IQ_EST_ACT_RETURN_EQUITY" hidden="1">"c3548"</definedName>
    <definedName name="IQ_EST_ACT_RETURN_EQUITY_REUT" hidden="1">"c3989"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REUT" hidden="1">"c3835"</definedName>
    <definedName name="IQ_EST_ACT_REV_THOM" hidden="1">"c3997"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1YR_THOM" hidden="1">"c5542"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2YR_THOM" hidden="1">"c5543"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GROWTH_Q_1YR_THOM" hidden="1">"c5544"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EQ_GROWTH_Q_THOM" hidden="1">"c5545"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DIFF_THOM" hidden="1">"c5188"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1YR_THOM" hidden="1">"c5174"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2YR_THOM" hidden="1">"c5175"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GROWTH_Q_1YR_THOM" hidden="1">"c5176"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EQ_GROWTH_Q_THOM" hidden="1">"c5177"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REUT" hidden="1">"c5437"</definedName>
    <definedName name="IQ_EST_CURRENCY_THOM" hidden="1">"c5280"</definedName>
    <definedName name="IQ_EST_DATE" hidden="1">"c1634"</definedName>
    <definedName name="IQ_EST_DATE_CIQ" hidden="1">"c4770"</definedName>
    <definedName name="IQ_EST_DATE_REUT" hidden="1">"c5438"</definedName>
    <definedName name="IQ_EST_DATE_THOM" hidden="1">"c5281"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DIFF_REUT" hidden="1">"c3894"</definedName>
    <definedName name="IQ_EST_DPS_DIFF_THOM" hidden="1">"c5190"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1YR_THOM" hidden="1">"c5178"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2YR_THOM" hidden="1">"c5179"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GROWTH_Q_1YR_THOM" hidden="1">"c5180"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EQ_GROWTH_Q_THOM" hidden="1">"c5181"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DPS_SURPRISE_PERCENT_THOM" hidden="1">"c5191"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DIFF_THOM" hidden="1">"c5192"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GROWTH_Q_1YR_THOM" hidden="1">"c5163"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ITDA_SURPRISE_PERCENT_THOM" hidden="1">"c5185"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DIFF_REUT" hidden="1">"c5458"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NUM_THOM" hidden="1">"c5103"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REPORT_SURPRISE_PERCENT_THOM" hidden="1">"c5203"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"c4444"</definedName>
    <definedName name="IQ_EST_FFO_DIFF_CIQ" hidden="1">"c4969"</definedName>
    <definedName name="IQ_EST_FFO_DIFF_REUT" hidden="1">"c3890"</definedName>
    <definedName name="IQ_EST_FFO_DIFF_THOM" hidden="1">"c5186"</definedName>
    <definedName name="IQ_EST_FFO_GROWTH_1YR" hidden="1">"c4425"</definedName>
    <definedName name="IQ_EST_FFO_GROWTH_1YR_CIQ" hidden="1">"c4950"</definedName>
    <definedName name="IQ_EST_FFO_GROWTH_1YR_REUT" hidden="1">"c3874"</definedName>
    <definedName name="IQ_EST_FFO_GROWTH_1YR_THOM" hidden="1">"c5170"</definedName>
    <definedName name="IQ_EST_FFO_GROWTH_2YR" hidden="1">"c4426"</definedName>
    <definedName name="IQ_EST_FFO_GROWTH_2YR_CIQ" hidden="1">"c4951"</definedName>
    <definedName name="IQ_EST_FFO_GROWTH_2YR_REUT" hidden="1">"c3875"</definedName>
    <definedName name="IQ_EST_FFO_GROWTH_2YR_THOM" hidden="1">"c5171"</definedName>
    <definedName name="IQ_EST_FFO_GROWTH_Q_1YR" hidden="1">"c4427"</definedName>
    <definedName name="IQ_EST_FFO_GROWTH_Q_1YR_CIQ" hidden="1">"c4952"</definedName>
    <definedName name="IQ_EST_FFO_GROWTH_Q_1YR_REUT" hidden="1">"c3876"</definedName>
    <definedName name="IQ_EST_FFO_GROWTH_Q_1YR_THOM" hidden="1">"c5172"</definedName>
    <definedName name="IQ_EST_FFO_SEQ_GROWTH_Q" hidden="1">"c4428"</definedName>
    <definedName name="IQ_EST_FFO_SEQ_GROWTH_Q_CIQ" hidden="1">"c4953"</definedName>
    <definedName name="IQ_EST_FFO_SEQ_GROWTH_Q_REUT" hidden="1">"c3877"</definedName>
    <definedName name="IQ_EST_FFO_SEQ_GROWTH_Q_THOM" hidden="1">"c5173"</definedName>
    <definedName name="IQ_EST_FFO_SHARE_DIFF" hidden="1">"c1869"</definedName>
    <definedName name="IQ_EST_FFO_SHARE_DIFF_CIQ" hidden="1">"c3721"</definedName>
    <definedName name="IQ_EST_FFO_SHARE_GROWTH_1YR" hidden="1">"c1770"</definedName>
    <definedName name="IQ_EST_FFO_SHARE_GROWTH_1YR_CIQ" hidden="1">"c3705"</definedName>
    <definedName name="IQ_EST_FFO_SHARE_GROWTH_2YR" hidden="1">"c1771"</definedName>
    <definedName name="IQ_EST_FFO_SHARE_GROWTH_2YR_CIQ" hidden="1">"c3706"</definedName>
    <definedName name="IQ_EST_FFO_SHARE_GROWTH_Q_1YR" hidden="1">"c1772"</definedName>
    <definedName name="IQ_EST_FFO_SHARE_GROWTH_Q_1YR_CIQ" hidden="1">"c3707"</definedName>
    <definedName name="IQ_EST_FFO_SHARE_SEQ_GROWTH_Q" hidden="1">"c1773"</definedName>
    <definedName name="IQ_EST_FFO_SHARE_SEQ_GROWTH_Q_CIQ" hidden="1">"c3708"</definedName>
    <definedName name="IQ_EST_FFO_SHARE_SURPRISE_PERCENT" hidden="1">"c1870"</definedName>
    <definedName name="IQ_EST_FFO_SHARE_SURPRISE_PERCENT_CIQ" hidden="1">"c3722"</definedName>
    <definedName name="IQ_EST_FFO_SURPRISE_PERCENT" hidden="1">"c4453"</definedName>
    <definedName name="IQ_EST_FFO_SURPRISE_PERCENT_CIQ" hidden="1">"c4982"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FOOTNOTE_THOM" hidden="1">"c5313"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DIFF_REUT" hidden="1">"c5423"</definedName>
    <definedName name="IQ_EST_NI_DIFF_THOM" hidden="1">"c5198"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DIFF_THOM" hidden="1">"c5194"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OPER_INC_SURPRISE_PERCENT_THOM" hidden="1">"c5195"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DIFF_THOM" hidden="1">"c5196"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PRE_TAX_SURPRISE_PERCENT_THOM" hidden="1">"c5197"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DIFF_REUT" hidden="1">"c3886"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SOLD" hidden="1">"c2256"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DILUTED" hidden="1">"c16186"</definedName>
    <definedName name="IQ_FFO_EST" hidden="1">"c4445"</definedName>
    <definedName name="IQ_FFO_EST_CIQ" hidden="1">"c4970"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THOM" hidden="1">"c12487"</definedName>
    <definedName name="IQ_FFO_EST_DET_EST_DATE" hidden="1">"c12212"</definedName>
    <definedName name="IQ_FFO_EST_DET_EST_DATE_CIQ" hidden="1">"c12267"</definedName>
    <definedName name="IQ_FFO_EST_DET_EST_DATE_THOM" hidden="1">"c12238"</definedName>
    <definedName name="IQ_FFO_EST_DET_EST_INCL" hidden="1">"c12349"</definedName>
    <definedName name="IQ_FFO_EST_DET_EST_INCL_CIQ" hidden="1">"c12395"</definedName>
    <definedName name="IQ_FFO_EST_DET_EST_INCL_THOM" hidden="1">"c12370"</definedName>
    <definedName name="IQ_FFO_EST_DET_EST_ORIGIN" hidden="1">"c12722"</definedName>
    <definedName name="IQ_FFO_EST_DET_EST_ORIGIN_CIQ" hidden="1">"c12720"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HIGH_EST" hidden="1">"c4448"</definedName>
    <definedName name="IQ_FFO_HIGH_EST_CIQ" hidden="1">"c4977"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LOW_EST" hidden="1">"c4449"</definedName>
    <definedName name="IQ_FFO_LOW_EST_CIQ" hidden="1">"c4978"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MEDIAN_EST" hidden="1">"c4450"</definedName>
    <definedName name="IQ_FFO_MEDIAN_EST_CIQ" hidden="1">"c4979"</definedName>
    <definedName name="IQ_FFO_MEDIAN_EST_REUT" hidden="1">"c3838"</definedName>
    <definedName name="IQ_FFO_MEDIAN_EST_THOM" hidden="1">"c4000"</definedName>
    <definedName name="IQ_FFO_NUM_EST" hidden="1">"c4451"</definedName>
    <definedName name="IQ_FFO_NUM_EST_CIQ" hidden="1">"c4980"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CIQ" hidden="1">"c3668"</definedName>
    <definedName name="IQ_FFO_SHARE_EST_DET_EST" hidden="1">"c12059"</definedName>
    <definedName name="IQ_FFO_SHARE_EST_DET_EST_CIQ" hidden="1">"c12121"</definedName>
    <definedName name="IQ_FFO_SHARE_EST_DET_EST_CURRENCY" hidden="1">"c12466"</definedName>
    <definedName name="IQ_FFO_SHARE_EST_DET_EST_CURRENCY_CIQ" hidden="1">"c12512"</definedName>
    <definedName name="IQ_FFO_SHARE_EST_DET_EST_DATE" hidden="1">"c12212"</definedName>
    <definedName name="IQ_FFO_SHARE_EST_DET_EST_DATE_CIQ" hidden="1">"c12267"</definedName>
    <definedName name="IQ_FFO_SHARE_EST_DET_EST_INCL" hidden="1">"c12349"</definedName>
    <definedName name="IQ_FFO_SHARE_EST_DET_EST_INCL_CIQ" hidden="1">"c12395"</definedName>
    <definedName name="IQ_FFO_SHARE_EST_DET_EST_ORIGIN" hidden="1">"c12722"</definedName>
    <definedName name="IQ_FFO_SHARE_EST_DET_EST_ORIGIN_CIQ" hidden="1">"c12720"</definedName>
    <definedName name="IQ_FFO_SHARE_GUIDANCE" hidden="1">"c4447"</definedName>
    <definedName name="IQ_FFO_SHARE_GUIDANCE_CIQ" hidden="1">"c4976"</definedName>
    <definedName name="IQ_FFO_SHARE_HIGH_EST" hidden="1">"c419"</definedName>
    <definedName name="IQ_FFO_SHARE_HIGH_EST_CIQ" hidden="1">"c3670"</definedName>
    <definedName name="IQ_FFO_SHARE_HIGH_GUIDANCE" hidden="1">"c4203"</definedName>
    <definedName name="IQ_FFO_SHARE_HIGH_GUIDANCE_CIQ" hidden="1">"c4615"</definedName>
    <definedName name="IQ_FFO_SHARE_LOW_EST" hidden="1">"c420"</definedName>
    <definedName name="IQ_FFO_SHARE_LOW_EST_CIQ" hidden="1">"c3671"</definedName>
    <definedName name="IQ_FFO_SHARE_LOW_GUIDANCE" hidden="1">"c4243"</definedName>
    <definedName name="IQ_FFO_SHARE_LOW_GUIDANCE_CIQ" hidden="1">"c4655"</definedName>
    <definedName name="IQ_FFO_SHARE_MEDIAN_EST" hidden="1">"c1665"</definedName>
    <definedName name="IQ_FFO_SHARE_MEDIAN_EST_CIQ" hidden="1">"c3669"</definedName>
    <definedName name="IQ_FFO_SHARE_NUM_EST" hidden="1">"c421"</definedName>
    <definedName name="IQ_FFO_SHARE_NUM_EST_CIQ" hidden="1">"c3672"</definedName>
    <definedName name="IQ_FFO_SHARE_SHARE_EST_DET_EST" hidden="1">"c12059"</definedName>
    <definedName name="IQ_FFO_SHARE_SHARE_EST_DET_EST_CIQ" hidden="1">"c12121"</definedName>
    <definedName name="IQ_FFO_SHARE_SHARE_EST_DET_EST_CURRENCY" hidden="1">"c12466"</definedName>
    <definedName name="IQ_FFO_SHARE_SHARE_EST_DET_EST_CURRENCY_CIQ" hidden="1">"c12512"</definedName>
    <definedName name="IQ_FFO_SHARE_SHARE_EST_DET_EST_DATE" hidden="1">"c12212"</definedName>
    <definedName name="IQ_FFO_SHARE_SHARE_EST_DET_EST_DATE_CIQ" hidden="1">"c12267"</definedName>
    <definedName name="IQ_FFO_SHARE_SHARE_EST_DET_EST_INCL" hidden="1">"c12349"</definedName>
    <definedName name="IQ_FFO_SHARE_SHARE_EST_DET_EST_INCL_CIQ" hidden="1">"c12395"</definedName>
    <definedName name="IQ_FFO_SHARE_SHARE_EST_DET_EST_ORIGIN" hidden="1">"c12722"</definedName>
    <definedName name="IQ_FFO_SHARE_SHARE_EST_DET_EST_ORIGIN_CIQ" hidden="1">"c12720"</definedName>
    <definedName name="IQ_FFO_SHARE_STDDEV_EST" hidden="1">"c422"</definedName>
    <definedName name="IQ_FFO_SHARE_STDDEV_EST_CIQ" hidden="1">"c3673"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" hidden="1">"c4981"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DEPOSITS_FDIC" hidden="1">"c6487"</definedName>
    <definedName name="IQ_FUND_FEE_INC_NON_INT_INC_FFIEC" hidden="1">"c13493"</definedName>
    <definedName name="IQ_FUND_NAV" hidden="1">"c15225"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TYPE" hidden="1">"c15223"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DIRECT_FAX" hidden="1">"c15189"</definedName>
    <definedName name="IQ_INDIVIDUAL_DIRECT_PHONE" hidden="1">"c15188"</definedName>
    <definedName name="IQ_INDIVIDUAL_EDUCATION" hidden="1">"c15203"</definedName>
    <definedName name="IQ_INDIVIDUAL_EMAIL" hidden="1">"c15193"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MAIN_FAX" hidden="1">"c15187"</definedName>
    <definedName name="IQ_INDIVIDUAL_MAIN_PHONE" hidden="1">"c15186"</definedName>
    <definedName name="IQ_INDIVIDUAL_MOBILE" hidden="1">"c15198"</definedName>
    <definedName name="IQ_INDIVIDUAL_NICKNAME" hidden="1">"c15192"</definedName>
    <definedName name="IQ_INDIVIDUAL_NOTES" hidden="1">"c15204"</definedName>
    <definedName name="IQ_INDIVIDUAL_OFFICE_ADDRESS" hidden="1">"c15185"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SPECIALTY" hidden="1">"c15190"</definedName>
    <definedName name="IQ_INDIVIDUAL_TITLE" hidden="1">"c15183"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CIQ" hidden="1">"c12122"</definedName>
    <definedName name="IQ_LT_GROWTH_DET_EST_DATE" hidden="1">"c12213"</definedName>
    <definedName name="IQ_LT_GROWTH_DET_EST_DATE_CIQ" hidden="1">"c12268"</definedName>
    <definedName name="IQ_LT_GROWTH_DET_EST_DATE_THOM" hidden="1">"c12240"</definedName>
    <definedName name="IQ_LT_GROWTH_DET_EST_INCL" hidden="1">"c12350"</definedName>
    <definedName name="IQ_LT_GROWTH_DET_EST_INCL_CIQ" hidden="1">"c12396"</definedName>
    <definedName name="IQ_LT_GROWTH_DET_EST_INCL_THOM" hidden="1">"c12372"</definedName>
    <definedName name="IQ_LT_GROWTH_DET_EST_ORIGIN" hidden="1">"c12725"</definedName>
    <definedName name="IQ_LT_GROWTH_DET_EST_ORIGIN_CIQ" hidden="1">"c12721"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CIPAL_INVEST_SECURITIES_FFIEC" hidden="1">"c13459"</definedName>
    <definedName name="IQ_NAMES_REVISION_DATE_" hidden="1">40641.4102314815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ACT_OR_EST_CIQ" hidden="1">"c12038"</definedName>
    <definedName name="IQ_NAV_SHARE_ACT_OR_EST_REUT" hidden="1">"c5623"</definedName>
    <definedName name="IQ_NAV_SHARE_DET_EST_CIQ" hidden="1">"c12123"</definedName>
    <definedName name="IQ_NAV_SHARE_DET_EST_CURRENCY_CIQ" hidden="1">"c12514"</definedName>
    <definedName name="IQ_NAV_SHARE_DET_EST_DATE_CIQ" hidden="1">"c12269"</definedName>
    <definedName name="IQ_NAV_SHARE_DET_EST_INCL_CIQ" hidden="1">"c12397"</definedName>
    <definedName name="IQ_NAV_SHARE_DET_EST_ORIGIN" hidden="1">"c12585"</definedName>
    <definedName name="IQ_NAV_SHARE_DET_EST_ORIGIN_CIQ" hidden="1">"c12638"</definedName>
    <definedName name="IQ_NAV_SHARE_DET_EST_ORIGIN_THOM" hidden="1">"c12611"</definedName>
    <definedName name="IQ_NAV_SHARE_EST" hidden="1">"c5609"</definedName>
    <definedName name="IQ_NAV_SHARE_EST_CIQ" hidden="1">"c12032"</definedName>
    <definedName name="IQ_NAV_SHARE_EST_REUT" hidden="1">"c5617"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RE" hidden="1">"c16011"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REUT" hidden="1">"c5473"</definedName>
    <definedName name="IQ_NET_DEBT_ACT_OR_EST_THOM" hidden="1">"c5309"</definedName>
    <definedName name="IQ_NET_DEBT_DET_EST" hidden="1">"c12061"</definedName>
    <definedName name="IQ_NET_DEBT_DET_EST_CIQ" hidden="1">"c12124"</definedName>
    <definedName name="IQ_NET_DEBT_DET_EST_CURRENCY" hidden="1">"c12468"</definedName>
    <definedName name="IQ_NET_DEBT_DET_EST_CURRENCY_CIQ" hidden="1">"c12515"</definedName>
    <definedName name="IQ_NET_DEBT_DET_EST_CURRENCY_THOM" hidden="1">"c12491"</definedName>
    <definedName name="IQ_NET_DEBT_DET_EST_DATE" hidden="1">"c12214"</definedName>
    <definedName name="IQ_NET_DEBT_DET_EST_DATE_CIQ" hidden="1">"c12270"</definedName>
    <definedName name="IQ_NET_DEBT_DET_EST_DATE_THOM" hidden="1">"c12242"</definedName>
    <definedName name="IQ_NET_DEBT_DET_EST_INCL" hidden="1">"c12351"</definedName>
    <definedName name="IQ_NET_DEBT_DET_EST_INCL_CIQ" hidden="1">"c12398"</definedName>
    <definedName name="IQ_NET_DEBT_DET_EST_INCL_THOM" hidden="1">"c12374"</definedName>
    <definedName name="IQ_NET_DEBT_DET_EST_ORIGIN" hidden="1">"c12586"</definedName>
    <definedName name="IQ_NET_DEBT_DET_EST_ORIGIN_CIQ" hidden="1">"c12639"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 hidden="1">"c3976"</definedName>
    <definedName name="IQ_NET_DEBT_EST_THOM" hidden="1">"c4027"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EST_THOM" hidden="1">"c4029"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EST_THOM" hidden="1">"c4030"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MEDIAN_EST_THOM" hidden="1">"c4028"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NUM_EST_THOM" hidden="1">"c4031"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REUT" hidden="1">"c5468"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IQ" hidden="1">"c12125"</definedName>
    <definedName name="IQ_NI_DET_EST_CURRENCY" hidden="1">"c12469"</definedName>
    <definedName name="IQ_NI_DET_EST_CURRENCY_CIQ" hidden="1">"c12516"</definedName>
    <definedName name="IQ_NI_DET_EST_CURRENCY_THOM" hidden="1">"c12492"</definedName>
    <definedName name="IQ_NI_DET_EST_DATE" hidden="1">"c12215"</definedName>
    <definedName name="IQ_NI_DET_EST_DATE_CIQ" hidden="1">"c12271"</definedName>
    <definedName name="IQ_NI_DET_EST_DATE_THOM" hidden="1">"c12243"</definedName>
    <definedName name="IQ_NI_DET_EST_INCL" hidden="1">"c12352"</definedName>
    <definedName name="IQ_NI_DET_EST_INCL_CIQ" hidden="1">"c12399"</definedName>
    <definedName name="IQ_NI_DET_EST_INCL_THOM" hidden="1">"c12375"</definedName>
    <definedName name="IQ_NI_DET_EST_ORIGIN" hidden="1">"c12587"</definedName>
    <definedName name="IQ_NI_DET_EST_ORIGIN_CIQ" hidden="1">"c12640"</definedName>
    <definedName name="IQ_NI_DET_EST_ORIGIN_THOM" hidden="1">"c12613"</definedName>
    <definedName name="IQ_NI_DET_EST_THOM" hidden="1">"c12093"</definedName>
    <definedName name="IQ_NI_EST" hidden="1">"c1716"</definedName>
    <definedName name="IQ_NI_EST_CIQ" hidden="1">"c4702"</definedName>
    <definedName name="IQ_NI_EST_REUT" hidden="1">"c5368"</definedName>
    <definedName name="IQ_NI_EST_THOM" hidden="1">"c5126"</definedName>
    <definedName name="IQ_NI_FFIEC" hidden="1">"c13034"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DET_EST" hidden="1">"c12063"</definedName>
    <definedName name="IQ_NI_GW_DET_EST_CIQ" hidden="1">"c12126"</definedName>
    <definedName name="IQ_NI_GW_DET_EST_CURRENCY" hidden="1">"c12470"</definedName>
    <definedName name="IQ_NI_GW_DET_EST_CURRENCY_CIQ" hidden="1">"c12517"</definedName>
    <definedName name="IQ_NI_GW_DET_EST_DATE" hidden="1">"c12216"</definedName>
    <definedName name="IQ_NI_GW_DET_EST_DATE_CIQ" hidden="1">"c12272"</definedName>
    <definedName name="IQ_NI_GW_DET_EST_INCL" hidden="1">"c12353"</definedName>
    <definedName name="IQ_NI_GW_DET_EST_INCL_CIQ" hidden="1">"c12400"</definedName>
    <definedName name="IQ_NI_GW_DET_EST_ORIGIN_CIQ" hidden="1">"c12641"</definedName>
    <definedName name="IQ_NI_GW_EST" hidden="1">"c1723"</definedName>
    <definedName name="IQ_NI_GW_EST_CIQ" hidden="1">"c4709"</definedName>
    <definedName name="IQ_NI_GW_EST_REUT" hidden="1">"c5375"</definedName>
    <definedName name="IQ_NI_GW_GUIDANCE" hidden="1">"c4471"</definedName>
    <definedName name="IQ_NI_GW_GUIDANCE_CIQ" hidden="1">"c5009"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GUIDANCE" hidden="1">"c4178"</definedName>
    <definedName name="IQ_NI_GW_HIGH_GUIDANCE_CIQ" hidden="1">"c4590"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GUIDANCE" hidden="1">"c4218"</definedName>
    <definedName name="IQ_NI_GW_LOW_GUIDANCE_CIQ" hidden="1">"c4630"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NUM_EST" hidden="1">"c1727"</definedName>
    <definedName name="IQ_NI_GW_NUM_EST_CIQ" hidden="1">"c4713"</definedName>
    <definedName name="IQ_NI_GW_NUM_EST_REUT" hidden="1">"c5379"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HIGH_EST" hidden="1">"c1718"</definedName>
    <definedName name="IQ_NI_HIGH_EST_CIQ" hidden="1">"c4704"</definedName>
    <definedName name="IQ_NI_HIGH_EST_REUT" hidden="1">"c5370"</definedName>
    <definedName name="IQ_NI_HIGH_EST_THOM" hidden="1">"c5128"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EST_REUT" hidden="1">"c5371"</definedName>
    <definedName name="IQ_NI_LOW_EST_THOM" hidden="1">"c5129"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NUM_EST_THOM" hidden="1">"c5130"</definedName>
    <definedName name="IQ_NI_REPORTED_DET_EST_CIQ" hidden="1">"c12127"</definedName>
    <definedName name="IQ_NI_REPORTED_DET_EST_CURRENCY_CIQ" hidden="1">"c12518"</definedName>
    <definedName name="IQ_NI_REPORTED_DET_EST_DATE_CIQ" hidden="1">"c12273"</definedName>
    <definedName name="IQ_NI_REPORTED_DET_EST_INCL_CIQ" hidden="1">"c12401"</definedName>
    <definedName name="IQ_NI_REPORTED_DET_EST_ORIGIN" hidden="1">"c12588"</definedName>
    <definedName name="IQ_NI_REPORTED_DET_EST_ORIGIN_CIQ" hidden="1">"c12642"</definedName>
    <definedName name="IQ_NI_REPORTED_EST" hidden="1">"c1730"</definedName>
    <definedName name="IQ_NI_REPORTED_EST_CIQ" hidden="1">"c4716"</definedName>
    <definedName name="IQ_NI_REPORTED_EST_REUT" hidden="1">"c5382"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IQ" hidden="1">"c12128"</definedName>
    <definedName name="IQ_OPER_INC_DET_EST_CIQ_CURRENCY_CIQ" hidden="1">"c12519"</definedName>
    <definedName name="IQ_OPER_INC_DET_EST_CIQ_INCL_INCL_CIQ" hidden="1">"c12402"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CIQ" hidden="1">"c12274"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CIQ" hidden="1">"c12643"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CIQ" hidden="1">"c12010"</definedName>
    <definedName name="IQ_OPER_INC_EST_REUT" hidden="1">"c5340"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MEDIAN_EST_THOM" hidden="1">"c5113"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G_FWD_THOM" hidden="1">"c4059"</definedName>
    <definedName name="IQ_PENETRATION_BASIC_CABLE" hidden="1">"c2850"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5YR_GROWTH_RATE_WEEK_THOM" hidden="1">"c5277"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2MONTHS_THOM" hidden="1">"c5234"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18MONTHS_THOM" hidden="1">"c5235"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3MONTHS_THOM" hidden="1">"c5231"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6MONTHS_THOM" hidden="1">"c5232"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9MONTHS_THOM" hidden="1">"c5233"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DAY_THOM" hidden="1">"c5229"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MONTH_THOM" hidden="1">"c5230"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CFPS_WEEK_THOM" hidden="1">"c5272"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2MONTHS_THOM" hidden="1">"c5241"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18MONTHS_THOM" hidden="1">"c5242"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3MONTHS_THOM" hidden="1">"c5238"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6MONTHS_THOM" hidden="1">"c5239"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9MONTHS_THOM" hidden="1">"c5240"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DAY_THOM" hidden="1">"c5236"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MONTH_THOM" hidden="1">"c5237"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EPS_WEEK_THOM" hidden="1">"c5207"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12MONTHS" hidden="1">"c1828"</definedName>
    <definedName name="IQ_PERCENT_CHANGE_EST_FFO_SHARE_12MONTHS_CIQ" hidden="1">"c3769"</definedName>
    <definedName name="IQ_PERCENT_CHANGE_EST_FFO_SHARE_18MONTHS" hidden="1">"c1829"</definedName>
    <definedName name="IQ_PERCENT_CHANGE_EST_FFO_SHARE_18MONTHS_CIQ" hidden="1">"c3770"</definedName>
    <definedName name="IQ_PERCENT_CHANGE_EST_FFO_SHARE_3MONTHS" hidden="1">"c1825"</definedName>
    <definedName name="IQ_PERCENT_CHANGE_EST_FFO_SHARE_3MONTHS_CIQ" hidden="1">"c3766"</definedName>
    <definedName name="IQ_PERCENT_CHANGE_EST_FFO_SHARE_6MONTHS" hidden="1">"c1826"</definedName>
    <definedName name="IQ_PERCENT_CHANGE_EST_FFO_SHARE_6MONTHS_CIQ" hidden="1">"c3767"</definedName>
    <definedName name="IQ_PERCENT_CHANGE_EST_FFO_SHARE_9MONTHS" hidden="1">"c1827"</definedName>
    <definedName name="IQ_PERCENT_CHANGE_EST_FFO_SHARE_9MONTHS_CIQ" hidden="1">"c3768"</definedName>
    <definedName name="IQ_PERCENT_CHANGE_EST_FFO_SHARE_DAY" hidden="1">"c1822"</definedName>
    <definedName name="IQ_PERCENT_CHANGE_EST_FFO_SHARE_DAY_CIQ" hidden="1">"c3764"</definedName>
    <definedName name="IQ_PERCENT_CHANGE_EST_FFO_SHARE_MONTH" hidden="1">"c1824"</definedName>
    <definedName name="IQ_PERCENT_CHANGE_EST_FFO_SHARE_MONTH_CIQ" hidden="1">"c3765"</definedName>
    <definedName name="IQ_PERCENT_CHANGE_EST_FFO_SHARE_SHARE_12MONTHS" hidden="1">"c1828"</definedName>
    <definedName name="IQ_PERCENT_CHANGE_EST_FFO_SHARE_SHARE_12MONTHS_CIQ" hidden="1">"c3769"</definedName>
    <definedName name="IQ_PERCENT_CHANGE_EST_FFO_SHARE_SHARE_18MONTHS" hidden="1">"c1829"</definedName>
    <definedName name="IQ_PERCENT_CHANGE_EST_FFO_SHARE_SHARE_18MONTHS_CIQ" hidden="1">"c3770"</definedName>
    <definedName name="IQ_PERCENT_CHANGE_EST_FFO_SHARE_SHARE_3MONTHS" hidden="1">"c1825"</definedName>
    <definedName name="IQ_PERCENT_CHANGE_EST_FFO_SHARE_SHARE_3MONTHS_CIQ" hidden="1">"c3766"</definedName>
    <definedName name="IQ_PERCENT_CHANGE_EST_FFO_SHARE_SHARE_6MONTHS" hidden="1">"c1826"</definedName>
    <definedName name="IQ_PERCENT_CHANGE_EST_FFO_SHARE_SHARE_6MONTHS_CIQ" hidden="1">"c3767"</definedName>
    <definedName name="IQ_PERCENT_CHANGE_EST_FFO_SHARE_SHARE_9MONTHS" hidden="1">"c1827"</definedName>
    <definedName name="IQ_PERCENT_CHANGE_EST_FFO_SHARE_SHARE_9MONTHS_CIQ" hidden="1">"c3768"</definedName>
    <definedName name="IQ_PERCENT_CHANGE_EST_FFO_SHARE_SHARE_DAY" hidden="1">"c1822"</definedName>
    <definedName name="IQ_PERCENT_CHANGE_EST_FFO_SHARE_SHARE_DAY_CIQ" hidden="1">"c3764"</definedName>
    <definedName name="IQ_PERCENT_CHANGE_EST_FFO_SHARE_SHARE_MONTH" hidden="1">"c1824"</definedName>
    <definedName name="IQ_PERCENT_CHANGE_EST_FFO_SHARE_SHARE_MONTH_CIQ" hidden="1">"c3765"</definedName>
    <definedName name="IQ_PERCENT_CHANGE_EST_FFO_SHARE_SHARE_WEEK" hidden="1">"c1823"</definedName>
    <definedName name="IQ_PERCENT_CHANGE_EST_FFO_SHARE_SHARE_WEEK_CIQ" hidden="1">"c3795"</definedName>
    <definedName name="IQ_PERCENT_CHANGE_EST_FFO_SHARE_WEEK" hidden="1">"c1823"</definedName>
    <definedName name="IQ_PERCENT_CHANGE_EST_FFO_SHARE_WEEK_CIQ" hidden="1">"c3795"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REUT" hidden="1">"c3966"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CHANGE_EST_REV_WEEK_THOM" hidden="1">"c5215"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REUT" hidden="1">"c5467"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DET_EST_CIQ" hidden="1">"c12116"</definedName>
    <definedName name="IQ_PRETAX_GW_INC_DET_EST_CURRENCY_CIQ" hidden="1">"c12507"</definedName>
    <definedName name="IQ_PRETAX_GW_INC_DET_EST_DATE_CIQ" hidden="1">"c12262"</definedName>
    <definedName name="IQ_PRETAX_GW_INC_DET_EST_INCL_CIQ" hidden="1">"c12390"</definedName>
    <definedName name="IQ_PRETAX_GW_INC_DET_EST_ORIGIN_CIQ" hidden="1">"c12631"</definedName>
    <definedName name="IQ_PRETAX_GW_INC_EST" hidden="1">"c1702"</definedName>
    <definedName name="IQ_PRETAX_GW_INC_EST_CIQ" hidden="1">"c4688"</definedName>
    <definedName name="IQ_PRETAX_GW_INC_EST_REUT" hidden="1">"c5354"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IQ" hidden="1">"c12115"</definedName>
    <definedName name="IQ_PRETAX_INC_DET_EST_CURRENCY" hidden="1">"c12462"</definedName>
    <definedName name="IQ_PRETAX_INC_DET_EST_CURRENCY_CIQ" hidden="1">"c12506"</definedName>
    <definedName name="IQ_PRETAX_INC_DET_EST_CURRENCY_THOM" hidden="1">"c12483"</definedName>
    <definedName name="IQ_PRETAX_INC_DET_EST_DATE" hidden="1">"c12208"</definedName>
    <definedName name="IQ_PRETAX_INC_DET_EST_DATE_CIQ" hidden="1">"c12261"</definedName>
    <definedName name="IQ_PRETAX_INC_DET_EST_DATE_THOM" hidden="1">"c12234"</definedName>
    <definedName name="IQ_PRETAX_INC_DET_EST_INCL" hidden="1">"c12345"</definedName>
    <definedName name="IQ_PRETAX_INC_DET_EST_INCL_CIQ" hidden="1">"c12389"</definedName>
    <definedName name="IQ_PRETAX_INC_DET_EST_INCL_THOM" hidden="1">"c12366"</definedName>
    <definedName name="IQ_PRETAX_INC_DET_EST_ORIGIN" hidden="1">"c12771"</definedName>
    <definedName name="IQ_PRETAX_INC_DET_EST_ORIGIN_CIQ" hidden="1">"c12630"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CIQ" hidden="1">"c4681"</definedName>
    <definedName name="IQ_PRETAX_INC_EST_REUT" hidden="1">"c5347"</definedName>
    <definedName name="IQ_PRETAX_INC_EST_THOM" hidden="1">"c5119"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HIGH_EST_THOM" hidden="1">"c5121"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LOW_EST_THOM" hidden="1">"c5122"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MEDIAN_EST_THOM" hidden="1">"c5120"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NUM_EST_THOM" hidden="1">"c5123"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INC_STDDEV_EST_THOM" hidden="1">"c5124"</definedName>
    <definedName name="IQ_PRETAX_OPERATING_INC_AVG_ASSETS_FFIEC" hidden="1">"c13365"</definedName>
    <definedName name="IQ_PRETAX_REPORT_INC_DET_EST_CIQ" hidden="1">"c12117"</definedName>
    <definedName name="IQ_PRETAX_REPORT_INC_DET_EST_CURRENCY_CIQ" hidden="1">"c12508"</definedName>
    <definedName name="IQ_PRETAX_REPORT_INC_DET_EST_DATE_CIQ" hidden="1">"c12263"</definedName>
    <definedName name="IQ_PRETAX_REPORT_INC_DET_EST_INCL_CIQ" hidden="1">"c12391"</definedName>
    <definedName name="IQ_PRETAX_REPORT_INC_DET_EST_ORIGIN_CIQ" hidden="1">"c12719"</definedName>
    <definedName name="IQ_PRETAX_REPORT_INC_EST" hidden="1">"c1709"</definedName>
    <definedName name="IQ_PRETAX_REPORT_INC_EST_CIQ" hidden="1">"c4695"</definedName>
    <definedName name="IQ_PRETAX_REPORT_INC_EST_REUT" hidden="1">"c5361"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DIRECT_FAX" hidden="1">"c15166"</definedName>
    <definedName name="IQ_PROFESSIONAL_DIRECT_PHONE" hidden="1">"c15165"</definedName>
    <definedName name="IQ_PROFESSIONAL_EMAIL" hidden="1">"c15167"</definedName>
    <definedName name="IQ_PROFESSIONAL_ID" hidden="1">"c13755"</definedName>
    <definedName name="IQ_PROFESSIONAL_MAIN_FAX" hidden="1">"c15164"</definedName>
    <definedName name="IQ_PROFESSIONAL_MAIN_PHONE" hidden="1">"c15163"</definedName>
    <definedName name="IQ_PROFESSIONAL_OFFICE_ADDRESS" hidden="1">"c15162"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CIQ" hidden="1">"c12130"</definedName>
    <definedName name="IQ_RETURN_ASSETS_DET_EST_DATE" hidden="1">"c12219"</definedName>
    <definedName name="IQ_RETURN_ASSETS_DET_EST_DATE_CIQ" hidden="1">"c12276"</definedName>
    <definedName name="IQ_RETURN_ASSETS_DET_EST_DATE_THOM" hidden="1">"c12247"</definedName>
    <definedName name="IQ_RETURN_ASSETS_DET_EST_INCL" hidden="1">"c12356"</definedName>
    <definedName name="IQ_RETURN_ASSETS_DET_EST_INCL_CIQ" hidden="1">"c12404"</definedName>
    <definedName name="IQ_RETURN_ASSETS_DET_EST_INCL_THOM" hidden="1">"c12379"</definedName>
    <definedName name="IQ_RETURN_ASSETS_DET_EST_ORIGIN" hidden="1">"c12591"</definedName>
    <definedName name="IQ_RETURN_ASSETS_DET_EST_ORIGIN_CIQ" hidden="1">"c12645"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CIQ" hidden="1">"c3828"</definedName>
    <definedName name="IQ_RETURN_ASSETS_EST_REUT" hidden="1">"c3990"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EST_THOM" hidden="1">"c4036"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EST_THOM" hidden="1">"c4037"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MEDIAN_EST_THOM" hidden="1">"c4035"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NUM_EST_THOM" hidden="1">"c4038"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CIQ" hidden="1">"c12131"</definedName>
    <definedName name="IQ_RETURN_EQUITY_DET_EST_DATE" hidden="1">"c12220"</definedName>
    <definedName name="IQ_RETURN_EQUITY_DET_EST_DATE_CIQ" hidden="1">"c12277"</definedName>
    <definedName name="IQ_RETURN_EQUITY_DET_EST_DATE_THOM" hidden="1">"c12248"</definedName>
    <definedName name="IQ_RETURN_EQUITY_DET_EST_INCL" hidden="1">"c12357"</definedName>
    <definedName name="IQ_RETURN_EQUITY_DET_EST_INCL_CIQ" hidden="1">"c12405"</definedName>
    <definedName name="IQ_RETURN_EQUITY_DET_EST_INCL_THOM" hidden="1">"c12380"</definedName>
    <definedName name="IQ_RETURN_EQUITY_DET_EST_ORIGIN" hidden="1">"c12592"</definedName>
    <definedName name="IQ_RETURN_EQUITY_DET_EST_ORIGIN_CIQ" hidden="1">"c12646"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CIQ" hidden="1">"c3821"</definedName>
    <definedName name="IQ_RETURN_EQUITY_EST_REUT" hidden="1">"c3983"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EST_THOM" hidden="1">"c5283"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EST_THOM" hidden="1">"c5284"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MEDIAN_EST_THOM" hidden="1">"c5282"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NUM_EST_THOM" hidden="1">"c5285"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IQ" hidden="1">"c12129"</definedName>
    <definedName name="IQ_REV_DET_EST_CURRENCY" hidden="1">"c12472"</definedName>
    <definedName name="IQ_REV_DET_EST_CURRENCY_CIQ" hidden="1">"c12520"</definedName>
    <definedName name="IQ_REV_DET_EST_CURRENCY_THOM" hidden="1">"c12495"</definedName>
    <definedName name="IQ_REV_DET_EST_DATE" hidden="1">"c12218"</definedName>
    <definedName name="IQ_REV_DET_EST_DATE_CIQ" hidden="1">"c12275"</definedName>
    <definedName name="IQ_REV_DET_EST_DATE_THOM" hidden="1">"c12246"</definedName>
    <definedName name="IQ_REV_DET_EST_INCL" hidden="1">"c12355"</definedName>
    <definedName name="IQ_REV_DET_EST_INCL_CIQ" hidden="1">"c12403"</definedName>
    <definedName name="IQ_REV_DET_EST_INCL_THOM" hidden="1">"c12378"</definedName>
    <definedName name="IQ_REV_DET_EST_ORIGIN" hidden="1">"c12590"</definedName>
    <definedName name="IQ_REV_DET_EST_ORIGIN_CIQ" hidden="1">"c12644"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REUT" hidden="1">"c5461"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REUT" hidden="1">"c3634"</definedName>
    <definedName name="IQ_REVENUE_EST_THOM" hidden="1">"c3652"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EST_THOM" hidden="1">"c3654"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EST_THOM" hidden="1">"c3655"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ISION_DATE_" hidden="1">40106.2992939815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FIC_ALLOWANCE" hidden="1">"c15247"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CIQ" hidden="1">"c12133"</definedName>
    <definedName name="IQ_STAND_REC_DET_EST_DATE" hidden="1">"c12222"</definedName>
    <definedName name="IQ_STAND_REC_DET_EST_DATE_CIQ" hidden="1">"c12279"</definedName>
    <definedName name="IQ_STAND_REC_DET_EST_DATE_THOM" hidden="1">"c12250"</definedName>
    <definedName name="IQ_STAND_REC_DET_EST_ORIGIN" hidden="1">"c12594"</definedName>
    <definedName name="IQ_STAND_REC_DET_EST_ORIGIN_CIQ" hidden="1">"c12648"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CIQ" hidden="1">"c12132"</definedName>
    <definedName name="IQ_STAND_REC_NUM_DET_EST_DATE" hidden="1">"c12221"</definedName>
    <definedName name="IQ_STAND_REC_NUM_DET_EST_DATE_CIQ" hidden="1">"c12278"</definedName>
    <definedName name="IQ_STAND_REC_NUM_DET_EST_DATE_THOM" hidden="1">"c12249"</definedName>
    <definedName name="IQ_STAND_REC_NUM_DET_EST_ORIGIN" hidden="1">"c12593"</definedName>
    <definedName name="IQ_STAND_REC_NUM_DET_EST_ORIGIN_CIQ" hidden="1">"c12647"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"c2857"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IQ" hidden="1">"c12134"</definedName>
    <definedName name="IQ_TARGET_PRICE_DET_EST_CURRENCY" hidden="1">"c12475"</definedName>
    <definedName name="IQ_TARGET_PRICE_DET_EST_CURRENCY_CIQ" hidden="1">"c12523"</definedName>
    <definedName name="IQ_TARGET_PRICE_DET_EST_CURRENCY_THOM" hidden="1">"c12498"</definedName>
    <definedName name="IQ_TARGET_PRICE_DET_EST_DATE" hidden="1">"c12223"</definedName>
    <definedName name="IQ_TARGET_PRICE_DET_EST_DATE_CIQ" hidden="1">"c12280"</definedName>
    <definedName name="IQ_TARGET_PRICE_DET_EST_DATE_THOM" hidden="1">"c12251"</definedName>
    <definedName name="IQ_TARGET_PRICE_DET_EST_INCL" hidden="1">"c12358"</definedName>
    <definedName name="IQ_TARGET_PRICE_DET_EST_INCL_CIQ" hidden="1">"c12406"</definedName>
    <definedName name="IQ_TARGET_PRICE_DET_EST_INCL_THOM" hidden="1">"c12381"</definedName>
    <definedName name="IQ_TARGET_PRICE_DET_EST_ORIGIN" hidden="1">"c12729"</definedName>
    <definedName name="IQ_TARGET_PRICE_DET_EST_ORIGIN_CIQ" hidden="1">"c12730"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BITDA_FWD_THOM" hidden="1">"c4057"</definedName>
    <definedName name="IQ_TEV_EMPLOYEE_AVG" hidden="1">"c1225"</definedName>
    <definedName name="IQ_TEV_EST" hidden="1">"c4526"</definedName>
    <definedName name="IQ_TEV_EST_CIQ" hidden="1">"c5079"</definedName>
    <definedName name="IQ_TEV_EST_THOM" hidden="1">"c5529"</definedName>
    <definedName name="IQ_TEV_HIGH_EST" hidden="1">"c4527"</definedName>
    <definedName name="IQ_TEV_HIGH_EST_CIQ" hidden="1">"c5080"</definedName>
    <definedName name="IQ_TEV_HIGH_EST_THOM" hidden="1">"c5530"</definedName>
    <definedName name="IQ_TEV_LOW_EST" hidden="1">"c4528"</definedName>
    <definedName name="IQ_TEV_LOW_EST_CIQ" hidden="1">"c5081"</definedName>
    <definedName name="IQ_TEV_LOW_EST_THOM" hidden="1">"c5531"</definedName>
    <definedName name="IQ_TEV_MEDIAN_EST" hidden="1">"c4529"</definedName>
    <definedName name="IQ_TEV_MEDIAN_EST_CIQ" hidden="1">"c5082"</definedName>
    <definedName name="IQ_TEV_MEDIAN_EST_THOM" hidden="1">"c5532"</definedName>
    <definedName name="IQ_TEV_NUM_EST" hidden="1">"c4530"</definedName>
    <definedName name="IQ_TEV_NUM_EST_CIQ" hidden="1">"c5083"</definedName>
    <definedName name="IQ_TEV_NUM_EST_THOM" hidden="1">"c5533"</definedName>
    <definedName name="IQ_TEV_STDDEV_EST" hidden="1">"c4531"</definedName>
    <definedName name="IQ_TEV_STDDEV_EST_CIQ" hidden="1">"c5084"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"c15789"</definedName>
    <definedName name="IQ_VOICE_SUB_TOTAL_HOMES_PASSED" hidden="1">"c15770"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LE" localSheetId="5">#REF!</definedName>
    <definedName name="ISLE" localSheetId="2">#REF!</definedName>
    <definedName name="ISLE">#REF!</definedName>
    <definedName name="ISLE_CONS00" localSheetId="5">#REF!</definedName>
    <definedName name="ISLE_CONS00" localSheetId="2">#REF!</definedName>
    <definedName name="ISLE_CONS00">#REF!</definedName>
    <definedName name="ISLE_CONS01" localSheetId="5">#REF!</definedName>
    <definedName name="ISLE_CONS01" localSheetId="2">#REF!</definedName>
    <definedName name="ISLE_CONS01">#REF!</definedName>
    <definedName name="ISLE_CONS99" localSheetId="5">#REF!</definedName>
    <definedName name="ISLE_CONS99" localSheetId="2">#REF!</definedName>
    <definedName name="ISLE_CONS99">#REF!</definedName>
    <definedName name="ISLE_CONSENSUS" localSheetId="5">#REF!</definedName>
    <definedName name="ISLE_CONSENSUS" localSheetId="2">#REF!</definedName>
    <definedName name="ISLE_CONSENSUS">#REF!</definedName>
    <definedName name="jnj" localSheetId="5">[36]DATA!#REF!</definedName>
    <definedName name="jnj" localSheetId="2">[36]DATA!#REF!</definedName>
    <definedName name="jnj">[36]DATA!#REF!</definedName>
    <definedName name="JQH">'[24]THE LINK FOR ALL'!$B$47</definedName>
    <definedName name="JQH_CONS00" localSheetId="5">#REF!</definedName>
    <definedName name="JQH_CONS00" localSheetId="2">#REF!</definedName>
    <definedName name="JQH_CONS00">#REF!</definedName>
    <definedName name="JQH_CONS01" localSheetId="5">#REF!</definedName>
    <definedName name="JQH_CONS01" localSheetId="2">#REF!</definedName>
    <definedName name="JQH_CONS01">#REF!</definedName>
    <definedName name="JQH_CONS99" localSheetId="5">#REF!</definedName>
    <definedName name="JQH_CONS99" localSheetId="2">#REF!</definedName>
    <definedName name="JQH_CONS99">#REF!</definedName>
    <definedName name="Kd" localSheetId="5">[15]WACC_VDF!#REF!</definedName>
    <definedName name="Kd" localSheetId="2">[15]WACC_VDF!#REF!</definedName>
    <definedName name="Kd">[15]WACC_VDF!#REF!</definedName>
    <definedName name="Ke">[15]WACC_VDF!$D$11</definedName>
    <definedName name="Keliximab" localSheetId="5">[12]Sales!#REF!</definedName>
    <definedName name="Keliximab" localSheetId="2">[12]Sales!#REF!</definedName>
    <definedName name="Keliximab">[12]Sales!#REF!</definedName>
    <definedName name="Kytril">[12]Sales!$A$46:$AG$46</definedName>
    <definedName name="l" localSheetId="5">[7]NOPAT_VDF!#REF!</definedName>
    <definedName name="l" localSheetId="2">[7]NOPAT_VDF!#REF!</definedName>
    <definedName name="l">[7]NOPAT_VDF!#REF!</definedName>
    <definedName name="Latin_Amercia" localSheetId="5">#REF!</definedName>
    <definedName name="Latin_Amercia" localSheetId="2">#REF!</definedName>
    <definedName name="Latin_Amercia">#REF!</definedName>
    <definedName name="LaunchDate">[37]Inputs!$C$2</definedName>
    <definedName name="LaunchYear_YYYY">YEAR(LaunchDate)</definedName>
    <definedName name="Lavanex">[12]Sales!$A$108:$AG$108</definedName>
    <definedName name="Lawrcbg_own_pct" localSheetId="5">#REF!</definedName>
    <definedName name="Lawrcbg_own_pct" localSheetId="2">#REF!</definedName>
    <definedName name="Lawrcbg_own_pct">#REF!</definedName>
    <definedName name="lipi01" localSheetId="5">'[4]Qtr. Product Sales'!#REF!</definedName>
    <definedName name="lipi01" localSheetId="2">'[4]Qtr. Product Sales'!#REF!</definedName>
    <definedName name="lipi01">'[4]Qtr. Product Sales'!#REF!</definedName>
    <definedName name="lipi02" localSheetId="5">'[4]Qtr. Product Sales'!#REF!</definedName>
    <definedName name="lipi02" localSheetId="2">'[4]Qtr. Product Sales'!#REF!</definedName>
    <definedName name="lipi02">'[4]Qtr. Product Sales'!#REF!</definedName>
    <definedName name="LLYEPS1">'[26]quarterly income'!$AJ$36</definedName>
    <definedName name="LLYEPS2">'[26]quarterly income'!$AO$36</definedName>
    <definedName name="lnk_ccy_asreported" localSheetId="5">#REF!</definedName>
    <definedName name="lnk_ccy_asreported" localSheetId="2">#REF!</definedName>
    <definedName name="lnk_ccy_asreported">#REF!</definedName>
    <definedName name="lnk_CoName" localSheetId="4" hidden="1">#REF!</definedName>
    <definedName name="lnk_CoName" localSheetId="5" hidden="1">#REF!</definedName>
    <definedName name="lnk_CoName" localSheetId="2" hidden="1">#REF!</definedName>
    <definedName name="lnk_CoName" hidden="1">#REF!</definedName>
    <definedName name="lnk_countryID" localSheetId="4" hidden="1">#REF!</definedName>
    <definedName name="lnk_countryID" localSheetId="5" hidden="1">#REF!</definedName>
    <definedName name="lnk_countryID" localSheetId="2" hidden="1">#REF!</definedName>
    <definedName name="lnk_countryID" hidden="1">#REF!</definedName>
    <definedName name="lnk_cpyID" localSheetId="4" hidden="1">#REF!</definedName>
    <definedName name="lnk_cpyID" localSheetId="5" hidden="1">#REF!</definedName>
    <definedName name="lnk_cpyID" localSheetId="2" hidden="1">#REF!</definedName>
    <definedName name="lnk_cpyID" hidden="1">#REF!</definedName>
    <definedName name="lnk_display_Currency" localSheetId="4" hidden="1">#REF!</definedName>
    <definedName name="lnk_display_Currency" localSheetId="5" hidden="1">#REF!</definedName>
    <definedName name="lnk_display_Currency" localSheetId="2" hidden="1">#REF!</definedName>
    <definedName name="lnk_display_Currency" hidden="1">#REF!</definedName>
    <definedName name="lnk_drate_update" localSheetId="4" hidden="1">#REF!</definedName>
    <definedName name="lnk_drate_update" localSheetId="5" hidden="1">#REF!</definedName>
    <definedName name="lnk_drate_update" localSheetId="2" hidden="1">#REF!</definedName>
    <definedName name="lnk_drate_update" hidden="1">#REF!</definedName>
    <definedName name="lnk_IndustryType" localSheetId="4" hidden="1">#REF!</definedName>
    <definedName name="lnk_IndustryType" localSheetId="5" hidden="1">#REF!</definedName>
    <definedName name="lnk_IndustryType" localSheetId="2" hidden="1">#REF!</definedName>
    <definedName name="lnk_IndustryType" hidden="1">#REF!</definedName>
    <definedName name="lnk_LastFiscalYear" localSheetId="4" hidden="1">#REF!</definedName>
    <definedName name="lnk_LastFiscalYear" localSheetId="5" hidden="1">#REF!</definedName>
    <definedName name="lnk_LastFiscalYear" localSheetId="2" hidden="1">#REF!</definedName>
    <definedName name="lnk_LastFiscalYear" hidden="1">#REF!</definedName>
    <definedName name="lnk_lfy_rolled" localSheetId="5">#REF!</definedName>
    <definedName name="lnk_lfy_rolled" localSheetId="2">#REF!</definedName>
    <definedName name="lnk_lfy_rolled">#REF!</definedName>
    <definedName name="lnk_numForecastYears" localSheetId="4" hidden="1">#REF!</definedName>
    <definedName name="lnk_numForecastYears" localSheetId="5" hidden="1">#REF!</definedName>
    <definedName name="lnk_numForecastYears" localSheetId="2" hidden="1">#REF!</definedName>
    <definedName name="lnk_numForecastYears" hidden="1">#REF!</definedName>
    <definedName name="lnk_numHistoricalYears" localSheetId="4" hidden="1">#REF!</definedName>
    <definedName name="lnk_numHistoricalYears" localSheetId="5" hidden="1">#REF!</definedName>
    <definedName name="lnk_numHistoricalYears" localSheetId="2" hidden="1">#REF!</definedName>
    <definedName name="lnk_numHistoricalYears" hidden="1">#REF!</definedName>
    <definedName name="lnk_Print_Area" localSheetId="4" hidden="1">#REF!</definedName>
    <definedName name="lnk_Print_Area" localSheetId="5" hidden="1">#REF!</definedName>
    <definedName name="lnk_Print_Area" localSheetId="2" hidden="1">#REF!</definedName>
    <definedName name="lnk_Print_Area" hidden="1">#REF!</definedName>
    <definedName name="lnk_rData_Start_Result" localSheetId="4" hidden="1">#REF!</definedName>
    <definedName name="lnk_rData_Start_Result" localSheetId="5" hidden="1">#REF!</definedName>
    <definedName name="lnk_rData_Start_Result" localSheetId="2" hidden="1">#REF!</definedName>
    <definedName name="lnk_rData_Start_Result" hidden="1">#REF!</definedName>
    <definedName name="lnk_rDataStart" localSheetId="4" hidden="1">#REF!</definedName>
    <definedName name="lnk_rDataStart" localSheetId="5" hidden="1">#REF!</definedName>
    <definedName name="lnk_rDataStart" localSheetId="2" hidden="1">#REF!</definedName>
    <definedName name="lnk_rDataStart" hidden="1">#REF!</definedName>
    <definedName name="lnk_rSourceFore" localSheetId="4" hidden="1">#REF!</definedName>
    <definedName name="lnk_rSourceFore" localSheetId="5" hidden="1">#REF!</definedName>
    <definedName name="lnk_rSourceFore" localSheetId="2" hidden="1">#REF!</definedName>
    <definedName name="lnk_rSourceFore" hidden="1">#REF!</definedName>
    <definedName name="lnk_rSourceFore1st" localSheetId="4" hidden="1">#REF!</definedName>
    <definedName name="lnk_rSourceFore1st" localSheetId="5" hidden="1">#REF!</definedName>
    <definedName name="lnk_rSourceFore1st" localSheetId="2" hidden="1">#REF!</definedName>
    <definedName name="lnk_rSourceFore1st" hidden="1">#REF!</definedName>
    <definedName name="lnk_rSourceHist" localSheetId="4" hidden="1">#REF!</definedName>
    <definedName name="lnk_rSourceHist" localSheetId="5" hidden="1">#REF!</definedName>
    <definedName name="lnk_rSourceHist" localSheetId="2" hidden="1">#REF!</definedName>
    <definedName name="lnk_rSourceHist" hidden="1">#REF!</definedName>
    <definedName name="lnk_rYearRow" localSheetId="4" hidden="1">#REF!</definedName>
    <definedName name="lnk_rYearRow" localSheetId="5" hidden="1">#REF!</definedName>
    <definedName name="lnk_rYearRow" localSheetId="2" hidden="1">#REF!</definedName>
    <definedName name="lnk_rYearRow" hidden="1">#REF!</definedName>
    <definedName name="lnk_rYearRow_Result" localSheetId="4" hidden="1">#REF!</definedName>
    <definedName name="lnk_rYearRow_Result" localSheetId="5" hidden="1">#REF!</definedName>
    <definedName name="lnk_rYearRow_Result" localSheetId="2" hidden="1">#REF!</definedName>
    <definedName name="lnk_rYearRow_Result" hidden="1">#REF!</definedName>
    <definedName name="lnk_ScenarioName" localSheetId="4" hidden="1">#REF!</definedName>
    <definedName name="lnk_ScenarioName" localSheetId="5" hidden="1">#REF!</definedName>
    <definedName name="lnk_ScenarioName" localSheetId="2" hidden="1">#REF!</definedName>
    <definedName name="lnk_ScenarioName" hidden="1">#REF!</definedName>
    <definedName name="lnk_TICK" localSheetId="4" hidden="1">#REF!</definedName>
    <definedName name="lnk_TICK" localSheetId="5" hidden="1">#REF!</definedName>
    <definedName name="lnk_TICK" localSheetId="2" hidden="1">#REF!</definedName>
    <definedName name="lnk_TICK" hidden="1">#REF!</definedName>
    <definedName name="lnk_update" localSheetId="4" hidden="1">#REF!</definedName>
    <definedName name="lnk_update" localSheetId="5" hidden="1">#REF!</definedName>
    <definedName name="lnk_update" localSheetId="2" hidden="1">#REF!</definedName>
    <definedName name="lnk_update" hidden="1">#REF!</definedName>
    <definedName name="lnk_version" localSheetId="4" hidden="1">#REF!</definedName>
    <definedName name="lnk_version" localSheetId="5" hidden="1">#REF!</definedName>
    <definedName name="lnk_version" localSheetId="2" hidden="1">#REF!</definedName>
    <definedName name="lnk_version" hidden="1">#REF!</definedName>
    <definedName name="Loan_Loss_Provision_fore" localSheetId="5">#REF!</definedName>
    <definedName name="Loan_Loss_Provision_fore" localSheetId="2">#REF!</definedName>
    <definedName name="Loan_Loss_Provision_fore">#REF!</definedName>
    <definedName name="LOD">'[24]THE LINK FOR ALL'!$B$48</definedName>
    <definedName name="LOD_CONS00" localSheetId="5">#REF!</definedName>
    <definedName name="LOD_CONS00" localSheetId="2">#REF!</definedName>
    <definedName name="LOD_CONS00">#REF!</definedName>
    <definedName name="LOD_CONS01" localSheetId="5">#REF!</definedName>
    <definedName name="LOD_CONS01" localSheetId="2">#REF!</definedName>
    <definedName name="LOD_CONS01">#REF!</definedName>
    <definedName name="LOD_CONS99" localSheetId="5">#REF!</definedName>
    <definedName name="LOD_CONS99" localSheetId="2">#REF!</definedName>
    <definedName name="LOD_CONS99">#REF!</definedName>
    <definedName name="LODGING_PD" localSheetId="5">#REF!</definedName>
    <definedName name="LODGING_PD" localSheetId="2">#REF!</definedName>
    <definedName name="LODGING_PD">#REF!</definedName>
    <definedName name="Long_term_debt" localSheetId="4">'[13]Annual Model'!#REF!</definedName>
    <definedName name="Long_term_debt" localSheetId="5">'[13]Annual Model'!#REF!</definedName>
    <definedName name="Long_term_debt" localSheetId="2">'[13]Annual Model'!#REF!</definedName>
    <definedName name="Long_term_debt">'[13]Annual Model'!#REF!</definedName>
    <definedName name="Long_Term_Rev_Growth" localSheetId="5">#REF!</definedName>
    <definedName name="Long_Term_Rev_Growth" localSheetId="2">#REF!</definedName>
    <definedName name="Long_Term_Rev_Growth">#REF!</definedName>
    <definedName name="LT_debt">'[1]Quarterly Product Sales'!$A$595:$IV$595</definedName>
    <definedName name="LT_debt_growth_fore" localSheetId="5">#REF!</definedName>
    <definedName name="LT_debt_growth_fore" localSheetId="2">#REF!</definedName>
    <definedName name="LT_debt_growth_fore">#REF!</definedName>
    <definedName name="LVMH" localSheetId="5">#REF!</definedName>
    <definedName name="LVMH" localSheetId="2">#REF!</definedName>
    <definedName name="LVMH">#REF!</definedName>
    <definedName name="LVMH_CONS00">'[24]THE LINK FOR ALL'!$F$27</definedName>
    <definedName name="LVMH_CONS01">'[24]THE LINK FOR ALL'!$G$27</definedName>
    <definedName name="LVMH_CONS99" localSheetId="5">#REF!</definedName>
    <definedName name="LVMH_CONS99" localSheetId="2">#REF!</definedName>
    <definedName name="LVMH_CONS99">#REF!</definedName>
    <definedName name="LVMHY">'[24]THE LINK FOR ALL'!$B$55</definedName>
    <definedName name="Lwrcbg_mgmt_fee" localSheetId="5">#REF!</definedName>
    <definedName name="Lwrcbg_mgmt_fee" localSheetId="2">#REF!</definedName>
    <definedName name="Lwrcbg_mgmt_fee">#REF!</definedName>
    <definedName name="Lyme_Disease">[12]Sales!$A$87:$AG$87</definedName>
    <definedName name="M_PlaceofPath" hidden="1">"\\SNYCEQT0100\HOME\DANDERS\COMPANY\IGT\IGT_VDF.xls"</definedName>
    <definedName name="MACROS" localSheetId="5">#REF!</definedName>
    <definedName name="MACROS" localSheetId="2">#REF!</definedName>
    <definedName name="MACROS">#REF!</definedName>
    <definedName name="Maint_Cap_Exp">[23]ProForma!$A$133:$IV$133</definedName>
    <definedName name="MAR">'[24]THE LINK FOR ALL'!$B$49</definedName>
    <definedName name="MAR_00EA" localSheetId="5">#REF!</definedName>
    <definedName name="MAR_00EA" localSheetId="2">#REF!</definedName>
    <definedName name="MAR_00EA">#REF!</definedName>
    <definedName name="MAR_00EPS" localSheetId="5">#REF!</definedName>
    <definedName name="MAR_00EPS" localSheetId="2">#REF!</definedName>
    <definedName name="MAR_00EPS">#REF!</definedName>
    <definedName name="MAR_01EA" localSheetId="5">#REF!</definedName>
    <definedName name="MAR_01EA" localSheetId="2">#REF!</definedName>
    <definedName name="MAR_01EA">#REF!</definedName>
    <definedName name="MAR_01EPS" localSheetId="5">#REF!</definedName>
    <definedName name="MAR_01EPS" localSheetId="2">#REF!</definedName>
    <definedName name="MAR_01EPS">#REF!</definedName>
    <definedName name="MAR_02EA" localSheetId="5">#REF!</definedName>
    <definedName name="MAR_02EA" localSheetId="2">#REF!</definedName>
    <definedName name="MAR_02EA">#REF!</definedName>
    <definedName name="MAR_02EPS" localSheetId="5">#REF!</definedName>
    <definedName name="MAR_02EPS" localSheetId="2">#REF!</definedName>
    <definedName name="MAR_02EPS">#REF!</definedName>
    <definedName name="MAR_99EA" localSheetId="5">#REF!</definedName>
    <definedName name="MAR_99EA" localSheetId="2">#REF!</definedName>
    <definedName name="MAR_99EA">#REF!</definedName>
    <definedName name="MAR_99EPS" localSheetId="5">#REF!</definedName>
    <definedName name="MAR_99EPS" localSheetId="2">#REF!</definedName>
    <definedName name="MAR_99EPS">#REF!</definedName>
    <definedName name="MAR_CONS00" localSheetId="5">#REF!</definedName>
    <definedName name="MAR_CONS00" localSheetId="2">#REF!</definedName>
    <definedName name="MAR_CONS00">#REF!</definedName>
    <definedName name="MAR_CONS01" localSheetId="5">#REF!</definedName>
    <definedName name="MAR_CONS01" localSheetId="2">#REF!</definedName>
    <definedName name="MAR_CONS01">#REF!</definedName>
    <definedName name="MAR_CONS99" localSheetId="5">#REF!</definedName>
    <definedName name="MAR_CONS99" localSheetId="2">#REF!</definedName>
    <definedName name="MAR_CONS99">#REF!</definedName>
    <definedName name="MAR_EA01" localSheetId="5">#REF!</definedName>
    <definedName name="MAR_EA01" localSheetId="2">#REF!</definedName>
    <definedName name="MAR_EA01">#REF!</definedName>
    <definedName name="MAR_Rating">'[16]Industry (2)'!$D$7</definedName>
    <definedName name="MAR_Target">'[16]Industry (2)'!$C$7</definedName>
    <definedName name="MARGINS_1997_EBIT" localSheetId="5">#REF!</definedName>
    <definedName name="MARGINS_1997_EBIT" localSheetId="2">#REF!</definedName>
    <definedName name="MARGINS_1997_EBIT">#REF!</definedName>
    <definedName name="MARGINS_1998_EBIT" localSheetId="5">#REF!</definedName>
    <definedName name="MARGINS_1998_EBIT" localSheetId="2">#REF!</definedName>
    <definedName name="MARGINS_1998_EBIT">#REF!</definedName>
    <definedName name="MARGINS_1999_EBIT" localSheetId="5">#REF!</definedName>
    <definedName name="MARGINS_1999_EBIT" localSheetId="2">#REF!</definedName>
    <definedName name="MARGINS_1999_EBIT">#REF!</definedName>
    <definedName name="MARGINS_2000_EBIT" localSheetId="5">#REF!</definedName>
    <definedName name="MARGINS_2000_EBIT" localSheetId="2">#REF!</definedName>
    <definedName name="MARGINS_2000_EBIT">#REF!</definedName>
    <definedName name="MARGINS_2001_EBIT" localSheetId="5">#REF!</definedName>
    <definedName name="MARGINS_2001_EBIT" localSheetId="2">#REF!</definedName>
    <definedName name="MARGINS_2001_EBIT">#REF!</definedName>
    <definedName name="MARGINS_2002_EBIT" localSheetId="5">#REF!</definedName>
    <definedName name="MARGINS_2002_EBIT" localSheetId="2">#REF!</definedName>
    <definedName name="MARGINS_2002_EBIT">#REF!</definedName>
    <definedName name="MARGINS_2003_EBIT" localSheetId="5">#REF!</definedName>
    <definedName name="MARGINS_2003_EBIT" localSheetId="2">#REF!</definedName>
    <definedName name="MARGINS_2003_EBIT">#REF!</definedName>
    <definedName name="MARGINS_2004_EBIT" localSheetId="5">#REF!</definedName>
    <definedName name="MARGINS_2004_EBIT" localSheetId="2">#REF!</definedName>
    <definedName name="MARGINS_2004_EBIT">#REF!</definedName>
    <definedName name="MARGINS_2005_EBIT" localSheetId="5">#REF!</definedName>
    <definedName name="MARGINS_2005_EBIT" localSheetId="2">#REF!</definedName>
    <definedName name="MARGINS_2005_EBIT">#REF!</definedName>
    <definedName name="MARGINS_2006_EBIT" localSheetId="5">#REF!</definedName>
    <definedName name="MARGINS_2006_EBIT" localSheetId="2">#REF!</definedName>
    <definedName name="MARGINS_2006_EBIT">#REF!</definedName>
    <definedName name="market_cap" localSheetId="5">#REF!</definedName>
    <definedName name="market_cap" localSheetId="2">#REF!</definedName>
    <definedName name="market_cap">#REF!</definedName>
    <definedName name="Market_capitalization" localSheetId="5">'[15]Summary Page_VDF'!#REF!</definedName>
    <definedName name="Market_capitalization" localSheetId="2">'[15]Summary Page_VDF'!#REF!</definedName>
    <definedName name="Market_capitalization">'[15]Summary Page_VDF'!#REF!</definedName>
    <definedName name="MBG">[35]Prices!$B$13</definedName>
    <definedName name="MBG_00Ea" localSheetId="5">#REF!</definedName>
    <definedName name="MBG_00Ea" localSheetId="2">#REF!</definedName>
    <definedName name="MBG_00Ea">#REF!</definedName>
    <definedName name="MBG_00EPS" localSheetId="5">#REF!</definedName>
    <definedName name="MBG_00EPS" localSheetId="2">#REF!</definedName>
    <definedName name="MBG_00EPS">#REF!</definedName>
    <definedName name="MBG_01Ea" localSheetId="5">#REF!</definedName>
    <definedName name="MBG_01Ea" localSheetId="2">#REF!</definedName>
    <definedName name="MBG_01Ea">#REF!</definedName>
    <definedName name="MBG_01EPS" localSheetId="5">#REF!</definedName>
    <definedName name="MBG_01EPS" localSheetId="2">#REF!</definedName>
    <definedName name="MBG_01EPS">#REF!</definedName>
    <definedName name="MBG_99Ea" localSheetId="5">#REF!</definedName>
    <definedName name="MBG_99Ea" localSheetId="2">#REF!</definedName>
    <definedName name="MBG_99Ea">#REF!</definedName>
    <definedName name="MBG_99EPS" localSheetId="5">#REF!</definedName>
    <definedName name="MBG_99EPS" localSheetId="2">#REF!</definedName>
    <definedName name="MBG_99EPS">#REF!</definedName>
    <definedName name="MBG_Rating">[16]Industry!$D$12</definedName>
    <definedName name="MBG_Target">[16]Industry!$C$12</definedName>
    <definedName name="MC" localSheetId="5">#REF!</definedName>
    <definedName name="MC" localSheetId="2">#REF!</definedName>
    <definedName name="MC">#REF!</definedName>
    <definedName name="mcs03g.ReqArray" localSheetId="4">{"Price","FDX","TS1/TS132","D","0","0","V"}</definedName>
    <definedName name="mcs03g.ReqArray">{"Price","FDX","TS1/TS132","D","0","0","V"}</definedName>
    <definedName name="medc01" localSheetId="5">'[38]Qtr. Product Sales'!#REF!</definedName>
    <definedName name="medc01" localSheetId="2">'[38]Qtr. Product Sales'!#REF!</definedName>
    <definedName name="medc01">'[38]Qtr. Product Sales'!#REF!</definedName>
    <definedName name="medc02" localSheetId="5">'[38]Qtr. Product Sales'!#REF!</definedName>
    <definedName name="medc02" localSheetId="2">'[38]Qtr. Product Sales'!#REF!</definedName>
    <definedName name="medc02">'[38]Qtr. Product Sales'!#REF!</definedName>
    <definedName name="medco00" localSheetId="5">'[38]Annual Product Sales'!#REF!</definedName>
    <definedName name="medco00" localSheetId="2">'[38]Annual Product Sales'!#REF!</definedName>
    <definedName name="medco00">'[38]Annual Product Sales'!#REF!</definedName>
    <definedName name="medco01" localSheetId="5">'[38]Annual Product Sales'!#REF!</definedName>
    <definedName name="medco01" localSheetId="2">'[38]Annual Product Sales'!#REF!</definedName>
    <definedName name="medco01">'[38]Annual Product Sales'!#REF!</definedName>
    <definedName name="medco02" localSheetId="5">'[38]Annual Product Sales'!#REF!</definedName>
    <definedName name="medco02" localSheetId="2">'[38]Annual Product Sales'!#REF!</definedName>
    <definedName name="medco02">'[38]Annual Product Sales'!#REF!</definedName>
    <definedName name="medco03" localSheetId="5">'[38]Annual Product Sales'!#REF!</definedName>
    <definedName name="medco03" localSheetId="2">'[38]Annual Product Sales'!#REF!</definedName>
    <definedName name="medco03">'[38]Annual Product Sales'!#REF!</definedName>
    <definedName name="medco04" localSheetId="5">'[38]Annual Product Sales'!#REF!</definedName>
    <definedName name="medco04" localSheetId="2">'[38]Annual Product Sales'!#REF!</definedName>
    <definedName name="medco04">'[38]Annual Product Sales'!#REF!</definedName>
    <definedName name="medco99" localSheetId="5">'[38]Annual Product Sales'!#REF!</definedName>
    <definedName name="medco99" localSheetId="2">'[38]Annual Product Sales'!#REF!</definedName>
    <definedName name="medco99">'[38]Annual Product Sales'!#REF!</definedName>
    <definedName name="Melanoma">[12]Sales!$A$93:$AG$93</definedName>
    <definedName name="Memric" localSheetId="5">[12]Sales!#REF!</definedName>
    <definedName name="Memric" localSheetId="2">[12]Sales!#REF!</definedName>
    <definedName name="Memric">[12]Sales!#REF!</definedName>
    <definedName name="meva01" localSheetId="5">'[32]Qtr. Product Sales'!#REF!</definedName>
    <definedName name="meva01" localSheetId="2">'[32]Qtr. Product Sales'!#REF!</definedName>
    <definedName name="meva01">'[32]Qtr. Product Sales'!#REF!</definedName>
    <definedName name="meva02" localSheetId="5">'[32]Qtr. Product Sales'!#REF!</definedName>
    <definedName name="meva02" localSheetId="2">'[32]Qtr. Product Sales'!#REF!</definedName>
    <definedName name="meva02">'[32]Qtr. Product Sales'!#REF!</definedName>
    <definedName name="Mexico1" localSheetId="4">#REF!</definedName>
    <definedName name="Mexico1" localSheetId="5">#REF!</definedName>
    <definedName name="Mexico1" localSheetId="2">#REF!</definedName>
    <definedName name="Mexico1">#REF!</definedName>
    <definedName name="Mexico2" localSheetId="4">#REF!</definedName>
    <definedName name="Mexico2" localSheetId="5">#REF!</definedName>
    <definedName name="Mexico2" localSheetId="2">#REF!</definedName>
    <definedName name="Mexico2">#REF!</definedName>
    <definedName name="MGG">[35]Prices!$B$14</definedName>
    <definedName name="MGG_00Ea" localSheetId="5">#REF!</definedName>
    <definedName name="MGG_00Ea" localSheetId="2">#REF!</definedName>
    <definedName name="MGG_00Ea">#REF!</definedName>
    <definedName name="MGG_00EPS" localSheetId="5">#REF!</definedName>
    <definedName name="MGG_00EPS" localSheetId="2">#REF!</definedName>
    <definedName name="MGG_00EPS">#REF!</definedName>
    <definedName name="MGG_01Ea" localSheetId="5">#REF!</definedName>
    <definedName name="MGG_01Ea" localSheetId="2">#REF!</definedName>
    <definedName name="MGG_01Ea">#REF!</definedName>
    <definedName name="MGG_01EPS" localSheetId="5">#REF!</definedName>
    <definedName name="MGG_01EPS" localSheetId="2">#REF!</definedName>
    <definedName name="MGG_01EPS">#REF!</definedName>
    <definedName name="MGG_99Ea" localSheetId="5">#REF!</definedName>
    <definedName name="MGG_99Ea" localSheetId="2">#REF!</definedName>
    <definedName name="MGG_99Ea">#REF!</definedName>
    <definedName name="MGG_99EPS" localSheetId="5">#REF!</definedName>
    <definedName name="MGG_99EPS" localSheetId="2">#REF!</definedName>
    <definedName name="MGG_99EPS">#REF!</definedName>
    <definedName name="MGG_Rating">[16]Industry!$D$13</definedName>
    <definedName name="MGG_Target">[16]Industry!$C$13</definedName>
    <definedName name="mggmir_01Ea" localSheetId="5">#REF!</definedName>
    <definedName name="mggmir_01Ea" localSheetId="2">#REF!</definedName>
    <definedName name="mggmir_01Ea">#REF!</definedName>
    <definedName name="mi00" localSheetId="5">'[4]Balance Sheet Cash Flow'!#REF!</definedName>
    <definedName name="mi00" localSheetId="2">'[4]Balance Sheet Cash Flow'!#REF!</definedName>
    <definedName name="mi00">'[4]Balance Sheet Cash Flow'!#REF!</definedName>
    <definedName name="Minorities" localSheetId="5">#REF!</definedName>
    <definedName name="Minorities" localSheetId="2">#REF!</definedName>
    <definedName name="Minorities">#REF!</definedName>
    <definedName name="Minority_Dividends" localSheetId="5">#REF!</definedName>
    <definedName name="Minority_Dividends" localSheetId="2">#REF!</definedName>
    <definedName name="Minority_Dividends">#REF!</definedName>
    <definedName name="MIR">[35]Prices!$B$15</definedName>
    <definedName name="MIR_Rating">[16]Industry!$D$14</definedName>
    <definedName name="Misc_Other" localSheetId="5">[12]Sales!#REF!</definedName>
    <definedName name="Misc_Other" localSheetId="2">[12]Sales!#REF!</definedName>
    <definedName name="Misc_Other">[12]Sales!#REF!</definedName>
    <definedName name="MKT_SHARE_1">'[28]Scenario Builder'!$C$19:$L$19</definedName>
    <definedName name="MKT_SHARE_10">'[28]Scenario Builder'!$C$28:$L$28</definedName>
    <definedName name="MKT_SHARE_11">'[28]Scenario Builder'!$C$29:$L$29</definedName>
    <definedName name="MKT_SHARE_2">'[28]Scenario Builder'!$C$20:$L$20</definedName>
    <definedName name="MKT_SHARE_3">'[28]Scenario Builder'!$C$21:$L$21</definedName>
    <definedName name="MKT_SHARE_4">'[28]Scenario Builder'!$C$22:$L$22</definedName>
    <definedName name="MKT_SHARE_5">'[28]Scenario Builder'!$C$23:$L$23</definedName>
    <definedName name="MKT_SHARE_6">'[28]Scenario Builder'!$C$24:$L$24</definedName>
    <definedName name="MKT_SHARE_7">'[28]Scenario Builder'!$C$25:$L$25</definedName>
    <definedName name="MKT_SHARE_8">'[28]Scenario Builder'!$C$26:$L$26</definedName>
    <definedName name="MKT_SHARE_9">'[28]Scenario Builder'!$C$27:$L$27</definedName>
    <definedName name="MMR_Varicella">[12]Sales!$A$96:$AG$96</definedName>
    <definedName name="Model_Check">'[39]ACTIVE SHEET'!$A$264:$AE$364</definedName>
    <definedName name="MonitorCol">1</definedName>
    <definedName name="MonitorRow">1</definedName>
    <definedName name="Month" localSheetId="5">#REF!</definedName>
    <definedName name="Month" localSheetId="2">#REF!</definedName>
    <definedName name="Month">#REF!</definedName>
    <definedName name="mrk" localSheetId="5">[36]DATA!#REF!</definedName>
    <definedName name="mrk" localSheetId="2">[36]DATA!#REF!</definedName>
    <definedName name="mrk">[36]DATA!#REF!</definedName>
    <definedName name="mrp" localSheetId="5">#REF!</definedName>
    <definedName name="mrp" localSheetId="2">#REF!</definedName>
    <definedName name="mrp">#REF!</definedName>
    <definedName name="NameTar">'[1]Qtr. Product Sales'!$C$5</definedName>
    <definedName name="Net" localSheetId="5">'[14]Annual Model'!#REF!</definedName>
    <definedName name="Net" localSheetId="2">'[14]Annual Model'!#REF!</definedName>
    <definedName name="Net">'[14]Annual Model'!#REF!</definedName>
    <definedName name="Net_adj_for_capitalized_expenses" localSheetId="5">#REF!</definedName>
    <definedName name="Net_adj_for_capitalized_expenses" localSheetId="2">#REF!</definedName>
    <definedName name="Net_adj_for_capitalized_expenses">#REF!</definedName>
    <definedName name="net_cash" localSheetId="5">#REF!</definedName>
    <definedName name="net_cash" localSheetId="2">#REF!</definedName>
    <definedName name="net_cash">#REF!</definedName>
    <definedName name="Net_income" localSheetId="4">'[13]Annual Model'!#REF!</definedName>
    <definedName name="Net_income" localSheetId="5">'[13]Annual Model'!#REF!</definedName>
    <definedName name="Net_income" localSheetId="2">'[13]Annual Model'!#REF!</definedName>
    <definedName name="Net_income">'[13]Annual Model'!#REF!</definedName>
    <definedName name="Net_income_fore" localSheetId="5">#REF!</definedName>
    <definedName name="Net_income_fore" localSheetId="2">#REF!</definedName>
    <definedName name="Net_income_fore">#REF!</definedName>
    <definedName name="Net_income_growth_avg" localSheetId="5">[15]NOPAT_VDF!#REF!</definedName>
    <definedName name="Net_income_growth_avg" localSheetId="2">[15]NOPAT_VDF!#REF!</definedName>
    <definedName name="Net_income_growth_avg">[15]NOPAT_VDF!#REF!</definedName>
    <definedName name="Net_income_per_share" localSheetId="4">'[13]Annual Model'!#REF!</definedName>
    <definedName name="Net_income_per_share" localSheetId="5">'[13]Annual Model'!#REF!</definedName>
    <definedName name="Net_income_per_share" localSheetId="2">'[13]Annual Model'!#REF!</definedName>
    <definedName name="Net_income_per_share">'[13]Annual Model'!#REF!</definedName>
    <definedName name="Net_Interest" localSheetId="5">#REF!</definedName>
    <definedName name="Net_Interest" localSheetId="2">#REF!</definedName>
    <definedName name="Net_Interest">#REF!</definedName>
    <definedName name="Net_margin">[15]NOPAT_VDF!$C$113:$AU$113</definedName>
    <definedName name="Net_margin_fore" localSheetId="5">#REF!</definedName>
    <definedName name="Net_margin_fore" localSheetId="2">#REF!</definedName>
    <definedName name="Net_margin_fore">#REF!</definedName>
    <definedName name="Net_PPE_growth_fore" localSheetId="5">#REF!</definedName>
    <definedName name="Net_PPE_growth_fore" localSheetId="2">#REF!</definedName>
    <definedName name="Net_PPE_growth_fore">#REF!</definedName>
    <definedName name="Net_profit" localSheetId="5">#REF!</definedName>
    <definedName name="Net_profit" localSheetId="2">#REF!</definedName>
    <definedName name="Net_profit">#REF!</definedName>
    <definedName name="Net_Profit_after_Minorities" localSheetId="5">#REF!</definedName>
    <definedName name="Net_Profit_after_Minorities" localSheetId="2">#REF!</definedName>
    <definedName name="Net_Profit_after_Minorities">#REF!</definedName>
    <definedName name="Net_sales">[15]NOPAT_VDF!$C$8:$AE$8</definedName>
    <definedName name="Net_sales_DCF">[15]DCF_VDF!$C$9:$AZ$9</definedName>
    <definedName name="Net_sales_fore" localSheetId="5">#REF!</definedName>
    <definedName name="Net_sales_fore" localSheetId="2">#REF!</definedName>
    <definedName name="Net_sales_fore">#REF!</definedName>
    <definedName name="Net_sales_growth_fore" localSheetId="5">#REF!</definedName>
    <definedName name="Net_sales_growth_fore" localSheetId="2">#REF!</definedName>
    <definedName name="Net_sales_growth_fore">#REF!</definedName>
    <definedName name="Net_Working_Capital" localSheetId="5">#REF!</definedName>
    <definedName name="Net_Working_Capital" localSheetId="2">#REF!</definedName>
    <definedName name="Net_Working_Capital">#REF!</definedName>
    <definedName name="Net_working_capital_turns">'[15]Invested capital_VDF'!$C$97:$AU$97</definedName>
    <definedName name="Net_Worth_Share__DM" localSheetId="5">#REF!</definedName>
    <definedName name="Net_Worth_Share__DM" localSheetId="2">#REF!</definedName>
    <definedName name="Net_Worth_Share__DM">#REF!</definedName>
    <definedName name="NetWC_turns_fore" localSheetId="5">#REF!</definedName>
    <definedName name="NetWC_turns_fore" localSheetId="2">#REF!</definedName>
    <definedName name="NetWC_turns_fore">#REF!</definedName>
    <definedName name="NetworkRev">[1]__FDSCACHE__!$F$97:$N$97</definedName>
    <definedName name="NEUP_MKT_SHARE_1">'[28]Scenario Builder'!$C$33:$L$33</definedName>
    <definedName name="NEUP_MKT_SHARE_10">'[28]Scenario Builder'!$C$42:$L$42</definedName>
    <definedName name="NEUP_MKT_SHARE_11">'[28]Scenario Builder'!$C$43:$L$43</definedName>
    <definedName name="NEUP_MKT_SHARE_2">'[28]Scenario Builder'!$C$34:$L$34</definedName>
    <definedName name="NEUP_MKT_SHARE_3">'[28]Scenario Builder'!$C$35:$L$35</definedName>
    <definedName name="NEUP_MKT_SHARE_4">'[28]Scenario Builder'!$C$36:$L$36</definedName>
    <definedName name="NEUP_MKT_SHARE_5">'[28]Scenario Builder'!$C$37:$L$37</definedName>
    <definedName name="NEUP_MKT_SHARE_6">'[28]Scenario Builder'!$C$38:$L$38</definedName>
    <definedName name="NEUP_MKT_SHARE_7">'[28]Scenario Builder'!$C$39:$L$39</definedName>
    <definedName name="NEUP_MKT_SHARE_8">'[28]Scenario Builder'!$C$40:$L$40</definedName>
    <definedName name="NEUP_MKT_SHARE_9">'[28]Scenario Builder'!$C$41:$L$41</definedName>
    <definedName name="neur01" localSheetId="5">'[4]Qtr. Product Sales'!#REF!</definedName>
    <definedName name="neur01" localSheetId="2">'[4]Qtr. Product Sales'!#REF!</definedName>
    <definedName name="neur01">'[4]Qtr. Product Sales'!#REF!</definedName>
    <definedName name="neur02" localSheetId="5">'[4]Qtr. Product Sales'!#REF!</definedName>
    <definedName name="neur02" localSheetId="2">'[4]Qtr. Product Sales'!#REF!</definedName>
    <definedName name="neur02">'[4]Qtr. Product Sales'!#REF!</definedName>
    <definedName name="new_cell" localSheetId="5">#REF!</definedName>
    <definedName name="new_cell" localSheetId="2">#REF!</definedName>
    <definedName name="new_cell">#REF!</definedName>
    <definedName name="NEW_SALES">[12]Sales!$X$112:$AG$112</definedName>
    <definedName name="New_sales_copy">[12]Sales!$AJ$112</definedName>
    <definedName name="NextButton">"Button 18"</definedName>
    <definedName name="NINT" localSheetId="5">#REF!</definedName>
    <definedName name="NINT" localSheetId="2">#REF!</definedName>
    <definedName name="NINT">#REF!</definedName>
    <definedName name="NOPAT">[15]NOPAT_VDF!$C$41:$AU$41</definedName>
    <definedName name="NOPAT_DCF">[15]DCF_VDF!$C$12:$AZ$12</definedName>
    <definedName name="NOPAT_fore" localSheetId="5">#REF!</definedName>
    <definedName name="NOPAT_fore" localSheetId="2">#REF!</definedName>
    <definedName name="NOPAT_fore">#REF!</definedName>
    <definedName name="NOPAT_growth_avg" localSheetId="5">[15]NOPAT_VDF!#REF!</definedName>
    <definedName name="NOPAT_growth_avg" localSheetId="2">[15]NOPAT_VDF!#REF!</definedName>
    <definedName name="NOPAT_growth_avg">[15]NOPAT_VDF!#REF!</definedName>
    <definedName name="NOPAT_margin">[15]NOPAT_VDF!$C$112:$AU$112</definedName>
    <definedName name="NOPAT_margin_fore" localSheetId="5">#REF!</definedName>
    <definedName name="NOPAT_margin_fore" localSheetId="2">#REF!</definedName>
    <definedName name="NOPAT_margin_fore">#REF!</definedName>
    <definedName name="NOPAT_NCI" localSheetId="5">#REF!</definedName>
    <definedName name="NOPAT_NCI" localSheetId="2">#REF!</definedName>
    <definedName name="NOPAT_NCI">#REF!</definedName>
    <definedName name="NOPAT_Share" localSheetId="5">[15]NOPAT_VDF!#REF!</definedName>
    <definedName name="NOPAT_Share" localSheetId="2">[15]NOPAT_VDF!#REF!</definedName>
    <definedName name="NOPAT_Share">[15]NOPAT_VDF!#REF!</definedName>
    <definedName name="NOPBT">[15]NOPAT_VDF!$C$32:$AU$32</definedName>
    <definedName name="NOPBT_fore" localSheetId="5">#REF!</definedName>
    <definedName name="NOPBT_fore" localSheetId="2">#REF!</definedName>
    <definedName name="NOPBT_fore">#REF!</definedName>
    <definedName name="Norm_forecast_11_15" localSheetId="5">#REF!</definedName>
    <definedName name="Norm_forecast_11_15" localSheetId="2">#REF!</definedName>
    <definedName name="Norm_forecast_11_15">#REF!</definedName>
    <definedName name="Norm_forecast_16_25" localSheetId="5">#REF!</definedName>
    <definedName name="Norm_forecast_16_25" localSheetId="2">#REF!</definedName>
    <definedName name="Norm_forecast_16_25">#REF!</definedName>
    <definedName name="Norm_forecast_4_5" localSheetId="5">#REF!</definedName>
    <definedName name="Norm_forecast_4_5" localSheetId="2">#REF!</definedName>
    <definedName name="Norm_forecast_4_5">#REF!</definedName>
    <definedName name="Norm_forecast_6_10" localSheetId="5">#REF!</definedName>
    <definedName name="Norm_forecast_6_10" localSheetId="2">#REF!</definedName>
    <definedName name="Norm_forecast_6_10">#REF!</definedName>
    <definedName name="North_America" localSheetId="5">#REF!</definedName>
    <definedName name="North_America" localSheetId="2">#REF!</definedName>
    <definedName name="North_America">#REF!</definedName>
    <definedName name="norv01" localSheetId="5">'[4]Qtr. Product Sales'!#REF!</definedName>
    <definedName name="norv01" localSheetId="2">'[4]Qtr. Product Sales'!#REF!</definedName>
    <definedName name="norv01">'[4]Qtr. Product Sales'!#REF!</definedName>
    <definedName name="norv02" localSheetId="5">'[4]Qtr. Product Sales'!#REF!</definedName>
    <definedName name="norv02" localSheetId="2">'[4]Qtr. Product Sales'!#REF!</definedName>
    <definedName name="norv02">'[4]Qtr. Product Sales'!#REF!</definedName>
    <definedName name="NPT_1">[15]NOPAT_VDF!$P$1:$P$65536</definedName>
    <definedName name="NPT_2">[15]NOPAT_VDF!$O$1:$O$65536</definedName>
    <definedName name="NPT_P">[15]NOPAT_VDF!$Q$1:$Q$65536</definedName>
    <definedName name="NvsASD">"V2000-09-08"</definedName>
    <definedName name="NvsAutoDrillOk">"VN"</definedName>
    <definedName name="NvsElapsedTime">0.000234143517445773</definedName>
    <definedName name="NvsEndTime">36707.2948738426</definedName>
    <definedName name="NvsInstSpec">"%,FMI_ALT_BU,TCA_ALTBU_CORPS,NCONSOLIDATING"</definedName>
    <definedName name="NvsLayoutType">"M3"</definedName>
    <definedName name="NvsNplSpec">"%,X,RZF..,CZF.."</definedName>
    <definedName name="NvsPanelEffdt">"V9999-01-01"</definedName>
    <definedName name="NvsPanelSetid">"VMIDIV"</definedName>
    <definedName name="NvsReqBU">"V52"</definedName>
    <definedName name="NvsReqBUOnly">"VN"</definedName>
    <definedName name="NvsTransLed">"VN"</definedName>
    <definedName name="NvsTreeASD">"V2000-09-08"</definedName>
    <definedName name="NvsValTbl.PRODUCT">"MI_GL_PRODCT_VW"</definedName>
    <definedName name="Off_B_S_Income">[15]NOPAT_VDF!$C$7:$AZ$7</definedName>
    <definedName name="Off_B_S_Income_DCF">[15]DCF_VDF!$C$8:$BZ$8</definedName>
    <definedName name="Off_B_S_Income_fore" localSheetId="5">#REF!</definedName>
    <definedName name="Off_B_S_Income_fore" localSheetId="2">#REF!</definedName>
    <definedName name="Off_B_S_Income_fore">#REF!</definedName>
    <definedName name="Off_B_S_Income_growth_fore" localSheetId="5">#REF!</definedName>
    <definedName name="Off_B_S_Income_growth_fore" localSheetId="2">#REF!</definedName>
    <definedName name="Off_B_S_Income_growth_fore">#REF!</definedName>
    <definedName name="OL_1">'[15]PV of Op Leases_VDF'!$AD$1:$AD$65536</definedName>
    <definedName name="OL_P">'[15]PV of Op Leases_VDF'!$AF$1:$AF$65536</definedName>
    <definedName name="onepage" localSheetId="5">#REF!</definedName>
    <definedName name="onepage" localSheetId="2">#REF!</definedName>
    <definedName name="onepage">#REF!</definedName>
    <definedName name="ONEPAGER" localSheetId="4">'[40]BVF Earnings'!$A$1:$AK$83</definedName>
    <definedName name="ONEPAGER" localSheetId="5">#REF!</definedName>
    <definedName name="ONEPAGER" localSheetId="2">#REF!</definedName>
    <definedName name="ONEPAGER">#REF!</definedName>
    <definedName name="Op_Inc._Breakdown">'[17]IGT MODEL'!$A$148:$X$176</definedName>
    <definedName name="Operating_income" localSheetId="4">'[13]Annual Model'!#REF!</definedName>
    <definedName name="Operating_income" localSheetId="5">'[13]Annual Model'!#REF!</definedName>
    <definedName name="Operating_income" localSheetId="2">'[13]Annual Model'!#REF!</definedName>
    <definedName name="Operating_income">'[13]Annual Model'!#REF!</definedName>
    <definedName name="Operating_income_fore" localSheetId="5">#REF!</definedName>
    <definedName name="Operating_income_fore" localSheetId="2">#REF!</definedName>
    <definedName name="Operating_income_fore">#REF!</definedName>
    <definedName name="Operating_Lease_Expense">[15]NOPAT_VDF!$C$23:$AZ$23</definedName>
    <definedName name="Operating_Lease_Expense_fore" localSheetId="5">#REF!</definedName>
    <definedName name="Operating_Lease_Expense_fore" localSheetId="2">#REF!</definedName>
    <definedName name="Operating_Lease_Expense_fore">#REF!</definedName>
    <definedName name="Operating_profit" localSheetId="5">#REF!</definedName>
    <definedName name="Operating_profit" localSheetId="2">#REF!</definedName>
    <definedName name="Operating_profit">#REF!</definedName>
    <definedName name="Other_asset_turns">'[15]Invested capital_VDF'!$A$101:$Z$101</definedName>
    <definedName name="Other_asset_turns_fore" localSheetId="5">#REF!</definedName>
    <definedName name="Other_asset_turns_fore" localSheetId="2">#REF!</definedName>
    <definedName name="Other_asset_turns_fore">#REF!</definedName>
    <definedName name="Other_Cash_Items" localSheetId="5">#REF!</definedName>
    <definedName name="Other_Cash_Items" localSheetId="2">#REF!</definedName>
    <definedName name="Other_Cash_Items">#REF!</definedName>
    <definedName name="Other_Creditors" localSheetId="5">#REF!</definedName>
    <definedName name="Other_Creditors" localSheetId="2">#REF!</definedName>
    <definedName name="Other_Creditors">#REF!</definedName>
    <definedName name="Other_current_assets_growth_fore" localSheetId="5">#REF!</definedName>
    <definedName name="Other_current_assets_growth_fore" localSheetId="2">#REF!</definedName>
    <definedName name="Other_current_assets_growth_fore">#REF!</definedName>
    <definedName name="Other_current_liabilities_growth_fore" localSheetId="5">#REF!</definedName>
    <definedName name="Other_current_liabilities_growth_fore" localSheetId="2">#REF!</definedName>
    <definedName name="Other_current_liabilities_growth_fore">#REF!</definedName>
    <definedName name="Other_dividends" localSheetId="5">'[15]Invested capital_VDF'!#REF!</definedName>
    <definedName name="Other_dividends" localSheetId="2">'[15]Invested capital_VDF'!#REF!</definedName>
    <definedName name="Other_dividends">'[15]Invested capital_VDF'!#REF!</definedName>
    <definedName name="Other_Europe_Sales" localSheetId="5">#REF!</definedName>
    <definedName name="Other_Europe_Sales" localSheetId="2">#REF!</definedName>
    <definedName name="Other_Europe_Sales">#REF!</definedName>
    <definedName name="Other_Expenses">[15]NOPAT_VDF!$C$59:$AZ$59</definedName>
    <definedName name="Other_Expenses_fore" localSheetId="5">#REF!</definedName>
    <definedName name="Other_Expenses_fore" localSheetId="2">#REF!</definedName>
    <definedName name="Other_Expenses_fore">#REF!</definedName>
    <definedName name="Other_expenses_gains">[15]NOPAT_VDF!$C$14:$AZ$14</definedName>
    <definedName name="Other_expenses_gains_fore" localSheetId="5">#REF!</definedName>
    <definedName name="Other_expenses_gains_fore" localSheetId="2">#REF!</definedName>
    <definedName name="Other_expenses_gains_fore">#REF!</definedName>
    <definedName name="Other_expenses_growth_fore" localSheetId="5">#REF!</definedName>
    <definedName name="Other_expenses_growth_fore" localSheetId="2">#REF!</definedName>
    <definedName name="Other_expenses_growth_fore">#REF!</definedName>
    <definedName name="Other_Financial_Assets" localSheetId="5">#REF!</definedName>
    <definedName name="Other_Financial_Assets" localSheetId="2">#REF!</definedName>
    <definedName name="Other_Financial_Assets">#REF!</definedName>
    <definedName name="Other_fixed_asset_turns_fore" localSheetId="5">#REF!</definedName>
    <definedName name="Other_fixed_asset_turns_fore" localSheetId="2">#REF!</definedName>
    <definedName name="Other_fixed_asset_turns_fore">#REF!</definedName>
    <definedName name="Other_fixed_assets_growth_fore" localSheetId="5">#REF!</definedName>
    <definedName name="Other_fixed_assets_growth_fore" localSheetId="2">#REF!</definedName>
    <definedName name="Other_fixed_assets_growth_fore">#REF!</definedName>
    <definedName name="Other_growth_fore" localSheetId="5">#REF!</definedName>
    <definedName name="Other_growth_fore" localSheetId="2">#REF!</definedName>
    <definedName name="Other_growth_fore">#REF!</definedName>
    <definedName name="Other_inc_exp_fore" localSheetId="5">#REF!</definedName>
    <definedName name="Other_inc_exp_fore" localSheetId="2">#REF!</definedName>
    <definedName name="Other_inc_exp_fore">#REF!</definedName>
    <definedName name="Other_Income">[15]NOPAT_VDF!$C$58:$AZ$58</definedName>
    <definedName name="Other_income_growth_fore" localSheetId="5">#REF!</definedName>
    <definedName name="Other_income_growth_fore" localSheetId="2">#REF!</definedName>
    <definedName name="Other_income_growth_fore">#REF!</definedName>
    <definedName name="Other_liabilities_growth_fore" localSheetId="5">#REF!</definedName>
    <definedName name="Other_liabilities_growth_fore" localSheetId="2">#REF!</definedName>
    <definedName name="Other_liabilities_growth_fore">#REF!</definedName>
    <definedName name="Other_Provisions" localSheetId="5">#REF!</definedName>
    <definedName name="Other_Provisions" localSheetId="2">#REF!</definedName>
    <definedName name="Other_Provisions">#REF!</definedName>
    <definedName name="Other_Segment_Revenues" localSheetId="5">[15]NOPAT_VDF!#REF!</definedName>
    <definedName name="Other_Segment_Revenues" localSheetId="2">[15]NOPAT_VDF!#REF!</definedName>
    <definedName name="Other_Segment_Revenues">[15]NOPAT_VDF!#REF!</definedName>
    <definedName name="Other_Taxes" localSheetId="5">#REF!</definedName>
    <definedName name="Other_Taxes" localSheetId="2">#REF!</definedName>
    <definedName name="Other_Taxes">#REF!</definedName>
    <definedName name="Other1" localSheetId="4">#REF!</definedName>
    <definedName name="Other1" localSheetId="5">#REF!</definedName>
    <definedName name="Other1" localSheetId="2">#REF!</definedName>
    <definedName name="Other1">#REF!</definedName>
    <definedName name="Page1" localSheetId="4">#REF!</definedName>
    <definedName name="Page1" localSheetId="5">#REF!</definedName>
    <definedName name="Page1" localSheetId="2">#REF!</definedName>
    <definedName name="Page1">#REF!</definedName>
    <definedName name="Page12" localSheetId="4">#REF!</definedName>
    <definedName name="Page12" localSheetId="5">#REF!</definedName>
    <definedName name="Page12" localSheetId="2">#REF!</definedName>
    <definedName name="Page12">#REF!</definedName>
    <definedName name="Page2" localSheetId="4">#REF!</definedName>
    <definedName name="Page2" localSheetId="5">#REF!</definedName>
    <definedName name="Page2" localSheetId="2">#REF!</definedName>
    <definedName name="Page2">#REF!</definedName>
    <definedName name="PAGE3" localSheetId="5">'[5]#REF'!#REF!</definedName>
    <definedName name="PAGE3" localSheetId="2">'[5]#REF'!#REF!</definedName>
    <definedName name="PAGE3">'[5]#REF'!#REF!</definedName>
    <definedName name="PAGE4" localSheetId="5">'[5]#REF'!#REF!</definedName>
    <definedName name="PAGE4" localSheetId="2">'[5]#REF'!#REF!</definedName>
    <definedName name="PAGE4">'[5]#REF'!#REF!</definedName>
    <definedName name="Parent_Company_Dividend" localSheetId="5">#REF!</definedName>
    <definedName name="Parent_Company_Dividend" localSheetId="2">#REF!</definedName>
    <definedName name="Parent_Company_Dividend">#REF!</definedName>
    <definedName name="PatientCompliance_fraction">[37]Inputs!$C$23</definedName>
    <definedName name="PDQ">'[24]THE LINK FOR ALL'!$B$50</definedName>
    <definedName name="PDQ_CONS00">'[24]THE LINK FOR ALL'!$F$21</definedName>
    <definedName name="PDQ_CONS01">'[24]THE LINK FOR ALL'!$G$21</definedName>
    <definedName name="PDQ_CONS99" localSheetId="5">#REF!</definedName>
    <definedName name="PDQ_CONS99" localSheetId="2">#REF!</definedName>
    <definedName name="PDQ_CONS99">#REF!</definedName>
    <definedName name="PE">#N/A</definedName>
    <definedName name="Penbritin">[12]Sales!$A$33:$AG$33</definedName>
    <definedName name="penn" localSheetId="5">#REF!</definedName>
    <definedName name="penn" localSheetId="2">#REF!</definedName>
    <definedName name="penn">#REF!</definedName>
    <definedName name="PENN_CONS00" localSheetId="5">#REF!</definedName>
    <definedName name="PENN_CONS00" localSheetId="2">#REF!</definedName>
    <definedName name="PENN_CONS00">#REF!</definedName>
    <definedName name="PENN_CONS01" localSheetId="5">#REF!</definedName>
    <definedName name="PENN_CONS01" localSheetId="2">#REF!</definedName>
    <definedName name="PENN_CONS01">#REF!</definedName>
    <definedName name="PENN_CONS99" localSheetId="5">#REF!</definedName>
    <definedName name="PENN_CONS99" localSheetId="2">#REF!</definedName>
    <definedName name="PENN_CONS99">#REF!</definedName>
    <definedName name="Pension_Provisions" localSheetId="5">#REF!</definedName>
    <definedName name="Pension_Provisions" localSheetId="2">#REF!</definedName>
    <definedName name="Pension_Provisions">#REF!</definedName>
    <definedName name="pepc00" localSheetId="5">'[32]Qtr. Product Sales'!#REF!</definedName>
    <definedName name="pepc00" localSheetId="2">'[32]Qtr. Product Sales'!#REF!</definedName>
    <definedName name="pepc00">'[32]Qtr. Product Sales'!#REF!</definedName>
    <definedName name="pepc01" localSheetId="5">'[32]Qtr. Product Sales'!#REF!</definedName>
    <definedName name="pepc01" localSheetId="2">'[32]Qtr. Product Sales'!#REF!</definedName>
    <definedName name="pepc01">'[32]Qtr. Product Sales'!#REF!</definedName>
    <definedName name="pepc02" localSheetId="5">'[32]Qtr. Product Sales'!#REF!</definedName>
    <definedName name="pepc02" localSheetId="2">'[32]Qtr. Product Sales'!#REF!</definedName>
    <definedName name="pepc02">'[32]Qtr. Product Sales'!#REF!</definedName>
    <definedName name="PERIOD" localSheetId="5">#REF!</definedName>
    <definedName name="PERIOD" localSheetId="2">#REF!</definedName>
    <definedName name="PERIOD">#REF!</definedName>
    <definedName name="PERSONNEL_ANALYSIS" localSheetId="5">#REF!</definedName>
    <definedName name="PERSONNEL_ANALYSIS" localSheetId="2">#REF!</definedName>
    <definedName name="PERSONNEL_ANALYSIS">#REF!</definedName>
    <definedName name="personnel_cost" localSheetId="5">#REF!</definedName>
    <definedName name="personnel_cost" localSheetId="2">#REF!</definedName>
    <definedName name="personnel_cost">#REF!</definedName>
    <definedName name="Personnel_Costs" localSheetId="5">#REF!</definedName>
    <definedName name="Personnel_Costs" localSheetId="2">#REF!</definedName>
    <definedName name="Personnel_Costs">#REF!</definedName>
    <definedName name="PFEEPS1">'[4]quarterly income'!$G$37</definedName>
    <definedName name="PFEEPS2">'[4]quarterly income'!$L$37</definedName>
    <definedName name="pharma_ebit" localSheetId="5">#REF!</definedName>
    <definedName name="pharma_ebit" localSheetId="2">#REF!</definedName>
    <definedName name="pharma_ebit">#REF!</definedName>
    <definedName name="pharma_sales" localSheetId="5">#REF!</definedName>
    <definedName name="pharma_sales" localSheetId="2">#REF!</definedName>
    <definedName name="pharma_sales">#REF!</definedName>
    <definedName name="pharma_staff" localSheetId="5">#REF!</definedName>
    <definedName name="pharma_staff" localSheetId="2">#REF!</definedName>
    <definedName name="pharma_staff">#REF!</definedName>
    <definedName name="pharmasales00">[1]Sheet1!$I$46</definedName>
    <definedName name="pharmasales01">[1]Sheet1!$N$46</definedName>
    <definedName name="pharmasales02">[1]Sheet1!$S$46</definedName>
    <definedName name="pharmasales03">[1]Sheet1!$T$46</definedName>
    <definedName name="pharmasales04">[1]Sheet1!$U$46</definedName>
    <definedName name="pharmasales05">[1]Sheet1!$V$46</definedName>
    <definedName name="pharmasales06">[1]Sheet1!$W$46</definedName>
    <definedName name="pharmasales99">[1]Sheet1!$D$46</definedName>
    <definedName name="Pictur9">"Picture 9"</definedName>
    <definedName name="Picture1">"Picture 1"</definedName>
    <definedName name="Picture10">"Picture 10"</definedName>
    <definedName name="Picture11">"Picture 11"</definedName>
    <definedName name="Picture2">"Picture 2"</definedName>
    <definedName name="Picture4">"Picture 4"</definedName>
    <definedName name="Picture5">"Picture 5"</definedName>
    <definedName name="Picture6">"Picture 6"</definedName>
    <definedName name="PL" localSheetId="5">#REF!</definedName>
    <definedName name="PL" localSheetId="2">#REF!</definedName>
    <definedName name="PL">#REF!</definedName>
    <definedName name="PL_1997_EBIT" localSheetId="5">#REF!</definedName>
    <definedName name="PL_1997_EBIT" localSheetId="2">#REF!</definedName>
    <definedName name="PL_1997_EBIT">#REF!</definedName>
    <definedName name="PL_1998_EBIT" localSheetId="5">#REF!</definedName>
    <definedName name="PL_1998_EBIT" localSheetId="2">#REF!</definedName>
    <definedName name="PL_1998_EBIT">#REF!</definedName>
    <definedName name="PL_1999_EBIT" localSheetId="5">#REF!</definedName>
    <definedName name="PL_1999_EBIT" localSheetId="2">#REF!</definedName>
    <definedName name="PL_1999_EBIT">#REF!</definedName>
    <definedName name="PL_2000_EBIT" localSheetId="5">#REF!</definedName>
    <definedName name="PL_2000_EBIT" localSheetId="2">#REF!</definedName>
    <definedName name="PL_2000_EBIT">#REF!</definedName>
    <definedName name="PL_2001_EBIT" localSheetId="5">#REF!</definedName>
    <definedName name="PL_2001_EBIT" localSheetId="2">#REF!</definedName>
    <definedName name="PL_2001_EBIT">#REF!</definedName>
    <definedName name="PL_2002_EBIT" localSheetId="5">#REF!</definedName>
    <definedName name="PL_2002_EBIT" localSheetId="2">#REF!</definedName>
    <definedName name="PL_2002_EBIT">#REF!</definedName>
    <definedName name="PL_2003_EBIT" localSheetId="5">#REF!</definedName>
    <definedName name="PL_2003_EBIT" localSheetId="2">#REF!</definedName>
    <definedName name="PL_2003_EBIT">#REF!</definedName>
    <definedName name="PL_2004_EBIT" localSheetId="5">#REF!</definedName>
    <definedName name="PL_2004_EBIT" localSheetId="2">#REF!</definedName>
    <definedName name="PL_2004_EBIT">#REF!</definedName>
    <definedName name="PL_2005_EBIT" localSheetId="5">#REF!</definedName>
    <definedName name="PL_2005_EBIT" localSheetId="2">#REF!</definedName>
    <definedName name="PL_2005_EBIT">#REF!</definedName>
    <definedName name="PL_2006_EBIT" localSheetId="5">#REF!</definedName>
    <definedName name="PL_2006_EBIT" localSheetId="2">#REF!</definedName>
    <definedName name="PL_2006_EBIT">#REF!</definedName>
    <definedName name="PL_account" localSheetId="5">#REF!</definedName>
    <definedName name="PL_account" localSheetId="2">#REF!</definedName>
    <definedName name="PL_account">#REF!</definedName>
    <definedName name="PL_ADMIN" localSheetId="5">#REF!</definedName>
    <definedName name="PL_ADMIN" localSheetId="2">#REF!</definedName>
    <definedName name="PL_ADMIN">#REF!</definedName>
    <definedName name="PL_ADMIN_COPY" localSheetId="5">#REF!</definedName>
    <definedName name="PL_ADMIN_COPY" localSheetId="2">#REF!</definedName>
    <definedName name="PL_ADMIN_COPY">#REF!</definedName>
    <definedName name="PL_COGS" localSheetId="5">#REF!</definedName>
    <definedName name="PL_COGS" localSheetId="2">#REF!</definedName>
    <definedName name="PL_COGS">#REF!</definedName>
    <definedName name="PL_COGS_COPY" localSheetId="5">#REF!</definedName>
    <definedName name="PL_COGS_COPY" localSheetId="2">#REF!</definedName>
    <definedName name="PL_COGS_COPY">#REF!</definedName>
    <definedName name="PL_OP_EXP" localSheetId="5">#REF!</definedName>
    <definedName name="PL_OP_EXP" localSheetId="2">#REF!</definedName>
    <definedName name="PL_OP_EXP">#REF!</definedName>
    <definedName name="PL_OP_EXP_COPY" localSheetId="5">#REF!</definedName>
    <definedName name="PL_OP_EXP_COPY" localSheetId="2">#REF!</definedName>
    <definedName name="PL_OP_EXP_COPY">#REF!</definedName>
    <definedName name="PL_RD" localSheetId="5">#REF!</definedName>
    <definedName name="PL_RD" localSheetId="2">#REF!</definedName>
    <definedName name="PL_RD">#REF!</definedName>
    <definedName name="PL_RD_COPY" localSheetId="5">#REF!</definedName>
    <definedName name="PL_RD_COPY" localSheetId="2">#REF!</definedName>
    <definedName name="PL_RD_COPY">#REF!</definedName>
    <definedName name="PL_SGA" localSheetId="5">#REF!</definedName>
    <definedName name="PL_SGA" localSheetId="2">#REF!</definedName>
    <definedName name="PL_SGA">#REF!</definedName>
    <definedName name="PL_SGA_COPY" localSheetId="5">#REF!</definedName>
    <definedName name="PL_SGA_COPY" localSheetId="2">#REF!</definedName>
    <definedName name="PL_SGA_COPY">#REF!</definedName>
    <definedName name="plav01">[1]REPORTER!$P$41</definedName>
    <definedName name="plav02">[1]REPORTER!$U$41</definedName>
    <definedName name="play" localSheetId="5">#REF!</definedName>
    <definedName name="play" localSheetId="2">#REF!</definedName>
    <definedName name="play">#REF!</definedName>
    <definedName name="PLAY_00Ea" localSheetId="5">#REF!</definedName>
    <definedName name="PLAY_00Ea" localSheetId="2">#REF!</definedName>
    <definedName name="PLAY_00Ea">#REF!</definedName>
    <definedName name="PLAY_00EPS" localSheetId="5">#REF!</definedName>
    <definedName name="PLAY_00EPS" localSheetId="2">#REF!</definedName>
    <definedName name="PLAY_00EPS">#REF!</definedName>
    <definedName name="PLAY_99Ea" localSheetId="5">#REF!</definedName>
    <definedName name="PLAY_99Ea" localSheetId="2">#REF!</definedName>
    <definedName name="PLAY_99Ea">#REF!</definedName>
    <definedName name="PLAY_99EPS" localSheetId="5">#REF!</definedName>
    <definedName name="PLAY_99EPS" localSheetId="2">#REF!</definedName>
    <definedName name="PLAY_99EPS">#REF!</definedName>
    <definedName name="PLAY_Rating">[16]Industry!$D$17</definedName>
    <definedName name="pnk" localSheetId="5">#REF!</definedName>
    <definedName name="pnk" localSheetId="2">#REF!</definedName>
    <definedName name="pnk">#REF!</definedName>
    <definedName name="PNK_Rating">[16]Industry!$D$16</definedName>
    <definedName name="PNK_Target">[16]Industry!$C$16</definedName>
    <definedName name="PPE">[35]Prices!$B$16</definedName>
    <definedName name="PPE_00Ea" localSheetId="5">#REF!</definedName>
    <definedName name="PPE_00Ea" localSheetId="2">#REF!</definedName>
    <definedName name="PPE_00Ea">#REF!</definedName>
    <definedName name="PPE_00EPS" localSheetId="5">#REF!</definedName>
    <definedName name="PPE_00EPS" localSheetId="2">#REF!</definedName>
    <definedName name="PPE_00EPS">#REF!</definedName>
    <definedName name="PPE_01Ea" localSheetId="5">#REF!</definedName>
    <definedName name="PPE_01Ea" localSheetId="2">#REF!</definedName>
    <definedName name="PPE_01Ea">#REF!</definedName>
    <definedName name="PPE_01EPS" localSheetId="5">#REF!</definedName>
    <definedName name="PPE_01EPS" localSheetId="2">#REF!</definedName>
    <definedName name="PPE_01EPS">#REF!</definedName>
    <definedName name="PPE_99Ea" localSheetId="5">#REF!</definedName>
    <definedName name="PPE_99Ea" localSheetId="2">#REF!</definedName>
    <definedName name="PPE_99Ea">#REF!</definedName>
    <definedName name="PPE_99EPS" localSheetId="5">#REF!</definedName>
    <definedName name="PPE_99EPS" localSheetId="2">#REF!</definedName>
    <definedName name="PPE_99EPS">#REF!</definedName>
    <definedName name="PPE_Rating">[16]Industry!$D$15</definedName>
    <definedName name="PPE_Target">[16]Industry!$C$15</definedName>
    <definedName name="PPnE_turns_fore" localSheetId="5">#REF!</definedName>
    <definedName name="PPnE_turns_fore" localSheetId="2">#REF!</definedName>
    <definedName name="PPnE_turns_fore">#REF!</definedName>
    <definedName name="prav01">[1]REPORTER!$P$18</definedName>
    <definedName name="prav02">[1]REPORTER!$U$18</definedName>
    <definedName name="prav03">[1]REPORTER!$Z$18</definedName>
    <definedName name="prav04">[1]REPORTER!$AE$18</definedName>
    <definedName name="prav05">[1]REPORTER!$AJ$18</definedName>
    <definedName name="prav06">[1]REPORTER!$AO$18</definedName>
    <definedName name="Pre_Tax__Profit" localSheetId="5">#REF!</definedName>
    <definedName name="Pre_Tax__Profit" localSheetId="2">#REF!</definedName>
    <definedName name="Pre_Tax__Profit">#REF!</definedName>
    <definedName name="Pre_Tax_Profit" localSheetId="5">#REF!</definedName>
    <definedName name="Pre_Tax_Profit" localSheetId="2">#REF!</definedName>
    <definedName name="Pre_Tax_Profit">#REF!</definedName>
    <definedName name="Preferred_stock_growth_fore" localSheetId="5">#REF!</definedName>
    <definedName name="Preferred_stock_growth_fore" localSheetId="2">#REF!</definedName>
    <definedName name="Preferred_stock_growth_fore">#REF!</definedName>
    <definedName name="prem01">[1]Sheet1!$Z$17</definedName>
    <definedName name="prem02">[1]Sheet1!$AE$17</definedName>
    <definedName name="Present_Value_Oper_lease">'[15]PV of Op Leases_VDF'!$C$62:$AW$62</definedName>
    <definedName name="Pretax" localSheetId="5">'[14]Annual Model'!#REF!</definedName>
    <definedName name="Pretax" localSheetId="2">'[14]Annual Model'!#REF!</definedName>
    <definedName name="Pretax">'[14]Annual Model'!#REF!</definedName>
    <definedName name="Pretax_income" localSheetId="4">'[13]Annual Model'!#REF!</definedName>
    <definedName name="Pretax_income" localSheetId="5">'[13]Annual Model'!#REF!</definedName>
    <definedName name="Pretax_income" localSheetId="2">'[13]Annual Model'!#REF!</definedName>
    <definedName name="Pretax_income">'[13]Annual Model'!#REF!</definedName>
    <definedName name="Pretax_income_fore" localSheetId="5">#REF!</definedName>
    <definedName name="Pretax_income_fore" localSheetId="2">#REF!</definedName>
    <definedName name="Pretax_income_fore">#REF!</definedName>
    <definedName name="pretax93">'[5]#REF'!$X$175</definedName>
    <definedName name="pretax94">'[5]#REF'!$AE$175</definedName>
    <definedName name="prev01">[1]Sheet1!$Z$108</definedName>
    <definedName name="prev02">[1]Sheet1!$AE$108</definedName>
    <definedName name="PreviousButton">"Button 19"</definedName>
    <definedName name="PRH" localSheetId="5">#REF!</definedName>
    <definedName name="PRH" localSheetId="2">#REF!</definedName>
    <definedName name="PRH">#REF!</definedName>
    <definedName name="PRH_CON01" localSheetId="5">'[24]THE LINK FOR ALL'!#REF!</definedName>
    <definedName name="PRH_CON01" localSheetId="2">'[24]THE LINK FOR ALL'!#REF!</definedName>
    <definedName name="PRH_CON01">'[24]THE LINK FOR ALL'!#REF!</definedName>
    <definedName name="PRH_CONS00" localSheetId="5">'[24]THE LINK FOR ALL'!#REF!</definedName>
    <definedName name="PRH_CONS00" localSheetId="2">'[24]THE LINK FOR ALL'!#REF!</definedName>
    <definedName name="PRH_CONS00">'[24]THE LINK FOR ALL'!#REF!</definedName>
    <definedName name="PRH_CONS99" localSheetId="5">'[24]THE LINK FOR ALL'!#REF!</definedName>
    <definedName name="PRH_CONS99" localSheetId="2">'[24]THE LINK FOR ALL'!#REF!</definedName>
    <definedName name="PRH_CONS99">'[24]THE LINK FOR ALL'!#REF!</definedName>
    <definedName name="PRICE_1">'[28]Scenario Builder'!$C$61:$L$61</definedName>
    <definedName name="PRICE_2">'[28]Scenario Builder'!$C$62:$L$62</definedName>
    <definedName name="PRICE_3">'[28]Scenario Builder'!$C$63:$L$63</definedName>
    <definedName name="PRICE_4">'[28]Scenario Builder'!$C$64:$L$64</definedName>
    <definedName name="PRICE_5">'[28]Scenario Builder'!$C$65:$L$65</definedName>
    <definedName name="PRICE_NUMBER">'[28]LRP Scenarios'!$G$98</definedName>
    <definedName name="PriceDate">'[5]#REF'!$C$2</definedName>
    <definedName name="pril01" localSheetId="5">'[32]Qtr. Product Sales'!#REF!</definedName>
    <definedName name="pril01" localSheetId="2">'[32]Qtr. Product Sales'!#REF!</definedName>
    <definedName name="pril01">'[32]Qtr. Product Sales'!#REF!</definedName>
    <definedName name="pril02" localSheetId="5">'[32]Qtr. Product Sales'!#REF!</definedName>
    <definedName name="pril02" localSheetId="2">'[32]Qtr. Product Sales'!#REF!</definedName>
    <definedName name="pril02">'[32]Qtr. Product Sales'!#REF!</definedName>
    <definedName name="prin01" localSheetId="5">'[32]Qtr. Product Sales'!#REF!</definedName>
    <definedName name="prin01" localSheetId="2">'[32]Qtr. Product Sales'!#REF!</definedName>
    <definedName name="prin01">'[32]Qtr. Product Sales'!#REF!</definedName>
    <definedName name="prin02" localSheetId="5">'[32]Qtr. Product Sales'!#REF!</definedName>
    <definedName name="prin02" localSheetId="2">'[32]Qtr. Product Sales'!#REF!</definedName>
    <definedName name="prin02">'[32]Qtr. Product Sales'!#REF!</definedName>
    <definedName name="Print_96" localSheetId="5">#REF!</definedName>
    <definedName name="Print_96" localSheetId="2">#REF!</definedName>
    <definedName name="Print_96">#REF!</definedName>
    <definedName name="_xlnm.Print_Area" localSheetId="6">'BS &amp; CF'!$B$1:$AV$110</definedName>
    <definedName name="_xlnm.Print_Area" localSheetId="1">IS!$B$1:$BJ$69</definedName>
    <definedName name="_xlnm.Print_Area" localSheetId="5">'Key Products'!$B$1:$CE$108</definedName>
    <definedName name="_xlnm.Print_Area" localSheetId="0">Sales!$B$1:$CE$142</definedName>
    <definedName name="_xlnm.Print_Area" localSheetId="2">SOTP!$B$1:$CE$60</definedName>
    <definedName name="_xlnm.Print_Area">#REF!</definedName>
    <definedName name="Print_Area_MI" localSheetId="5">'[39]ACTIVE SHEET'!#REF!</definedName>
    <definedName name="Print_Area_MI" localSheetId="2">'[39]ACTIVE SHEET'!#REF!</definedName>
    <definedName name="Print_Area_MI">'[39]ACTIVE SHEET'!#REF!</definedName>
    <definedName name="PRINT_BS" localSheetId="5">#REF!</definedName>
    <definedName name="PRINT_BS" localSheetId="2">#REF!</definedName>
    <definedName name="PRINT_BS">#REF!</definedName>
    <definedName name="PRINT_CF" localSheetId="5">#REF!</definedName>
    <definedName name="PRINT_CF" localSheetId="2">#REF!</definedName>
    <definedName name="PRINT_CF">#REF!</definedName>
    <definedName name="PRINT_PL" localSheetId="5">#REF!</definedName>
    <definedName name="PRINT_PL" localSheetId="2">#REF!</definedName>
    <definedName name="PRINT_PL">#REF!</definedName>
    <definedName name="PRINT_RATIOS" localSheetId="5">#REF!</definedName>
    <definedName name="PRINT_RATIOS" localSheetId="2">#REF!</definedName>
    <definedName name="PRINT_RATIOS">#REF!</definedName>
    <definedName name="PRINT_SALES">[12]Sales!$A$1:$AG$230</definedName>
    <definedName name="Print_Titles_MI">'[39]ACTIVE SHEET'!$A$1:$IV$6,'[39]ACTIVE SHEET'!$A$1:$A$65536</definedName>
    <definedName name="PRINT_VALUE" localSheetId="5">#REF!</definedName>
    <definedName name="PRINT_VALUE" localSheetId="2">#REF!</definedName>
    <definedName name="PRINT_VALUE">#REF!</definedName>
    <definedName name="print1" localSheetId="5">'[41]Income Statement'!$A$1:$I$45,'[41]Income Statement'!#REF!</definedName>
    <definedName name="print1" localSheetId="2">'[41]Income Statement'!$A$1:$I$45,'[41]Income Statement'!#REF!</definedName>
    <definedName name="print1">'[41]Income Statement'!$A$1:$I$45,'[41]Income Statement'!#REF!</definedName>
    <definedName name="print3" localSheetId="5">#REF!</definedName>
    <definedName name="print3" localSheetId="2">#REF!</definedName>
    <definedName name="print3">#REF!</definedName>
    <definedName name="Proceeds_of_New_Issue" localSheetId="5">#REF!</definedName>
    <definedName name="Proceeds_of_New_Issue" localSheetId="2">#REF!</definedName>
    <definedName name="Proceeds_of_New_Issue">#REF!</definedName>
    <definedName name="prot01">[1]Sheet1!$Z$112</definedName>
    <definedName name="prot02">[1]Sheet1!$AE$112</definedName>
    <definedName name="proz00">'[26]Qtr. Product Sales'!$P$34</definedName>
    <definedName name="proz01">'[26]Qtr. Product Sales'!$U$34</definedName>
    <definedName name="proz02">'[26]Qtr. Product Sales'!$Z$34</definedName>
    <definedName name="PSI_Casino">[35]Prices!$B$5</definedName>
    <definedName name="PSI_Equip" localSheetId="5">#REF!</definedName>
    <definedName name="PSI_Equip" localSheetId="2">#REF!</definedName>
    <definedName name="PSI_Equip">#REF!</definedName>
    <definedName name="PSI_Gaming" localSheetId="5">#REF!</definedName>
    <definedName name="PSI_Gaming" localSheetId="2">#REF!</definedName>
    <definedName name="PSI_Gaming">#REF!</definedName>
    <definedName name="ptp" localSheetId="5">#REF!</definedName>
    <definedName name="ptp" localSheetId="2">#REF!</definedName>
    <definedName name="ptp">#REF!</definedName>
    <definedName name="PVEquivalent">'[5]#REF'!$C$178</definedName>
    <definedName name="PWRH" localSheetId="5">#REF!</definedName>
    <definedName name="PWRH" localSheetId="2">#REF!</definedName>
    <definedName name="PWRH">#REF!</definedName>
    <definedName name="q" localSheetId="5">#REF!</definedName>
    <definedName name="q" localSheetId="2">#REF!</definedName>
    <definedName name="q">#REF!</definedName>
    <definedName name="Q2.2004">'[1]Quarterly Product Sales'!$AX$1:$AX$65536</definedName>
    <definedName name="QTR_YTD" localSheetId="5">#REF!</definedName>
    <definedName name="QTR_YTD" localSheetId="2">#REF!</definedName>
    <definedName name="QTR_YTD">#REF!</definedName>
    <definedName name="Quarter">#N/A</definedName>
    <definedName name="QUARTERINCAPS">[42]Cover!$J$1</definedName>
    <definedName name="Quarters" localSheetId="5">#REF!</definedName>
    <definedName name="Quarters" localSheetId="2">#REF!</definedName>
    <definedName name="Quarters">#REF!</definedName>
    <definedName name="R_D_amort_years">'[15]Invested capital_VDF'!$A$34</definedName>
    <definedName name="R_D_Amortization">'[15]Invested capital_VDF'!$C$31:$AU$31</definedName>
    <definedName name="R_D_expense">'[15]Invested capital_VDF'!$C$28:$AZ$28</definedName>
    <definedName name="Range_Names" localSheetId="5">#REF!</definedName>
    <definedName name="Range_Names" localSheetId="2">#REF!</definedName>
    <definedName name="Range_Names">#REF!</definedName>
    <definedName name="rangeBoldFontArea1" localSheetId="5">#REF!,#REF!,#REF!,#REF!,#REF!,#REF!,#REF!,#REF!,#REF!,#REF!,#REF!,#REF!,#REF!,#REF!</definedName>
    <definedName name="rangeBoldFontArea1" localSheetId="2">#REF!,#REF!,#REF!,#REF!,#REF!,#REF!,#REF!,#REF!,#REF!,#REF!,#REF!,#REF!,#REF!,#REF!</definedName>
    <definedName name="rangeBoldFontArea1">#REF!,#REF!,#REF!,#REF!,#REF!,#REF!,#REF!,#REF!,#REF!,#REF!,#REF!,#REF!,#REF!,#REF!</definedName>
    <definedName name="rangeBoldFontArea2" localSheetId="5">#REF!,#REF!,#REF!,#REF!,#REF!,#REF!,#REF!,#REF!,#REF!,#REF!,#REF!,#REF!,#REF!,#REF!,#REF!,#REF!,#REF!</definedName>
    <definedName name="rangeBoldFontArea2" localSheetId="2">#REF!,#REF!,#REF!,#REF!,#REF!,#REF!,#REF!,#REF!,#REF!,#REF!,#REF!,#REF!,#REF!,#REF!,#REF!,#REF!,#REF!</definedName>
    <definedName name="rangeBoldFontArea2">#REF!,#REF!,#REF!,#REF!,#REF!,#REF!,#REF!,#REF!,#REF!,#REF!,#REF!,#REF!,#REF!,#REF!,#REF!,#REF!,#REF!</definedName>
    <definedName name="rangeBorderMedium" localSheetId="5">#REF!,#REF!,#REF!,#REF!,#REF!,#REF!,#REF!,#REF!,#REF!,#REF!</definedName>
    <definedName name="rangeBorderMedium" localSheetId="2">#REF!,#REF!,#REF!,#REF!,#REF!,#REF!,#REF!,#REF!,#REF!,#REF!</definedName>
    <definedName name="rangeBorderMedium">#REF!,#REF!,#REF!,#REF!,#REF!,#REF!,#REF!,#REF!,#REF!,#REF!</definedName>
    <definedName name="rangeFormatGeneral" localSheetId="5">#REF!,#REF!,#REF!</definedName>
    <definedName name="rangeFormatGeneral" localSheetId="2">#REF!,#REF!,#REF!</definedName>
    <definedName name="rangeFormatGeneral">#REF!,#REF!,#REF!</definedName>
    <definedName name="rangeFormatNumber1" localSheetId="5">#REF!,#REF!,#REF!,#REF!,#REF!,#REF!,#REF!,#REF!,#REF!,#REF!,#REF!,#REF!,#REF!,#REF!,#REF!,#REF!,#REF!,#REF!</definedName>
    <definedName name="rangeFormatNumber1" localSheetId="2">#REF!,#REF!,#REF!,#REF!,#REF!,#REF!,#REF!,#REF!,#REF!,#REF!,#REF!,#REF!,#REF!,#REF!,#REF!,#REF!,#REF!,#REF!</definedName>
    <definedName name="rangeFormatNumber1">#REF!,#REF!,#REF!,#REF!,#REF!,#REF!,#REF!,#REF!,#REF!,#REF!,#REF!,#REF!,#REF!,#REF!,#REF!,#REF!,#REF!,#REF!</definedName>
    <definedName name="rangeFormatNumber2" localSheetId="5">#REF!,#REF!,#REF!,#REF!,#REF!,#REF!,#REF!,#REF!,#REF!,#REF!,#REF!,#REF!,#REF!,#REF!,#REF!,#REF!,#REF!</definedName>
    <definedName name="rangeFormatNumber2" localSheetId="2">#REF!,#REF!,#REF!,#REF!,#REF!,#REF!,#REF!,#REF!,#REF!,#REF!,#REF!,#REF!,#REF!,#REF!,#REF!,#REF!,#REF!</definedName>
    <definedName name="rangeFormatNumber2">#REF!,#REF!,#REF!,#REF!,#REF!,#REF!,#REF!,#REF!,#REF!,#REF!,#REF!,#REF!,#REF!,#REF!,#REF!,#REF!,#REF!</definedName>
    <definedName name="rangeFormatNumber3" localSheetId="5">#REF!,#REF!,#REF!,#REF!,#REF!,#REF!,#REF!,#REF!,#REF!,#REF!,#REF!,#REF!,#REF!,#REF!,#REF!,#REF!,#REF!</definedName>
    <definedName name="rangeFormatNumber3" localSheetId="2">#REF!,#REF!,#REF!,#REF!,#REF!,#REF!,#REF!,#REF!,#REF!,#REF!,#REF!,#REF!,#REF!,#REF!,#REF!,#REF!,#REF!</definedName>
    <definedName name="rangeFormatNumber3">#REF!,#REF!,#REF!,#REF!,#REF!,#REF!,#REF!,#REF!,#REF!,#REF!,#REF!,#REF!,#REF!,#REF!,#REF!,#REF!,#REF!</definedName>
    <definedName name="rangeFormatPercent" localSheetId="5">#REF!,#REF!,#REF!,#REF!,#REF!</definedName>
    <definedName name="rangeFormatPercent" localSheetId="2">#REF!,#REF!,#REF!,#REF!,#REF!</definedName>
    <definedName name="rangeFormatPercent">#REF!,#REF!,#REF!,#REF!,#REF!</definedName>
    <definedName name="rangeLoad2" localSheetId="5">#REF!,#REF!,#REF!,#REF!,#REF!,#REF!,#REF!,#REF!,#REF!</definedName>
    <definedName name="rangeLoad2" localSheetId="2">#REF!,#REF!,#REF!,#REF!,#REF!,#REF!,#REF!,#REF!,#REF!</definedName>
    <definedName name="rangeLoad2">#REF!,#REF!,#REF!,#REF!,#REF!,#REF!,#REF!,#REF!,#REF!</definedName>
    <definedName name="rangeLoad3" localSheetId="5">#REF!,#REF!,#REF!,#REF!,#REF!,#REF!,#REF!,#REF!,#REF!,#REF!</definedName>
    <definedName name="rangeLoad3" localSheetId="2">#REF!,#REF!,#REF!,#REF!,#REF!,#REF!,#REF!,#REF!,#REF!,#REF!</definedName>
    <definedName name="rangeLoad3">#REF!,#REF!,#REF!,#REF!,#REF!,#REF!,#REF!,#REF!,#REF!,#REF!</definedName>
    <definedName name="rangeLoad4" localSheetId="5">#REF!,#REF!,#REF!,#REF!,#REF!,#REF!,#REF!,#REF!,#REF!,#REF!,#REF!,#REF!,#REF!,#REF!,#REF!</definedName>
    <definedName name="rangeLoad4" localSheetId="2">#REF!,#REF!,#REF!,#REF!,#REF!,#REF!,#REF!,#REF!,#REF!,#REF!,#REF!,#REF!,#REF!,#REF!,#REF!</definedName>
    <definedName name="rangeLoad4">#REF!,#REF!,#REF!,#REF!,#REF!,#REF!,#REF!,#REF!,#REF!,#REF!,#REF!,#REF!,#REF!,#REF!,#REF!</definedName>
    <definedName name="rangeLoad5" localSheetId="5">#REF!,#REF!,#REF!,#REF!,#REF!</definedName>
    <definedName name="rangeLoad5" localSheetId="2">#REF!,#REF!,#REF!,#REF!,#REF!</definedName>
    <definedName name="rangeLoad5">#REF!,#REF!,#REF!,#REF!,#REF!</definedName>
    <definedName name="rangeProtectedArea" localSheetId="5">#REF!,#REF!</definedName>
    <definedName name="rangeProtectedArea" localSheetId="2">#REF!,#REF!</definedName>
    <definedName name="rangeProtectedArea">#REF!,#REF!</definedName>
    <definedName name="rangeSubmitArea2" localSheetId="5">#REF!,#REF!,#REF!,#REF!,#REF!,#REF!,#REF!,#REF!,#REF!,#REF!,#REF!,#REF!</definedName>
    <definedName name="rangeSubmitArea2" localSheetId="2">#REF!,#REF!,#REF!,#REF!,#REF!,#REF!,#REF!,#REF!,#REF!,#REF!,#REF!,#REF!</definedName>
    <definedName name="rangeSubmitArea2">#REF!,#REF!,#REF!,#REF!,#REF!,#REF!,#REF!,#REF!,#REF!,#REF!,#REF!,#REF!</definedName>
    <definedName name="rangeSubmitArea3" localSheetId="5">#REF!,#REF!,#REF!,#REF!,#REF!,#REF!,#REF!,#REF!,#REF!,#REF!,#REF!,#REF!,#REF!,#REF!,#REF!,#REF!,#REF!</definedName>
    <definedName name="rangeSubmitArea3" localSheetId="2">#REF!,#REF!,#REF!,#REF!,#REF!,#REF!,#REF!,#REF!,#REF!,#REF!,#REF!,#REF!,#REF!,#REF!,#REF!,#REF!,#REF!</definedName>
    <definedName name="rangeSubmitArea3">#REF!,#REF!,#REF!,#REF!,#REF!,#REF!,#REF!,#REF!,#REF!,#REF!,#REF!,#REF!,#REF!,#REF!,#REF!,#REF!,#REF!</definedName>
    <definedName name="rangeSubmitArea4" localSheetId="5">#REF!,#REF!,#REF!,#REF!,#REF!,#REF!,#REF!,#REF!,#REF!,#REF!,#REF!,#REF!,#REF!,#REF!,#REF!,#REF!,#REF!</definedName>
    <definedName name="rangeSubmitArea4" localSheetId="2">#REF!,#REF!,#REF!,#REF!,#REF!,#REF!,#REF!,#REF!,#REF!,#REF!,#REF!,#REF!,#REF!,#REF!,#REF!,#REF!,#REF!</definedName>
    <definedName name="rangeSubmitArea4">#REF!,#REF!,#REF!,#REF!,#REF!,#REF!,#REF!,#REF!,#REF!,#REF!,#REF!,#REF!,#REF!,#REF!,#REF!,#REF!,#REF!</definedName>
    <definedName name="Rate_WACC" localSheetId="5">#REF!</definedName>
    <definedName name="Rate_WACC" localSheetId="2">#REF!</definedName>
    <definedName name="Rate_WACC">#REF!</definedName>
    <definedName name="RCL" localSheetId="5">#REF!</definedName>
    <definedName name="RCL" localSheetId="2">#REF!</definedName>
    <definedName name="RCL">#REF!</definedName>
    <definedName name="RD" localSheetId="5">#REF!</definedName>
    <definedName name="RD" localSheetId="2">#REF!</definedName>
    <definedName name="RD">#REF!</definedName>
    <definedName name="rd_pharma" localSheetId="5">#REF!</definedName>
    <definedName name="rd_pharma" localSheetId="2">#REF!</definedName>
    <definedName name="rd_pharma">#REF!</definedName>
    <definedName name="rd00">[1]Inputs!$K$21</definedName>
    <definedName name="rd02\">'[26]quarterly income'!$Z$21</definedName>
    <definedName name="Relafen" localSheetId="5">[12]Sales!#REF!</definedName>
    <definedName name="Relafen" localSheetId="2">[12]Sales!#REF!</definedName>
    <definedName name="Relafen">[12]Sales!#REF!</definedName>
    <definedName name="ReQuip" localSheetId="5">[12]Sales!#REF!</definedName>
    <definedName name="ReQuip" localSheetId="2">[12]Sales!#REF!</definedName>
    <definedName name="ReQuip">[12]Sales!#REF!</definedName>
    <definedName name="Required_cash_percent">'[15]Invested capital_VDF'!$A$9</definedName>
    <definedName name="Restructuring_charges" localSheetId="5">'[15]Invested capital_VDF'!#REF!</definedName>
    <definedName name="Restructuring_charges" localSheetId="2">'[15]Invested capital_VDF'!#REF!</definedName>
    <definedName name="Restructuring_charges">'[15]Invested capital_VDF'!#REF!</definedName>
    <definedName name="Restructuring_charges_growth_fore" localSheetId="5">#REF!</definedName>
    <definedName name="Restructuring_charges_growth_fore" localSheetId="2">#REF!</definedName>
    <definedName name="Restructuring_charges_growth_fore">#REF!</definedName>
    <definedName name="rfr" localSheetId="5">#REF!</definedName>
    <definedName name="rfr" localSheetId="2">#REF!</definedName>
    <definedName name="rfr">#REF!</definedName>
    <definedName name="RnD_expense">'[15]Invested capital_VDF'!$C$28:$AZ$28</definedName>
    <definedName name="RnD_expense_fore" localSheetId="5">#REF!</definedName>
    <definedName name="RnD_expense_fore" localSheetId="2">#REF!</definedName>
    <definedName name="RnD_expense_fore">#REF!</definedName>
    <definedName name="RnD_expense_growth_fore" localSheetId="5">#REF!</definedName>
    <definedName name="RnD_expense_growth_fore" localSheetId="2">#REF!</definedName>
    <definedName name="RnD_expense_growth_fore">#REF!</definedName>
    <definedName name="RnD_expenses_fore" localSheetId="5">#REF!</definedName>
    <definedName name="RnD_expenses_fore" localSheetId="2">#REF!</definedName>
    <definedName name="RnD_expenses_fore">#REF!</definedName>
    <definedName name="rngeFrcstMandatory2" localSheetId="5">#REF!,#REF!,#REF!,#REF!,#REF!,#REF!,#REF!,#REF!,#REF!,#REF!,#REF!,#REF!,#REF!,#REF!,#REF!,#REF!,#REF!,#REF!</definedName>
    <definedName name="rngeFrcstMandatory2" localSheetId="2">#REF!,#REF!,#REF!,#REF!,#REF!,#REF!,#REF!,#REF!,#REF!,#REF!,#REF!,#REF!,#REF!,#REF!,#REF!,#REF!,#REF!,#REF!</definedName>
    <definedName name="rngeFrcstMandatory2">#REF!,#REF!,#REF!,#REF!,#REF!,#REF!,#REF!,#REF!,#REF!,#REF!,#REF!,#REF!,#REF!,#REF!,#REF!,#REF!,#REF!,#REF!</definedName>
    <definedName name="rngeFrcstMandatory3" localSheetId="5">#REF!,#REF!,#REF!,#REF!,#REF!,#REF!,#REF!,#REF!,#REF!,#REF!,#REF!,#REF!,#REF!,#REF!,#REF!,#REF!,#REF!</definedName>
    <definedName name="rngeFrcstMandatory3" localSheetId="2">#REF!,#REF!,#REF!,#REF!,#REF!,#REF!,#REF!,#REF!,#REF!,#REF!,#REF!,#REF!,#REF!,#REF!,#REF!,#REF!,#REF!</definedName>
    <definedName name="rngeFrcstMandatory3">#REF!,#REF!,#REF!,#REF!,#REF!,#REF!,#REF!,#REF!,#REF!,#REF!,#REF!,#REF!,#REF!,#REF!,#REF!,#REF!,#REF!</definedName>
    <definedName name="rngeFrcstMandatory4" localSheetId="5">#REF!,#REF!,#REF!,#REF!,#REF!,#REF!,#REF!</definedName>
    <definedName name="rngeFrcstMandatory4" localSheetId="2">#REF!,#REF!,#REF!,#REF!,#REF!,#REF!,#REF!</definedName>
    <definedName name="rngeFrcstMandatory4">#REF!,#REF!,#REF!,#REF!,#REF!,#REF!,#REF!</definedName>
    <definedName name="rngeFrcstOptional2" localSheetId="5">#REF!,#REF!,#REF!,#REF!,#REF!,#REF!,#REF!,#REF!,#REF!,#REF!,#REF!,#REF!,#REF!,#REF!,#REF!,#REF!</definedName>
    <definedName name="rngeFrcstOptional2" localSheetId="2">#REF!,#REF!,#REF!,#REF!,#REF!,#REF!,#REF!,#REF!,#REF!,#REF!,#REF!,#REF!,#REF!,#REF!,#REF!,#REF!</definedName>
    <definedName name="rngeFrcstOptional2">#REF!,#REF!,#REF!,#REF!,#REF!,#REF!,#REF!,#REF!,#REF!,#REF!,#REF!,#REF!,#REF!,#REF!,#REF!,#REF!</definedName>
    <definedName name="rngeFrcstOptional3" localSheetId="5">#REF!,#REF!,#REF!,#REF!,#REF!,#REF!,#REF!,#REF!,#REF!,#REF!,#REF!,#REF!,#REF!,#REF!,#REF!</definedName>
    <definedName name="rngeFrcstOptional3" localSheetId="2">#REF!,#REF!,#REF!,#REF!,#REF!,#REF!,#REF!,#REF!,#REF!,#REF!,#REF!,#REF!,#REF!,#REF!,#REF!</definedName>
    <definedName name="rngeFrcstOptional3">#REF!,#REF!,#REF!,#REF!,#REF!,#REF!,#REF!,#REF!,#REF!,#REF!,#REF!,#REF!,#REF!,#REF!,#REF!</definedName>
    <definedName name="rngeFrcstOptional4" localSheetId="5">#REF!,#REF!,#REF!,#REF!</definedName>
    <definedName name="rngeFrcstOptional4" localSheetId="2">#REF!,#REF!,#REF!,#REF!</definedName>
    <definedName name="rngeFrcstOptional4">#REF!,#REF!,#REF!,#REF!</definedName>
    <definedName name="rngeHstrMandatory11" localSheetId="5">#REF!,#REF!,#REF!,#REF!,#REF!,#REF!,#REF!,#REF!,#REF!,#REF!,#REF!,#REF!,#REF!,#REF!,#REF!,#REF!,#REF!,#REF!,#REF!,#REF!,#REF!,#REF!,#REF!</definedName>
    <definedName name="rngeHstrMandatory11" localSheetId="2">#REF!,#REF!,#REF!,#REF!,#REF!,#REF!,#REF!,#REF!,#REF!,#REF!,#REF!,#REF!,#REF!,#REF!,#REF!,#REF!,#REF!,#REF!,#REF!,#REF!,#REF!,#REF!,#REF!</definedName>
    <definedName name="rngeHstrMandatory11">#REF!,#REF!,#REF!,#REF!,#REF!,#REF!,#REF!,#REF!,#REF!,#REF!,#REF!,#REF!,#REF!,#REF!,#REF!,#REF!,#REF!,#REF!,#REF!,#REF!,#REF!,#REF!,#REF!</definedName>
    <definedName name="rngeHstrMandatory12" localSheetId="5">#REF!,#REF!,#REF!,#REF!,#REF!,#REF!,#REF!,#REF!,#REF!,#REF!,#REF!,#REF!,#REF!,#REF!,#REF!,#REF!,#REF!,#REF!</definedName>
    <definedName name="rngeHstrMandatory12" localSheetId="2">#REF!,#REF!,#REF!,#REF!,#REF!,#REF!,#REF!,#REF!,#REF!,#REF!,#REF!,#REF!,#REF!,#REF!,#REF!,#REF!,#REF!,#REF!</definedName>
    <definedName name="rngeHstrMandatory12">#REF!,#REF!,#REF!,#REF!,#REF!,#REF!,#REF!,#REF!,#REF!,#REF!,#REF!,#REF!,#REF!,#REF!,#REF!,#REF!,#REF!,#REF!</definedName>
    <definedName name="rngeHstrMandatory21" localSheetId="5">#REF!,#REF!,#REF!,#REF!,#REF!,#REF!,#REF!,#REF!,#REF!,#REF!,#REF!,#REF!,#REF!,#REF!,#REF!,#REF!,#REF!,#REF!,#REF!,#REF!,#REF!,#REF!,#REF!</definedName>
    <definedName name="rngeHstrMandatory21" localSheetId="2">#REF!,#REF!,#REF!,#REF!,#REF!,#REF!,#REF!,#REF!,#REF!,#REF!,#REF!,#REF!,#REF!,#REF!,#REF!,#REF!,#REF!,#REF!,#REF!,#REF!,#REF!,#REF!,#REF!</definedName>
    <definedName name="rngeHstrMandatory21">#REF!,#REF!,#REF!,#REF!,#REF!,#REF!,#REF!,#REF!,#REF!,#REF!,#REF!,#REF!,#REF!,#REF!,#REF!,#REF!,#REF!,#REF!,#REF!,#REF!,#REF!,#REF!,#REF!</definedName>
    <definedName name="rngeHstrMandatory22" localSheetId="5">#REF!,#REF!,#REF!,#REF!,#REF!,#REF!,#REF!,#REF!,#REF!,#REF!,#REF!,#REF!,#REF!,#REF!,#REF!,#REF!,#REF!,#REF!</definedName>
    <definedName name="rngeHstrMandatory22" localSheetId="2">#REF!,#REF!,#REF!,#REF!,#REF!,#REF!,#REF!,#REF!,#REF!,#REF!,#REF!,#REF!,#REF!,#REF!,#REF!,#REF!,#REF!,#REF!</definedName>
    <definedName name="rngeHstrMandatory22">#REF!,#REF!,#REF!,#REF!,#REF!,#REF!,#REF!,#REF!,#REF!,#REF!,#REF!,#REF!,#REF!,#REF!,#REF!,#REF!,#REF!,#REF!</definedName>
    <definedName name="rngeHstrMandatory31" localSheetId="5">#REF!,#REF!,#REF!,#REF!,#REF!,#REF!,#REF!,#REF!,#REF!,#REF!,#REF!,#REF!,#REF!,#REF!,#REF!,#REF!,#REF!,#REF!,#REF!,#REF!,#REF!,#REF!,#REF!</definedName>
    <definedName name="rngeHstrMandatory31" localSheetId="2">#REF!,#REF!,#REF!,#REF!,#REF!,#REF!,#REF!,#REF!,#REF!,#REF!,#REF!,#REF!,#REF!,#REF!,#REF!,#REF!,#REF!,#REF!,#REF!,#REF!,#REF!,#REF!,#REF!</definedName>
    <definedName name="rngeHstrMandatory31">#REF!,#REF!,#REF!,#REF!,#REF!,#REF!,#REF!,#REF!,#REF!,#REF!,#REF!,#REF!,#REF!,#REF!,#REF!,#REF!,#REF!,#REF!,#REF!,#REF!,#REF!,#REF!,#REF!</definedName>
    <definedName name="rngeHstrMandatory32" localSheetId="5">#REF!,#REF!,#REF!,#REF!,#REF!,#REF!,#REF!,#REF!,#REF!,#REF!,#REF!,#REF!,#REF!,#REF!,#REF!,#REF!,#REF!,#REF!</definedName>
    <definedName name="rngeHstrMandatory32" localSheetId="2">#REF!,#REF!,#REF!,#REF!,#REF!,#REF!,#REF!,#REF!,#REF!,#REF!,#REF!,#REF!,#REF!,#REF!,#REF!,#REF!,#REF!,#REF!</definedName>
    <definedName name="rngeHstrMandatory32">#REF!,#REF!,#REF!,#REF!,#REF!,#REF!,#REF!,#REF!,#REF!,#REF!,#REF!,#REF!,#REF!,#REF!,#REF!,#REF!,#REF!,#REF!</definedName>
    <definedName name="rngeHstrOptional12" localSheetId="5">#REF!,#REF!,#REF!,#REF!,#REF!,#REF!,#REF!,#REF!,#REF!,#REF!,#REF!,#REF!,#REF!,#REF!,#REF!,#REF!,#REF!,#REF!,#REF!</definedName>
    <definedName name="rngeHstrOptional12" localSheetId="2">#REF!,#REF!,#REF!,#REF!,#REF!,#REF!,#REF!,#REF!,#REF!,#REF!,#REF!,#REF!,#REF!,#REF!,#REF!,#REF!,#REF!,#REF!,#REF!</definedName>
    <definedName name="rngeHstrOptional12">#REF!,#REF!,#REF!,#REF!,#REF!,#REF!,#REF!,#REF!,#REF!,#REF!,#REF!,#REF!,#REF!,#REF!,#REF!,#REF!,#REF!,#REF!,#REF!</definedName>
    <definedName name="rngeHstrOptional13" localSheetId="5">#REF!,#REF!,#REF!,#REF!,#REF!,#REF!,#REF!,#REF!,#REF!,#REF!,#REF!,#REF!</definedName>
    <definedName name="rngeHstrOptional13" localSheetId="2">#REF!,#REF!,#REF!,#REF!,#REF!,#REF!,#REF!,#REF!,#REF!,#REF!,#REF!,#REF!</definedName>
    <definedName name="rngeHstrOptional13">#REF!,#REF!,#REF!,#REF!,#REF!,#REF!,#REF!,#REF!,#REF!,#REF!,#REF!,#REF!</definedName>
    <definedName name="rngeHstrOptional22" localSheetId="5">#REF!,#REF!,#REF!,#REF!,#REF!,#REF!,#REF!,#REF!,#REF!,#REF!,#REF!,#REF!,#REF!,#REF!,#REF!,#REF!,#REF!,#REF!,#REF!</definedName>
    <definedName name="rngeHstrOptional22" localSheetId="2">#REF!,#REF!,#REF!,#REF!,#REF!,#REF!,#REF!,#REF!,#REF!,#REF!,#REF!,#REF!,#REF!,#REF!,#REF!,#REF!,#REF!,#REF!,#REF!</definedName>
    <definedName name="rngeHstrOptional22">#REF!,#REF!,#REF!,#REF!,#REF!,#REF!,#REF!,#REF!,#REF!,#REF!,#REF!,#REF!,#REF!,#REF!,#REF!,#REF!,#REF!,#REF!,#REF!</definedName>
    <definedName name="rngeHstrOptional23" localSheetId="5">#REF!,#REF!,#REF!,#REF!,#REF!,#REF!,#REF!,#REF!,#REF!,#REF!,#REF!,#REF!</definedName>
    <definedName name="rngeHstrOptional23" localSheetId="2">#REF!,#REF!,#REF!,#REF!,#REF!,#REF!,#REF!,#REF!,#REF!,#REF!,#REF!,#REF!</definedName>
    <definedName name="rngeHstrOptional23">#REF!,#REF!,#REF!,#REF!,#REF!,#REF!,#REF!,#REF!,#REF!,#REF!,#REF!,#REF!</definedName>
    <definedName name="rngeHstrOptional32" localSheetId="5">#REF!,#REF!,#REF!,#REF!,#REF!,#REF!,#REF!,#REF!,#REF!,#REF!,#REF!,#REF!,#REF!,#REF!,#REF!,#REF!,#REF!,#REF!,#REF!</definedName>
    <definedName name="rngeHstrOptional32" localSheetId="2">#REF!,#REF!,#REF!,#REF!,#REF!,#REF!,#REF!,#REF!,#REF!,#REF!,#REF!,#REF!,#REF!,#REF!,#REF!,#REF!,#REF!,#REF!,#REF!</definedName>
    <definedName name="rngeHstrOptional32">#REF!,#REF!,#REF!,#REF!,#REF!,#REF!,#REF!,#REF!,#REF!,#REF!,#REF!,#REF!,#REF!,#REF!,#REF!,#REF!,#REF!,#REF!,#REF!</definedName>
    <definedName name="rngeHstrOptional33" localSheetId="5">#REF!,#REF!,#REF!,#REF!,#REF!,#REF!,#REF!,#REF!,#REF!,#REF!,#REF!,#REF!</definedName>
    <definedName name="rngeHstrOptional33" localSheetId="2">#REF!,#REF!,#REF!,#REF!,#REF!,#REF!,#REF!,#REF!,#REF!,#REF!,#REF!,#REF!</definedName>
    <definedName name="rngeHstrOptional33">#REF!,#REF!,#REF!,#REF!,#REF!,#REF!,#REF!,#REF!,#REF!,#REF!,#REF!,#REF!</definedName>
    <definedName name="RRI" localSheetId="5">#REF!</definedName>
    <definedName name="RRI" localSheetId="2">#REF!</definedName>
    <definedName name="RRI">#REF!</definedName>
    <definedName name="RRI_CONS00" localSheetId="5">#REF!</definedName>
    <definedName name="RRI_CONS00" localSheetId="2">#REF!</definedName>
    <definedName name="RRI_CONS00">#REF!</definedName>
    <definedName name="RRI_CONS01" localSheetId="5">#REF!</definedName>
    <definedName name="RRI_CONS01" localSheetId="2">#REF!</definedName>
    <definedName name="RRI_CONS01">#REF!</definedName>
    <definedName name="RRI_CONS99" localSheetId="5">#REF!</definedName>
    <definedName name="RRI_CONS99" localSheetId="2">#REF!</definedName>
    <definedName name="RRI_CONS99">#REF!</definedName>
    <definedName name="RUS_CONS00">[35]Prices!$G$7</definedName>
    <definedName name="RUS_CONS01" localSheetId="5">#REF!</definedName>
    <definedName name="RUS_CONS01" localSheetId="2">#REF!</definedName>
    <definedName name="RUS_CONS01">#REF!</definedName>
    <definedName name="RUS_CONS99">[35]Prices!$F$7</definedName>
    <definedName name="RUSAO_CONSENSUS" localSheetId="5">#REF!</definedName>
    <definedName name="RUSAO_CONSENSUS" localSheetId="2">#REF!</definedName>
    <definedName name="RUSAO_CONSENSUS">#REF!</definedName>
    <definedName name="RUT">[35]Prices!$B$9</definedName>
    <definedName name="rxsales00" localSheetId="5">'[4]Qtr. Product Sales'!#REF!</definedName>
    <definedName name="rxsales00" localSheetId="2">'[4]Qtr. Product Sales'!#REF!</definedName>
    <definedName name="rxsales00">'[4]Qtr. Product Sales'!#REF!</definedName>
    <definedName name="rxsales01" localSheetId="5">'[4]Qtr. Product Sales'!#REF!</definedName>
    <definedName name="rxsales01" localSheetId="2">'[4]Qtr. Product Sales'!#REF!</definedName>
    <definedName name="rxsales01">'[4]Qtr. Product Sales'!#REF!</definedName>
    <definedName name="rxsales02" localSheetId="5">'[4]Qtr. Product Sales'!#REF!</definedName>
    <definedName name="rxsales02" localSheetId="2">'[4]Qtr. Product Sales'!#REF!</definedName>
    <definedName name="rxsales02">'[4]Qtr. Product Sales'!#REF!</definedName>
    <definedName name="rxsales07">[1]REPORTER!$AT$308</definedName>
    <definedName name="rxsales99" localSheetId="5">'[4]Qtr. Product Sales'!#REF!</definedName>
    <definedName name="rxsales99" localSheetId="2">'[4]Qtr. Product Sales'!#REF!</definedName>
    <definedName name="rxsales99">'[4]Qtr. Product Sales'!#REF!</definedName>
    <definedName name="sahres06">'[26]quarterly income'!$AT$33</definedName>
    <definedName name="sales" localSheetId="5">#REF!</definedName>
    <definedName name="sales" localSheetId="2">#REF!</definedName>
    <definedName name="sales">#REF!</definedName>
    <definedName name="Sales_growth_avg" localSheetId="5">#REF!</definedName>
    <definedName name="Sales_growth_avg" localSheetId="2">#REF!</definedName>
    <definedName name="Sales_growth_avg">#REF!</definedName>
    <definedName name="sales00" localSheetId="5">'[4]quarterly income'!#REF!</definedName>
    <definedName name="sales00" localSheetId="2">'[4]quarterly income'!#REF!</definedName>
    <definedName name="sales00">'[4]quarterly income'!#REF!</definedName>
    <definedName name="sales01" localSheetId="5">'[4]quarterly income'!#REF!</definedName>
    <definedName name="sales01" localSheetId="2">'[4]quarterly income'!#REF!</definedName>
    <definedName name="sales01">'[4]quarterly income'!#REF!</definedName>
    <definedName name="sales02" localSheetId="5">'[4]quarterly income'!#REF!</definedName>
    <definedName name="sales02" localSheetId="2">'[4]quarterly income'!#REF!</definedName>
    <definedName name="sales02">'[4]quarterly income'!#REF!</definedName>
    <definedName name="sales05">'[8]quarterly income'!$L$16</definedName>
    <definedName name="sales06">'[8]quarterly income'!$Q$16</definedName>
    <definedName name="sales07">'[8]quarterly income'!$V$16</definedName>
    <definedName name="sales076" localSheetId="5">#REF!</definedName>
    <definedName name="sales076" localSheetId="2">#REF!</definedName>
    <definedName name="sales076">#REF!</definedName>
    <definedName name="sales08">[1]Inputs!$AU$15</definedName>
    <definedName name="sales09">[1]Inputs!$AV$15</definedName>
    <definedName name="sales10">[1]Inputs!$AW$15</definedName>
    <definedName name="sales99" localSheetId="5">'[4]quarterly income'!#REF!</definedName>
    <definedName name="sales99" localSheetId="2">'[4]quarterly income'!#REF!</definedName>
    <definedName name="sales99">'[4]quarterly income'!#REF!</definedName>
    <definedName name="Salmonella_typhi">[12]Sales!$A$92:$AG$92</definedName>
    <definedName name="SB_204269" localSheetId="5">[12]Sales!#REF!</definedName>
    <definedName name="SB_204269" localSheetId="2">[12]Sales!#REF!</definedName>
    <definedName name="SB_204269">[12]Sales!#REF!</definedName>
    <definedName name="SB_207266" localSheetId="5">[12]Sales!#REF!</definedName>
    <definedName name="SB_207266" localSheetId="2">[12]Sales!#REF!</definedName>
    <definedName name="SB_207266">[12]Sales!#REF!</definedName>
    <definedName name="SB_207499" localSheetId="5">[12]Sales!#REF!</definedName>
    <definedName name="SB_207499" localSheetId="2">[12]Sales!#REF!</definedName>
    <definedName name="SB_207499">[12]Sales!#REF!</definedName>
    <definedName name="SB_209509" localSheetId="5">[12]Sales!#REF!</definedName>
    <definedName name="SB_209509" localSheetId="2">[12]Sales!#REF!</definedName>
    <definedName name="SB_209509">[12]Sales!#REF!</definedName>
    <definedName name="SB_209670">[12]Sales!$A$105:$AG$105</definedName>
    <definedName name="SB_210396" localSheetId="5">[12]Sales!#REF!</definedName>
    <definedName name="SB_210396" localSheetId="2">[12]Sales!#REF!</definedName>
    <definedName name="SB_210396">[12]Sales!#REF!</definedName>
    <definedName name="SB_214857">[12]Sales!$A$103:$AG$103</definedName>
    <definedName name="SB_217242">[12]Sales!$A$104:$AG$104</definedName>
    <definedName name="SB_217969" localSheetId="5">[12]Sales!#REF!</definedName>
    <definedName name="SB_217969" localSheetId="2">[12]Sales!#REF!</definedName>
    <definedName name="SB_217969">[12]Sales!#REF!</definedName>
    <definedName name="SB_220453" localSheetId="5">[12]Sales!#REF!</definedName>
    <definedName name="SB_220453" localSheetId="2">[12]Sales!#REF!</definedName>
    <definedName name="SB_220453">[12]Sales!#REF!</definedName>
    <definedName name="sbgdsdgvbsdg" localSheetId="5">'[7]Invested capital_VDF'!#REF!</definedName>
    <definedName name="sbgdsdgvbsdg" localSheetId="2">'[7]Invested capital_VDF'!#REF!</definedName>
    <definedName name="sbgdsdgvbsdg">'[7]Invested capital_VDF'!#REF!</definedName>
    <definedName name="SCENARIO_NUMBER">'[28]LRP Scenarios'!$D$98</definedName>
    <definedName name="SD_plasma" localSheetId="4">#REF!</definedName>
    <definedName name="SD_plasma" localSheetId="5">#REF!</definedName>
    <definedName name="SD_plasma" localSheetId="2">#REF!</definedName>
    <definedName name="SD_plasma">#REF!</definedName>
    <definedName name="SDFe" localSheetId="5">[7]NOPAT_VDF!#REF!</definedName>
    <definedName name="SDFe" localSheetId="2">[7]NOPAT_VDF!#REF!</definedName>
    <definedName name="SDFe">[7]NOPAT_VDF!#REF!</definedName>
    <definedName name="sdffs" localSheetId="5">[7]NOPAT_VDF!#REF!</definedName>
    <definedName name="sdffs" localSheetId="2">[7]NOPAT_VDF!#REF!</definedName>
    <definedName name="sdffs">[7]NOPAT_VDF!#REF!</definedName>
    <definedName name="sdfgsdfefsd" localSheetId="5">[7]NOPAT_VDF!#REF!</definedName>
    <definedName name="sdfgsdfefsd" localSheetId="2">[7]NOPAT_VDF!#REF!</definedName>
    <definedName name="sdfgsdfefsd">[7]NOPAT_VDF!#REF!</definedName>
    <definedName name="sdfgsdgfsfdsfd" localSheetId="5">[7]NOPAT_VDF!#REF!</definedName>
    <definedName name="sdfgsdgfsfdsfd" localSheetId="2">[7]NOPAT_VDF!#REF!</definedName>
    <definedName name="sdfgsdgfsfdsfd">[7]NOPAT_VDF!#REF!</definedName>
    <definedName name="Segment1_income">[15]NOPAT_VDF!$C$5:$AZ$5</definedName>
    <definedName name="Segment1_income_DCF">[15]DCF_VDF!$C$6:$BZ$6</definedName>
    <definedName name="Segment1_income_fore" localSheetId="5">#REF!</definedName>
    <definedName name="Segment1_income_fore" localSheetId="2">#REF!</definedName>
    <definedName name="Segment1_income_fore">#REF!</definedName>
    <definedName name="Segment1_income_growth_fore" localSheetId="5">#REF!</definedName>
    <definedName name="Segment1_income_growth_fore" localSheetId="2">#REF!</definedName>
    <definedName name="Segment1_income_growth_fore">#REF!</definedName>
    <definedName name="Segment2_income">[15]NOPAT_VDF!$C$6:$AZ$6</definedName>
    <definedName name="Segment2_income_DCF">[15]DCF_VDF!$C$7:$BZ$7</definedName>
    <definedName name="Segment2_income_fore" localSheetId="5">#REF!</definedName>
    <definedName name="Segment2_income_fore" localSheetId="2">#REF!</definedName>
    <definedName name="Segment2_income_fore">#REF!</definedName>
    <definedName name="Segment2_income_growth_fore" localSheetId="5">#REF!</definedName>
    <definedName name="Segment2_income_growth_fore" localSheetId="2">#REF!</definedName>
    <definedName name="Segment2_income_growth_fore">#REF!</definedName>
    <definedName name="Seroxat">[12]Sales!$A$45:$AG$45</definedName>
    <definedName name="SG" localSheetId="5">#REF!</definedName>
    <definedName name="SG" localSheetId="2">#REF!</definedName>
    <definedName name="SG">#REF!</definedName>
    <definedName name="SG_CONS00" localSheetId="5">'[24]THE LINK FOR ALL'!#REF!</definedName>
    <definedName name="SG_CONS00" localSheetId="2">'[24]THE LINK FOR ALL'!#REF!</definedName>
    <definedName name="SG_CONS00">'[24]THE LINK FOR ALL'!#REF!</definedName>
    <definedName name="SG_CONS01" localSheetId="5">'[24]THE LINK FOR ALL'!#REF!</definedName>
    <definedName name="SG_CONS01" localSheetId="2">'[24]THE LINK FOR ALL'!#REF!</definedName>
    <definedName name="SG_CONS01">'[24]THE LINK FOR ALL'!#REF!</definedName>
    <definedName name="SG_CONS99" localSheetId="5">'[24]THE LINK FOR ALL'!#REF!</definedName>
    <definedName name="SG_CONS99" localSheetId="2">'[24]THE LINK FOR ALL'!#REF!</definedName>
    <definedName name="SG_CONS99">'[24]THE LINK FOR ALL'!#REF!</definedName>
    <definedName name="SG_CONSENSUS" localSheetId="5">#REF!</definedName>
    <definedName name="SG_CONSENSUS" localSheetId="2">#REF!</definedName>
    <definedName name="SG_CONSENSUS">#REF!</definedName>
    <definedName name="SGA">[15]NOPAT_VDF!$C$12:$AE$12</definedName>
    <definedName name="SGA_fore" localSheetId="5">#REF!</definedName>
    <definedName name="SGA_fore" localSheetId="2">#REF!</definedName>
    <definedName name="SGA_fore">#REF!</definedName>
    <definedName name="SGA_growth" localSheetId="5">[15]NOPAT_VDF!#REF!</definedName>
    <definedName name="SGA_growth" localSheetId="2">[15]NOPAT_VDF!#REF!</definedName>
    <definedName name="SGA_growth">[15]NOPAT_VDF!#REF!</definedName>
    <definedName name="SGA_growth_avg" localSheetId="5">#REF!</definedName>
    <definedName name="SGA_growth_avg" localSheetId="2">#REF!</definedName>
    <definedName name="SGA_growth_avg">#REF!</definedName>
    <definedName name="SGA_growth_fore" localSheetId="5">#REF!</definedName>
    <definedName name="SGA_growth_fore" localSheetId="2">#REF!</definedName>
    <definedName name="SGA_growth_fore">#REF!</definedName>
    <definedName name="SGA_margin_fore" localSheetId="5">#REF!</definedName>
    <definedName name="SGA_margin_fore" localSheetId="2">#REF!</definedName>
    <definedName name="SGA_margin_fore">#REF!</definedName>
    <definedName name="sggsgssgd" localSheetId="5">[7]NOPAT_VDF!#REF!</definedName>
    <definedName name="sggsgssgd" localSheetId="2">[7]NOPAT_VDF!#REF!</definedName>
    <definedName name="sggsgssgd">[7]NOPAT_VDF!#REF!</definedName>
    <definedName name="SGIC" localSheetId="5">#REF!</definedName>
    <definedName name="SGIC" localSheetId="2">#REF!</definedName>
    <definedName name="SGIC">#REF!</definedName>
    <definedName name="Sgp" localSheetId="5">[36]DATA!#REF!</definedName>
    <definedName name="Sgp" localSheetId="2">[36]DATA!#REF!</definedName>
    <definedName name="Sgp">[36]DATA!#REF!</definedName>
    <definedName name="sgsgsggs" localSheetId="5">'[7]Invested capital_VDF'!#REF!</definedName>
    <definedName name="sgsgsggs" localSheetId="2">'[7]Invested capital_VDF'!#REF!</definedName>
    <definedName name="sgsgsggs">'[7]Invested capital_VDF'!#REF!</definedName>
    <definedName name="share06">[1]Inputs!$AO$36</definedName>
    <definedName name="SharePrice" localSheetId="5">#REF!</definedName>
    <definedName name="SharePrice" localSheetId="2">#REF!</definedName>
    <definedName name="SharePrice">#REF!</definedName>
    <definedName name="SharePriceEuro" localSheetId="5">#REF!</definedName>
    <definedName name="SharePriceEuro" localSheetId="2">#REF!</definedName>
    <definedName name="SharePriceEuro">#REF!</definedName>
    <definedName name="SHARES" localSheetId="5">#REF!</definedName>
    <definedName name="SHARES" localSheetId="2">#REF!</definedName>
    <definedName name="SHARES">#REF!</definedName>
    <definedName name="Shares_DCF">[15]DCF_VDF!$C$37:$AZ$37</definedName>
    <definedName name="Shares_fore" localSheetId="5">#REF!</definedName>
    <definedName name="Shares_fore" localSheetId="2">#REF!</definedName>
    <definedName name="Shares_fore">#REF!</definedName>
    <definedName name="Shares_growth">[15]NOPAT_VDF!$M$151:$Q$151</definedName>
    <definedName name="Shares_growth_fore" localSheetId="5">#REF!</definedName>
    <definedName name="Shares_growth_fore" localSheetId="2">#REF!</definedName>
    <definedName name="Shares_growth_fore">#REF!</definedName>
    <definedName name="Shares_repurchase_liability" localSheetId="5">'[15]Invested capital_VDF'!#REF!</definedName>
    <definedName name="Shares_repurchase_liability" localSheetId="2">'[15]Invested capital_VDF'!#REF!</definedName>
    <definedName name="Shares_repurchase_liability">'[15]Invested capital_VDF'!#REF!</definedName>
    <definedName name="shares00" localSheetId="5">'[4]quarterly income'!#REF!</definedName>
    <definedName name="shares00" localSheetId="2">'[4]quarterly income'!#REF!</definedName>
    <definedName name="shares00">'[4]quarterly income'!#REF!</definedName>
    <definedName name="shares01" localSheetId="5">'[4]quarterly income'!#REF!</definedName>
    <definedName name="shares01" localSheetId="2">'[4]quarterly income'!#REF!</definedName>
    <definedName name="shares01">'[4]quarterly income'!#REF!</definedName>
    <definedName name="shares02" localSheetId="5">'[4]quarterly income'!#REF!</definedName>
    <definedName name="shares02" localSheetId="2">'[4]quarterly income'!#REF!</definedName>
    <definedName name="shares02">'[4]quarterly income'!#REF!</definedName>
    <definedName name="Short_Flow_Data" localSheetId="4">#REF!</definedName>
    <definedName name="Short_Flow_Data" localSheetId="5">#REF!</definedName>
    <definedName name="Short_Flow_Data" localSheetId="2">#REF!</definedName>
    <definedName name="Short_Flow_Data">#REF!</definedName>
    <definedName name="Short_term_debt" localSheetId="4">'[13]Annual Model'!#REF!</definedName>
    <definedName name="Short_term_debt" localSheetId="5">'[13]Annual Model'!#REF!</definedName>
    <definedName name="Short_term_debt" localSheetId="2">'[13]Annual Model'!#REF!</definedName>
    <definedName name="Short_term_debt">'[13]Annual Model'!#REF!</definedName>
    <definedName name="SIH">[35]Prices!$B$17</definedName>
    <definedName name="SIH_Rating">[16]Industry!$D$19</definedName>
    <definedName name="SIH_Target">[16]Industry!$C$19</definedName>
    <definedName name="sing01" localSheetId="5">'[32]Qtr. Product Sales'!#REF!</definedName>
    <definedName name="sing01" localSheetId="2">'[32]Qtr. Product Sales'!#REF!</definedName>
    <definedName name="sing01">'[32]Qtr. Product Sales'!#REF!</definedName>
    <definedName name="sing02" localSheetId="5">'[32]Qtr. Product Sales'!#REF!</definedName>
    <definedName name="sing02" localSheetId="2">'[32]Qtr. Product Sales'!#REF!</definedName>
    <definedName name="sing02">'[32]Qtr. Product Sales'!#REF!</definedName>
    <definedName name="SLOT" localSheetId="5">#REF!</definedName>
    <definedName name="SLOT" localSheetId="2">#REF!</definedName>
    <definedName name="SLOT">#REF!</definedName>
    <definedName name="SLOT_Rating">[16]Industry!$D$5</definedName>
    <definedName name="SLOT_Target">[16]Industry!$C$5</definedName>
    <definedName name="Slots" localSheetId="5">#REF!</definedName>
    <definedName name="Slots" localSheetId="2">#REF!</definedName>
    <definedName name="Slots">#REF!</definedName>
    <definedName name="Smithkline_beecham_ethical_sales">[12]Sales!$T$114:$AG$114</definedName>
    <definedName name="SNB">'[24]THE LINK FOR ALL'!$B$51</definedName>
    <definedName name="SNB_CONS00">'[24]THE LINK FOR ALL'!$F$23</definedName>
    <definedName name="SNB_CONS01">'[24]THE LINK FOR ALL'!$G$23</definedName>
    <definedName name="SNB_CONS99" localSheetId="5">#REF!</definedName>
    <definedName name="SNB_CONS99" localSheetId="2">#REF!</definedName>
    <definedName name="SNB_CONS99">#REF!</definedName>
    <definedName name="SODK" localSheetId="5">#REF!</definedName>
    <definedName name="SODK" localSheetId="2">#REF!</definedName>
    <definedName name="SODK">#REF!</definedName>
    <definedName name="SPLIT_MULT_1">'[28]Scenario Builder'!$C$48:$L$48</definedName>
    <definedName name="SPLIT_MULT_10">'[28]Scenario Builder'!$C$57:$L$57</definedName>
    <definedName name="SPLIT_MULT_11">'[28]Scenario Builder'!$C$58:$L$58</definedName>
    <definedName name="SPLIT_MULT_2">'[28]Scenario Builder'!$C$49:$L$49</definedName>
    <definedName name="SPLIT_MULT_3">'[28]Scenario Builder'!$C$50:$L$50</definedName>
    <definedName name="SPLIT_MULT_4">'[28]Scenario Builder'!$C$51:$L$51</definedName>
    <definedName name="SPLIT_MULT_5">'[28]Scenario Builder'!$C$52:$L$52</definedName>
    <definedName name="SPLIT_MULT_6">'[28]Scenario Builder'!$C$53:$L$53</definedName>
    <definedName name="SPLIT_MULT_7">'[28]Scenario Builder'!$C$54:$L$54</definedName>
    <definedName name="SPLIT_MULT_8">'[28]Scenario Builder'!$C$55:$L$55</definedName>
    <definedName name="SPLIT_MULT_9">'[28]Scenario Builder'!$C$56:$L$56</definedName>
    <definedName name="SPX">[35]Prices!$B$7</definedName>
    <definedName name="SPX_CONS00">[35]Prices!$G$6</definedName>
    <definedName name="SPX_CONS01">'[24]THE LINK FOR ALL'!$G$6</definedName>
    <definedName name="SPX_CONS99">[35]Prices!$F$6</definedName>
    <definedName name="SPX_CONSENSUS" localSheetId="5">#REF!</definedName>
    <definedName name="SPX_CONSENSUS" localSheetId="2">#REF!</definedName>
    <definedName name="SPX_CONSENSUS">#REF!</definedName>
    <definedName name="ST_debt">'[1]Quarterly Product Sales'!$A$589:$IV$589</definedName>
    <definedName name="ST_debt_growth_fore" localSheetId="5">#REF!</definedName>
    <definedName name="ST_debt_growth_fore" localSheetId="2">#REF!</definedName>
    <definedName name="ST_debt_growth_fore">#REF!</definedName>
    <definedName name="staff" localSheetId="5">#REF!</definedName>
    <definedName name="staff" localSheetId="2">#REF!</definedName>
    <definedName name="staff">#REF!</definedName>
    <definedName name="Staff_costs" localSheetId="5">#REF!</definedName>
    <definedName name="Staff_costs" localSheetId="2">#REF!</definedName>
    <definedName name="Staff_costs">#REF!</definedName>
    <definedName name="stn" localSheetId="5">#REF!</definedName>
    <definedName name="stn" localSheetId="2">#REF!</definedName>
    <definedName name="stn">#REF!</definedName>
    <definedName name="STN_00Ea" localSheetId="5">[43]EarningsModel!#REF!</definedName>
    <definedName name="STN_00Ea" localSheetId="2">[43]EarningsModel!#REF!</definedName>
    <definedName name="STN_00Ea">[43]EarningsModel!#REF!</definedName>
    <definedName name="STN_01Ea" localSheetId="5">[43]EarningsModel!#REF!</definedName>
    <definedName name="STN_01Ea" localSheetId="2">[43]EarningsModel!#REF!</definedName>
    <definedName name="STN_01Ea">[43]EarningsModel!#REF!</definedName>
    <definedName name="STN_99Ea" localSheetId="5">[43]EarningsModel!#REF!</definedName>
    <definedName name="STN_99Ea" localSheetId="2">[43]EarningsModel!#REF!</definedName>
    <definedName name="STN_99Ea">[43]EarningsModel!#REF!</definedName>
    <definedName name="STN_Rating">[16]Industry!$D$18</definedName>
    <definedName name="STN_Target">[16]Industry!$C$18</definedName>
    <definedName name="Stock_days" localSheetId="5">#REF!</definedName>
    <definedName name="Stock_days" localSheetId="2">#REF!</definedName>
    <definedName name="Stock_days">#REF!</definedName>
    <definedName name="STOCK_PRICE" localSheetId="5">#REF!</definedName>
    <definedName name="STOCK_PRICE" localSheetId="2">#REF!</definedName>
    <definedName name="STOCK_PRICE">#REF!</definedName>
    <definedName name="Summary_Date" localSheetId="5">#REF!</definedName>
    <definedName name="Summary_Date" localSheetId="2">#REF!</definedName>
    <definedName name="Summary_Date">#REF!</definedName>
    <definedName name="svgdgsgsgsd" localSheetId="5">[7]NOPAT_VDF!#REF!</definedName>
    <definedName name="svgdgsgsgsd" localSheetId="2">[7]NOPAT_VDF!#REF!</definedName>
    <definedName name="svgdgsgsgsd">[7]NOPAT_VDF!#REF!</definedName>
    <definedName name="SYN_01Ea" localSheetId="5">[43]EarningsModel!#REF!</definedName>
    <definedName name="SYN_01Ea" localSheetId="2">[43]EarningsModel!#REF!</definedName>
    <definedName name="SYN_01Ea">[43]EarningsModel!#REF!</definedName>
    <definedName name="szdgvfvsdvds" localSheetId="5">'[7]Invested capital_VDF'!#REF!</definedName>
    <definedName name="szdgvfvsdvds" localSheetId="2">'[7]Invested capital_VDF'!#REF!</definedName>
    <definedName name="szdgvfvsdvds">'[7]Invested capital_VDF'!#REF!</definedName>
    <definedName name="t" localSheetId="5">'[14]Annual Model'!#REF!</definedName>
    <definedName name="t" localSheetId="2">'[14]Annual Model'!#REF!</definedName>
    <definedName name="t">'[14]Annual Model'!#REF!</definedName>
    <definedName name="Tables" localSheetId="5">#REF!</definedName>
    <definedName name="Tables" localSheetId="2">#REF!</definedName>
    <definedName name="Tables">#REF!</definedName>
    <definedName name="Tagamet">[12]Sales!$A$60:$AG$60</definedName>
    <definedName name="Tangible_Assets" localSheetId="5">#REF!</definedName>
    <definedName name="Tangible_Assets" localSheetId="2">#REF!</definedName>
    <definedName name="Tangible_Assets">#REF!</definedName>
    <definedName name="Target_debt_to_capital" localSheetId="5">#REF!</definedName>
    <definedName name="Target_debt_to_capital" localSheetId="2">#REF!</definedName>
    <definedName name="Target_debt_to_capital">#REF!</definedName>
    <definedName name="targetname" localSheetId="5">#REF!</definedName>
    <definedName name="targetname" localSheetId="2">#REF!</definedName>
    <definedName name="targetname">#REF!</definedName>
    <definedName name="Tax_rate_for_WACC" localSheetId="5">[15]WACC_VDF!#REF!</definedName>
    <definedName name="Tax_rate_for_WACC" localSheetId="2">[15]WACC_VDF!#REF!</definedName>
    <definedName name="Tax_rate_for_WACC">[15]WACC_VDF!#REF!</definedName>
    <definedName name="tax_rate_projection" localSheetId="5">#REF!</definedName>
    <definedName name="tax_rate_projection" localSheetId="2">#REF!</definedName>
    <definedName name="tax_rate_projection">#REF!</definedName>
    <definedName name="taxo00">[1]REPORTER!$K$83</definedName>
    <definedName name="taxo01">[1]REPORTER!$P$83</definedName>
    <definedName name="taxo02">[1]REPORTER!$U$83</definedName>
    <definedName name="Teveten">[12]Sales!$A$102:$AG$102</definedName>
    <definedName name="TIF">'[24]THE LINK FOR ALL'!$B$54</definedName>
    <definedName name="TIF_CONS00">'[24]THE LINK FOR ALL'!$F$26</definedName>
    <definedName name="TIF_CONS01">'[24]THE LINK FOR ALL'!$G$26</definedName>
    <definedName name="TIF_CONS99" localSheetId="5">#REF!</definedName>
    <definedName name="TIF_CONS99" localSheetId="2">#REF!</definedName>
    <definedName name="TIF_CONS99">#REF!</definedName>
    <definedName name="Timentin">[12]Sales!$A$34:$AG$34</definedName>
    <definedName name="tmp_108" localSheetId="5" hidden="1">#REF!</definedName>
    <definedName name="tmp_108" localSheetId="2" hidden="1">#REF!</definedName>
    <definedName name="tmp_108" hidden="1">#REF!</definedName>
    <definedName name="tmp_1258" localSheetId="5" hidden="1">#REF!</definedName>
    <definedName name="tmp_1258" localSheetId="2" hidden="1">#REF!</definedName>
    <definedName name="tmp_1258" hidden="1">#REF!</definedName>
    <definedName name="tmp_99" localSheetId="5" hidden="1">#REF!</definedName>
    <definedName name="tmp_99" localSheetId="2" hidden="1">#REF!</definedName>
    <definedName name="tmp_99" hidden="1">#REF!</definedName>
    <definedName name="tmpLoadSedol" localSheetId="5" hidden="1">#REF!</definedName>
    <definedName name="tmpLoadSedol" localSheetId="2" hidden="1">#REF!</definedName>
    <definedName name="tmpLoadSedol" hidden="1">#REF!</definedName>
    <definedName name="Total_amort_fore" localSheetId="5">#REF!</definedName>
    <definedName name="Total_amort_fore" localSheetId="2">#REF!</definedName>
    <definedName name="Total_amort_fore">#REF!</definedName>
    <definedName name="Total_Amortization">[15]NOPAT_VDF!$C$18:$AZ$18</definedName>
    <definedName name="Total_Amortization_fore" localSheetId="5">#REF!</definedName>
    <definedName name="Total_Amortization_fore" localSheetId="2">#REF!</definedName>
    <definedName name="Total_Amortization_fore">#REF!</definedName>
    <definedName name="Total_COS">[15]NOPAT_VDF!$C$9:$AZ$9</definedName>
    <definedName name="Total_COS_fore" localSheetId="5">#REF!</definedName>
    <definedName name="Total_COS_fore" localSheetId="2">#REF!</definedName>
    <definedName name="Total_COS_fore">#REF!</definedName>
    <definedName name="Total_COS_growth_fore" localSheetId="5">#REF!</definedName>
    <definedName name="Total_COS_growth_fore" localSheetId="2">#REF!</definedName>
    <definedName name="Total_COS_growth_fore">#REF!</definedName>
    <definedName name="Total_COS_net_DnA_fore" localSheetId="5">#REF!</definedName>
    <definedName name="Total_COS_net_DnA_fore" localSheetId="2">#REF!</definedName>
    <definedName name="Total_COS_net_DnA_fore">#REF!</definedName>
    <definedName name="Total_current_assets" localSheetId="4">'[13]Annual Model'!#REF!</definedName>
    <definedName name="Total_current_assets" localSheetId="5">'[13]Annual Model'!#REF!</definedName>
    <definedName name="Total_current_assets" localSheetId="2">'[13]Annual Model'!#REF!</definedName>
    <definedName name="Total_current_assets">'[13]Annual Model'!#REF!</definedName>
    <definedName name="Total_current_liabilities" localSheetId="5">'[13]Annual Model'!#REF!</definedName>
    <definedName name="Total_current_liabilities" localSheetId="2">'[13]Annual Model'!#REF!</definedName>
    <definedName name="Total_current_liabilities">'[13]Annual Model'!#REF!</definedName>
    <definedName name="Total_debt">'[15]Invested capital_VDF'!$C$61:$AU$61</definedName>
    <definedName name="Total_debt_DCF">[15]DCF_VDF!$C$35:$AZ$35</definedName>
    <definedName name="Total_debt_fore" localSheetId="5">#REF!</definedName>
    <definedName name="Total_debt_fore" localSheetId="2">#REF!</definedName>
    <definedName name="Total_debt_fore">#REF!</definedName>
    <definedName name="Total_debt_growth_fore" localSheetId="5">#REF!</definedName>
    <definedName name="Total_debt_growth_fore" localSheetId="2">#REF!</definedName>
    <definedName name="Total_debt_growth_fore">#REF!</definedName>
    <definedName name="total_ebit" localSheetId="5">#REF!</definedName>
    <definedName name="total_ebit" localSheetId="2">#REF!</definedName>
    <definedName name="total_ebit">#REF!</definedName>
    <definedName name="Total_Increase_in_EEs_fore" localSheetId="5">#REF!</definedName>
    <definedName name="Total_Increase_in_EEs_fore" localSheetId="2">#REF!</definedName>
    <definedName name="Total_Increase_in_EEs_fore">#REF!</definedName>
    <definedName name="Total_Proj_Cap_Exp">[23]ProForma!$A$150:$IV$150</definedName>
    <definedName name="Total_revenues" localSheetId="5">'[13]Annual Model'!#REF!</definedName>
    <definedName name="Total_revenues" localSheetId="2">'[13]Annual Model'!#REF!</definedName>
    <definedName name="Total_revenues">'[13]Annual Model'!#REF!</definedName>
    <definedName name="Total_stockholders_equity" localSheetId="5">'[13]Annual Model'!#REF!</definedName>
    <definedName name="Total_stockholders_equity" localSheetId="2">'[13]Annual Model'!#REF!</definedName>
    <definedName name="Total_stockholders_equity">'[13]Annual Model'!#REF!</definedName>
    <definedName name="TotalPVs">[1]__FDSCACHE__!$F$14:$N$14</definedName>
    <definedName name="TPROF" localSheetId="5">#REF!</definedName>
    <definedName name="TPROF" localSheetId="2">#REF!</definedName>
    <definedName name="TPROF">#REF!</definedName>
    <definedName name="TR" localSheetId="5">'[22]FRXQH&amp;Q'!#REF!</definedName>
    <definedName name="TR" localSheetId="2">'[22]FRXQH&amp;Q'!#REF!</definedName>
    <definedName name="TR">'[22]FRXQH&amp;Q'!#REF!</definedName>
    <definedName name="trc_CFPSGROWTH5YR" localSheetId="5">#REF!</definedName>
    <definedName name="trc_CFPSGROWTH5YR" localSheetId="2">#REF!</definedName>
    <definedName name="trc_CFPSGROWTH5YR">#REF!</definedName>
    <definedName name="trc_CFPSGRWPRV5YR" localSheetId="5">#REF!</definedName>
    <definedName name="trc_CFPSGRWPRV5YR" localSheetId="2">#REF!</definedName>
    <definedName name="trc_CFPSGRWPRV5YR">#REF!</definedName>
    <definedName name="trc_CurFY" localSheetId="5">#REF!</definedName>
    <definedName name="trc_CurFY" localSheetId="2">#REF!</definedName>
    <definedName name="trc_CurFY">#REF!</definedName>
    <definedName name="trc_DIVGROWTH5YR" localSheetId="5">#REF!</definedName>
    <definedName name="trc_DIVGROWTH5YR" localSheetId="2">#REF!</definedName>
    <definedName name="trc_DIVGROWTH5YR">#REF!</definedName>
    <definedName name="trc_DIVGRWPRV5YR" localSheetId="5">#REF!</definedName>
    <definedName name="trc_DIVGRWPRV5YR" localSheetId="2">#REF!</definedName>
    <definedName name="trc_DIVGRWPRV5YR">#REF!</definedName>
    <definedName name="trc_DocID" localSheetId="5">#REF!</definedName>
    <definedName name="trc_DocID" localSheetId="2">#REF!</definedName>
    <definedName name="trc_DocID">#REF!</definedName>
    <definedName name="trc_EBITDAGROWTH5YR" localSheetId="5">#REF!</definedName>
    <definedName name="trc_EBITDAGROWTH5YR" localSheetId="2">#REF!</definedName>
    <definedName name="trc_EBITDAGROWTH5YR">#REF!</definedName>
    <definedName name="trc_EBITDAGRWPRV5YR" localSheetId="5">#REF!</definedName>
    <definedName name="trc_EBITDAGRWPRV5YR" localSheetId="2">#REF!</definedName>
    <definedName name="trc_EBITDAGRWPRV5YR">#REF!</definedName>
    <definedName name="trc_EBITNXT5" localSheetId="5">#REF!</definedName>
    <definedName name="trc_EBITNXT5" localSheetId="2">#REF!</definedName>
    <definedName name="trc_EBITNXT5">#REF!</definedName>
    <definedName name="trc_EBITPRV5" localSheetId="5">#REF!</definedName>
    <definedName name="trc_EBITPRV5" localSheetId="2">#REF!</definedName>
    <definedName name="trc_EBITPRV5">#REF!</definedName>
    <definedName name="trc_EPSGRWPRV5YR" localSheetId="5">#REF!</definedName>
    <definedName name="trc_EPSGRWPRV5YR" localSheetId="2">#REF!</definedName>
    <definedName name="trc_EPSGRWPRV5YR">#REF!</definedName>
    <definedName name="trc_Flavor" localSheetId="5">#REF!</definedName>
    <definedName name="trc_Flavor" localSheetId="2">#REF!</definedName>
    <definedName name="trc_Flavor">#REF!</definedName>
    <definedName name="trc_NETGROWTH5YR" localSheetId="5">#REF!</definedName>
    <definedName name="trc_NETGROWTH5YR" localSheetId="2">#REF!</definedName>
    <definedName name="trc_NETGROWTH5YR">#REF!</definedName>
    <definedName name="trc_NETGRWPRV5YR" localSheetId="5">#REF!</definedName>
    <definedName name="trc_NETGRWPRV5YR" localSheetId="2">#REF!</definedName>
    <definedName name="trc_NETGRWPRV5YR">#REF!</definedName>
    <definedName name="trc_QDType" localSheetId="5">#REF!</definedName>
    <definedName name="trc_QDType" localSheetId="2">#REF!</definedName>
    <definedName name="trc_QDType">#REF!</definedName>
    <definedName name="trc_RATING" localSheetId="5">#REF!</definedName>
    <definedName name="trc_RATING" localSheetId="2">#REF!</definedName>
    <definedName name="trc_RATING">#REF!</definedName>
    <definedName name="trc_ReleaseDate" localSheetId="5">#REF!</definedName>
    <definedName name="trc_ReleaseDate" localSheetId="2">#REF!</definedName>
    <definedName name="trc_ReleaseDate">#REF!</definedName>
    <definedName name="trc_REVGROWTH5YR" localSheetId="5">#REF!</definedName>
    <definedName name="trc_REVGROWTH5YR" localSheetId="2">#REF!</definedName>
    <definedName name="trc_REVGROWTH5YR">#REF!</definedName>
    <definedName name="trc_REVGRWPRV5YR" localSheetId="5">#REF!</definedName>
    <definedName name="trc_REVGRWPRV5YR" localSheetId="2">#REF!</definedName>
    <definedName name="trc_REVGRWPRV5YR">#REF!</definedName>
    <definedName name="trc_RISK" localSheetId="5">#REF!</definedName>
    <definedName name="trc_RISK" localSheetId="2">#REF!</definedName>
    <definedName name="trc_RISK">#REF!</definedName>
    <definedName name="trc_SHARESOUT" localSheetId="5">#REF!</definedName>
    <definedName name="trc_SHARESOUT" localSheetId="2">#REF!</definedName>
    <definedName name="trc_SHARESOUT">#REF!</definedName>
    <definedName name="trc_SHROUTGROWTH5YR" localSheetId="5">#REF!</definedName>
    <definedName name="trc_SHROUTGROWTH5YR" localSheetId="2">#REF!</definedName>
    <definedName name="trc_SHROUTGROWTH5YR">#REF!</definedName>
    <definedName name="trc_SHROUTGRWPRV5YR" localSheetId="5">#REF!</definedName>
    <definedName name="trc_SHROUTGRWPRV5YR" localSheetId="2">#REF!</definedName>
    <definedName name="trc_SHROUTGRWPRV5YR">#REF!</definedName>
    <definedName name="trc_submitter" localSheetId="5">#REF!</definedName>
    <definedName name="trc_submitter" localSheetId="2">#REF!</definedName>
    <definedName name="trc_submitter">#REF!</definedName>
    <definedName name="trc_submittername" localSheetId="5">#REF!</definedName>
    <definedName name="trc_submittername" localSheetId="2">#REF!</definedName>
    <definedName name="trc_submittername">#REF!</definedName>
    <definedName name="trc_TARGET" localSheetId="5">#REF!</definedName>
    <definedName name="trc_TARGET" localSheetId="2">#REF!</definedName>
    <definedName name="trc_TARGET">#REF!</definedName>
    <definedName name="trc_TemplateID" localSheetId="5">#REF!</definedName>
    <definedName name="trc_TemplateID" localSheetId="2">#REF!</definedName>
    <definedName name="trc_TemplateID">#REF!</definedName>
    <definedName name="trc_TEV" localSheetId="5">#REF!</definedName>
    <definedName name="trc_TEV" localSheetId="2">#REF!</definedName>
    <definedName name="trc_TEV">#REF!</definedName>
    <definedName name="trc_Ticker" localSheetId="5">#REF!</definedName>
    <definedName name="trc_Ticker" localSheetId="2">#REF!</definedName>
    <definedName name="trc_Ticker">#REF!</definedName>
    <definedName name="trc_Version" localSheetId="5">#REF!</definedName>
    <definedName name="trc_Version" localSheetId="2">#REF!</definedName>
    <definedName name="trc_Version">#REF!</definedName>
    <definedName name="trc_XLS_DATASHEET_ProtectDate" localSheetId="4">36879.7503587963</definedName>
    <definedName name="trc_XLS_DATASHEET_ProtectDate">36929.8290046296</definedName>
    <definedName name="trc_Y1" localSheetId="5">#REF!</definedName>
    <definedName name="trc_Y1" localSheetId="2">#REF!</definedName>
    <definedName name="trc_Y1">#REF!</definedName>
    <definedName name="trc_Y1COMMONEQ" localSheetId="5">#REF!</definedName>
    <definedName name="trc_Y1COMMONEQ" localSheetId="2">#REF!</definedName>
    <definedName name="trc_Y1COMMONEQ">#REF!</definedName>
    <definedName name="trc_Y1DILSHR" localSheetId="5">#REF!</definedName>
    <definedName name="trc_Y1DILSHR" localSheetId="2">#REF!</definedName>
    <definedName name="trc_Y1DILSHR">#REF!</definedName>
    <definedName name="trc_Y1DPS" localSheetId="5">#REF!</definedName>
    <definedName name="trc_Y1DPS" localSheetId="2">#REF!</definedName>
    <definedName name="trc_Y1DPS">#REF!</definedName>
    <definedName name="trc_Y1EBIT" localSheetId="5">#REF!</definedName>
    <definedName name="trc_Y1EBIT" localSheetId="2">#REF!</definedName>
    <definedName name="trc_Y1EBIT">#REF!</definedName>
    <definedName name="trc_Y1EBITDA" localSheetId="5">#REF!</definedName>
    <definedName name="trc_Y1EBITDA" localSheetId="2">#REF!</definedName>
    <definedName name="trc_Y1EBITDA">#REF!</definedName>
    <definedName name="trc_Y1FREE_CFPS" localSheetId="5">#REF!</definedName>
    <definedName name="trc_Y1FREE_CFPS" localSheetId="2">#REF!</definedName>
    <definedName name="trc_Y1FREE_CFPS">#REF!</definedName>
    <definedName name="trc_Y1LTDEBT" localSheetId="5">#REF!</definedName>
    <definedName name="trc_Y1LTDEBT" localSheetId="2">#REF!</definedName>
    <definedName name="trc_Y1LTDEBT">#REF!</definedName>
    <definedName name="trc_Y1NETINC" localSheetId="5">#REF!</definedName>
    <definedName name="trc_Y1NETINC" localSheetId="2">#REF!</definedName>
    <definedName name="trc_Y1NETINC">#REF!</definedName>
    <definedName name="trc_Y1Q1" localSheetId="5">#REF!</definedName>
    <definedName name="trc_Y1Q1" localSheetId="2">#REF!</definedName>
    <definedName name="trc_Y1Q1">#REF!</definedName>
    <definedName name="trc_Y1Q2" localSheetId="5">#REF!</definedName>
    <definedName name="trc_Y1Q2" localSheetId="2">#REF!</definedName>
    <definedName name="trc_Y1Q2">#REF!</definedName>
    <definedName name="trc_Y1Q3" localSheetId="5">#REF!</definedName>
    <definedName name="trc_Y1Q3" localSheetId="2">#REF!</definedName>
    <definedName name="trc_Y1Q3">#REF!</definedName>
    <definedName name="trc_Y1Q4" localSheetId="5">#REF!</definedName>
    <definedName name="trc_Y1Q4" localSheetId="2">#REF!</definedName>
    <definedName name="trc_Y1Q4">#REF!</definedName>
    <definedName name="trc_Y1REVENUE" localSheetId="5">#REF!</definedName>
    <definedName name="trc_Y1REVENUE" localSheetId="2">#REF!</definedName>
    <definedName name="trc_Y1REVENUE">#REF!</definedName>
    <definedName name="trc_Y1ROE" localSheetId="5">#REF!</definedName>
    <definedName name="trc_Y1ROE" localSheetId="2">#REF!</definedName>
    <definedName name="trc_Y1ROE">#REF!</definedName>
    <definedName name="trc_Y1TAXRATE" localSheetId="5">#REF!</definedName>
    <definedName name="trc_Y1TAXRATE" localSheetId="2">#REF!</definedName>
    <definedName name="trc_Y1TAXRATE">#REF!</definedName>
    <definedName name="trc_Y1Total" localSheetId="5">#REF!</definedName>
    <definedName name="trc_Y1Total" localSheetId="2">#REF!</definedName>
    <definedName name="trc_Y1Total">#REF!</definedName>
    <definedName name="trc_Y2" localSheetId="5">#REF!</definedName>
    <definedName name="trc_Y2" localSheetId="2">#REF!</definedName>
    <definedName name="trc_Y2">#REF!</definedName>
    <definedName name="trc_Y2COMMONEQ" localSheetId="5">#REF!</definedName>
    <definedName name="trc_Y2COMMONEQ" localSheetId="2">#REF!</definedName>
    <definedName name="trc_Y2COMMONEQ">#REF!</definedName>
    <definedName name="trc_Y2DILSHR" localSheetId="5">#REF!</definedName>
    <definedName name="trc_Y2DILSHR" localSheetId="2">#REF!</definedName>
    <definedName name="trc_Y2DILSHR">#REF!</definedName>
    <definedName name="trc_Y2DPS" localSheetId="5">#REF!</definedName>
    <definedName name="trc_Y2DPS" localSheetId="2">#REF!</definedName>
    <definedName name="trc_Y2DPS">#REF!</definedName>
    <definedName name="trc_Y2EBIT" localSheetId="5">#REF!</definedName>
    <definedName name="trc_Y2EBIT" localSheetId="2">#REF!</definedName>
    <definedName name="trc_Y2EBIT">#REF!</definedName>
    <definedName name="trc_Y2EBITDA" localSheetId="5">#REF!</definedName>
    <definedName name="trc_Y2EBITDA" localSheetId="2">#REF!</definedName>
    <definedName name="trc_Y2EBITDA">#REF!</definedName>
    <definedName name="trc_Y2FREE_CFPS" localSheetId="5">#REF!</definedName>
    <definedName name="trc_Y2FREE_CFPS" localSheetId="2">#REF!</definedName>
    <definedName name="trc_Y2FREE_CFPS">#REF!</definedName>
    <definedName name="trc_Y2LTDEBT" localSheetId="5">#REF!</definedName>
    <definedName name="trc_Y2LTDEBT" localSheetId="2">#REF!</definedName>
    <definedName name="trc_Y2LTDEBT">#REF!</definedName>
    <definedName name="trc_Y2NETINC" localSheetId="5">#REF!</definedName>
    <definedName name="trc_Y2NETINC" localSheetId="2">#REF!</definedName>
    <definedName name="trc_Y2NETINC">#REF!</definedName>
    <definedName name="trc_Y2Q1" localSheetId="5">#REF!</definedName>
    <definedName name="trc_Y2Q1" localSheetId="2">#REF!</definedName>
    <definedName name="trc_Y2Q1">#REF!</definedName>
    <definedName name="trc_Y2Q2" localSheetId="5">#REF!</definedName>
    <definedName name="trc_Y2Q2" localSheetId="2">#REF!</definedName>
    <definedName name="trc_Y2Q2">#REF!</definedName>
    <definedName name="trc_Y2Q3" localSheetId="5">#REF!</definedName>
    <definedName name="trc_Y2Q3" localSheetId="2">#REF!</definedName>
    <definedName name="trc_Y2Q3">#REF!</definedName>
    <definedName name="trc_Y2Q4" localSheetId="5">#REF!</definedName>
    <definedName name="trc_Y2Q4" localSheetId="2">#REF!</definedName>
    <definedName name="trc_Y2Q4">#REF!</definedName>
    <definedName name="trc_Y2REVENUE" localSheetId="5">#REF!</definedName>
    <definedName name="trc_Y2REVENUE" localSheetId="2">#REF!</definedName>
    <definedName name="trc_Y2REVENUE">#REF!</definedName>
    <definedName name="trc_Y2ROE" localSheetId="5">#REF!</definedName>
    <definedName name="trc_Y2ROE" localSheetId="2">#REF!</definedName>
    <definedName name="trc_Y2ROE">#REF!</definedName>
    <definedName name="trc_Y2TAXRATE" localSheetId="5">#REF!</definedName>
    <definedName name="trc_Y2TAXRATE" localSheetId="2">#REF!</definedName>
    <definedName name="trc_Y2TAXRATE">#REF!</definedName>
    <definedName name="trc_Y2Total" localSheetId="5">#REF!</definedName>
    <definedName name="trc_Y2Total" localSheetId="2">#REF!</definedName>
    <definedName name="trc_Y2Total">#REF!</definedName>
    <definedName name="trc_Y3" localSheetId="5">#REF!</definedName>
    <definedName name="trc_Y3" localSheetId="2">#REF!</definedName>
    <definedName name="trc_Y3">#REF!</definedName>
    <definedName name="trc_Y3COMMONEQ" localSheetId="5">#REF!</definedName>
    <definedName name="trc_Y3COMMONEQ" localSheetId="2">#REF!</definedName>
    <definedName name="trc_Y3COMMONEQ">#REF!</definedName>
    <definedName name="trc_Y3DILSHR" localSheetId="5">#REF!</definedName>
    <definedName name="trc_Y3DILSHR" localSheetId="2">#REF!</definedName>
    <definedName name="trc_Y3DILSHR">#REF!</definedName>
    <definedName name="trc_Y3DPS" localSheetId="5">#REF!</definedName>
    <definedName name="trc_Y3DPS" localSheetId="2">#REF!</definedName>
    <definedName name="trc_Y3DPS">#REF!</definedName>
    <definedName name="trc_Y3EBIT" localSheetId="5">#REF!</definedName>
    <definedName name="trc_Y3EBIT" localSheetId="2">#REF!</definedName>
    <definedName name="trc_Y3EBIT">#REF!</definedName>
    <definedName name="trc_Y3EBITDA" localSheetId="5">#REF!</definedName>
    <definedName name="trc_Y3EBITDA" localSheetId="2">#REF!</definedName>
    <definedName name="trc_Y3EBITDA">#REF!</definedName>
    <definedName name="trc_Y3FREE_CFPS" localSheetId="5">#REF!</definedName>
    <definedName name="trc_Y3FREE_CFPS" localSheetId="2">#REF!</definedName>
    <definedName name="trc_Y3FREE_CFPS">#REF!</definedName>
    <definedName name="trc_Y3LTDEBT" localSheetId="5">#REF!</definedName>
    <definedName name="trc_Y3LTDEBT" localSheetId="2">#REF!</definedName>
    <definedName name="trc_Y3LTDEBT">#REF!</definedName>
    <definedName name="trc_Y3NETINC" localSheetId="5">#REF!</definedName>
    <definedName name="trc_Y3NETINC" localSheetId="2">#REF!</definedName>
    <definedName name="trc_Y3NETINC">#REF!</definedName>
    <definedName name="trc_Y3Q1" localSheetId="5">#REF!</definedName>
    <definedName name="trc_Y3Q1" localSheetId="2">#REF!</definedName>
    <definedName name="trc_Y3Q1">#REF!</definedName>
    <definedName name="trc_Y3Q2" localSheetId="5">#REF!</definedName>
    <definedName name="trc_Y3Q2" localSheetId="2">#REF!</definedName>
    <definedName name="trc_Y3Q2">#REF!</definedName>
    <definedName name="trc_Y3Q3" localSheetId="5">#REF!</definedName>
    <definedName name="trc_Y3Q3" localSheetId="2">#REF!</definedName>
    <definedName name="trc_Y3Q3">#REF!</definedName>
    <definedName name="trc_Y3Q4" localSheetId="5">#REF!</definedName>
    <definedName name="trc_Y3Q4" localSheetId="2">#REF!</definedName>
    <definedName name="trc_Y3Q4">#REF!</definedName>
    <definedName name="trc_Y3REVENUE" localSheetId="5">#REF!</definedName>
    <definedName name="trc_Y3REVENUE" localSheetId="2">#REF!</definedName>
    <definedName name="trc_Y3REVENUE">#REF!</definedName>
    <definedName name="trc_Y3ROE" localSheetId="5">#REF!</definedName>
    <definedName name="trc_Y3ROE" localSheetId="2">#REF!</definedName>
    <definedName name="trc_Y3ROE">#REF!</definedName>
    <definedName name="trc_Y3TAXRATE" localSheetId="5">#REF!</definedName>
    <definedName name="trc_Y3TAXRATE" localSheetId="2">#REF!</definedName>
    <definedName name="trc_Y3TAXRATE">#REF!</definedName>
    <definedName name="trc_Y3Total" localSheetId="5">#REF!</definedName>
    <definedName name="trc_Y3Total" localSheetId="2">#REF!</definedName>
    <definedName name="trc_Y3Total">#REF!</definedName>
    <definedName name="trc_Y4" localSheetId="5">#REF!</definedName>
    <definedName name="trc_Y4" localSheetId="2">#REF!</definedName>
    <definedName name="trc_Y4">#REF!</definedName>
    <definedName name="trc_Y4COMMONEQ" localSheetId="5">#REF!</definedName>
    <definedName name="trc_Y4COMMONEQ" localSheetId="2">#REF!</definedName>
    <definedName name="trc_Y4COMMONEQ">#REF!</definedName>
    <definedName name="trc_Y4DILSHR" localSheetId="5">#REF!</definedName>
    <definedName name="trc_Y4DILSHR" localSheetId="2">#REF!</definedName>
    <definedName name="trc_Y4DILSHR">#REF!</definedName>
    <definedName name="trc_Y4DPS" localSheetId="5">#REF!</definedName>
    <definedName name="trc_Y4DPS" localSheetId="2">#REF!</definedName>
    <definedName name="trc_Y4DPS">#REF!</definedName>
    <definedName name="trc_Y4EBIT" localSheetId="5">#REF!</definedName>
    <definedName name="trc_Y4EBIT" localSheetId="2">#REF!</definedName>
    <definedName name="trc_Y4EBIT">#REF!</definedName>
    <definedName name="trc_Y4EBITDA" localSheetId="5">#REF!</definedName>
    <definedName name="trc_Y4EBITDA" localSheetId="2">#REF!</definedName>
    <definedName name="trc_Y4EBITDA">#REF!</definedName>
    <definedName name="trc_Y4FREE_CFPS" localSheetId="5">#REF!</definedName>
    <definedName name="trc_Y4FREE_CFPS" localSheetId="2">#REF!</definedName>
    <definedName name="trc_Y4FREE_CFPS">#REF!</definedName>
    <definedName name="trc_Y4LTDEBT" localSheetId="5">#REF!</definedName>
    <definedName name="trc_Y4LTDEBT" localSheetId="2">#REF!</definedName>
    <definedName name="trc_Y4LTDEBT">#REF!</definedName>
    <definedName name="trc_Y4NETINC" localSheetId="5">#REF!</definedName>
    <definedName name="trc_Y4NETINC" localSheetId="2">#REF!</definedName>
    <definedName name="trc_Y4NETINC">#REF!</definedName>
    <definedName name="trc_Y4Q1" localSheetId="5">#REF!</definedName>
    <definedName name="trc_Y4Q1" localSheetId="2">#REF!</definedName>
    <definedName name="trc_Y4Q1">#REF!</definedName>
    <definedName name="trc_Y4Q2" localSheetId="5">#REF!</definedName>
    <definedName name="trc_Y4Q2" localSheetId="2">#REF!</definedName>
    <definedName name="trc_Y4Q2">#REF!</definedName>
    <definedName name="trc_Y4Q3" localSheetId="5">#REF!</definedName>
    <definedName name="trc_Y4Q3" localSheetId="2">#REF!</definedName>
    <definedName name="trc_Y4Q3">#REF!</definedName>
    <definedName name="trc_Y4Q4" localSheetId="5">#REF!</definedName>
    <definedName name="trc_Y4Q4" localSheetId="2">#REF!</definedName>
    <definedName name="trc_Y4Q4">#REF!</definedName>
    <definedName name="trc_Y4REVENUE" localSheetId="5">#REF!</definedName>
    <definedName name="trc_Y4REVENUE" localSheetId="2">#REF!</definedName>
    <definedName name="trc_Y4REVENUE">#REF!</definedName>
    <definedName name="trc_Y4ROE" localSheetId="5">#REF!</definedName>
    <definedName name="trc_Y4ROE" localSheetId="2">#REF!</definedName>
    <definedName name="trc_Y4ROE">#REF!</definedName>
    <definedName name="trc_Y4TAXRATE" localSheetId="5">#REF!</definedName>
    <definedName name="trc_Y4TAXRATE" localSheetId="2">#REF!</definedName>
    <definedName name="trc_Y4TAXRATE">#REF!</definedName>
    <definedName name="trc_Y4Total" localSheetId="5">#REF!</definedName>
    <definedName name="trc_Y4Total" localSheetId="2">#REF!</definedName>
    <definedName name="trc_Y4Total">#REF!</definedName>
    <definedName name="Twinrix">[12]Sales!$A$85:$AG$85</definedName>
    <definedName name="ud06r.GroupNums">'[1]EXT 1999 All Goals'!$AH$410:$AH$411</definedName>
    <definedName name="Ultair" localSheetId="5">[12]Sales!#REF!</definedName>
    <definedName name="Ultair" localSheetId="2">[12]Sales!#REF!</definedName>
    <definedName name="Ultair">[12]Sales!#REF!</definedName>
    <definedName name="unit" localSheetId="5">'[17]IGT MODEL'!#REF!</definedName>
    <definedName name="unit" localSheetId="2">'[17]IGT MODEL'!#REF!</definedName>
    <definedName name="unit">'[17]IGT MODEL'!#REF!</definedName>
    <definedName name="unitdavid" localSheetId="5">'[17]IGT MODEL'!#REF!</definedName>
    <definedName name="unitdavid" localSheetId="2">'[17]IGT MODEL'!#REF!</definedName>
    <definedName name="unitdavid">'[17]IGT MODEL'!#REF!</definedName>
    <definedName name="Update_This" localSheetId="5">[29]!Update_This</definedName>
    <definedName name="Update_This" localSheetId="2">[29]!Update_This</definedName>
    <definedName name="Update_This">[29]!Update_This</definedName>
    <definedName name="v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va" localSheetId="5">#REF!</definedName>
    <definedName name="va" localSheetId="2">#REF!</definedName>
    <definedName name="va">#REF!</definedName>
    <definedName name="VALUATION_CONT_BUS" localSheetId="5">#REF!</definedName>
    <definedName name="VALUATION_CONT_BUS" localSheetId="2">#REF!</definedName>
    <definedName name="VALUATION_CONT_BUS">#REF!</definedName>
    <definedName name="VALUATION_CONT_BUS_NO_RD" localSheetId="5">#REF!</definedName>
    <definedName name="VALUATION_CONT_BUS_NO_RD" localSheetId="2">#REF!</definedName>
    <definedName name="VALUATION_CONT_BUS_NO_RD">#REF!</definedName>
    <definedName name="valuation_rd" localSheetId="5">#REF!</definedName>
    <definedName name="valuation_rd" localSheetId="2">#REF!</definedName>
    <definedName name="valuation_rd">#REF!</definedName>
    <definedName name="VALUATION_SHARE" localSheetId="5">#REF!</definedName>
    <definedName name="VALUATION_SHARE" localSheetId="2">#REF!</definedName>
    <definedName name="VALUATION_SHARE">#REF!</definedName>
    <definedName name="ValuationBPCSOperatingEnterpriseValue" localSheetId="5">#REF!</definedName>
    <definedName name="ValuationBPCSOperatingEnterpriseValue" localSheetId="2">#REF!</definedName>
    <definedName name="ValuationBPCSOperatingEnterpriseValue">#REF!</definedName>
    <definedName name="ValuationFirmValueTotal" localSheetId="5">#REF!</definedName>
    <definedName name="ValuationFirmValueTotal" localSheetId="2">#REF!</definedName>
    <definedName name="ValuationFirmValueTotal">#REF!</definedName>
    <definedName name="ValuationFirstLineofBusinessOperatingEnterpriseValue" localSheetId="5">#REF!</definedName>
    <definedName name="ValuationFirstLineofBusinessOperatingEnterpriseValue" localSheetId="2">#REF!</definedName>
    <definedName name="ValuationFirstLineofBusinessOperatingEnterpriseValue">#REF!</definedName>
    <definedName name="ValuationNetDebt" localSheetId="5">#REF!</definedName>
    <definedName name="ValuationNetDebt" localSheetId="2">#REF!</definedName>
    <definedName name="ValuationNetDebt">#REF!</definedName>
    <definedName name="ValuationPublicMarketDiscount" localSheetId="5">#REF!</definedName>
    <definedName name="ValuationPublicMarketDiscount" localSheetId="2">#REF!</definedName>
    <definedName name="ValuationPublicMarketDiscount">#REF!</definedName>
    <definedName name="ValuationSecondLineofBusinessOperatingEnterpriseValue" localSheetId="5">#REF!</definedName>
    <definedName name="ValuationSecondLineofBusinessOperatingEnterpriseValue" localSheetId="2">#REF!</definedName>
    <definedName name="ValuationSecondLineofBusinessOperatingEnterpriseValue">#REF!</definedName>
    <definedName name="Variation_in_other_provisions" localSheetId="5">#REF!</definedName>
    <definedName name="Variation_in_other_provisions" localSheetId="2">#REF!</definedName>
    <definedName name="Variation_in_other_provisions">#REF!</definedName>
    <definedName name="Variation_in_Pension_Provisions" localSheetId="5">#REF!</definedName>
    <definedName name="Variation_in_Pension_Provisions" localSheetId="2">#REF!</definedName>
    <definedName name="Variation_in_Pension_Provisions">#REF!</definedName>
    <definedName name="Variation_Special_reserve" localSheetId="5">#REF!</definedName>
    <definedName name="Variation_Special_reserve" localSheetId="2">#REF!</definedName>
    <definedName name="Variation_Special_reserve">#REF!</definedName>
    <definedName name="Vectovir" localSheetId="5">[12]Sales!#REF!</definedName>
    <definedName name="Vectovir" localSheetId="2">[12]Sales!#REF!</definedName>
    <definedName name="Vectovir">[12]Sales!#REF!</definedName>
    <definedName name="ver1.0" localSheetId="5" hidden="1">#REF!</definedName>
    <definedName name="ver1.0" localSheetId="2" hidden="1">#REF!</definedName>
    <definedName name="ver1.0" hidden="1">#REF!</definedName>
    <definedName name="ver1.01" localSheetId="5" hidden="1">#REF!</definedName>
    <definedName name="ver1.01" localSheetId="2" hidden="1">#REF!</definedName>
    <definedName name="ver1.01" hidden="1">#REF!</definedName>
    <definedName name="vfgSDfV" localSheetId="5">[7]NOPAT_VDF!#REF!</definedName>
    <definedName name="vfgSDfV" localSheetId="2">[7]NOPAT_VDF!#REF!</definedName>
    <definedName name="vfgSDfV">[7]NOPAT_VDF!#REF!</definedName>
    <definedName name="via00" localSheetId="5">'[4]Qtr. Product Sales'!#REF!</definedName>
    <definedName name="via00" localSheetId="2">'[4]Qtr. Product Sales'!#REF!</definedName>
    <definedName name="via00">'[4]Qtr. Product Sales'!#REF!</definedName>
    <definedName name="viag01" localSheetId="5">'[4]Qtr. Product Sales'!#REF!</definedName>
    <definedName name="viag01" localSheetId="2">'[4]Qtr. Product Sales'!#REF!</definedName>
    <definedName name="viag01">'[4]Qtr. Product Sales'!#REF!</definedName>
    <definedName name="viag02" localSheetId="5">'[4]Qtr. Product Sales'!#REF!</definedName>
    <definedName name="viag02" localSheetId="2">'[4]Qtr. Product Sales'!#REF!</definedName>
    <definedName name="viag02">'[4]Qtr. Product Sales'!#REF!</definedName>
    <definedName name="viox01" localSheetId="5">'[32]Qtr. Product Sales'!#REF!</definedName>
    <definedName name="viox01" localSheetId="2">'[32]Qtr. Product Sales'!#REF!</definedName>
    <definedName name="viox01">'[32]Qtr. Product Sales'!#REF!</definedName>
    <definedName name="viox02" localSheetId="5">'[32]Qtr. Product Sales'!#REF!</definedName>
    <definedName name="viox02" localSheetId="2">'[32]Qtr. Product Sales'!#REF!</definedName>
    <definedName name="viox02">'[32]Qtr. Product Sales'!#REF!</definedName>
    <definedName name="volume" localSheetId="5">#REF!</definedName>
    <definedName name="volume" localSheetId="2">#REF!</definedName>
    <definedName name="volume">#REF!</definedName>
    <definedName name="WACC" localSheetId="5">#REF!</definedName>
    <definedName name="WACC" localSheetId="2">#REF!</definedName>
    <definedName name="WACC">#REF!</definedName>
    <definedName name="WACC_company" localSheetId="5">#REF!</definedName>
    <definedName name="WACC_company" localSheetId="2">#REF!</definedName>
    <definedName name="WACC_company">#REF!</definedName>
    <definedName name="WACC_fore">[15]WACC_VDF!$J$21</definedName>
    <definedName name="WACC_P">'[15]Income Statement_VDF'!$R$44</definedName>
    <definedName name="WACC_P_1">[15]WACC_VDF!$U$23</definedName>
    <definedName name="WACC_P_8" localSheetId="5">[15]WACC_VDF!#REF!</definedName>
    <definedName name="WACC_P_8" localSheetId="2">[15]WACC_VDF!#REF!</definedName>
    <definedName name="WACC_P_8">[15]WACC_VDF!#REF!</definedName>
    <definedName name="web" localSheetId="5">#REF!</definedName>
    <definedName name="web" localSheetId="2">#REF!</definedName>
    <definedName name="web">#REF!</definedName>
    <definedName name="we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d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dtwo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two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la" localSheetId="5">[36]DATA!#REF!</definedName>
    <definedName name="wla" localSheetId="2">[36]DATA!#REF!</definedName>
    <definedName name="wla">[36]DATA!#REF!</definedName>
    <definedName name="WMS" localSheetId="5">#REF!</definedName>
    <definedName name="WMS" localSheetId="2">#REF!</definedName>
    <definedName name="WMS">#REF!</definedName>
    <definedName name="WMS_Rating">[16]Industry!$D$20</definedName>
    <definedName name="WMS_Target">[16]Industry!$C$20</definedName>
    <definedName name="Working_capital" localSheetId="5">#REF!</definedName>
    <definedName name="Working_capital" localSheetId="2">#REF!</definedName>
    <definedName name="Working_capital">#REF!</definedName>
    <definedName name="wrn.America._.Online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daily." hidden="1">{#N/A,#N/A,FALSE,"Major v. River";#N/A,#N/A,FALSE,"Large Operators";#N/A,#N/A,FALSE,"Smaller Operators";#N/A,#N/A,FALSE,"Equip. Supply";#N/A,#N/A,FALSE,"EBITDA"}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Genentech._.Model." hidden="1">{#N/A,#N/A,FALSE,"Inc";#N/A,#N/A,FALSE,"Prod";#N/A,#N/A,FALSE,"QInc";#N/A,#N/A,FALSE,"QProd"}</definedName>
    <definedName name="wrn.Genzyme._.model." hidden="1">{#N/A,#N/A,FALSE,"Inc";#N/A,#N/A,FALSE,"QInc";#N/A,#N/A,FALSE,"Pro";#N/A,#N/A,FALSE,"QPro"}</definedName>
    <definedName name="wrn.IGT._.Model." hidden="1">{#N/A,#N/A,TRUE,"IGT";#N/A,#N/A,TRUE,"IGTSLOT"}</definedName>
    <definedName name="wrn.Ligand._.Model." hidden="1">{#N/A,#N/A,FALSE,"Inc";#N/A,#N/A,FALSE,"QInc";#N/A,#N/A,FALSE,"Pro";#N/A,#N/A,FALSE,"QPro"}</definedName>
    <definedName name="wrn.Lodging." hidden="1">{#N/A,#N/A,FALSE,"EPS";#N/A,#N/A,FALSE,"EBITDA"}</definedName>
    <definedName name="wrn.mirBellagio." hidden="1">{#N/A,#N/A,FALSE,"MIR";#N/A,#N/A,FALSE,"NYNY"}</definedName>
    <definedName name="wrn.Model." hidden="1">{#N/A,#N/A,FALSE,"PRH";#N/A,#N/A,FALSE,"Units"}</definedName>
    <definedName name="wrn.monthly." hidden="1">{#N/A,#N/A,FALSE,"Running Total";#N/A,#N/A,FALSE,"Oct 96";#N/A,#N/A,FALSE,"Nov 96";#N/A,#N/A,FALSE,"Dec 96";#N/A,#N/A,FALSE,"Jan 97";#N/A,#N/A,FALSE,"Feb 97";#N/A,#N/A,FALSE,"Mar 97";#N/A,#N/A,FALSE,"Apr 97";#N/A,#N/A,FALSE,"May 97";#N/A,#N/A,FALSE,"June 97";#N/A,#N/A,FALSE,"July 97"}</definedName>
    <definedName name="wrn.pres." hidden="1">{#N/A,#N/A,FALSE,"Major v. River";#N/A,#N/A,FALSE,"Industry";#N/A,#N/A,FALSE,"Large Operators";#N/A,#N/A,FALSE,"Smaller Operators";#N/A,#N/A,FALSE,"Equip. Supply";#N/A,#N/A,FALSE,"EBITDA";#N/A,#N/A,FALSE,"States";#N/A,#N/A,FALSE,"LV Detail"}</definedName>
    <definedName name="wrn.pres97." hidden="1">{#N/A,#N/A,FALSE,"Cover";#N/A,#N/A,FALSE,"Major v. River";#N/A,#N/A,FALSE,"Industry";#N/A,#N/A,FALSE,"Stock Val";#N/A,#N/A,FALSE,"EBITDA";#N/A,#N/A,FALSE,"EBITDA Growth";#N/A,#N/A,FALSE,"LV REt";#N/A,#N/A,FALSE,"AC Ret";#N/A,#N/A,FALSE,"River Ret";#N/A,#N/A,FALSE,"Executive";#N/A,#N/A,FALSE,"Demographics";#N/A,#N/A,FALSE,"Leisure";#N/A,#N/A,FALSE,"States";#N/A,#N/A,FALSE,"nongame";#N/A,#N/A,FALSE,"nongame2";#N/A,#N/A,FALSE,"Room Margin";#N/A,#N/A,FALSE,"Hyp Casino";#N/A,#N/A,FALSE,"lv gates";#N/A,#N/A,FALSE,"potential";#N/A,#N/A,FALSE,"Large Operators";#N/A,#N/A,FALSE,"Smaller Operators";#N/A,#N/A,FALSE,"Equip. Supply";#N/A,#N/A,FALSE,"LV Detail $1 Mil"}</definedName>
    <definedName name="wrn.SunModel." hidden="1">{#N/A,#N/A,FALSE,"summary";#N/A,#N/A,FALSE,"SIH";#N/A,#N/A,FALSE,"SIH Value";#N/A,#N/A,FALSE,"tax est.";#N/A,#N/A,FALSE,"Mohegan";#N/A,#N/A,FALSE,"Resorts";#N/A,#N/A,FALSE,"Win Per Day";#N/A,#N/A,FALSE,"CapStr"}</definedName>
    <definedName name="wrn.weekly." hidden="1">{#N/A,#N/A,FALSE,"Large Operators";#N/A,#N/A,FALSE,"Smaller Operators";#N/A,#N/A,FALSE,"Equip. Supply";#N/A,#N/A,FALSE,"EBITDA";#N/A,#N/A,FALSE,"perform"}</definedName>
    <definedName name="wrn.Yahoo." hidden="1">{#N/A,#N/A,FALSE,"Inc. St.";#N/A,#N/A,FALSE,"FYear";#N/A,#N/A,FALSE,"Revs.";#N/A,#N/A,FALSE,"RevsYear";#N/A,#N/A,FALSE,"Balance";#N/A,#N/A,FALSE,"CompVal";#N/A,#N/A,FALSE,"Val.";#N/A,#N/A,FALSE,"DCFval"}</definedName>
    <definedName name="WYEEPS1">[1]Sheet1!$AE$36</definedName>
    <definedName name="WYEEPS2">[1]Sheet1!$AJ$36</definedName>
    <definedName name="xxxxx" hidden="1">{#N/A,#N/A,FALSE,"Inc";#N/A,#N/A,FALSE,"QInc";#N/A,#N/A,FALSE,"Pro";#N/A,#N/A,FALSE,"QPro"}</definedName>
    <definedName name="xxxxxx" hidden="1">{#N/A,#N/A,FALSE,"Inc";#N/A,#N/A,FALSE,"QInc";#N/A,#N/A,FALSE,"Pro";#N/A,#N/A,FALSE,"QPro"}</definedName>
    <definedName name="Yahoo" hidden="1">{#N/A,#N/A,FALSE,"Inc. St.";#N/A,#N/A,FALSE,"FYear";#N/A,#N/A,FALSE,"Revs.";#N/A,#N/A,FALSE,"RevsYear";#N/A,#N/A,FALSE,"Balance";#N/A,#N/A,FALSE,"CompVal";#N/A,#N/A,FALSE,"Val.";#N/A,#N/A,FALSE,"DCFval"}</definedName>
    <definedName name="Year" localSheetId="5">#REF!</definedName>
    <definedName name="Year" localSheetId="2">#REF!</definedName>
    <definedName name="Year">#REF!</definedName>
    <definedName name="Year_End_Net_Cash____Debt" localSheetId="5">#REF!</definedName>
    <definedName name="Year_End_Net_Cash____Debt" localSheetId="2">#REF!</definedName>
    <definedName name="Year_End_Net_Cash____Debt">#REF!</definedName>
    <definedName name="Year_End_Number_of_Employees" localSheetId="5">#REF!</definedName>
    <definedName name="Year_End_Number_of_Employees" localSheetId="2">#REF!</definedName>
    <definedName name="Year_End_Number_of_Employees">#REF!</definedName>
    <definedName name="Yield" localSheetId="5">#REF!</definedName>
    <definedName name="Yield" localSheetId="2">#REF!</definedName>
    <definedName name="Yield">#REF!</definedName>
    <definedName name="z03all" localSheetId="5">'[38]Qtr. Product Sales'!#REF!</definedName>
    <definedName name="z03all" localSheetId="2">'[38]Qtr. Product Sales'!#REF!</definedName>
    <definedName name="z03all">'[38]Qtr. Product Sales'!#REF!</definedName>
    <definedName name="z03eu" localSheetId="5">'[38]Qtr. Product Sales'!#REF!</definedName>
    <definedName name="z03eu" localSheetId="2">'[38]Qtr. Product Sales'!#REF!</definedName>
    <definedName name="z03eu">'[38]Qtr. Product Sales'!#REF!</definedName>
    <definedName name="z03us" localSheetId="5">'[38]Qtr. Product Sales'!#REF!</definedName>
    <definedName name="z03us" localSheetId="2">'[38]Qtr. Product Sales'!#REF!</definedName>
    <definedName name="z03us">'[38]Qtr. Product Sales'!#REF!</definedName>
    <definedName name="z04all" localSheetId="5">'[38]Qtr. Product Sales'!#REF!</definedName>
    <definedName name="z04all" localSheetId="2">'[38]Qtr. Product Sales'!#REF!</definedName>
    <definedName name="z04all">'[38]Qtr. Product Sales'!#REF!</definedName>
    <definedName name="z04eu" localSheetId="5">'[38]Qtr. Product Sales'!#REF!</definedName>
    <definedName name="z04eu" localSheetId="2">'[38]Qtr. Product Sales'!#REF!</definedName>
    <definedName name="z04eu">'[38]Qtr. Product Sales'!#REF!</definedName>
    <definedName name="z04us" localSheetId="5">'[38]Qtr. Product Sales'!#REF!</definedName>
    <definedName name="z04us" localSheetId="2">'[38]Qtr. Product Sales'!#REF!</definedName>
    <definedName name="z04us">'[38]Qtr. Product Sales'!#REF!</definedName>
    <definedName name="z05all" localSheetId="5">'[38]Qtr. Product Sales'!#REF!</definedName>
    <definedName name="z05all" localSheetId="2">'[38]Qtr. Product Sales'!#REF!</definedName>
    <definedName name="z05all">'[38]Qtr. Product Sales'!#REF!</definedName>
    <definedName name="z05eu" localSheetId="5">'[38]Qtr. Product Sales'!#REF!</definedName>
    <definedName name="z05eu" localSheetId="2">'[38]Qtr. Product Sales'!#REF!</definedName>
    <definedName name="z05eu">'[38]Qtr. Product Sales'!#REF!</definedName>
    <definedName name="z05us" localSheetId="5">'[38]Qtr. Product Sales'!#REF!</definedName>
    <definedName name="z05us" localSheetId="2">'[38]Qtr. Product Sales'!#REF!</definedName>
    <definedName name="z05us">'[38]Qtr. Product Sales'!#REF!</definedName>
    <definedName name="z06all" localSheetId="5">'[38]Qtr. Product Sales'!#REF!</definedName>
    <definedName name="z06all" localSheetId="2">'[38]Qtr. Product Sales'!#REF!</definedName>
    <definedName name="z06all">'[38]Qtr. Product Sales'!#REF!</definedName>
    <definedName name="z06eu" localSheetId="5">'[38]Qtr. Product Sales'!#REF!</definedName>
    <definedName name="z06eu" localSheetId="2">'[38]Qtr. Product Sales'!#REF!</definedName>
    <definedName name="z06eu">'[38]Qtr. Product Sales'!#REF!</definedName>
    <definedName name="z06us" localSheetId="5">'[38]Qtr. Product Sales'!#REF!</definedName>
    <definedName name="z06us" localSheetId="2">'[38]Qtr. Product Sales'!#REF!</definedName>
    <definedName name="z06us">'[38]Qtr. Product Sales'!#REF!</definedName>
    <definedName name="z07eu" localSheetId="5">'[38]Qtr. Product Sales'!#REF!</definedName>
    <definedName name="z07eu" localSheetId="2">'[38]Qtr. Product Sales'!#REF!</definedName>
    <definedName name="z07eu">'[38]Qtr. Product Sales'!#REF!</definedName>
    <definedName name="z07us" localSheetId="5">'[38]Qtr. Product Sales'!#REF!</definedName>
    <definedName name="z07us" localSheetId="2">'[38]Qtr. Product Sales'!#REF!</definedName>
    <definedName name="z07us">'[38]Qtr. Product Sales'!#REF!</definedName>
    <definedName name="z103eu" localSheetId="5">'[38]Qtr. Product Sales'!#REF!</definedName>
    <definedName name="z103eu" localSheetId="2">'[38]Qtr. Product Sales'!#REF!</definedName>
    <definedName name="z103eu">'[38]Qtr. Product Sales'!#REF!</definedName>
    <definedName name="z103us" localSheetId="5">'[38]Qtr. Product Sales'!#REF!</definedName>
    <definedName name="z103us" localSheetId="2">'[38]Qtr. Product Sales'!#REF!</definedName>
    <definedName name="z103us">'[38]Qtr. Product Sales'!#REF!</definedName>
    <definedName name="z203eu" localSheetId="5">'[38]Qtr. Product Sales'!#REF!</definedName>
    <definedName name="z203eu" localSheetId="2">'[38]Qtr. Product Sales'!#REF!</definedName>
    <definedName name="z203eu">'[38]Qtr. Product Sales'!#REF!</definedName>
    <definedName name="z203us" localSheetId="5">'[38]Qtr. Product Sales'!#REF!</definedName>
    <definedName name="z203us" localSheetId="2">'[38]Qtr. Product Sales'!#REF!</definedName>
    <definedName name="z203us">'[38]Qtr. Product Sales'!#REF!</definedName>
    <definedName name="z303eu" localSheetId="5">'[38]Qtr. Product Sales'!#REF!</definedName>
    <definedName name="z303eu" localSheetId="2">'[38]Qtr. Product Sales'!#REF!</definedName>
    <definedName name="z303eu">'[38]Qtr. Product Sales'!#REF!</definedName>
    <definedName name="z303us" localSheetId="5">'[38]Qtr. Product Sales'!#REF!</definedName>
    <definedName name="z303us" localSheetId="2">'[38]Qtr. Product Sales'!#REF!</definedName>
    <definedName name="z303us">'[38]Qtr. Product Sales'!#REF!</definedName>
    <definedName name="z403eu" localSheetId="5">'[38]Qtr. Product Sales'!#REF!</definedName>
    <definedName name="z403eu" localSheetId="2">'[38]Qtr. Product Sales'!#REF!</definedName>
    <definedName name="z403eu">'[38]Qtr. Product Sales'!#REF!</definedName>
    <definedName name="z403us" localSheetId="5">'[38]Qtr. Product Sales'!#REF!</definedName>
    <definedName name="z403us" localSheetId="2">'[38]Qtr. Product Sales'!#REF!</definedName>
    <definedName name="z403us">'[38]Qtr. Product Sales'!#REF!</definedName>
    <definedName name="zbhzdhzdfh" localSheetId="5">[7]NOPAT_VDF!#REF!</definedName>
    <definedName name="zbhzdhzdfh" localSheetId="2">[7]NOPAT_VDF!#REF!</definedName>
    <definedName name="zbhzdhzdfh">[7]NOPAT_VDF!#REF!</definedName>
    <definedName name="zith01" localSheetId="5">'[4]Qtr. Product Sales'!#REF!</definedName>
    <definedName name="zith01" localSheetId="2">'[4]Qtr. Product Sales'!#REF!</definedName>
    <definedName name="zith01">'[4]Qtr. Product Sales'!#REF!</definedName>
    <definedName name="zith02" localSheetId="5">'[4]Qtr. Product Sales'!#REF!</definedName>
    <definedName name="zith02" localSheetId="2">'[4]Qtr. Product Sales'!#REF!</definedName>
    <definedName name="zith02">'[4]Qtr. Product Sales'!#REF!</definedName>
    <definedName name="zoco01">'[44]Qtr. Product Sales'!$U$14</definedName>
    <definedName name="zoco02" localSheetId="5">'[32]Qtr. Product Sales'!#REF!</definedName>
    <definedName name="zoco02" localSheetId="2">'[32]Qtr. Product Sales'!#REF!</definedName>
    <definedName name="zoco02">'[32]Qtr. Product Sales'!#REF!</definedName>
    <definedName name="zolo01" localSheetId="5">'[4]Qtr. Product Sales'!#REF!</definedName>
    <definedName name="zolo01" localSheetId="2">'[4]Qtr. Product Sales'!#REF!</definedName>
    <definedName name="zolo01">'[4]Qtr. Product Sales'!#REF!</definedName>
    <definedName name="zolo02" localSheetId="5">'[4]Qtr. Product Sales'!#REF!</definedName>
    <definedName name="zolo02" localSheetId="2">'[4]Qtr. Product Sales'!#REF!</definedName>
    <definedName name="zolo02">'[4]Qtr. Product Sales'!#REF!</definedName>
    <definedName name="zvbgsd" localSheetId="5">[7]NOPAT_VDF!#REF!</definedName>
    <definedName name="zvbgsd" localSheetId="2">[7]NOPAT_VDF!#REF!</definedName>
    <definedName name="zvbgsd">[7]NOPAT_VDF!#REF!</definedName>
    <definedName name="zypr01">'[26]Qtr. Product Sales'!$U$18</definedName>
    <definedName name="zypr02">'[26]Qtr. Product Sales'!$Z$18</definedName>
    <definedName name="zyrt01" localSheetId="5">'[4]Qtr. Product Sales'!#REF!</definedName>
    <definedName name="zyrt01" localSheetId="2">'[4]Qtr. Product Sales'!#REF!</definedName>
    <definedName name="zyrt01">'[4]Qtr. Product Sales'!#REF!</definedName>
    <definedName name="zyrt02" localSheetId="5">'[4]Qtr. Product Sales'!#REF!</definedName>
    <definedName name="zyrt02" localSheetId="2">'[4]Qtr. Product Sales'!#REF!</definedName>
    <definedName name="zyrt02">'[4]Qtr. Product Sales'!#REF!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90" i="9" l="1"/>
  <c r="D100" i="9"/>
  <c r="F75" i="9"/>
  <c r="G74" i="9"/>
  <c r="G66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L60" i="9"/>
  <c r="M60" i="9"/>
  <c r="N60" i="9"/>
  <c r="O60" i="9"/>
  <c r="P60" i="9"/>
  <c r="Q60" i="9"/>
  <c r="R60" i="9"/>
  <c r="S60" i="9"/>
  <c r="T60" i="9"/>
  <c r="J60" i="9"/>
  <c r="I60" i="9"/>
  <c r="H60" i="9"/>
  <c r="G60" i="9"/>
  <c r="G43" i="9"/>
  <c r="F43" i="9"/>
  <c r="E43" i="9"/>
  <c r="B37" i="9"/>
  <c r="B35" i="9"/>
  <c r="B33" i="9"/>
  <c r="B31" i="9"/>
  <c r="B28" i="9"/>
  <c r="D23" i="9"/>
  <c r="B23" i="9"/>
  <c r="E21" i="9"/>
  <c r="D21" i="9"/>
  <c r="B21" i="9"/>
  <c r="D19" i="9"/>
  <c r="B19" i="9"/>
  <c r="B17" i="9"/>
  <c r="B15" i="9"/>
  <c r="B13" i="9"/>
  <c r="B11" i="9"/>
  <c r="B9" i="9"/>
  <c r="B7" i="9"/>
  <c r="B5" i="9"/>
  <c r="AJ148" i="8"/>
  <c r="AJ150" i="8"/>
  <c r="AV124" i="8"/>
  <c r="AQ124" i="8"/>
  <c r="AO110" i="8"/>
  <c r="AN110" i="8"/>
  <c r="AM110" i="8"/>
  <c r="AK110" i="8"/>
  <c r="AJ110" i="8"/>
  <c r="AL110" i="8"/>
  <c r="AI110" i="8"/>
  <c r="AF110" i="8"/>
  <c r="AG110" i="8"/>
  <c r="AA110" i="8"/>
  <c r="AB110" i="8"/>
  <c r="V110" i="8"/>
  <c r="P110" i="8"/>
  <c r="AG108" i="8"/>
  <c r="AF108" i="8"/>
  <c r="AA108" i="8"/>
  <c r="AB108" i="8"/>
  <c r="V108" i="8"/>
  <c r="W108" i="8"/>
  <c r="AQ106" i="8"/>
  <c r="AL106" i="8"/>
  <c r="AG106" i="8"/>
  <c r="AB106" i="8"/>
  <c r="AV105" i="8"/>
  <c r="F63" i="9"/>
  <c r="AN105" i="8"/>
  <c r="AM105" i="8"/>
  <c r="AH105" i="8"/>
  <c r="AE105" i="8"/>
  <c r="AC105" i="8"/>
  <c r="Z105" i="8"/>
  <c r="Y105" i="8"/>
  <c r="T105" i="8"/>
  <c r="S105" i="8"/>
  <c r="P105" i="8"/>
  <c r="AU104" i="8"/>
  <c r="AU59" i="8"/>
  <c r="AT104" i="8"/>
  <c r="AS104" i="8"/>
  <c r="AR104" i="8"/>
  <c r="AP104" i="8"/>
  <c r="AL104" i="8"/>
  <c r="AF104" i="8"/>
  <c r="AG104" i="8"/>
  <c r="X104" i="8"/>
  <c r="Q104" i="8"/>
  <c r="R104" i="8"/>
  <c r="AP98" i="8"/>
  <c r="AO98" i="8"/>
  <c r="AN98" i="8"/>
  <c r="AM98" i="8"/>
  <c r="AI98" i="8"/>
  <c r="AH98" i="8"/>
  <c r="AG98" i="8"/>
  <c r="AF98" i="8"/>
  <c r="AE98" i="8"/>
  <c r="AD98" i="8"/>
  <c r="AC98" i="8"/>
  <c r="AA98" i="8"/>
  <c r="Z98" i="8"/>
  <c r="Y98" i="8"/>
  <c r="X98" i="8"/>
  <c r="V98" i="8"/>
  <c r="U98" i="8"/>
  <c r="T98" i="8"/>
  <c r="S98" i="8"/>
  <c r="Q98" i="8"/>
  <c r="P98" i="8"/>
  <c r="O98" i="8"/>
  <c r="N98" i="8"/>
  <c r="L98" i="8"/>
  <c r="K98" i="8"/>
  <c r="J98" i="8"/>
  <c r="I98" i="8"/>
  <c r="H98" i="8"/>
  <c r="G98" i="8"/>
  <c r="F98" i="8"/>
  <c r="E98" i="8"/>
  <c r="D98" i="8"/>
  <c r="C98" i="8"/>
  <c r="P96" i="8"/>
  <c r="P102" i="8"/>
  <c r="O96" i="8"/>
  <c r="N96" i="8"/>
  <c r="L96" i="8"/>
  <c r="L102" i="8"/>
  <c r="K96" i="8"/>
  <c r="J96" i="8"/>
  <c r="I96" i="8"/>
  <c r="I103" i="8"/>
  <c r="G96" i="8"/>
  <c r="F96" i="8"/>
  <c r="E96" i="8"/>
  <c r="E103" i="8"/>
  <c r="D96" i="8"/>
  <c r="D102" i="8"/>
  <c r="AO95" i="8"/>
  <c r="AO101" i="8"/>
  <c r="AF95" i="8"/>
  <c r="AF101" i="8"/>
  <c r="AD95" i="8"/>
  <c r="AD101" i="8"/>
  <c r="T95" i="8"/>
  <c r="T101" i="8"/>
  <c r="Q95" i="8"/>
  <c r="Q101" i="8"/>
  <c r="P95" i="8"/>
  <c r="P101" i="8"/>
  <c r="O95" i="8"/>
  <c r="O101" i="8"/>
  <c r="N95" i="8"/>
  <c r="N101" i="8"/>
  <c r="L95" i="8"/>
  <c r="L101" i="8"/>
  <c r="K95" i="8"/>
  <c r="K101" i="8"/>
  <c r="J95" i="8"/>
  <c r="J101" i="8"/>
  <c r="I95" i="8"/>
  <c r="G95" i="8"/>
  <c r="G101" i="8"/>
  <c r="F95" i="8"/>
  <c r="F101" i="8"/>
  <c r="E95" i="8"/>
  <c r="E101" i="8"/>
  <c r="D95" i="8"/>
  <c r="D101" i="8"/>
  <c r="BO92" i="8"/>
  <c r="BN92" i="8"/>
  <c r="BM92" i="8"/>
  <c r="BL92" i="8"/>
  <c r="BJ92" i="8"/>
  <c r="BI92" i="8"/>
  <c r="BH92" i="8"/>
  <c r="BG92" i="8"/>
  <c r="BE92" i="8"/>
  <c r="BD92" i="8"/>
  <c r="BC92" i="8"/>
  <c r="BB92" i="8"/>
  <c r="AZ92" i="8"/>
  <c r="AY92" i="8"/>
  <c r="AX92" i="8"/>
  <c r="AW92" i="8"/>
  <c r="AY91" i="8"/>
  <c r="BO89" i="8"/>
  <c r="BO91" i="8"/>
  <c r="BN89" i="8"/>
  <c r="BN91" i="8"/>
  <c r="BM89" i="8"/>
  <c r="BM91" i="8"/>
  <c r="BL89" i="8"/>
  <c r="BL91" i="8"/>
  <c r="BJ89" i="8"/>
  <c r="BJ91" i="8"/>
  <c r="BI89" i="8"/>
  <c r="BI91" i="8"/>
  <c r="BH89" i="8"/>
  <c r="BH91" i="8"/>
  <c r="BG89" i="8"/>
  <c r="BG91" i="8"/>
  <c r="BE89" i="8"/>
  <c r="BE91" i="8"/>
  <c r="BD89" i="8"/>
  <c r="BD91" i="8"/>
  <c r="BC89" i="8"/>
  <c r="BC91" i="8"/>
  <c r="BB89" i="8"/>
  <c r="BB91" i="8"/>
  <c r="AZ89" i="8"/>
  <c r="AZ91" i="8"/>
  <c r="AY89" i="8"/>
  <c r="AX89" i="8"/>
  <c r="AX91" i="8"/>
  <c r="AW89" i="8"/>
  <c r="AW91" i="8"/>
  <c r="AO88" i="8"/>
  <c r="AN88" i="8"/>
  <c r="AN89" i="8"/>
  <c r="AM88" i="8"/>
  <c r="AK88" i="8"/>
  <c r="AH88" i="8"/>
  <c r="AF88" i="8"/>
  <c r="AG88" i="8"/>
  <c r="AE88" i="8"/>
  <c r="AE89" i="8"/>
  <c r="AD88" i="8"/>
  <c r="AC88" i="8"/>
  <c r="AA88" i="8"/>
  <c r="AA89" i="8"/>
  <c r="Z88" i="8"/>
  <c r="Y88" i="8"/>
  <c r="X88" i="8"/>
  <c r="X89" i="8"/>
  <c r="V88" i="8"/>
  <c r="U88" i="8"/>
  <c r="T88" i="8"/>
  <c r="T89" i="8"/>
  <c r="S88" i="8"/>
  <c r="S89" i="8"/>
  <c r="R88" i="8"/>
  <c r="Q88" i="8"/>
  <c r="P88" i="8"/>
  <c r="O88" i="8"/>
  <c r="N88" i="8"/>
  <c r="L88" i="8"/>
  <c r="M88" i="8"/>
  <c r="K88" i="8"/>
  <c r="J88" i="8"/>
  <c r="I88" i="8"/>
  <c r="AO83" i="8"/>
  <c r="AN83" i="8"/>
  <c r="AM83" i="8"/>
  <c r="AK83" i="8"/>
  <c r="AH83" i="8"/>
  <c r="AF83" i="8"/>
  <c r="AF109" i="8"/>
  <c r="AE83" i="8"/>
  <c r="AD83" i="8"/>
  <c r="AC83" i="8"/>
  <c r="AA83" i="8"/>
  <c r="Z83" i="8"/>
  <c r="Y83" i="8"/>
  <c r="Y109" i="8"/>
  <c r="X83" i="8"/>
  <c r="V83" i="8"/>
  <c r="U83" i="8"/>
  <c r="T83" i="8"/>
  <c r="S83" i="8"/>
  <c r="Q83" i="8"/>
  <c r="P83" i="8"/>
  <c r="O83" i="8"/>
  <c r="N83" i="8"/>
  <c r="C83" i="8"/>
  <c r="AO82" i="8"/>
  <c r="AK82" i="8"/>
  <c r="AH82" i="8"/>
  <c r="AF82" i="8"/>
  <c r="AF84" i="8"/>
  <c r="AE82" i="8"/>
  <c r="AD82" i="8"/>
  <c r="AC82" i="8"/>
  <c r="AA82" i="8"/>
  <c r="Z82" i="8"/>
  <c r="Y82" i="8"/>
  <c r="X82" i="8"/>
  <c r="X84" i="8"/>
  <c r="V82" i="8"/>
  <c r="U82" i="8"/>
  <c r="T82" i="8"/>
  <c r="T84" i="8"/>
  <c r="S82" i="8"/>
  <c r="Q82" i="8"/>
  <c r="P82" i="8"/>
  <c r="P84" i="8"/>
  <c r="O82" i="8"/>
  <c r="N82" i="8"/>
  <c r="C82" i="8"/>
  <c r="AG80" i="8"/>
  <c r="T80" i="8"/>
  <c r="AL78" i="8"/>
  <c r="AH78" i="8"/>
  <c r="AG78" i="8"/>
  <c r="W78" i="8"/>
  <c r="U78" i="8"/>
  <c r="AV76" i="8"/>
  <c r="AM76" i="8"/>
  <c r="AQ76" i="8"/>
  <c r="AJ76" i="8"/>
  <c r="AI76" i="8"/>
  <c r="AD76" i="8"/>
  <c r="AF76" i="8"/>
  <c r="AA76" i="8"/>
  <c r="V76" i="8"/>
  <c r="Q76" i="8"/>
  <c r="L76" i="8"/>
  <c r="G76" i="8"/>
  <c r="AD75" i="8"/>
  <c r="Z75" i="8"/>
  <c r="P75" i="8"/>
  <c r="N75" i="8"/>
  <c r="K75" i="8"/>
  <c r="I75" i="8"/>
  <c r="I77" i="8"/>
  <c r="H75" i="8"/>
  <c r="F75" i="8"/>
  <c r="E75" i="8"/>
  <c r="D75" i="8"/>
  <c r="AV74" i="8"/>
  <c r="AO74" i="8"/>
  <c r="AN74" i="8"/>
  <c r="AM74" i="8"/>
  <c r="AL74" i="8"/>
  <c r="AK74" i="8"/>
  <c r="AJ74" i="8"/>
  <c r="AI74" i="8"/>
  <c r="AH74" i="8"/>
  <c r="AG74" i="8"/>
  <c r="AE74" i="8"/>
  <c r="AD74" i="8"/>
  <c r="AC74" i="8"/>
  <c r="AB74" i="8"/>
  <c r="Z74" i="8"/>
  <c r="Y74" i="8"/>
  <c r="X74" i="8"/>
  <c r="W74" i="8"/>
  <c r="U74" i="8"/>
  <c r="T74" i="8"/>
  <c r="S74" i="8"/>
  <c r="R74" i="8"/>
  <c r="Q74" i="8"/>
  <c r="M74" i="8"/>
  <c r="L74" i="8"/>
  <c r="J74" i="8"/>
  <c r="H74" i="8"/>
  <c r="G74" i="8"/>
  <c r="C74" i="8"/>
  <c r="AV73" i="8"/>
  <c r="AQ73" i="8"/>
  <c r="AK73" i="8"/>
  <c r="AF73" i="8"/>
  <c r="AA73" i="8"/>
  <c r="V73" i="8"/>
  <c r="Q73" i="8"/>
  <c r="L73" i="8"/>
  <c r="G73" i="8"/>
  <c r="AO72" i="8"/>
  <c r="AN72" i="8"/>
  <c r="AN75" i="8"/>
  <c r="AM72" i="8"/>
  <c r="AL72" i="8"/>
  <c r="AJ72" i="8"/>
  <c r="AI72" i="8"/>
  <c r="AG72" i="8"/>
  <c r="AE72" i="8"/>
  <c r="AD72" i="8"/>
  <c r="AC72" i="8"/>
  <c r="AB72" i="8"/>
  <c r="AB75" i="8"/>
  <c r="AA72" i="8"/>
  <c r="Z72" i="8"/>
  <c r="Y72" i="8"/>
  <c r="X72" i="8"/>
  <c r="W72" i="8"/>
  <c r="U72" i="8"/>
  <c r="T72" i="8"/>
  <c r="S72" i="8"/>
  <c r="R72" i="8"/>
  <c r="Q72" i="8"/>
  <c r="J72" i="8"/>
  <c r="G72" i="8"/>
  <c r="C72" i="8"/>
  <c r="AR71" i="8"/>
  <c r="AV71" i="8"/>
  <c r="AO71" i="8"/>
  <c r="AO75" i="8"/>
  <c r="AN71" i="8"/>
  <c r="AM71" i="8"/>
  <c r="AL71" i="8"/>
  <c r="AJ71" i="8"/>
  <c r="AI71" i="8"/>
  <c r="AH71" i="8"/>
  <c r="AG71" i="8"/>
  <c r="AE71" i="8"/>
  <c r="AD71" i="8"/>
  <c r="AC71" i="8"/>
  <c r="AB71" i="8"/>
  <c r="Z71" i="8"/>
  <c r="Y71" i="8"/>
  <c r="X71" i="8"/>
  <c r="W71" i="8"/>
  <c r="U71" i="8"/>
  <c r="T71" i="8"/>
  <c r="T75" i="8"/>
  <c r="S71" i="8"/>
  <c r="R71" i="8"/>
  <c r="R75" i="8"/>
  <c r="P71" i="8"/>
  <c r="O71" i="8"/>
  <c r="M71" i="8"/>
  <c r="L71" i="8"/>
  <c r="J71" i="8"/>
  <c r="G71" i="8"/>
  <c r="G75" i="8"/>
  <c r="C71" i="8"/>
  <c r="AT69" i="8"/>
  <c r="AP69" i="8"/>
  <c r="AO69" i="8"/>
  <c r="AN69" i="8"/>
  <c r="AL69" i="8"/>
  <c r="AJ69" i="8"/>
  <c r="AB69" i="8"/>
  <c r="X69" i="8"/>
  <c r="N69" i="8"/>
  <c r="D69" i="8"/>
  <c r="AU68" i="8"/>
  <c r="AV68" i="8"/>
  <c r="F66" i="9"/>
  <c r="AP68" i="8"/>
  <c r="AN68" i="8"/>
  <c r="AM68" i="8"/>
  <c r="AL68" i="8"/>
  <c r="D66" i="9"/>
  <c r="AJ68" i="8"/>
  <c r="AI68" i="8"/>
  <c r="AH68" i="8"/>
  <c r="AH69" i="8"/>
  <c r="AG68" i="8"/>
  <c r="AG69" i="8"/>
  <c r="AE68" i="8"/>
  <c r="AE69" i="8"/>
  <c r="AD68" i="8"/>
  <c r="AC68" i="8"/>
  <c r="AC69" i="8"/>
  <c r="AB68" i="8"/>
  <c r="Z68" i="8"/>
  <c r="Y68" i="8"/>
  <c r="X68" i="8"/>
  <c r="W68" i="8"/>
  <c r="U68" i="8"/>
  <c r="U69" i="8"/>
  <c r="T68" i="8"/>
  <c r="T69" i="8"/>
  <c r="S68" i="8"/>
  <c r="S69" i="8"/>
  <c r="R68" i="8"/>
  <c r="R69" i="8"/>
  <c r="P68" i="8"/>
  <c r="P69" i="8"/>
  <c r="O68" i="8"/>
  <c r="N68" i="8"/>
  <c r="M68" i="8"/>
  <c r="M69" i="8"/>
  <c r="K68" i="8"/>
  <c r="J68" i="8"/>
  <c r="J69" i="8"/>
  <c r="I68" i="8"/>
  <c r="I69" i="8"/>
  <c r="H68" i="8"/>
  <c r="H69" i="8"/>
  <c r="F68" i="8"/>
  <c r="F69" i="8"/>
  <c r="E68" i="8"/>
  <c r="E69" i="8"/>
  <c r="D68" i="8"/>
  <c r="C68" i="8"/>
  <c r="C69" i="8"/>
  <c r="AU67" i="8"/>
  <c r="AU69" i="8"/>
  <c r="AT67" i="8"/>
  <c r="AS67" i="8"/>
  <c r="AS69" i="8"/>
  <c r="AR67" i="8"/>
  <c r="AR69" i="8"/>
  <c r="AQ67" i="8"/>
  <c r="E67" i="9"/>
  <c r="AL67" i="8"/>
  <c r="D67" i="9"/>
  <c r="AJ67" i="8"/>
  <c r="AI67" i="8"/>
  <c r="AI69" i="8"/>
  <c r="AD67" i="8"/>
  <c r="AB67" i="8"/>
  <c r="AA67" i="8"/>
  <c r="Z67" i="8"/>
  <c r="Z69" i="8"/>
  <c r="V67" i="8"/>
  <c r="R67" i="8"/>
  <c r="Q67" i="8"/>
  <c r="K67" i="8"/>
  <c r="G67" i="8"/>
  <c r="AO64" i="8"/>
  <c r="AN64" i="8"/>
  <c r="AM64" i="8"/>
  <c r="AL64" i="8"/>
  <c r="AL65" i="8"/>
  <c r="AJ64" i="8"/>
  <c r="AI64" i="8"/>
  <c r="AH64" i="8"/>
  <c r="AG64" i="8"/>
  <c r="AE64" i="8"/>
  <c r="AD64" i="8"/>
  <c r="AC64" i="8"/>
  <c r="AB64" i="8"/>
  <c r="Z64" i="8"/>
  <c r="Z65" i="8"/>
  <c r="Z86" i="8"/>
  <c r="AA115" i="8"/>
  <c r="AA121" i="8"/>
  <c r="Y64" i="8"/>
  <c r="X64" i="8"/>
  <c r="X65" i="8"/>
  <c r="X86" i="8"/>
  <c r="W64" i="8"/>
  <c r="U64" i="8"/>
  <c r="T64" i="8"/>
  <c r="S64" i="8"/>
  <c r="R64" i="8"/>
  <c r="P64" i="8"/>
  <c r="P65" i="8"/>
  <c r="P86" i="8"/>
  <c r="O64" i="8"/>
  <c r="N64" i="8"/>
  <c r="M64" i="8"/>
  <c r="K64" i="8"/>
  <c r="J64" i="8"/>
  <c r="I64" i="8"/>
  <c r="H64" i="8"/>
  <c r="F64" i="8"/>
  <c r="E64" i="8"/>
  <c r="D64" i="8"/>
  <c r="C64" i="8"/>
  <c r="BF63" i="8"/>
  <c r="BK63" i="8"/>
  <c r="BP63" i="8"/>
  <c r="AV63" i="8"/>
  <c r="BA63" i="8"/>
  <c r="AO63" i="8"/>
  <c r="AN63" i="8"/>
  <c r="AN65" i="8"/>
  <c r="AN86" i="8"/>
  <c r="AO115" i="8"/>
  <c r="AM63" i="8"/>
  <c r="AL63" i="8"/>
  <c r="AJ63" i="8"/>
  <c r="AI63" i="8"/>
  <c r="AH63" i="8"/>
  <c r="AG63" i="8"/>
  <c r="AE63" i="8"/>
  <c r="AD63" i="8"/>
  <c r="AC63" i="8"/>
  <c r="AC65" i="8"/>
  <c r="AC86" i="8"/>
  <c r="AB63" i="8"/>
  <c r="Z63" i="8"/>
  <c r="Y63" i="8"/>
  <c r="X63" i="8"/>
  <c r="W63" i="8"/>
  <c r="U63" i="8"/>
  <c r="T63" i="8"/>
  <c r="S63" i="8"/>
  <c r="R63" i="8"/>
  <c r="Q63" i="8"/>
  <c r="P63" i="8"/>
  <c r="O63" i="8"/>
  <c r="O65" i="8"/>
  <c r="O86" i="8"/>
  <c r="N63" i="8"/>
  <c r="M63" i="8"/>
  <c r="K63" i="8"/>
  <c r="J63" i="8"/>
  <c r="I63" i="8"/>
  <c r="I65" i="8"/>
  <c r="I86" i="8"/>
  <c r="H63" i="8"/>
  <c r="H65" i="8"/>
  <c r="H86" i="8"/>
  <c r="F63" i="8"/>
  <c r="E63" i="8"/>
  <c r="E65" i="8"/>
  <c r="D63" i="8"/>
  <c r="C63" i="8"/>
  <c r="C65" i="8"/>
  <c r="AV62" i="8"/>
  <c r="F65" i="9"/>
  <c r="AQ62" i="8"/>
  <c r="E65" i="9"/>
  <c r="AV61" i="8"/>
  <c r="BA61" i="8"/>
  <c r="BF61" i="8"/>
  <c r="BK61" i="8"/>
  <c r="BP61" i="8"/>
  <c r="AQ61" i="8"/>
  <c r="AJ61" i="8"/>
  <c r="AK61" i="8"/>
  <c r="AI61" i="8"/>
  <c r="AF61" i="8"/>
  <c r="AD61" i="8"/>
  <c r="AA61" i="8"/>
  <c r="V61" i="8"/>
  <c r="Q61" i="8"/>
  <c r="L61" i="8"/>
  <c r="G61" i="8"/>
  <c r="AU60" i="8"/>
  <c r="AT60" i="8"/>
  <c r="AS60" i="8"/>
  <c r="AR60" i="8"/>
  <c r="AQ60" i="8"/>
  <c r="AK60" i="8"/>
  <c r="AJ60" i="8"/>
  <c r="AI60" i="8"/>
  <c r="AD60" i="8"/>
  <c r="AF60" i="8"/>
  <c r="AA60" i="8"/>
  <c r="V60" i="8"/>
  <c r="Q60" i="8"/>
  <c r="L60" i="8"/>
  <c r="G60" i="8"/>
  <c r="AT59" i="8"/>
  <c r="AS59" i="8"/>
  <c r="AR59" i="8"/>
  <c r="AO59" i="8"/>
  <c r="AJ59" i="8"/>
  <c r="AJ105" i="8"/>
  <c r="AI59" i="8"/>
  <c r="AF59" i="8"/>
  <c r="AF105" i="8"/>
  <c r="AD59" i="8"/>
  <c r="AD105" i="8"/>
  <c r="AA59" i="8"/>
  <c r="V59" i="8"/>
  <c r="Q59" i="8"/>
  <c r="L59" i="8"/>
  <c r="G59" i="8"/>
  <c r="AJ58" i="8"/>
  <c r="AI58" i="8"/>
  <c r="AD58" i="8"/>
  <c r="AF58" i="8"/>
  <c r="AA58" i="8"/>
  <c r="V58" i="8"/>
  <c r="Q58" i="8"/>
  <c r="L58" i="8"/>
  <c r="G58" i="8"/>
  <c r="AP52" i="8"/>
  <c r="AQ52" i="8"/>
  <c r="AR52" i="8"/>
  <c r="AS52" i="8"/>
  <c r="AT52" i="8"/>
  <c r="AU52" i="8"/>
  <c r="AV52" i="8"/>
  <c r="BA52" i="8"/>
  <c r="BF52" i="8"/>
  <c r="BK52" i="8"/>
  <c r="BP52" i="8"/>
  <c r="AL52" i="8"/>
  <c r="AJ52" i="8"/>
  <c r="AI52" i="8"/>
  <c r="AG52" i="8"/>
  <c r="Z52" i="8"/>
  <c r="AA52" i="8"/>
  <c r="AB52" i="8"/>
  <c r="AC52" i="8"/>
  <c r="AD52" i="8"/>
  <c r="W52" i="8"/>
  <c r="R52" i="8"/>
  <c r="AN51" i="8"/>
  <c r="AC51" i="8"/>
  <c r="T51" i="8"/>
  <c r="P51" i="8"/>
  <c r="O51" i="8"/>
  <c r="N51" i="8"/>
  <c r="L51" i="8"/>
  <c r="K51" i="8"/>
  <c r="J51" i="8"/>
  <c r="I51" i="8"/>
  <c r="G51" i="8"/>
  <c r="F51" i="8"/>
  <c r="E51" i="8"/>
  <c r="D51" i="8"/>
  <c r="C51" i="8"/>
  <c r="AP50" i="8"/>
  <c r="AQ50" i="8"/>
  <c r="AR50" i="8"/>
  <c r="AS50" i="8"/>
  <c r="AT50" i="8"/>
  <c r="AU50" i="8"/>
  <c r="AV50" i="8"/>
  <c r="BA50" i="8"/>
  <c r="BF50" i="8"/>
  <c r="BK50" i="8"/>
  <c r="BP50" i="8"/>
  <c r="AL50" i="8"/>
  <c r="AJ50" i="8"/>
  <c r="AI50" i="8"/>
  <c r="AG50" i="8"/>
  <c r="AB50" i="8"/>
  <c r="W50" i="8"/>
  <c r="R50" i="8"/>
  <c r="M50" i="8"/>
  <c r="H50" i="8"/>
  <c r="BE49" i="8"/>
  <c r="BJ49" i="8"/>
  <c r="BO49" i="8"/>
  <c r="BD49" i="8"/>
  <c r="BI49" i="8"/>
  <c r="BN49" i="8"/>
  <c r="BC49" i="8"/>
  <c r="BH49" i="8"/>
  <c r="BM49" i="8"/>
  <c r="BB49" i="8"/>
  <c r="BG49" i="8"/>
  <c r="BL49" i="8"/>
  <c r="AL49" i="8"/>
  <c r="AJ49" i="8"/>
  <c r="AI49" i="8"/>
  <c r="AG49" i="8"/>
  <c r="AB49" i="8"/>
  <c r="W49" i="8"/>
  <c r="R49" i="8"/>
  <c r="M49" i="8"/>
  <c r="H49" i="8"/>
  <c r="AO48" i="8"/>
  <c r="AO51" i="8"/>
  <c r="AN48" i="8"/>
  <c r="AM48" i="8"/>
  <c r="AM51" i="8"/>
  <c r="AL48" i="8"/>
  <c r="AK48" i="8"/>
  <c r="AK51" i="8"/>
  <c r="AJ48" i="8"/>
  <c r="AJ51" i="8"/>
  <c r="AI48" i="8"/>
  <c r="AH48" i="8"/>
  <c r="AH51" i="8"/>
  <c r="AF48" i="8"/>
  <c r="AG48" i="8"/>
  <c r="AE48" i="8"/>
  <c r="AE51" i="8"/>
  <c r="AD48" i="8"/>
  <c r="AD51" i="8"/>
  <c r="AC48" i="8"/>
  <c r="AA48" i="8"/>
  <c r="AA51" i="8"/>
  <c r="Z48" i="8"/>
  <c r="Z51" i="8"/>
  <c r="Z53" i="8"/>
  <c r="Y48" i="8"/>
  <c r="Y51" i="8"/>
  <c r="X48" i="8"/>
  <c r="X51" i="8"/>
  <c r="V48" i="8"/>
  <c r="U48" i="8"/>
  <c r="U51" i="8"/>
  <c r="T48" i="8"/>
  <c r="S48" i="8"/>
  <c r="S51" i="8"/>
  <c r="Q48" i="8"/>
  <c r="P48" i="8"/>
  <c r="M48" i="8"/>
  <c r="H48" i="8"/>
  <c r="AO45" i="8"/>
  <c r="AE45" i="8"/>
  <c r="AA45" i="8"/>
  <c r="AA46" i="8"/>
  <c r="S45" i="8"/>
  <c r="Q45" i="8"/>
  <c r="P45" i="8"/>
  <c r="P46" i="8"/>
  <c r="O45" i="8"/>
  <c r="N45" i="8"/>
  <c r="L45" i="8"/>
  <c r="K45" i="8"/>
  <c r="K46" i="8"/>
  <c r="J45" i="8"/>
  <c r="I45" i="8"/>
  <c r="G45" i="8"/>
  <c r="F45" i="8"/>
  <c r="E45" i="8"/>
  <c r="D45" i="8"/>
  <c r="C45" i="8"/>
  <c r="AS44" i="8"/>
  <c r="AT44" i="8"/>
  <c r="AU44" i="8"/>
  <c r="AV44" i="8"/>
  <c r="BA44" i="8"/>
  <c r="BF44" i="8"/>
  <c r="BK44" i="8"/>
  <c r="BP44" i="8"/>
  <c r="AP44" i="8"/>
  <c r="AQ44" i="8"/>
  <c r="AR44" i="8"/>
  <c r="AN44" i="8"/>
  <c r="AM44" i="8"/>
  <c r="AK44" i="8"/>
  <c r="AL44" i="8"/>
  <c r="AJ44" i="8"/>
  <c r="AI44" i="8"/>
  <c r="AH44" i="8"/>
  <c r="AH45" i="8"/>
  <c r="AF44" i="8"/>
  <c r="AE44" i="8"/>
  <c r="AD44" i="8"/>
  <c r="AD45" i="8"/>
  <c r="AC44" i="8"/>
  <c r="AC45" i="8"/>
  <c r="AB44" i="8"/>
  <c r="AA44" i="8"/>
  <c r="Z44" i="8"/>
  <c r="Z45" i="8"/>
  <c r="Z46" i="8"/>
  <c r="Y44" i="8"/>
  <c r="Y45" i="8"/>
  <c r="X44" i="8"/>
  <c r="X45" i="8"/>
  <c r="X46" i="8"/>
  <c r="V44" i="8"/>
  <c r="V45" i="8"/>
  <c r="U44" i="8"/>
  <c r="U45" i="8"/>
  <c r="T44" i="8"/>
  <c r="T45" i="8"/>
  <c r="S44" i="8"/>
  <c r="R44" i="8"/>
  <c r="M44" i="8"/>
  <c r="H44" i="8"/>
  <c r="AP43" i="8"/>
  <c r="AQ43" i="8"/>
  <c r="AR43" i="8"/>
  <c r="AS43" i="8"/>
  <c r="AT43" i="8"/>
  <c r="AU43" i="8"/>
  <c r="AV43" i="8"/>
  <c r="AL43" i="8"/>
  <c r="AJ43" i="8"/>
  <c r="AI43" i="8"/>
  <c r="AG43" i="8"/>
  <c r="AB43" i="8"/>
  <c r="W43" i="8"/>
  <c r="R43" i="8"/>
  <c r="AP42" i="8"/>
  <c r="AQ42" i="8"/>
  <c r="AL42" i="8"/>
  <c r="AJ42" i="8"/>
  <c r="AJ45" i="8"/>
  <c r="AI42" i="8"/>
  <c r="AG42" i="8"/>
  <c r="AB42" i="8"/>
  <c r="W42" i="8"/>
  <c r="R42" i="8"/>
  <c r="M42" i="8"/>
  <c r="H42" i="8"/>
  <c r="AQ41" i="8"/>
  <c r="AR41" i="8"/>
  <c r="AS41" i="8"/>
  <c r="AT41" i="8"/>
  <c r="AU41" i="8"/>
  <c r="AV41" i="8"/>
  <c r="BA41" i="8"/>
  <c r="BF41" i="8"/>
  <c r="BK41" i="8"/>
  <c r="BP41" i="8"/>
  <c r="AP41" i="8"/>
  <c r="AK41" i="8"/>
  <c r="AG41" i="8"/>
  <c r="AB41" i="8"/>
  <c r="W41" i="8"/>
  <c r="R41" i="8"/>
  <c r="M41" i="8"/>
  <c r="H41" i="8"/>
  <c r="AQ40" i="8"/>
  <c r="AR40" i="8"/>
  <c r="AP40" i="8"/>
  <c r="AK40" i="8"/>
  <c r="AG40" i="8"/>
  <c r="AB40" i="8"/>
  <c r="W40" i="8"/>
  <c r="R40" i="8"/>
  <c r="M40" i="8"/>
  <c r="H40" i="8"/>
  <c r="AO39" i="8"/>
  <c r="AO46" i="8"/>
  <c r="AH39" i="8"/>
  <c r="AF39" i="8"/>
  <c r="AE39" i="8"/>
  <c r="AD39" i="8"/>
  <c r="AC39" i="8"/>
  <c r="AA39" i="8"/>
  <c r="Z39" i="8"/>
  <c r="Y39" i="8"/>
  <c r="X39" i="8"/>
  <c r="V39" i="8"/>
  <c r="U39" i="8"/>
  <c r="Q39" i="8"/>
  <c r="Q46" i="8"/>
  <c r="P39" i="8"/>
  <c r="O39" i="8"/>
  <c r="N39" i="8"/>
  <c r="L39" i="8"/>
  <c r="K39" i="8"/>
  <c r="J39" i="8"/>
  <c r="J46" i="8"/>
  <c r="I39" i="8"/>
  <c r="G39" i="8"/>
  <c r="F39" i="8"/>
  <c r="AP38" i="8"/>
  <c r="AQ38" i="8"/>
  <c r="AR38" i="8"/>
  <c r="AS38" i="8"/>
  <c r="AT38" i="8"/>
  <c r="AU38" i="8"/>
  <c r="AV38" i="8"/>
  <c r="BA38" i="8"/>
  <c r="BF38" i="8"/>
  <c r="BK38" i="8"/>
  <c r="BP38" i="8"/>
  <c r="AL38" i="8"/>
  <c r="AK38" i="8"/>
  <c r="AM38" i="8"/>
  <c r="AN38" i="8"/>
  <c r="AI38" i="8"/>
  <c r="AG38" i="8"/>
  <c r="AB38" i="8"/>
  <c r="W38" i="8"/>
  <c r="T38" i="8"/>
  <c r="T39" i="8"/>
  <c r="R38" i="8"/>
  <c r="M38" i="8"/>
  <c r="H38" i="8"/>
  <c r="AP37" i="8"/>
  <c r="AQ37" i="8"/>
  <c r="AR37" i="8"/>
  <c r="AS37" i="8"/>
  <c r="AT37" i="8"/>
  <c r="AU37" i="8"/>
  <c r="AV37" i="8"/>
  <c r="BA37" i="8"/>
  <c r="BF37" i="8"/>
  <c r="BK37" i="8"/>
  <c r="BP37" i="8"/>
  <c r="AK37" i="8"/>
  <c r="AG37" i="8"/>
  <c r="AB37" i="8"/>
  <c r="W37" i="8"/>
  <c r="AP36" i="8"/>
  <c r="AQ36" i="8"/>
  <c r="AR36" i="8"/>
  <c r="AS36" i="8"/>
  <c r="AT36" i="8"/>
  <c r="AU36" i="8"/>
  <c r="AV36" i="8"/>
  <c r="BA36" i="8"/>
  <c r="BF36" i="8"/>
  <c r="BK36" i="8"/>
  <c r="BP36" i="8"/>
  <c r="AL36" i="8"/>
  <c r="AJ36" i="8"/>
  <c r="AI36" i="8"/>
  <c r="AG36" i="8"/>
  <c r="AB36" i="8"/>
  <c r="W36" i="8"/>
  <c r="AP35" i="8"/>
  <c r="AP83" i="8"/>
  <c r="AL35" i="8"/>
  <c r="AJ35" i="8"/>
  <c r="AI35" i="8"/>
  <c r="AG35" i="8"/>
  <c r="AG83" i="8"/>
  <c r="AB35" i="8"/>
  <c r="W35" i="8"/>
  <c r="R35" i="8"/>
  <c r="M35" i="8"/>
  <c r="M83" i="8"/>
  <c r="H35" i="8"/>
  <c r="AS34" i="8"/>
  <c r="AT34" i="8"/>
  <c r="AU34" i="8"/>
  <c r="AV34" i="8"/>
  <c r="BA34" i="8"/>
  <c r="BF34" i="8"/>
  <c r="BK34" i="8"/>
  <c r="BP34" i="8"/>
  <c r="AP34" i="8"/>
  <c r="AQ34" i="8"/>
  <c r="AR34" i="8"/>
  <c r="AL34" i="8"/>
  <c r="AJ34" i="8"/>
  <c r="AI34" i="8"/>
  <c r="AG34" i="8"/>
  <c r="AB34" i="8"/>
  <c r="W34" i="8"/>
  <c r="S34" i="8"/>
  <c r="S39" i="8"/>
  <c r="Q34" i="8"/>
  <c r="R34" i="8"/>
  <c r="AP33" i="8"/>
  <c r="AQ33" i="8"/>
  <c r="AR33" i="8"/>
  <c r="AS33" i="8"/>
  <c r="AT33" i="8"/>
  <c r="AU33" i="8"/>
  <c r="AV33" i="8"/>
  <c r="BA33" i="8"/>
  <c r="BF33" i="8"/>
  <c r="BK33" i="8"/>
  <c r="BP33" i="8"/>
  <c r="AK33" i="8"/>
  <c r="AM33" i="8"/>
  <c r="AN33" i="8"/>
  <c r="AG33" i="8"/>
  <c r="AB33" i="8"/>
  <c r="W33" i="8"/>
  <c r="R33" i="8"/>
  <c r="M33" i="8"/>
  <c r="H33" i="8"/>
  <c r="AP32" i="8"/>
  <c r="AQ32" i="8"/>
  <c r="AR32" i="8"/>
  <c r="AS32" i="8"/>
  <c r="AT32" i="8"/>
  <c r="AU32" i="8"/>
  <c r="AV32" i="8"/>
  <c r="BA32" i="8"/>
  <c r="BF32" i="8"/>
  <c r="BK32" i="8"/>
  <c r="BP32" i="8"/>
  <c r="AK32" i="8"/>
  <c r="AG32" i="8"/>
  <c r="AB32" i="8"/>
  <c r="W32" i="8"/>
  <c r="R32" i="8"/>
  <c r="M32" i="8"/>
  <c r="H32" i="8"/>
  <c r="AP31" i="8"/>
  <c r="AQ31" i="8"/>
  <c r="AR31" i="8"/>
  <c r="AS31" i="8"/>
  <c r="AT31" i="8"/>
  <c r="AU31" i="8"/>
  <c r="AV31" i="8"/>
  <c r="BA31" i="8"/>
  <c r="BF31" i="8"/>
  <c r="BK31" i="8"/>
  <c r="BP31" i="8"/>
  <c r="AM31" i="8"/>
  <c r="AN31" i="8"/>
  <c r="AL31" i="8"/>
  <c r="AK31" i="8"/>
  <c r="AG31" i="8"/>
  <c r="AB31" i="8"/>
  <c r="W31" i="8"/>
  <c r="R31" i="8"/>
  <c r="M31" i="8"/>
  <c r="H31" i="8"/>
  <c r="E31" i="8"/>
  <c r="E39" i="8"/>
  <c r="E46" i="8"/>
  <c r="D31" i="8"/>
  <c r="D39" i="8"/>
  <c r="C31" i="8"/>
  <c r="C39" i="8"/>
  <c r="AQ30" i="8"/>
  <c r="AR30" i="8"/>
  <c r="AS30" i="8"/>
  <c r="AT30" i="8"/>
  <c r="AU30" i="8"/>
  <c r="AV30" i="8"/>
  <c r="BA30" i="8"/>
  <c r="BF30" i="8"/>
  <c r="BK30" i="8"/>
  <c r="BP30" i="8"/>
  <c r="AP30" i="8"/>
  <c r="AL30" i="8"/>
  <c r="AJ30" i="8"/>
  <c r="AI30" i="8"/>
  <c r="AG30" i="8"/>
  <c r="AB30" i="8"/>
  <c r="W30" i="8"/>
  <c r="R30" i="8"/>
  <c r="M30" i="8"/>
  <c r="H30" i="8"/>
  <c r="AQ29" i="8"/>
  <c r="AR29" i="8"/>
  <c r="AS29" i="8"/>
  <c r="AT29" i="8"/>
  <c r="AU29" i="8"/>
  <c r="AV29" i="8"/>
  <c r="AP29" i="8"/>
  <c r="AM29" i="8"/>
  <c r="AL29" i="8"/>
  <c r="AJ29" i="8"/>
  <c r="AG29" i="8"/>
  <c r="AB29" i="8"/>
  <c r="W29" i="8"/>
  <c r="R29" i="8"/>
  <c r="M29" i="8"/>
  <c r="H29" i="8"/>
  <c r="AL28" i="8"/>
  <c r="AJ28" i="8"/>
  <c r="AI28" i="8"/>
  <c r="AG28" i="8"/>
  <c r="AG39" i="8"/>
  <c r="AB28" i="8"/>
  <c r="W28" i="8"/>
  <c r="R28" i="8"/>
  <c r="M28" i="8"/>
  <c r="H28" i="8"/>
  <c r="T26" i="8"/>
  <c r="L26" i="8"/>
  <c r="AH25" i="8"/>
  <c r="AF25" i="8"/>
  <c r="AF26" i="8"/>
  <c r="AE25" i="8"/>
  <c r="AD25" i="8"/>
  <c r="AC25" i="8"/>
  <c r="AA25" i="8"/>
  <c r="Z25" i="8"/>
  <c r="X25" i="8"/>
  <c r="X26" i="8"/>
  <c r="V25" i="8"/>
  <c r="U25" i="8"/>
  <c r="T25" i="8"/>
  <c r="S25" i="8"/>
  <c r="Q25" i="8"/>
  <c r="P25" i="8"/>
  <c r="O25" i="8"/>
  <c r="O26" i="8"/>
  <c r="N25" i="8"/>
  <c r="L25" i="8"/>
  <c r="K25" i="8"/>
  <c r="AP24" i="8"/>
  <c r="AQ24" i="8"/>
  <c r="AR24" i="8"/>
  <c r="AS24" i="8"/>
  <c r="AT24" i="8"/>
  <c r="AU24" i="8"/>
  <c r="AV24" i="8"/>
  <c r="BA24" i="8"/>
  <c r="BF24" i="8"/>
  <c r="BK24" i="8"/>
  <c r="BP24" i="8"/>
  <c r="AL24" i="8"/>
  <c r="AJ24" i="8"/>
  <c r="AI24" i="8"/>
  <c r="AG24" i="8"/>
  <c r="AB24" i="8"/>
  <c r="Y24" i="8"/>
  <c r="Y25" i="8"/>
  <c r="Y26" i="8"/>
  <c r="W24" i="8"/>
  <c r="R24" i="8"/>
  <c r="M24" i="8"/>
  <c r="J24" i="8"/>
  <c r="J25" i="8"/>
  <c r="I24" i="8"/>
  <c r="I25" i="8"/>
  <c r="G24" i="8"/>
  <c r="H24" i="8"/>
  <c r="F24" i="8"/>
  <c r="F25" i="8"/>
  <c r="E24" i="8"/>
  <c r="E25" i="8"/>
  <c r="D24" i="8"/>
  <c r="D25" i="8"/>
  <c r="D26" i="8"/>
  <c r="C24" i="8"/>
  <c r="C25" i="8"/>
  <c r="AP23" i="8"/>
  <c r="AQ23" i="8"/>
  <c r="AR23" i="8"/>
  <c r="AS23" i="8"/>
  <c r="AT23" i="8"/>
  <c r="AU23" i="8"/>
  <c r="AV23" i="8"/>
  <c r="BA23" i="8"/>
  <c r="BF23" i="8"/>
  <c r="BK23" i="8"/>
  <c r="BP23" i="8"/>
  <c r="AL23" i="8"/>
  <c r="AJ23" i="8"/>
  <c r="AI23" i="8"/>
  <c r="AG23" i="8"/>
  <c r="AB23" i="8"/>
  <c r="W23" i="8"/>
  <c r="R23" i="8"/>
  <c r="M23" i="8"/>
  <c r="H23" i="8"/>
  <c r="AR22" i="8"/>
  <c r="AS22" i="8"/>
  <c r="AT22" i="8"/>
  <c r="AU22" i="8"/>
  <c r="AV22" i="8"/>
  <c r="BA22" i="8"/>
  <c r="BF22" i="8"/>
  <c r="BK22" i="8"/>
  <c r="BP22" i="8"/>
  <c r="AP22" i="8"/>
  <c r="AQ22" i="8"/>
  <c r="AL22" i="8"/>
  <c r="AJ22" i="8"/>
  <c r="AI22" i="8"/>
  <c r="AG22" i="8"/>
  <c r="AB22" i="8"/>
  <c r="W22" i="8"/>
  <c r="R22" i="8"/>
  <c r="M22" i="8"/>
  <c r="H22" i="8"/>
  <c r="AL21" i="8"/>
  <c r="AJ21" i="8"/>
  <c r="AI21" i="8"/>
  <c r="AI25" i="8"/>
  <c r="AG21" i="8"/>
  <c r="AB21" i="8"/>
  <c r="W21" i="8"/>
  <c r="R21" i="8"/>
  <c r="M21" i="8"/>
  <c r="H21" i="8"/>
  <c r="AP20" i="8"/>
  <c r="AQ20" i="8"/>
  <c r="AR20" i="8"/>
  <c r="AS20" i="8"/>
  <c r="AT20" i="8"/>
  <c r="AU20" i="8"/>
  <c r="AV20" i="8"/>
  <c r="AL20" i="8"/>
  <c r="AJ20" i="8"/>
  <c r="AI20" i="8"/>
  <c r="AG20" i="8"/>
  <c r="AB20" i="8"/>
  <c r="W20" i="8"/>
  <c r="R20" i="8"/>
  <c r="M20" i="8"/>
  <c r="H20" i="8"/>
  <c r="AK19" i="8"/>
  <c r="AK25" i="8"/>
  <c r="AG19" i="8"/>
  <c r="AB19" i="8"/>
  <c r="W19" i="8"/>
  <c r="R19" i="8"/>
  <c r="R25" i="8"/>
  <c r="M19" i="8"/>
  <c r="H19" i="8"/>
  <c r="AO18" i="8"/>
  <c r="AK18" i="8"/>
  <c r="AH18" i="8"/>
  <c r="AF18" i="8"/>
  <c r="AE18" i="8"/>
  <c r="AD18" i="8"/>
  <c r="AC18" i="8"/>
  <c r="AC26" i="8"/>
  <c r="AA18" i="8"/>
  <c r="Z18" i="8"/>
  <c r="Y18" i="8"/>
  <c r="X18" i="8"/>
  <c r="P18" i="8"/>
  <c r="P26" i="8"/>
  <c r="O18" i="8"/>
  <c r="N18" i="8"/>
  <c r="L18" i="8"/>
  <c r="AP17" i="8"/>
  <c r="AQ17" i="8"/>
  <c r="AR17" i="8"/>
  <c r="AS17" i="8"/>
  <c r="AT17" i="8"/>
  <c r="AU17" i="8"/>
  <c r="AV17" i="8"/>
  <c r="BA17" i="8"/>
  <c r="BF17" i="8"/>
  <c r="BK17" i="8"/>
  <c r="BP17" i="8"/>
  <c r="AL17" i="8"/>
  <c r="AI17" i="8"/>
  <c r="AG17" i="8"/>
  <c r="AB17" i="8"/>
  <c r="V17" i="8"/>
  <c r="W17" i="8"/>
  <c r="R17" i="8"/>
  <c r="M17" i="8"/>
  <c r="H17" i="8"/>
  <c r="AP16" i="8"/>
  <c r="AQ16" i="8"/>
  <c r="AR16" i="8"/>
  <c r="AS16" i="8"/>
  <c r="AT16" i="8"/>
  <c r="AU16" i="8"/>
  <c r="AV16" i="8"/>
  <c r="BA16" i="8"/>
  <c r="BF16" i="8"/>
  <c r="BK16" i="8"/>
  <c r="BP16" i="8"/>
  <c r="AL16" i="8"/>
  <c r="AJ16" i="8"/>
  <c r="AI16" i="8"/>
  <c r="AG16" i="8"/>
  <c r="AB16" i="8"/>
  <c r="W16" i="8"/>
  <c r="R16" i="8"/>
  <c r="M16" i="8"/>
  <c r="H16" i="8"/>
  <c r="AP15" i="8"/>
  <c r="AQ15" i="8"/>
  <c r="AR15" i="8"/>
  <c r="AS15" i="8"/>
  <c r="AT15" i="8"/>
  <c r="AU15" i="8"/>
  <c r="AV15" i="8"/>
  <c r="BA15" i="8"/>
  <c r="BF15" i="8"/>
  <c r="BK15" i="8"/>
  <c r="BP15" i="8"/>
  <c r="AM15" i="8"/>
  <c r="AL15" i="8"/>
  <c r="AJ15" i="8"/>
  <c r="AI15" i="8"/>
  <c r="AG15" i="8"/>
  <c r="AB15" i="8"/>
  <c r="W15" i="8"/>
  <c r="U15" i="8"/>
  <c r="U18" i="8"/>
  <c r="T15" i="8"/>
  <c r="T18" i="8"/>
  <c r="S15" i="8"/>
  <c r="S18" i="8"/>
  <c r="Q15" i="8"/>
  <c r="Q18" i="8"/>
  <c r="M15" i="8"/>
  <c r="K15" i="8"/>
  <c r="K18" i="8"/>
  <c r="J15" i="8"/>
  <c r="J18" i="8"/>
  <c r="I15" i="8"/>
  <c r="I18" i="8"/>
  <c r="G15" i="8"/>
  <c r="F15" i="8"/>
  <c r="F18" i="8"/>
  <c r="E15" i="8"/>
  <c r="E18" i="8"/>
  <c r="D15" i="8"/>
  <c r="D18" i="8"/>
  <c r="C15" i="8"/>
  <c r="C18" i="8"/>
  <c r="AL14" i="8"/>
  <c r="AJ14" i="8"/>
  <c r="AI14" i="8"/>
  <c r="AG14" i="8"/>
  <c r="AB14" i="8"/>
  <c r="W14" i="8"/>
  <c r="R14" i="8"/>
  <c r="M14" i="8"/>
  <c r="H14" i="8"/>
  <c r="AL13" i="8"/>
  <c r="AJ13" i="8"/>
  <c r="AI13" i="8"/>
  <c r="AG13" i="8"/>
  <c r="AB13" i="8"/>
  <c r="W13" i="8"/>
  <c r="R13" i="8"/>
  <c r="M13" i="8"/>
  <c r="H13" i="8"/>
  <c r="AP12" i="8"/>
  <c r="AQ12" i="8"/>
  <c r="AR12" i="8"/>
  <c r="AS12" i="8"/>
  <c r="AT12" i="8"/>
  <c r="AU12" i="8"/>
  <c r="AV12" i="8"/>
  <c r="BA12" i="8"/>
  <c r="BF12" i="8"/>
  <c r="BK12" i="8"/>
  <c r="BP12" i="8"/>
  <c r="AM12" i="8"/>
  <c r="AN12" i="8"/>
  <c r="AL12" i="8"/>
  <c r="AJ12" i="8"/>
  <c r="AI12" i="8"/>
  <c r="AG12" i="8"/>
  <c r="AG82" i="8"/>
  <c r="AB12" i="8"/>
  <c r="W12" i="8"/>
  <c r="R12" i="8"/>
  <c r="M12" i="8"/>
  <c r="H12" i="8"/>
  <c r="AM11" i="8"/>
  <c r="AL11" i="8"/>
  <c r="AL82" i="8"/>
  <c r="AJ11" i="8"/>
  <c r="AI11" i="8"/>
  <c r="AB11" i="8"/>
  <c r="W11" i="8"/>
  <c r="R11" i="8"/>
  <c r="M11" i="8"/>
  <c r="H11" i="8"/>
  <c r="BJ98" i="7"/>
  <c r="BJ114" i="7"/>
  <c r="BJ130" i="7"/>
  <c r="BJ81" i="7"/>
  <c r="CE80" i="7"/>
  <c r="CC80" i="7"/>
  <c r="CB80" i="7"/>
  <c r="CA80" i="7"/>
  <c r="BZ80" i="7"/>
  <c r="BX80" i="7"/>
  <c r="BW80" i="7"/>
  <c r="BV80" i="7"/>
  <c r="BU80" i="7"/>
  <c r="BS80" i="7"/>
  <c r="BR80" i="7"/>
  <c r="BQ80" i="7"/>
  <c r="BP80" i="7"/>
  <c r="BN80" i="7"/>
  <c r="BM80" i="7"/>
  <c r="BL80" i="7"/>
  <c r="BK80" i="7"/>
  <c r="CD63" i="7"/>
  <c r="BY63" i="7"/>
  <c r="BT63" i="7"/>
  <c r="BO63" i="7"/>
  <c r="BJ63" i="7"/>
  <c r="BE63" i="7"/>
  <c r="AZ63" i="7"/>
  <c r="CC60" i="7"/>
  <c r="CB60" i="7"/>
  <c r="CA60" i="7"/>
  <c r="BZ60" i="7"/>
  <c r="BX60" i="7"/>
  <c r="BW60" i="7"/>
  <c r="BV60" i="7"/>
  <c r="BU60" i="7"/>
  <c r="BS60" i="7"/>
  <c r="BR60" i="7"/>
  <c r="BQ60" i="7"/>
  <c r="BQ57" i="7"/>
  <c r="BP60" i="7"/>
  <c r="BN60" i="7"/>
  <c r="BM60" i="7"/>
  <c r="BL60" i="7"/>
  <c r="BK60" i="7"/>
  <c r="BD60" i="7"/>
  <c r="BC60" i="7"/>
  <c r="BB60" i="7"/>
  <c r="BA60" i="7"/>
  <c r="AW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B60" i="7"/>
  <c r="CC59" i="7"/>
  <c r="CB59" i="7"/>
  <c r="CB57" i="7"/>
  <c r="CB64" i="7"/>
  <c r="CA59" i="7"/>
  <c r="BZ59" i="7"/>
  <c r="BZ57" i="7"/>
  <c r="BX59" i="7"/>
  <c r="BW59" i="7"/>
  <c r="BV59" i="7"/>
  <c r="BU59" i="7"/>
  <c r="BS59" i="7"/>
  <c r="BR59" i="7"/>
  <c r="BR57" i="7"/>
  <c r="BQ59" i="7"/>
  <c r="BP59" i="7"/>
  <c r="BP57" i="7"/>
  <c r="BP64" i="7"/>
  <c r="BN59" i="7"/>
  <c r="BM59" i="7"/>
  <c r="BL59" i="7"/>
  <c r="BK59" i="7"/>
  <c r="BD59" i="7"/>
  <c r="BC59" i="7"/>
  <c r="BB59" i="7"/>
  <c r="BA59" i="7"/>
  <c r="AY59" i="7"/>
  <c r="AW59" i="7"/>
  <c r="AV59" i="7"/>
  <c r="AT59" i="7"/>
  <c r="AS59" i="7"/>
  <c r="AR59" i="7"/>
  <c r="AQ59" i="7"/>
  <c r="AO59" i="7"/>
  <c r="AN59" i="7"/>
  <c r="AM59" i="7"/>
  <c r="AL59" i="7"/>
  <c r="AJ59" i="7"/>
  <c r="AI59" i="7"/>
  <c r="AH59" i="7"/>
  <c r="AG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CC58" i="7"/>
  <c r="CB58" i="7"/>
  <c r="CA58" i="7"/>
  <c r="BZ58" i="7"/>
  <c r="BX58" i="7"/>
  <c r="BX57" i="7"/>
  <c r="BX64" i="7"/>
  <c r="BW58" i="7"/>
  <c r="BV58" i="7"/>
  <c r="BU58" i="7"/>
  <c r="BS58" i="7"/>
  <c r="BS57" i="7"/>
  <c r="BS72" i="7"/>
  <c r="BR58" i="7"/>
  <c r="BQ58" i="7"/>
  <c r="BP58" i="7"/>
  <c r="BN58" i="7"/>
  <c r="BM58" i="7"/>
  <c r="BL58" i="7"/>
  <c r="BK58" i="7"/>
  <c r="BD58" i="7"/>
  <c r="BD57" i="7"/>
  <c r="BD72" i="7"/>
  <c r="BC58" i="7"/>
  <c r="BB58" i="7"/>
  <c r="BA58" i="7"/>
  <c r="AW58" i="7"/>
  <c r="AJ58" i="7"/>
  <c r="AI58" i="7"/>
  <c r="AH58" i="7"/>
  <c r="AG58" i="7"/>
  <c r="AE58" i="7"/>
  <c r="AD58" i="7"/>
  <c r="AC58" i="7"/>
  <c r="AB58" i="7"/>
  <c r="Z58" i="7"/>
  <c r="Y58" i="7"/>
  <c r="X58" i="7"/>
  <c r="W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BL57" i="7"/>
  <c r="BL64" i="7"/>
  <c r="CC49" i="7"/>
  <c r="CB49" i="7"/>
  <c r="CA49" i="7"/>
  <c r="BZ49" i="7"/>
  <c r="BX49" i="7"/>
  <c r="BW49" i="7"/>
  <c r="BV49" i="7"/>
  <c r="BU49" i="7"/>
  <c r="BS49" i="7"/>
  <c r="BR49" i="7"/>
  <c r="BQ49" i="7"/>
  <c r="BP49" i="7"/>
  <c r="BN49" i="7"/>
  <c r="BM49" i="7"/>
  <c r="BL49" i="7"/>
  <c r="BK49" i="7"/>
  <c r="BD49" i="7"/>
  <c r="BC49" i="7"/>
  <c r="BB49" i="7"/>
  <c r="BA49" i="7"/>
  <c r="AY49" i="7"/>
  <c r="AW49" i="7"/>
  <c r="AV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B49" i="7"/>
  <c r="CC41" i="7"/>
  <c r="CB41" i="7"/>
  <c r="CA41" i="7"/>
  <c r="BZ41" i="7"/>
  <c r="BX41" i="7"/>
  <c r="BW41" i="7"/>
  <c r="BV41" i="7"/>
  <c r="BU41" i="7"/>
  <c r="BS41" i="7"/>
  <c r="BR41" i="7"/>
  <c r="BQ41" i="7"/>
  <c r="BP41" i="7"/>
  <c r="BN41" i="7"/>
  <c r="BM41" i="7"/>
  <c r="BL41" i="7"/>
  <c r="BK41" i="7"/>
  <c r="BD41" i="7"/>
  <c r="BC41" i="7"/>
  <c r="BB41" i="7"/>
  <c r="BA41" i="7"/>
  <c r="AW41" i="7"/>
  <c r="AV41" i="7"/>
  <c r="AU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CA35" i="7"/>
  <c r="CA51" i="7"/>
  <c r="BP35" i="7"/>
  <c r="BP51" i="7"/>
  <c r="CC33" i="7"/>
  <c r="CC35" i="7"/>
  <c r="CB33" i="7"/>
  <c r="CB35" i="7"/>
  <c r="CB51" i="7"/>
  <c r="CA33" i="7"/>
  <c r="BZ33" i="7"/>
  <c r="BZ35" i="7"/>
  <c r="BZ51" i="7"/>
  <c r="BX33" i="7"/>
  <c r="BX35" i="7"/>
  <c r="BW33" i="7"/>
  <c r="BW35" i="7"/>
  <c r="BV33" i="7"/>
  <c r="BV35" i="7"/>
  <c r="BV51" i="7"/>
  <c r="BU33" i="7"/>
  <c r="BU35" i="7"/>
  <c r="BS33" i="7"/>
  <c r="BS35" i="7"/>
  <c r="BS51" i="7"/>
  <c r="BR33" i="7"/>
  <c r="BR35" i="7"/>
  <c r="BR51" i="7"/>
  <c r="BQ33" i="7"/>
  <c r="BQ35" i="7"/>
  <c r="BQ51" i="7"/>
  <c r="BP33" i="7"/>
  <c r="BN33" i="7"/>
  <c r="BN35" i="7"/>
  <c r="BN51" i="7"/>
  <c r="BM33" i="7"/>
  <c r="BM35" i="7"/>
  <c r="BM51" i="7"/>
  <c r="BL33" i="7"/>
  <c r="BL35" i="7"/>
  <c r="BL51" i="7"/>
  <c r="BK33" i="7"/>
  <c r="BK35" i="7"/>
  <c r="BK51" i="7"/>
  <c r="BD33" i="7"/>
  <c r="BC33" i="7"/>
  <c r="BB33" i="7"/>
  <c r="BA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CC25" i="7"/>
  <c r="CB25" i="7"/>
  <c r="CA25" i="7"/>
  <c r="BZ25" i="7"/>
  <c r="BX25" i="7"/>
  <c r="BW25" i="7"/>
  <c r="BV25" i="7"/>
  <c r="BU25" i="7"/>
  <c r="BS25" i="7"/>
  <c r="BR25" i="7"/>
  <c r="BQ25" i="7"/>
  <c r="BP25" i="7"/>
  <c r="BN25" i="7"/>
  <c r="BM25" i="7"/>
  <c r="BL25" i="7"/>
  <c r="BK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CC16" i="7"/>
  <c r="CB16" i="7"/>
  <c r="CA16" i="7"/>
  <c r="BZ16" i="7"/>
  <c r="BX16" i="7"/>
  <c r="BW16" i="7"/>
  <c r="BV16" i="7"/>
  <c r="BU16" i="7"/>
  <c r="BS16" i="7"/>
  <c r="BR16" i="7"/>
  <c r="BQ16" i="7"/>
  <c r="BP16" i="7"/>
  <c r="BN16" i="7"/>
  <c r="BM16" i="7"/>
  <c r="BL16" i="7"/>
  <c r="BK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CC15" i="7"/>
  <c r="CB15" i="7"/>
  <c r="CA15" i="7"/>
  <c r="BZ15" i="7"/>
  <c r="BX15" i="7"/>
  <c r="BW15" i="7"/>
  <c r="BV15" i="7"/>
  <c r="BU15" i="7"/>
  <c r="BS15" i="7"/>
  <c r="BR15" i="7"/>
  <c r="BQ15" i="7"/>
  <c r="BP15" i="7"/>
  <c r="BN15" i="7"/>
  <c r="BM15" i="7"/>
  <c r="BL15" i="7"/>
  <c r="BK15" i="7"/>
  <c r="BI15" i="7"/>
  <c r="BH15" i="7"/>
  <c r="BG15" i="7"/>
  <c r="BF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CC14" i="7"/>
  <c r="CB14" i="7"/>
  <c r="CA14" i="7"/>
  <c r="BZ14" i="7"/>
  <c r="BX14" i="7"/>
  <c r="BW14" i="7"/>
  <c r="BV14" i="7"/>
  <c r="BU14" i="7"/>
  <c r="BS14" i="7"/>
  <c r="BR14" i="7"/>
  <c r="BQ14" i="7"/>
  <c r="BP14" i="7"/>
  <c r="BN14" i="7"/>
  <c r="BM14" i="7"/>
  <c r="BL14" i="7"/>
  <c r="BK14" i="7"/>
  <c r="BD14" i="7"/>
  <c r="BC14" i="7"/>
  <c r="BB14" i="7"/>
  <c r="BA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CC13" i="7"/>
  <c r="CB13" i="7"/>
  <c r="CA13" i="7"/>
  <c r="BZ13" i="7"/>
  <c r="BX13" i="7"/>
  <c r="BW13" i="7"/>
  <c r="BV13" i="7"/>
  <c r="BU13" i="7"/>
  <c r="BS13" i="7"/>
  <c r="BR13" i="7"/>
  <c r="BQ13" i="7"/>
  <c r="BP13" i="7"/>
  <c r="BN13" i="7"/>
  <c r="BM13" i="7"/>
  <c r="BL13" i="7"/>
  <c r="BK13" i="7"/>
  <c r="BI13" i="7"/>
  <c r="BH13" i="7"/>
  <c r="BG13" i="7"/>
  <c r="BF13" i="7"/>
  <c r="BD13" i="7"/>
  <c r="BC13" i="7"/>
  <c r="BB13" i="7"/>
  <c r="BA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CC12" i="7"/>
  <c r="CB12" i="7"/>
  <c r="CA12" i="7"/>
  <c r="BZ12" i="7"/>
  <c r="BX12" i="7"/>
  <c r="BW12" i="7"/>
  <c r="BV12" i="7"/>
  <c r="BU12" i="7"/>
  <c r="BS12" i="7"/>
  <c r="BR12" i="7"/>
  <c r="BQ12" i="7"/>
  <c r="BP12" i="7"/>
  <c r="BN12" i="7"/>
  <c r="BM12" i="7"/>
  <c r="BL12" i="7"/>
  <c r="BK12" i="7"/>
  <c r="BI12" i="7"/>
  <c r="BH12" i="7"/>
  <c r="BG12" i="7"/>
  <c r="BF12" i="7"/>
  <c r="BD12" i="7"/>
  <c r="BC12" i="7"/>
  <c r="BB12" i="7"/>
  <c r="BA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BD11" i="7"/>
  <c r="BC11" i="7"/>
  <c r="BB11" i="7"/>
  <c r="BA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CC10" i="7"/>
  <c r="CB10" i="7"/>
  <c r="CA10" i="7"/>
  <c r="BZ10" i="7"/>
  <c r="BX10" i="7"/>
  <c r="BW10" i="7"/>
  <c r="BV10" i="7"/>
  <c r="BU10" i="7"/>
  <c r="BS10" i="7"/>
  <c r="BR10" i="7"/>
  <c r="BQ10" i="7"/>
  <c r="BP10" i="7"/>
  <c r="BN10" i="7"/>
  <c r="BM10" i="7"/>
  <c r="BL10" i="7"/>
  <c r="BK10" i="7"/>
  <c r="BD10" i="7"/>
  <c r="BC10" i="7"/>
  <c r="BB10" i="7"/>
  <c r="BA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CC109" i="6"/>
  <c r="CB109" i="6"/>
  <c r="CA109" i="6"/>
  <c r="BZ109" i="6"/>
  <c r="BX109" i="6"/>
  <c r="BW109" i="6"/>
  <c r="BV109" i="6"/>
  <c r="BU109" i="6"/>
  <c r="BS109" i="6"/>
  <c r="BR109" i="6"/>
  <c r="BQ109" i="6"/>
  <c r="BP109" i="6"/>
  <c r="BN109" i="6"/>
  <c r="BM109" i="6"/>
  <c r="BL109" i="6"/>
  <c r="BK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P108" i="6"/>
  <c r="AO108" i="6"/>
  <c r="AN108" i="6"/>
  <c r="AM108" i="6"/>
  <c r="AL108" i="6"/>
  <c r="AK108" i="6"/>
  <c r="AJ108" i="6"/>
  <c r="AI108" i="6"/>
  <c r="AH108" i="6"/>
  <c r="AG108" i="6"/>
  <c r="AF108" i="6"/>
  <c r="B108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CC105" i="6"/>
  <c r="CB105" i="6"/>
  <c r="CA105" i="6"/>
  <c r="BZ105" i="6"/>
  <c r="BX105" i="6"/>
  <c r="BW105" i="6"/>
  <c r="BV105" i="6"/>
  <c r="BU105" i="6"/>
  <c r="BS105" i="6"/>
  <c r="BR105" i="6"/>
  <c r="BQ105" i="6"/>
  <c r="BP105" i="6"/>
  <c r="BN105" i="6"/>
  <c r="BM105" i="6"/>
  <c r="BL105" i="6"/>
  <c r="BK105" i="6"/>
  <c r="AF105" i="6"/>
  <c r="AE105" i="6"/>
  <c r="AD105" i="6"/>
  <c r="AC105" i="6"/>
  <c r="AB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O104" i="6"/>
  <c r="AN104" i="6"/>
  <c r="AM104" i="6"/>
  <c r="AL104" i="6"/>
  <c r="B104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I102" i="6"/>
  <c r="BH102" i="6"/>
  <c r="BG102" i="6"/>
  <c r="BF102" i="6"/>
  <c r="AZ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I101" i="6"/>
  <c r="BH101" i="6"/>
  <c r="BG101" i="6"/>
  <c r="BF101" i="6"/>
  <c r="BC101" i="6"/>
  <c r="BB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CC100" i="6"/>
  <c r="CB100" i="6"/>
  <c r="CA100" i="6"/>
  <c r="BZ100" i="6"/>
  <c r="BX100" i="6"/>
  <c r="BW100" i="6"/>
  <c r="BV100" i="6"/>
  <c r="BU100" i="6"/>
  <c r="BS100" i="6"/>
  <c r="BR100" i="6"/>
  <c r="BQ100" i="6"/>
  <c r="BP100" i="6"/>
  <c r="BN100" i="6"/>
  <c r="BM100" i="6"/>
  <c r="BL100" i="6"/>
  <c r="BK100" i="6"/>
  <c r="BD100" i="6"/>
  <c r="BC100" i="6"/>
  <c r="BB100" i="6"/>
  <c r="BA100" i="6"/>
  <c r="AW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I98" i="6"/>
  <c r="BH98" i="6"/>
  <c r="BG98" i="6"/>
  <c r="BF98" i="6"/>
  <c r="AZ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I97" i="6"/>
  <c r="BH97" i="6"/>
  <c r="BG97" i="6"/>
  <c r="BF97" i="6"/>
  <c r="BC97" i="6"/>
  <c r="BB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CC96" i="6"/>
  <c r="CB96" i="6"/>
  <c r="CA96" i="6"/>
  <c r="BZ96" i="6"/>
  <c r="BX96" i="6"/>
  <c r="BW96" i="6"/>
  <c r="BV96" i="6"/>
  <c r="BU96" i="6"/>
  <c r="BS96" i="6"/>
  <c r="BR96" i="6"/>
  <c r="BQ96" i="6"/>
  <c r="BP96" i="6"/>
  <c r="BN96" i="6"/>
  <c r="BM96" i="6"/>
  <c r="BL96" i="6"/>
  <c r="BK96" i="6"/>
  <c r="BD96" i="6"/>
  <c r="BC96" i="6"/>
  <c r="BB96" i="6"/>
  <c r="BA96" i="6"/>
  <c r="AY96" i="6"/>
  <c r="AW96" i="6"/>
  <c r="AV96" i="6"/>
  <c r="AT96" i="6"/>
  <c r="AS96" i="6"/>
  <c r="AR96" i="6"/>
  <c r="AQ96" i="6"/>
  <c r="AO96" i="6"/>
  <c r="AN96" i="6"/>
  <c r="AM96" i="6"/>
  <c r="AL96" i="6"/>
  <c r="AJ96" i="6"/>
  <c r="AI96" i="6"/>
  <c r="AH96" i="6"/>
  <c r="AG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I94" i="6"/>
  <c r="BH94" i="6"/>
  <c r="BG94" i="6"/>
  <c r="BF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I93" i="6"/>
  <c r="BH93" i="6"/>
  <c r="BG93" i="6"/>
  <c r="BF93" i="6"/>
  <c r="BC93" i="6"/>
  <c r="BB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CC92" i="6"/>
  <c r="CB92" i="6"/>
  <c r="CA92" i="6"/>
  <c r="BZ92" i="6"/>
  <c r="BX92" i="6"/>
  <c r="BW92" i="6"/>
  <c r="BV92" i="6"/>
  <c r="BU92" i="6"/>
  <c r="BS92" i="6"/>
  <c r="BR92" i="6"/>
  <c r="BQ92" i="6"/>
  <c r="BP92" i="6"/>
  <c r="BN92" i="6"/>
  <c r="BM92" i="6"/>
  <c r="BL92" i="6"/>
  <c r="BK92" i="6"/>
  <c r="BD92" i="6"/>
  <c r="BC92" i="6"/>
  <c r="BB92" i="6"/>
  <c r="BA92" i="6"/>
  <c r="AW92" i="6"/>
  <c r="AJ92" i="6"/>
  <c r="AI92" i="6"/>
  <c r="AH92" i="6"/>
  <c r="AG92" i="6"/>
  <c r="AE92" i="6"/>
  <c r="AD92" i="6"/>
  <c r="AC92" i="6"/>
  <c r="AB92" i="6"/>
  <c r="Z92" i="6"/>
  <c r="Y92" i="6"/>
  <c r="X92" i="6"/>
  <c r="W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CC89" i="6"/>
  <c r="CB89" i="6"/>
  <c r="CA89" i="6"/>
  <c r="BZ89" i="6"/>
  <c r="BX89" i="6"/>
  <c r="BW89" i="6"/>
  <c r="BV89" i="6"/>
  <c r="BU89" i="6"/>
  <c r="BS89" i="6"/>
  <c r="BR89" i="6"/>
  <c r="BQ89" i="6"/>
  <c r="BP89" i="6"/>
  <c r="BN89" i="6"/>
  <c r="BM89" i="6"/>
  <c r="BL89" i="6"/>
  <c r="BK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CC88" i="6"/>
  <c r="CB88" i="6"/>
  <c r="CA88" i="6"/>
  <c r="BZ88" i="6"/>
  <c r="BX88" i="6"/>
  <c r="BW88" i="6"/>
  <c r="BV88" i="6"/>
  <c r="BU88" i="6"/>
  <c r="BS88" i="6"/>
  <c r="BR88" i="6"/>
  <c r="BQ88" i="6"/>
  <c r="BP88" i="6"/>
  <c r="BN88" i="6"/>
  <c r="BM88" i="6"/>
  <c r="BL88" i="6"/>
  <c r="BK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I86" i="6"/>
  <c r="BH86" i="6"/>
  <c r="BG86" i="6"/>
  <c r="BF86" i="6"/>
  <c r="AZ86" i="6"/>
  <c r="AY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I85" i="6"/>
  <c r="BH85" i="6"/>
  <c r="BG85" i="6"/>
  <c r="BF85" i="6"/>
  <c r="BC85" i="6"/>
  <c r="BB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CC84" i="6"/>
  <c r="CB84" i="6"/>
  <c r="CA84" i="6"/>
  <c r="BZ84" i="6"/>
  <c r="BX84" i="6"/>
  <c r="BW84" i="6"/>
  <c r="BV84" i="6"/>
  <c r="BU84" i="6"/>
  <c r="BS84" i="6"/>
  <c r="BR84" i="6"/>
  <c r="BQ84" i="6"/>
  <c r="BP84" i="6"/>
  <c r="BN84" i="6"/>
  <c r="BM84" i="6"/>
  <c r="BL84" i="6"/>
  <c r="BK84" i="6"/>
  <c r="BD84" i="6"/>
  <c r="BC84" i="6"/>
  <c r="BB84" i="6"/>
  <c r="BA84" i="6"/>
  <c r="AY84" i="6"/>
  <c r="AW84" i="6"/>
  <c r="AV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B84" i="6"/>
  <c r="CC83" i="6"/>
  <c r="CB83" i="6"/>
  <c r="CA83" i="6"/>
  <c r="BZ83" i="6"/>
  <c r="BX83" i="6"/>
  <c r="BW83" i="6"/>
  <c r="BV83" i="6"/>
  <c r="BU83" i="6"/>
  <c r="BS83" i="6"/>
  <c r="BR83" i="6"/>
  <c r="BQ83" i="6"/>
  <c r="BP83" i="6"/>
  <c r="BN83" i="6"/>
  <c r="BM83" i="6"/>
  <c r="BL83" i="6"/>
  <c r="BK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CC82" i="6"/>
  <c r="CB82" i="6"/>
  <c r="CA82" i="6"/>
  <c r="BZ82" i="6"/>
  <c r="BX82" i="6"/>
  <c r="BW82" i="6"/>
  <c r="BV82" i="6"/>
  <c r="BU82" i="6"/>
  <c r="BS82" i="6"/>
  <c r="BR82" i="6"/>
  <c r="BQ82" i="6"/>
  <c r="BP82" i="6"/>
  <c r="BN82" i="6"/>
  <c r="BM82" i="6"/>
  <c r="BL82" i="6"/>
  <c r="BK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CC81" i="6"/>
  <c r="CB81" i="6"/>
  <c r="CA81" i="6"/>
  <c r="BZ81" i="6"/>
  <c r="BX81" i="6"/>
  <c r="BW81" i="6"/>
  <c r="BV81" i="6"/>
  <c r="BU81" i="6"/>
  <c r="BS81" i="6"/>
  <c r="BR81" i="6"/>
  <c r="BQ81" i="6"/>
  <c r="BP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CC80" i="6"/>
  <c r="CB80" i="6"/>
  <c r="CA80" i="6"/>
  <c r="BZ80" i="6"/>
  <c r="BX80" i="6"/>
  <c r="BW80" i="6"/>
  <c r="BV80" i="6"/>
  <c r="BU80" i="6"/>
  <c r="BS80" i="6"/>
  <c r="BR80" i="6"/>
  <c r="BQ80" i="6"/>
  <c r="BP80" i="6"/>
  <c r="BN80" i="6"/>
  <c r="BM80" i="6"/>
  <c r="BL80" i="6"/>
  <c r="BK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CC79" i="6"/>
  <c r="CB79" i="6"/>
  <c r="CA79" i="6"/>
  <c r="BZ79" i="6"/>
  <c r="BX79" i="6"/>
  <c r="BW79" i="6"/>
  <c r="BV79" i="6"/>
  <c r="BU79" i="6"/>
  <c r="BS79" i="6"/>
  <c r="BR79" i="6"/>
  <c r="BQ79" i="6"/>
  <c r="BP79" i="6"/>
  <c r="BN79" i="6"/>
  <c r="BM79" i="6"/>
  <c r="BL79" i="6"/>
  <c r="BK79" i="6"/>
  <c r="BI79" i="6"/>
  <c r="BH79" i="6"/>
  <c r="BG79" i="6"/>
  <c r="BF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CC78" i="6"/>
  <c r="CB78" i="6"/>
  <c r="CA78" i="6"/>
  <c r="BZ78" i="6"/>
  <c r="BX78" i="6"/>
  <c r="BW78" i="6"/>
  <c r="BV78" i="6"/>
  <c r="BU78" i="6"/>
  <c r="BS78" i="6"/>
  <c r="BR78" i="6"/>
  <c r="BQ78" i="6"/>
  <c r="BP78" i="6"/>
  <c r="BO78" i="6"/>
  <c r="BN78" i="6"/>
  <c r="BM78" i="6"/>
  <c r="BL78" i="6"/>
  <c r="BK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CC77" i="6"/>
  <c r="CB77" i="6"/>
  <c r="CA77" i="6"/>
  <c r="BZ77" i="6"/>
  <c r="BX77" i="6"/>
  <c r="BW77" i="6"/>
  <c r="BV77" i="6"/>
  <c r="BU77" i="6"/>
  <c r="BS77" i="6"/>
  <c r="BR77" i="6"/>
  <c r="BQ77" i="6"/>
  <c r="BP77" i="6"/>
  <c r="BN77" i="6"/>
  <c r="BM77" i="6"/>
  <c r="BL77" i="6"/>
  <c r="BK77" i="6"/>
  <c r="BI77" i="6"/>
  <c r="BH77" i="6"/>
  <c r="BG77" i="6"/>
  <c r="BF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BS75" i="6"/>
  <c r="BR75" i="6"/>
  <c r="BQ75" i="6"/>
  <c r="BP75" i="6"/>
  <c r="BN75" i="6"/>
  <c r="BM75" i="6"/>
  <c r="BL75" i="6"/>
  <c r="BK75" i="6"/>
  <c r="BI75" i="6"/>
  <c r="BH75" i="6"/>
  <c r="BG75" i="6"/>
  <c r="BF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CC74" i="6"/>
  <c r="CB74" i="6"/>
  <c r="CA74" i="6"/>
  <c r="BZ74" i="6"/>
  <c r="BX74" i="6"/>
  <c r="BW74" i="6"/>
  <c r="BV74" i="6"/>
  <c r="BU74" i="6"/>
  <c r="BS74" i="6"/>
  <c r="BR74" i="6"/>
  <c r="BQ74" i="6"/>
  <c r="BP74" i="6"/>
  <c r="BN74" i="6"/>
  <c r="BM74" i="6"/>
  <c r="BL74" i="6"/>
  <c r="BK74" i="6"/>
  <c r="BI74" i="6"/>
  <c r="BH74" i="6"/>
  <c r="BG74" i="6"/>
  <c r="BF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CC73" i="6"/>
  <c r="CB73" i="6"/>
  <c r="CA73" i="6"/>
  <c r="BZ73" i="6"/>
  <c r="BX73" i="6"/>
  <c r="BW73" i="6"/>
  <c r="BV73" i="6"/>
  <c r="BU73" i="6"/>
  <c r="BS73" i="6"/>
  <c r="BR73" i="6"/>
  <c r="BQ73" i="6"/>
  <c r="BP73" i="6"/>
  <c r="BN73" i="6"/>
  <c r="BM73" i="6"/>
  <c r="BL73" i="6"/>
  <c r="BK73" i="6"/>
  <c r="BI73" i="6"/>
  <c r="BH73" i="6"/>
  <c r="BG73" i="6"/>
  <c r="BF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CC72" i="6"/>
  <c r="CB72" i="6"/>
  <c r="CA72" i="6"/>
  <c r="BZ72" i="6"/>
  <c r="BX72" i="6"/>
  <c r="BW72" i="6"/>
  <c r="BV72" i="6"/>
  <c r="BU72" i="6"/>
  <c r="BS72" i="6"/>
  <c r="BR72" i="6"/>
  <c r="BQ72" i="6"/>
  <c r="BP72" i="6"/>
  <c r="BN72" i="6"/>
  <c r="BM72" i="6"/>
  <c r="BL72" i="6"/>
  <c r="BK72" i="6"/>
  <c r="BI72" i="6"/>
  <c r="BH72" i="6"/>
  <c r="BG72" i="6"/>
  <c r="BF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BD71" i="6"/>
  <c r="BC71" i="6"/>
  <c r="BB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CC70" i="6"/>
  <c r="CB70" i="6"/>
  <c r="CA70" i="6"/>
  <c r="BZ70" i="6"/>
  <c r="BX70" i="6"/>
  <c r="BW70" i="6"/>
  <c r="BV70" i="6"/>
  <c r="BU70" i="6"/>
  <c r="BS70" i="6"/>
  <c r="BR70" i="6"/>
  <c r="BQ70" i="6"/>
  <c r="BP70" i="6"/>
  <c r="BN70" i="6"/>
  <c r="BM70" i="6"/>
  <c r="BL70" i="6"/>
  <c r="BK70" i="6"/>
  <c r="BI70" i="6"/>
  <c r="BH70" i="6"/>
  <c r="BG70" i="6"/>
  <c r="BF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CC69" i="6"/>
  <c r="CB69" i="6"/>
  <c r="CA69" i="6"/>
  <c r="BZ69" i="6"/>
  <c r="BX69" i="6"/>
  <c r="BW69" i="6"/>
  <c r="BV69" i="6"/>
  <c r="BU69" i="6"/>
  <c r="BS69" i="6"/>
  <c r="BR69" i="6"/>
  <c r="BQ69" i="6"/>
  <c r="BP69" i="6"/>
  <c r="BN69" i="6"/>
  <c r="BM69" i="6"/>
  <c r="BL69" i="6"/>
  <c r="BK69" i="6"/>
  <c r="BI69" i="6"/>
  <c r="BH69" i="6"/>
  <c r="BG69" i="6"/>
  <c r="BF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CC65" i="6"/>
  <c r="CB65" i="6"/>
  <c r="CA65" i="6"/>
  <c r="BZ65" i="6"/>
  <c r="BX65" i="6"/>
  <c r="BW65" i="6"/>
  <c r="BV65" i="6"/>
  <c r="BU65" i="6"/>
  <c r="BS65" i="6"/>
  <c r="BR65" i="6"/>
  <c r="BQ65" i="6"/>
  <c r="BP65" i="6"/>
  <c r="BN65" i="6"/>
  <c r="BM65" i="6"/>
  <c r="BL65" i="6"/>
  <c r="BK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CC62" i="6"/>
  <c r="CB62" i="6"/>
  <c r="CA62" i="6"/>
  <c r="BZ62" i="6"/>
  <c r="BX62" i="6"/>
  <c r="BW62" i="6"/>
  <c r="BV62" i="6"/>
  <c r="BU62" i="6"/>
  <c r="BS62" i="6"/>
  <c r="BR62" i="6"/>
  <c r="BQ62" i="6"/>
  <c r="BP62" i="6"/>
  <c r="BN62" i="6"/>
  <c r="BM62" i="6"/>
  <c r="BL62" i="6"/>
  <c r="BK62" i="6"/>
  <c r="BI62" i="6"/>
  <c r="BH62" i="6"/>
  <c r="BG62" i="6"/>
  <c r="BF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CC60" i="6"/>
  <c r="CB60" i="6"/>
  <c r="CA60" i="6"/>
  <c r="BZ60" i="6"/>
  <c r="BX60" i="6"/>
  <c r="BW60" i="6"/>
  <c r="BV60" i="6"/>
  <c r="BU60" i="6"/>
  <c r="BS60" i="6"/>
  <c r="BR60" i="6"/>
  <c r="BQ60" i="6"/>
  <c r="BP60" i="6"/>
  <c r="BN60" i="6"/>
  <c r="BM60" i="6"/>
  <c r="BL60" i="6"/>
  <c r="BK60" i="6"/>
  <c r="AZ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CC59" i="6"/>
  <c r="CB59" i="6"/>
  <c r="CA59" i="6"/>
  <c r="BZ59" i="6"/>
  <c r="BX59" i="6"/>
  <c r="BW59" i="6"/>
  <c r="BV59" i="6"/>
  <c r="BU59" i="6"/>
  <c r="BS59" i="6"/>
  <c r="BR59" i="6"/>
  <c r="BQ59" i="6"/>
  <c r="BP59" i="6"/>
  <c r="BN59" i="6"/>
  <c r="BM59" i="6"/>
  <c r="BL59" i="6"/>
  <c r="BK59" i="6"/>
  <c r="BD59" i="6"/>
  <c r="BC59" i="6"/>
  <c r="BB59" i="6"/>
  <c r="BA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CC57" i="6"/>
  <c r="CB57" i="6"/>
  <c r="CA57" i="6"/>
  <c r="BZ57" i="6"/>
  <c r="BX57" i="6"/>
  <c r="BW57" i="6"/>
  <c r="BV57" i="6"/>
  <c r="BU57" i="6"/>
  <c r="BS57" i="6"/>
  <c r="BR57" i="6"/>
  <c r="BQ57" i="6"/>
  <c r="BP57" i="6"/>
  <c r="BN57" i="6"/>
  <c r="BM57" i="6"/>
  <c r="BL57" i="6"/>
  <c r="BK57" i="6"/>
  <c r="BI57" i="6"/>
  <c r="BH57" i="6"/>
  <c r="BG57" i="6"/>
  <c r="BF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G56" i="6"/>
  <c r="F56" i="6"/>
  <c r="E56" i="6"/>
  <c r="D56" i="6"/>
  <c r="C56" i="6"/>
  <c r="B56" i="6"/>
  <c r="CC55" i="6"/>
  <c r="CB55" i="6"/>
  <c r="CA55" i="6"/>
  <c r="BZ55" i="6"/>
  <c r="BX55" i="6"/>
  <c r="BW55" i="6"/>
  <c r="BV55" i="6"/>
  <c r="BU55" i="6"/>
  <c r="BS55" i="6"/>
  <c r="BR55" i="6"/>
  <c r="BQ55" i="6"/>
  <c r="BP55" i="6"/>
  <c r="BN55" i="6"/>
  <c r="BM55" i="6"/>
  <c r="BL55" i="6"/>
  <c r="BK55" i="6"/>
  <c r="BI55" i="6"/>
  <c r="BH55" i="6"/>
  <c r="BG55" i="6"/>
  <c r="BF55" i="6"/>
  <c r="BD55" i="6"/>
  <c r="BC55" i="6"/>
  <c r="BB55" i="6"/>
  <c r="BA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Z55" i="6"/>
  <c r="Y55" i="6"/>
  <c r="X55" i="6"/>
  <c r="W55" i="6"/>
  <c r="U55" i="6"/>
  <c r="T55" i="6"/>
  <c r="S55" i="6"/>
  <c r="R55" i="6"/>
  <c r="P55" i="6"/>
  <c r="O55" i="6"/>
  <c r="N55" i="6"/>
  <c r="M55" i="6"/>
  <c r="K55" i="6"/>
  <c r="J55" i="6"/>
  <c r="I55" i="6"/>
  <c r="H55" i="6"/>
  <c r="F55" i="6"/>
  <c r="E55" i="6"/>
  <c r="D55" i="6"/>
  <c r="C55" i="6"/>
  <c r="B55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CC52" i="6"/>
  <c r="CB52" i="6"/>
  <c r="CA52" i="6"/>
  <c r="BZ52" i="6"/>
  <c r="BX52" i="6"/>
  <c r="BW52" i="6"/>
  <c r="BV52" i="6"/>
  <c r="BU52" i="6"/>
  <c r="BS52" i="6"/>
  <c r="BR52" i="6"/>
  <c r="BQ52" i="6"/>
  <c r="BP52" i="6"/>
  <c r="BN52" i="6"/>
  <c r="BM52" i="6"/>
  <c r="BL52" i="6"/>
  <c r="BK52" i="6"/>
  <c r="AZ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CC51" i="6"/>
  <c r="CB51" i="6"/>
  <c r="CA51" i="6"/>
  <c r="BZ51" i="6"/>
  <c r="BX51" i="6"/>
  <c r="BW51" i="6"/>
  <c r="BV51" i="6"/>
  <c r="BU51" i="6"/>
  <c r="BS51" i="6"/>
  <c r="BR51" i="6"/>
  <c r="BQ51" i="6"/>
  <c r="BP51" i="6"/>
  <c r="BN51" i="6"/>
  <c r="BM51" i="6"/>
  <c r="BL51" i="6"/>
  <c r="BK51" i="6"/>
  <c r="BD51" i="6"/>
  <c r="BC51" i="6"/>
  <c r="BB51" i="6"/>
  <c r="BA51" i="6"/>
  <c r="AW51" i="6"/>
  <c r="AV51" i="6"/>
  <c r="AU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CC50" i="6"/>
  <c r="CB50" i="6"/>
  <c r="CA50" i="6"/>
  <c r="BZ50" i="6"/>
  <c r="BX50" i="6"/>
  <c r="BW50" i="6"/>
  <c r="BV50" i="6"/>
  <c r="BU50" i="6"/>
  <c r="BS50" i="6"/>
  <c r="BR50" i="6"/>
  <c r="BQ50" i="6"/>
  <c r="BP50" i="6"/>
  <c r="BN50" i="6"/>
  <c r="BM50" i="6"/>
  <c r="BL50" i="6"/>
  <c r="BK50" i="6"/>
  <c r="AU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CC49" i="6"/>
  <c r="CB49" i="6"/>
  <c r="CA49" i="6"/>
  <c r="BZ49" i="6"/>
  <c r="BX49" i="6"/>
  <c r="BW49" i="6"/>
  <c r="BV49" i="6"/>
  <c r="BU49" i="6"/>
  <c r="BS49" i="6"/>
  <c r="BR49" i="6"/>
  <c r="BQ49" i="6"/>
  <c r="BP49" i="6"/>
  <c r="BN49" i="6"/>
  <c r="BM49" i="6"/>
  <c r="BL49" i="6"/>
  <c r="BK49" i="6"/>
  <c r="BI49" i="6"/>
  <c r="BH49" i="6"/>
  <c r="BG49" i="6"/>
  <c r="BF49" i="6"/>
  <c r="BD49" i="6"/>
  <c r="BC49" i="6"/>
  <c r="BB49" i="6"/>
  <c r="BA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CC48" i="6"/>
  <c r="CB48" i="6"/>
  <c r="CA48" i="6"/>
  <c r="BZ48" i="6"/>
  <c r="BX48" i="6"/>
  <c r="BW48" i="6"/>
  <c r="BV48" i="6"/>
  <c r="BU48" i="6"/>
  <c r="BS48" i="6"/>
  <c r="BR48" i="6"/>
  <c r="BQ48" i="6"/>
  <c r="BP48" i="6"/>
  <c r="BN48" i="6"/>
  <c r="BM48" i="6"/>
  <c r="BL48" i="6"/>
  <c r="BK48" i="6"/>
  <c r="BI48" i="6"/>
  <c r="BH48" i="6"/>
  <c r="BG48" i="6"/>
  <c r="BF48" i="6"/>
  <c r="BD48" i="6"/>
  <c r="BC48" i="6"/>
  <c r="BB48" i="6"/>
  <c r="BA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CC47" i="6"/>
  <c r="CB47" i="6"/>
  <c r="CA47" i="6"/>
  <c r="BZ47" i="6"/>
  <c r="BX47" i="6"/>
  <c r="BW47" i="6"/>
  <c r="BV47" i="6"/>
  <c r="BU47" i="6"/>
  <c r="BS47" i="6"/>
  <c r="BR47" i="6"/>
  <c r="BQ47" i="6"/>
  <c r="BP47" i="6"/>
  <c r="BN47" i="6"/>
  <c r="BM47" i="6"/>
  <c r="BL47" i="6"/>
  <c r="BK47" i="6"/>
  <c r="BI47" i="6"/>
  <c r="BH47" i="6"/>
  <c r="BG47" i="6"/>
  <c r="BF47" i="6"/>
  <c r="BD47" i="6"/>
  <c r="BC47" i="6"/>
  <c r="BB47" i="6"/>
  <c r="BA47" i="6"/>
  <c r="AY47" i="6"/>
  <c r="AX47" i="6"/>
  <c r="AW47" i="6"/>
  <c r="AV47" i="6"/>
  <c r="AT47" i="6"/>
  <c r="AS47" i="6"/>
  <c r="AR47" i="6"/>
  <c r="AQ47" i="6"/>
  <c r="AO47" i="6"/>
  <c r="AN47" i="6"/>
  <c r="AM47" i="6"/>
  <c r="AL47" i="6"/>
  <c r="AI47" i="6"/>
  <c r="AH47" i="6"/>
  <c r="AE47" i="6"/>
  <c r="AD47" i="6"/>
  <c r="AC47" i="6"/>
  <c r="AB47" i="6"/>
  <c r="Z47" i="6"/>
  <c r="Y47" i="6"/>
  <c r="X47" i="6"/>
  <c r="W47" i="6"/>
  <c r="U47" i="6"/>
  <c r="T47" i="6"/>
  <c r="S47" i="6"/>
  <c r="R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CC46" i="6"/>
  <c r="CB46" i="6"/>
  <c r="CA46" i="6"/>
  <c r="BZ46" i="6"/>
  <c r="BX46" i="6"/>
  <c r="BW46" i="6"/>
  <c r="BV46" i="6"/>
  <c r="BU46" i="6"/>
  <c r="BS46" i="6"/>
  <c r="BR46" i="6"/>
  <c r="BQ46" i="6"/>
  <c r="BP46" i="6"/>
  <c r="BN46" i="6"/>
  <c r="BM46" i="6"/>
  <c r="BL46" i="6"/>
  <c r="BK46" i="6"/>
  <c r="BI46" i="6"/>
  <c r="BH46" i="6"/>
  <c r="BG46" i="6"/>
  <c r="BF46" i="6"/>
  <c r="BD46" i="6"/>
  <c r="BC46" i="6"/>
  <c r="BB46" i="6"/>
  <c r="BA46" i="6"/>
  <c r="AY46" i="6"/>
  <c r="AX46" i="6"/>
  <c r="AW46" i="6"/>
  <c r="AV46" i="6"/>
  <c r="AT46" i="6"/>
  <c r="AS46" i="6"/>
  <c r="AR46" i="6"/>
  <c r="AQ46" i="6"/>
  <c r="AO46" i="6"/>
  <c r="AN46" i="6"/>
  <c r="AM46" i="6"/>
  <c r="AL46" i="6"/>
  <c r="AI46" i="6"/>
  <c r="AH46" i="6"/>
  <c r="AE46" i="6"/>
  <c r="AD46" i="6"/>
  <c r="AC46" i="6"/>
  <c r="AB46" i="6"/>
  <c r="Z46" i="6"/>
  <c r="Y46" i="6"/>
  <c r="X46" i="6"/>
  <c r="W46" i="6"/>
  <c r="U46" i="6"/>
  <c r="T46" i="6"/>
  <c r="S46" i="6"/>
  <c r="R46" i="6"/>
  <c r="P46" i="6"/>
  <c r="O46" i="6"/>
  <c r="N46" i="6"/>
  <c r="M46" i="6"/>
  <c r="K46" i="6"/>
  <c r="J46" i="6"/>
  <c r="I46" i="6"/>
  <c r="H46" i="6"/>
  <c r="F46" i="6"/>
  <c r="E46" i="6"/>
  <c r="D46" i="6"/>
  <c r="C46" i="6"/>
  <c r="B46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AZ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CC42" i="6"/>
  <c r="CB42" i="6"/>
  <c r="CA42" i="6"/>
  <c r="BZ42" i="6"/>
  <c r="BX42" i="6"/>
  <c r="BW42" i="6"/>
  <c r="BV42" i="6"/>
  <c r="BU42" i="6"/>
  <c r="BS42" i="6"/>
  <c r="BR42" i="6"/>
  <c r="BQ42" i="6"/>
  <c r="BP42" i="6"/>
  <c r="BN42" i="6"/>
  <c r="BM42" i="6"/>
  <c r="BL42" i="6"/>
  <c r="BK42" i="6"/>
  <c r="BI42" i="6"/>
  <c r="BH42" i="6"/>
  <c r="BG42" i="6"/>
  <c r="BF42" i="6"/>
  <c r="BD42" i="6"/>
  <c r="BC42" i="6"/>
  <c r="BB42" i="6"/>
  <c r="BA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AZ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CC39" i="6"/>
  <c r="CB39" i="6"/>
  <c r="CA39" i="6"/>
  <c r="BZ39" i="6"/>
  <c r="BX39" i="6"/>
  <c r="BW39" i="6"/>
  <c r="BV39" i="6"/>
  <c r="BU39" i="6"/>
  <c r="BS39" i="6"/>
  <c r="BR39" i="6"/>
  <c r="BQ39" i="6"/>
  <c r="BP39" i="6"/>
  <c r="BN39" i="6"/>
  <c r="BM39" i="6"/>
  <c r="BL39" i="6"/>
  <c r="BK39" i="6"/>
  <c r="BI39" i="6"/>
  <c r="BH39" i="6"/>
  <c r="BG39" i="6"/>
  <c r="BF39" i="6"/>
  <c r="BD39" i="6"/>
  <c r="BC39" i="6"/>
  <c r="BB39" i="6"/>
  <c r="BA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CC37" i="6"/>
  <c r="CB37" i="6"/>
  <c r="CA37" i="6"/>
  <c r="BZ37" i="6"/>
  <c r="BX37" i="6"/>
  <c r="BW37" i="6"/>
  <c r="BV37" i="6"/>
  <c r="BU37" i="6"/>
  <c r="BS37" i="6"/>
  <c r="BR37" i="6"/>
  <c r="BQ37" i="6"/>
  <c r="BP37" i="6"/>
  <c r="BN37" i="6"/>
  <c r="BM37" i="6"/>
  <c r="BL37" i="6"/>
  <c r="BK37" i="6"/>
  <c r="AZ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BD36" i="6"/>
  <c r="BC36" i="6"/>
  <c r="BB36" i="6"/>
  <c r="BA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CC35" i="6"/>
  <c r="CB35" i="6"/>
  <c r="CA35" i="6"/>
  <c r="BZ35" i="6"/>
  <c r="BX35" i="6"/>
  <c r="BW35" i="6"/>
  <c r="BV35" i="6"/>
  <c r="BU35" i="6"/>
  <c r="BS35" i="6"/>
  <c r="BR35" i="6"/>
  <c r="BQ35" i="6"/>
  <c r="BP35" i="6"/>
  <c r="BN35" i="6"/>
  <c r="BM35" i="6"/>
  <c r="BL35" i="6"/>
  <c r="BK35" i="6"/>
  <c r="BI35" i="6"/>
  <c r="BH35" i="6"/>
  <c r="BG35" i="6"/>
  <c r="BF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CC33" i="6"/>
  <c r="CB33" i="6"/>
  <c r="CA33" i="6"/>
  <c r="BZ33" i="6"/>
  <c r="BX33" i="6"/>
  <c r="BW33" i="6"/>
  <c r="BV33" i="6"/>
  <c r="BU33" i="6"/>
  <c r="BS33" i="6"/>
  <c r="BR33" i="6"/>
  <c r="BQ33" i="6"/>
  <c r="BP33" i="6"/>
  <c r="BN33" i="6"/>
  <c r="BM33" i="6"/>
  <c r="BL33" i="6"/>
  <c r="BK33" i="6"/>
  <c r="BI33" i="6"/>
  <c r="BH33" i="6"/>
  <c r="BG33" i="6"/>
  <c r="BF33" i="6"/>
  <c r="BD33" i="6"/>
  <c r="BC33" i="6"/>
  <c r="BB33" i="6"/>
  <c r="BA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CC30" i="6"/>
  <c r="CB30" i="6"/>
  <c r="CA30" i="6"/>
  <c r="BZ30" i="6"/>
  <c r="BX30" i="6"/>
  <c r="BW30" i="6"/>
  <c r="BV30" i="6"/>
  <c r="BU30" i="6"/>
  <c r="BS30" i="6"/>
  <c r="BR30" i="6"/>
  <c r="BQ30" i="6"/>
  <c r="BP30" i="6"/>
  <c r="BN30" i="6"/>
  <c r="BM30" i="6"/>
  <c r="BL30" i="6"/>
  <c r="BK30" i="6"/>
  <c r="AZ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CC29" i="6"/>
  <c r="CB29" i="6"/>
  <c r="CA29" i="6"/>
  <c r="BZ29" i="6"/>
  <c r="BX29" i="6"/>
  <c r="BW29" i="6"/>
  <c r="BV29" i="6"/>
  <c r="BU29" i="6"/>
  <c r="BS29" i="6"/>
  <c r="BR29" i="6"/>
  <c r="BQ29" i="6"/>
  <c r="BP29" i="6"/>
  <c r="BN29" i="6"/>
  <c r="BM29" i="6"/>
  <c r="BL29" i="6"/>
  <c r="BK29" i="6"/>
  <c r="BD29" i="6"/>
  <c r="BC29" i="6"/>
  <c r="BB29" i="6"/>
  <c r="BA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CC28" i="6"/>
  <c r="CB28" i="6"/>
  <c r="CA28" i="6"/>
  <c r="BZ28" i="6"/>
  <c r="BX28" i="6"/>
  <c r="BW28" i="6"/>
  <c r="BV28" i="6"/>
  <c r="BU28" i="6"/>
  <c r="BS28" i="6"/>
  <c r="BR28" i="6"/>
  <c r="BQ28" i="6"/>
  <c r="BP28" i="6"/>
  <c r="BN28" i="6"/>
  <c r="BM28" i="6"/>
  <c r="BL28" i="6"/>
  <c r="BK28" i="6"/>
  <c r="BI28" i="6"/>
  <c r="BH28" i="6"/>
  <c r="BG28" i="6"/>
  <c r="BF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CC26" i="6"/>
  <c r="CB26" i="6"/>
  <c r="CA26" i="6"/>
  <c r="BZ26" i="6"/>
  <c r="BX26" i="6"/>
  <c r="BW26" i="6"/>
  <c r="BV26" i="6"/>
  <c r="BU26" i="6"/>
  <c r="BS26" i="6"/>
  <c r="BR26" i="6"/>
  <c r="BQ26" i="6"/>
  <c r="BP26" i="6"/>
  <c r="BN26" i="6"/>
  <c r="BM26" i="6"/>
  <c r="BL26" i="6"/>
  <c r="BK26" i="6"/>
  <c r="BI26" i="6"/>
  <c r="BH26" i="6"/>
  <c r="BG26" i="6"/>
  <c r="BF26" i="6"/>
  <c r="BD26" i="6"/>
  <c r="BC26" i="6"/>
  <c r="BB26" i="6"/>
  <c r="BA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CC25" i="6"/>
  <c r="CB25" i="6"/>
  <c r="CA25" i="6"/>
  <c r="BZ25" i="6"/>
  <c r="BX25" i="6"/>
  <c r="BW25" i="6"/>
  <c r="BV25" i="6"/>
  <c r="BU25" i="6"/>
  <c r="BS25" i="6"/>
  <c r="BR25" i="6"/>
  <c r="BQ25" i="6"/>
  <c r="BP25" i="6"/>
  <c r="BN25" i="6"/>
  <c r="BM25" i="6"/>
  <c r="BL25" i="6"/>
  <c r="BK25" i="6"/>
  <c r="BI25" i="6"/>
  <c r="BH25" i="6"/>
  <c r="BG25" i="6"/>
  <c r="BF25" i="6"/>
  <c r="BD25" i="6"/>
  <c r="BC25" i="6"/>
  <c r="BB25" i="6"/>
  <c r="BA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CC24" i="6"/>
  <c r="CB24" i="6"/>
  <c r="CA24" i="6"/>
  <c r="BZ24" i="6"/>
  <c r="BX24" i="6"/>
  <c r="BW24" i="6"/>
  <c r="BV24" i="6"/>
  <c r="BU24" i="6"/>
  <c r="BS24" i="6"/>
  <c r="BR24" i="6"/>
  <c r="BQ24" i="6"/>
  <c r="BP24" i="6"/>
  <c r="BN24" i="6"/>
  <c r="BM24" i="6"/>
  <c r="BL24" i="6"/>
  <c r="BK24" i="6"/>
  <c r="BI24" i="6"/>
  <c r="BH24" i="6"/>
  <c r="BG24" i="6"/>
  <c r="BF24" i="6"/>
  <c r="BD24" i="6"/>
  <c r="BC24" i="6"/>
  <c r="BB24" i="6"/>
  <c r="BA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CC23" i="6"/>
  <c r="CB23" i="6"/>
  <c r="CA23" i="6"/>
  <c r="BZ23" i="6"/>
  <c r="BX23" i="6"/>
  <c r="BW23" i="6"/>
  <c r="BV23" i="6"/>
  <c r="BU23" i="6"/>
  <c r="BS23" i="6"/>
  <c r="BR23" i="6"/>
  <c r="BQ23" i="6"/>
  <c r="BP23" i="6"/>
  <c r="BN23" i="6"/>
  <c r="BM23" i="6"/>
  <c r="BL23" i="6"/>
  <c r="BK23" i="6"/>
  <c r="BI23" i="6"/>
  <c r="BH23" i="6"/>
  <c r="BG23" i="6"/>
  <c r="BF23" i="6"/>
  <c r="BD23" i="6"/>
  <c r="BC23" i="6"/>
  <c r="BB23" i="6"/>
  <c r="BA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CC20" i="6"/>
  <c r="CB20" i="6"/>
  <c r="CA20" i="6"/>
  <c r="BZ20" i="6"/>
  <c r="BX20" i="6"/>
  <c r="BW20" i="6"/>
  <c r="BV20" i="6"/>
  <c r="BU20" i="6"/>
  <c r="BS20" i="6"/>
  <c r="BR20" i="6"/>
  <c r="BQ20" i="6"/>
  <c r="BP20" i="6"/>
  <c r="BN20" i="6"/>
  <c r="BM20" i="6"/>
  <c r="BL20" i="6"/>
  <c r="BK20" i="6"/>
  <c r="AZ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CC19" i="6"/>
  <c r="CB19" i="6"/>
  <c r="CA19" i="6"/>
  <c r="BZ19" i="6"/>
  <c r="BX19" i="6"/>
  <c r="BW19" i="6"/>
  <c r="BV19" i="6"/>
  <c r="BU19" i="6"/>
  <c r="BS19" i="6"/>
  <c r="BR19" i="6"/>
  <c r="BQ19" i="6"/>
  <c r="BP19" i="6"/>
  <c r="BN19" i="6"/>
  <c r="BM19" i="6"/>
  <c r="BL19" i="6"/>
  <c r="BK19" i="6"/>
  <c r="BD19" i="6"/>
  <c r="BC19" i="6"/>
  <c r="BB19" i="6"/>
  <c r="BA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CC18" i="6"/>
  <c r="CB18" i="6"/>
  <c r="CA18" i="6"/>
  <c r="BZ18" i="6"/>
  <c r="BX18" i="6"/>
  <c r="BW18" i="6"/>
  <c r="BV18" i="6"/>
  <c r="BU18" i="6"/>
  <c r="BS18" i="6"/>
  <c r="BR18" i="6"/>
  <c r="BQ18" i="6"/>
  <c r="BP18" i="6"/>
  <c r="BN18" i="6"/>
  <c r="BM18" i="6"/>
  <c r="BL18" i="6"/>
  <c r="BK18" i="6"/>
  <c r="AU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I17" i="6"/>
  <c r="BH17" i="6"/>
  <c r="BG17" i="6"/>
  <c r="BF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I16" i="6"/>
  <c r="BH16" i="6"/>
  <c r="BG16" i="6"/>
  <c r="BF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I15" i="6"/>
  <c r="BH15" i="6"/>
  <c r="BG15" i="6"/>
  <c r="BF15" i="6"/>
  <c r="BD15" i="6"/>
  <c r="BC15" i="6"/>
  <c r="BB15" i="6"/>
  <c r="BA15" i="6"/>
  <c r="AY15" i="6"/>
  <c r="AX15" i="6"/>
  <c r="AW15" i="6"/>
  <c r="AV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I14" i="6"/>
  <c r="BH14" i="6"/>
  <c r="BG14" i="6"/>
  <c r="BF14" i="6"/>
  <c r="BD14" i="6"/>
  <c r="BC14" i="6"/>
  <c r="BB14" i="6"/>
  <c r="BA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I13" i="6"/>
  <c r="BH13" i="6"/>
  <c r="BG13" i="6"/>
  <c r="BF13" i="6"/>
  <c r="BD13" i="6"/>
  <c r="BC13" i="6"/>
  <c r="BB13" i="6"/>
  <c r="BA13" i="6"/>
  <c r="AY13" i="6"/>
  <c r="AX13" i="6"/>
  <c r="AW13" i="6"/>
  <c r="AV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CC12" i="6"/>
  <c r="CB12" i="6"/>
  <c r="CA12" i="6"/>
  <c r="BZ12" i="6"/>
  <c r="BX12" i="6"/>
  <c r="BW12" i="6"/>
  <c r="BV12" i="6"/>
  <c r="BU12" i="6"/>
  <c r="BS12" i="6"/>
  <c r="BR12" i="6"/>
  <c r="BQ12" i="6"/>
  <c r="BP12" i="6"/>
  <c r="BN12" i="6"/>
  <c r="BM12" i="6"/>
  <c r="BL12" i="6"/>
  <c r="BK12" i="6"/>
  <c r="BI12" i="6"/>
  <c r="BH12" i="6"/>
  <c r="BG12" i="6"/>
  <c r="BF12" i="6"/>
  <c r="BD12" i="6"/>
  <c r="BC12" i="6"/>
  <c r="BB12" i="6"/>
  <c r="BA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CC11" i="6"/>
  <c r="CB11" i="6"/>
  <c r="CA11" i="6"/>
  <c r="BZ11" i="6"/>
  <c r="BX11" i="6"/>
  <c r="BW11" i="6"/>
  <c r="BV11" i="6"/>
  <c r="BU11" i="6"/>
  <c r="BS11" i="6"/>
  <c r="BR11" i="6"/>
  <c r="BQ11" i="6"/>
  <c r="BP11" i="6"/>
  <c r="BN11" i="6"/>
  <c r="BM11" i="6"/>
  <c r="BL11" i="6"/>
  <c r="BK11" i="6"/>
  <c r="BI11" i="6"/>
  <c r="BH11" i="6"/>
  <c r="BG11" i="6"/>
  <c r="BF11" i="6"/>
  <c r="BD11" i="6"/>
  <c r="BC11" i="6"/>
  <c r="BB11" i="6"/>
  <c r="BA11" i="6"/>
  <c r="AY11" i="6"/>
  <c r="AX11" i="6"/>
  <c r="AW11" i="6"/>
  <c r="AV11" i="6"/>
  <c r="AT11" i="6"/>
  <c r="AS11" i="6"/>
  <c r="AR11" i="6"/>
  <c r="AQ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C67" i="5"/>
  <c r="BC64" i="5"/>
  <c r="BB64" i="5"/>
  <c r="BA64" i="5"/>
  <c r="AY64" i="5"/>
  <c r="AX64" i="5"/>
  <c r="AW64" i="5"/>
  <c r="AV64" i="5"/>
  <c r="BC61" i="5"/>
  <c r="BB61" i="5"/>
  <c r="BA61" i="5"/>
  <c r="AY61" i="5"/>
  <c r="AX61" i="5"/>
  <c r="AW61" i="5"/>
  <c r="AV61" i="5"/>
  <c r="AZ61" i="5"/>
  <c r="BC58" i="5"/>
  <c r="BB58" i="5"/>
  <c r="BA58" i="5"/>
  <c r="AY58" i="5"/>
  <c r="AX58" i="5"/>
  <c r="AW58" i="5"/>
  <c r="BB59" i="5"/>
  <c r="AV58" i="5"/>
  <c r="BC55" i="5"/>
  <c r="BB55" i="5"/>
  <c r="BA55" i="5"/>
  <c r="AY55" i="5"/>
  <c r="AX55" i="5"/>
  <c r="BC56" i="5"/>
  <c r="AW55" i="5"/>
  <c r="AV55" i="5"/>
  <c r="BC52" i="5"/>
  <c r="BB52" i="5"/>
  <c r="BA52" i="5"/>
  <c r="AY52" i="5"/>
  <c r="AX52" i="5"/>
  <c r="AW52" i="5"/>
  <c r="AV52" i="5"/>
  <c r="C48" i="5"/>
  <c r="BC45" i="5"/>
  <c r="BB45" i="5"/>
  <c r="BA45" i="5"/>
  <c r="AY45" i="5"/>
  <c r="AX45" i="5"/>
  <c r="BC46" i="5"/>
  <c r="AW45" i="5"/>
  <c r="AV45" i="5"/>
  <c r="BC42" i="5"/>
  <c r="BB42" i="5"/>
  <c r="BA42" i="5"/>
  <c r="AY42" i="5"/>
  <c r="AX42" i="5"/>
  <c r="AW42" i="5"/>
  <c r="AV42" i="5"/>
  <c r="C38" i="5"/>
  <c r="BC35" i="5"/>
  <c r="BB35" i="5"/>
  <c r="BA35" i="5"/>
  <c r="AY35" i="5"/>
  <c r="AX35" i="5"/>
  <c r="BC36" i="5"/>
  <c r="AW35" i="5"/>
  <c r="AV35" i="5"/>
  <c r="BC32" i="5"/>
  <c r="BB32" i="5"/>
  <c r="BA32" i="5"/>
  <c r="AY32" i="5"/>
  <c r="AX32" i="5"/>
  <c r="AW32" i="5"/>
  <c r="AV32" i="5"/>
  <c r="BC29" i="5"/>
  <c r="BC30" i="5"/>
  <c r="BB29" i="5"/>
  <c r="BA29" i="5"/>
  <c r="AY29" i="5"/>
  <c r="AX29" i="5"/>
  <c r="AW29" i="5"/>
  <c r="AV29" i="5"/>
  <c r="C25" i="5"/>
  <c r="BA23" i="5"/>
  <c r="BC22" i="5"/>
  <c r="BB22" i="5"/>
  <c r="BA22" i="5"/>
  <c r="AY22" i="5"/>
  <c r="AX22" i="5"/>
  <c r="AW22" i="5"/>
  <c r="AV22" i="5"/>
  <c r="BA20" i="5"/>
  <c r="BC19" i="5"/>
  <c r="BB19" i="5"/>
  <c r="BA19" i="5"/>
  <c r="AY19" i="5"/>
  <c r="AX19" i="5"/>
  <c r="AW19" i="5"/>
  <c r="AV19" i="5"/>
  <c r="BC16" i="5"/>
  <c r="BC17" i="5"/>
  <c r="BB16" i="5"/>
  <c r="BA16" i="5"/>
  <c r="AZ16" i="5"/>
  <c r="AY16" i="5"/>
  <c r="AX16" i="5"/>
  <c r="AW16" i="5"/>
  <c r="AV16" i="5"/>
  <c r="BC13" i="5"/>
  <c r="BB13" i="5"/>
  <c r="BA13" i="5"/>
  <c r="AY13" i="5"/>
  <c r="AX13" i="5"/>
  <c r="AW13" i="5"/>
  <c r="AV13" i="5"/>
  <c r="BC10" i="5"/>
  <c r="BB10" i="5"/>
  <c r="BB11" i="5"/>
  <c r="BA10" i="5"/>
  <c r="AY10" i="5"/>
  <c r="AX10" i="5"/>
  <c r="AW10" i="5"/>
  <c r="AV10" i="5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BE153" i="4"/>
  <c r="BE150" i="4"/>
  <c r="CC148" i="4"/>
  <c r="CC150" i="4"/>
  <c r="CB148" i="4"/>
  <c r="CB150" i="4"/>
  <c r="CA148" i="4"/>
  <c r="CA150" i="4"/>
  <c r="BZ148" i="4"/>
  <c r="BZ150" i="4"/>
  <c r="BX148" i="4"/>
  <c r="BX150" i="4"/>
  <c r="BW148" i="4"/>
  <c r="BW150" i="4"/>
  <c r="BV148" i="4"/>
  <c r="BV150" i="4"/>
  <c r="BU148" i="4"/>
  <c r="BU150" i="4"/>
  <c r="BS148" i="4"/>
  <c r="BS150" i="4"/>
  <c r="BR148" i="4"/>
  <c r="BR150" i="4"/>
  <c r="BQ148" i="4"/>
  <c r="BQ150" i="4"/>
  <c r="BP148" i="4"/>
  <c r="BP150" i="4"/>
  <c r="BN148" i="4"/>
  <c r="BN150" i="4"/>
  <c r="BM148" i="4"/>
  <c r="BM150" i="4"/>
  <c r="BL148" i="4"/>
  <c r="BL150" i="4"/>
  <c r="BK148" i="4"/>
  <c r="BK150" i="4"/>
  <c r="AE142" i="4"/>
  <c r="AE108" i="6"/>
  <c r="AD142" i="4"/>
  <c r="AD108" i="6"/>
  <c r="AC142" i="4"/>
  <c r="AC108" i="6"/>
  <c r="AB142" i="4"/>
  <c r="AB108" i="6"/>
  <c r="AA142" i="4"/>
  <c r="AA108" i="6"/>
  <c r="Z142" i="4"/>
  <c r="Z108" i="6"/>
  <c r="Y142" i="4"/>
  <c r="Y108" i="6"/>
  <c r="X142" i="4"/>
  <c r="X108" i="6"/>
  <c r="W142" i="4"/>
  <c r="W108" i="6"/>
  <c r="V142" i="4"/>
  <c r="V108" i="6"/>
  <c r="U142" i="4"/>
  <c r="U108" i="6"/>
  <c r="T142" i="4"/>
  <c r="T108" i="6"/>
  <c r="S142" i="4"/>
  <c r="S108" i="6"/>
  <c r="R142" i="4"/>
  <c r="R108" i="6"/>
  <c r="Q142" i="4"/>
  <c r="Q108" i="6"/>
  <c r="P142" i="4"/>
  <c r="P108" i="6"/>
  <c r="O142" i="4"/>
  <c r="O108" i="6"/>
  <c r="N142" i="4"/>
  <c r="N108" i="6"/>
  <c r="M142" i="4"/>
  <c r="M108" i="6"/>
  <c r="K142" i="4"/>
  <c r="K108" i="6"/>
  <c r="J142" i="4"/>
  <c r="J108" i="6"/>
  <c r="I142" i="4"/>
  <c r="I108" i="6"/>
  <c r="H142" i="4"/>
  <c r="H108" i="6"/>
  <c r="F142" i="4"/>
  <c r="F108" i="6"/>
  <c r="E142" i="4"/>
  <c r="E108" i="6"/>
  <c r="D142" i="4"/>
  <c r="D108" i="6"/>
  <c r="C142" i="4"/>
  <c r="C108" i="6"/>
  <c r="CC137" i="4"/>
  <c r="CC104" i="6"/>
  <c r="CB137" i="4"/>
  <c r="CB104" i="6"/>
  <c r="CA137" i="4"/>
  <c r="CA104" i="6"/>
  <c r="BZ137" i="4"/>
  <c r="BZ104" i="6"/>
  <c r="BX137" i="4"/>
  <c r="BX104" i="6"/>
  <c r="BW137" i="4"/>
  <c r="BW104" i="6"/>
  <c r="BV137" i="4"/>
  <c r="BV104" i="6"/>
  <c r="BU137" i="4"/>
  <c r="BU104" i="6"/>
  <c r="BS137" i="4"/>
  <c r="BS104" i="6"/>
  <c r="BR137" i="4"/>
  <c r="BR104" i="6"/>
  <c r="BQ137" i="4"/>
  <c r="BQ104" i="6"/>
  <c r="BP137" i="4"/>
  <c r="BP104" i="6"/>
  <c r="BN137" i="4"/>
  <c r="BN104" i="6"/>
  <c r="BM137" i="4"/>
  <c r="BM104" i="6"/>
  <c r="BL137" i="4"/>
  <c r="BL104" i="6"/>
  <c r="BK137" i="4"/>
  <c r="BK104" i="6"/>
  <c r="BD137" i="4"/>
  <c r="BD104" i="6"/>
  <c r="BC137" i="4"/>
  <c r="BC104" i="6"/>
  <c r="BB137" i="4"/>
  <c r="BB104" i="6"/>
  <c r="BA137" i="4"/>
  <c r="BA104" i="6"/>
  <c r="AW137" i="4"/>
  <c r="AW104" i="6"/>
  <c r="AP137" i="4"/>
  <c r="AP104" i="6"/>
  <c r="AJ137" i="4"/>
  <c r="AJ104" i="6"/>
  <c r="AI137" i="4"/>
  <c r="AI104" i="6"/>
  <c r="AH137" i="4"/>
  <c r="AH104" i="6"/>
  <c r="AG137" i="4"/>
  <c r="AG104" i="6"/>
  <c r="AE137" i="4"/>
  <c r="AE104" i="6"/>
  <c r="AD137" i="4"/>
  <c r="AD104" i="6"/>
  <c r="AC137" i="4"/>
  <c r="AC104" i="6"/>
  <c r="AB137" i="4"/>
  <c r="AB104" i="6"/>
  <c r="Z137" i="4"/>
  <c r="Z104" i="6"/>
  <c r="Y137" i="4"/>
  <c r="Y104" i="6"/>
  <c r="X137" i="4"/>
  <c r="X104" i="6"/>
  <c r="W137" i="4"/>
  <c r="W104" i="6"/>
  <c r="U137" i="4"/>
  <c r="U104" i="6"/>
  <c r="T137" i="4"/>
  <c r="T104" i="6"/>
  <c r="S137" i="4"/>
  <c r="S104" i="6"/>
  <c r="R137" i="4"/>
  <c r="R104" i="6"/>
  <c r="Q137" i="4"/>
  <c r="Q104" i="6"/>
  <c r="P137" i="4"/>
  <c r="P104" i="6"/>
  <c r="O137" i="4"/>
  <c r="O104" i="6"/>
  <c r="N137" i="4"/>
  <c r="N104" i="6"/>
  <c r="M137" i="4"/>
  <c r="M104" i="6"/>
  <c r="K137" i="4"/>
  <c r="K104" i="6"/>
  <c r="J137" i="4"/>
  <c r="J104" i="6"/>
  <c r="I137" i="4"/>
  <c r="I104" i="6"/>
  <c r="H137" i="4"/>
  <c r="H104" i="6"/>
  <c r="F137" i="4"/>
  <c r="F104" i="6"/>
  <c r="E137" i="4"/>
  <c r="E104" i="6"/>
  <c r="D137" i="4"/>
  <c r="D104" i="6"/>
  <c r="C137" i="4"/>
  <c r="C104" i="6"/>
  <c r="BI136" i="4"/>
  <c r="BH136" i="4"/>
  <c r="BH103" i="6"/>
  <c r="BG136" i="4"/>
  <c r="BG103" i="6"/>
  <c r="BF136" i="4"/>
  <c r="BB136" i="4"/>
  <c r="BJ135" i="4"/>
  <c r="BJ102" i="6"/>
  <c r="BH133" i="4"/>
  <c r="BG133" i="4"/>
  <c r="BG137" i="4"/>
  <c r="BE133" i="4"/>
  <c r="AY133" i="4"/>
  <c r="AX133" i="4"/>
  <c r="AV133" i="4"/>
  <c r="AT133" i="4"/>
  <c r="AS133" i="4"/>
  <c r="AR133" i="4"/>
  <c r="AQ133" i="4"/>
  <c r="AO133" i="4"/>
  <c r="AN133" i="4"/>
  <c r="AM133" i="4"/>
  <c r="AL133" i="4"/>
  <c r="BI132" i="4"/>
  <c r="BH132" i="4"/>
  <c r="BH99" i="6"/>
  <c r="BG132" i="4"/>
  <c r="BG99" i="6"/>
  <c r="BF132" i="4"/>
  <c r="BF99" i="6"/>
  <c r="BD132" i="4"/>
  <c r="BD99" i="6"/>
  <c r="BB132" i="4"/>
  <c r="BA132" i="4"/>
  <c r="BA99" i="6"/>
  <c r="AY132" i="4"/>
  <c r="AY99" i="6"/>
  <c r="AW132" i="4"/>
  <c r="AW99" i="6"/>
  <c r="AV132" i="4"/>
  <c r="AV99" i="6"/>
  <c r="AT132" i="4"/>
  <c r="AT99" i="6"/>
  <c r="AS132" i="4"/>
  <c r="AS99" i="6"/>
  <c r="AR132" i="4"/>
  <c r="AR99" i="6"/>
  <c r="AQ132" i="4"/>
  <c r="AQ99" i="6"/>
  <c r="AO132" i="4"/>
  <c r="AO99" i="6"/>
  <c r="AN132" i="4"/>
  <c r="AN99" i="6"/>
  <c r="AM132" i="4"/>
  <c r="AM99" i="6"/>
  <c r="AL132" i="4"/>
  <c r="AL99" i="6"/>
  <c r="AJ132" i="4"/>
  <c r="AJ99" i="6"/>
  <c r="AI132" i="4"/>
  <c r="AI99" i="6"/>
  <c r="AH132" i="4"/>
  <c r="AH99" i="6"/>
  <c r="AG132" i="4"/>
  <c r="AG99" i="6"/>
  <c r="BJ131" i="4"/>
  <c r="BJ98" i="6"/>
  <c r="AY131" i="4"/>
  <c r="AY98" i="6"/>
  <c r="BD130" i="4"/>
  <c r="BD97" i="6"/>
  <c r="BA130" i="4"/>
  <c r="BA97" i="6"/>
  <c r="BG129" i="4"/>
  <c r="BF129" i="4"/>
  <c r="BE129" i="4"/>
  <c r="AX129" i="4"/>
  <c r="AZ129" i="4"/>
  <c r="AU129" i="4"/>
  <c r="AP129" i="4"/>
  <c r="AK129" i="4"/>
  <c r="AF129" i="4"/>
  <c r="BI128" i="4"/>
  <c r="BI95" i="6"/>
  <c r="BH128" i="4"/>
  <c r="BH95" i="6"/>
  <c r="BG128" i="4"/>
  <c r="BG95" i="6"/>
  <c r="BF128" i="4"/>
  <c r="BB128" i="4"/>
  <c r="BB95" i="6"/>
  <c r="AJ128" i="4"/>
  <c r="AJ95" i="6"/>
  <c r="AI128" i="4"/>
  <c r="AI95" i="6"/>
  <c r="AH128" i="4"/>
  <c r="AH95" i="6"/>
  <c r="AG128" i="4"/>
  <c r="AG95" i="6"/>
  <c r="AE128" i="4"/>
  <c r="AE95" i="6"/>
  <c r="AD128" i="4"/>
  <c r="AD95" i="6"/>
  <c r="AC128" i="4"/>
  <c r="AC95" i="6"/>
  <c r="AB128" i="4"/>
  <c r="AB95" i="6"/>
  <c r="Z128" i="4"/>
  <c r="Z95" i="6"/>
  <c r="Y128" i="4"/>
  <c r="Y95" i="6"/>
  <c r="X128" i="4"/>
  <c r="X95" i="6"/>
  <c r="W128" i="4"/>
  <c r="W95" i="6"/>
  <c r="BJ127" i="4"/>
  <c r="BJ94" i="6"/>
  <c r="BB127" i="4"/>
  <c r="BI125" i="4"/>
  <c r="BG125" i="4"/>
  <c r="BE125" i="4"/>
  <c r="AY125" i="4"/>
  <c r="BD128" i="4"/>
  <c r="AX125" i="4"/>
  <c r="BC128" i="4"/>
  <c r="AV125" i="4"/>
  <c r="AZ125" i="4"/>
  <c r="AT125" i="4"/>
  <c r="AS125" i="4"/>
  <c r="AR125" i="4"/>
  <c r="AQ125" i="4"/>
  <c r="AO125" i="4"/>
  <c r="AN125" i="4"/>
  <c r="AM125" i="4"/>
  <c r="AL125" i="4"/>
  <c r="AL128" i="4"/>
  <c r="AL95" i="6"/>
  <c r="AK125" i="4"/>
  <c r="AF125" i="4"/>
  <c r="AA125" i="4"/>
  <c r="V125" i="4"/>
  <c r="V137" i="4"/>
  <c r="V104" i="6"/>
  <c r="AR121" i="4"/>
  <c r="AR88" i="6"/>
  <c r="AQ121" i="4"/>
  <c r="AQ88" i="6"/>
  <c r="BI120" i="4"/>
  <c r="BI87" i="6"/>
  <c r="BH120" i="4"/>
  <c r="BG120" i="4"/>
  <c r="BG87" i="6"/>
  <c r="BF120" i="4"/>
  <c r="BF87" i="6"/>
  <c r="BD120" i="4"/>
  <c r="BD87" i="6"/>
  <c r="BB120" i="4"/>
  <c r="BB87" i="6"/>
  <c r="BA120" i="4"/>
  <c r="BA87" i="6"/>
  <c r="AY120" i="4"/>
  <c r="AY87" i="6"/>
  <c r="AW120" i="4"/>
  <c r="AW87" i="6"/>
  <c r="AV120" i="4"/>
  <c r="AV87" i="6"/>
  <c r="BJ119" i="4"/>
  <c r="BJ86" i="6"/>
  <c r="BD118" i="4"/>
  <c r="BD85" i="6"/>
  <c r="BA118" i="4"/>
  <c r="BA85" i="6"/>
  <c r="BI117" i="4"/>
  <c r="BG117" i="4"/>
  <c r="BE117" i="4"/>
  <c r="BE120" i="4"/>
  <c r="AX117" i="4"/>
  <c r="AZ117" i="4"/>
  <c r="AZ120" i="4"/>
  <c r="AZ87" i="6"/>
  <c r="AU117" i="4"/>
  <c r="AA117" i="4"/>
  <c r="AA121" i="4"/>
  <c r="AA88" i="6"/>
  <c r="Z117" i="4"/>
  <c r="Y117" i="4"/>
  <c r="X117" i="4"/>
  <c r="X121" i="4"/>
  <c r="X88" i="6"/>
  <c r="W117" i="4"/>
  <c r="W121" i="4"/>
  <c r="W88" i="6"/>
  <c r="V117" i="4"/>
  <c r="U117" i="4"/>
  <c r="T117" i="4"/>
  <c r="T121" i="4"/>
  <c r="T88" i="6"/>
  <c r="S117" i="4"/>
  <c r="S121" i="4"/>
  <c r="S88" i="6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D115" i="4"/>
  <c r="BD82" i="6"/>
  <c r="BC115" i="4"/>
  <c r="BC82" i="6"/>
  <c r="BB115" i="4"/>
  <c r="BB82" i="6"/>
  <c r="BA115" i="4"/>
  <c r="BA82" i="6"/>
  <c r="AW115" i="4"/>
  <c r="AW82" i="6"/>
  <c r="AV115" i="4"/>
  <c r="AV82" i="6"/>
  <c r="BE113" i="4"/>
  <c r="BJ111" i="4"/>
  <c r="BJ79" i="6"/>
  <c r="BT109" i="4"/>
  <c r="BT78" i="6"/>
  <c r="BJ109" i="4"/>
  <c r="BJ78" i="6"/>
  <c r="BJ107" i="4"/>
  <c r="BJ77" i="6"/>
  <c r="BE107" i="4"/>
  <c r="BE77" i="6"/>
  <c r="BS105" i="4"/>
  <c r="BS76" i="6"/>
  <c r="BR105" i="4"/>
  <c r="BR76" i="6"/>
  <c r="BQ105" i="4"/>
  <c r="BQ76" i="6"/>
  <c r="BP105" i="4"/>
  <c r="BP76" i="6"/>
  <c r="BN105" i="4"/>
  <c r="BN76" i="6"/>
  <c r="BM105" i="4"/>
  <c r="BM76" i="6"/>
  <c r="BL105" i="4"/>
  <c r="BL76" i="6"/>
  <c r="BK105" i="4"/>
  <c r="BK76" i="6"/>
  <c r="BI105" i="4"/>
  <c r="BI76" i="6"/>
  <c r="BH105" i="4"/>
  <c r="BH76" i="6"/>
  <c r="BG105" i="4"/>
  <c r="BG76" i="6"/>
  <c r="BF105" i="4"/>
  <c r="BF76" i="6"/>
  <c r="BD105" i="4"/>
  <c r="BD76" i="6"/>
  <c r="BC105" i="4"/>
  <c r="BC76" i="6"/>
  <c r="BB105" i="4"/>
  <c r="BB76" i="6"/>
  <c r="BA105" i="4"/>
  <c r="BA76" i="6"/>
  <c r="BX103" i="4"/>
  <c r="BX75" i="6"/>
  <c r="BW103" i="4"/>
  <c r="BV103" i="4"/>
  <c r="BV75" i="6"/>
  <c r="BU103" i="4"/>
  <c r="BU75" i="6"/>
  <c r="BJ103" i="4"/>
  <c r="BJ75" i="6"/>
  <c r="BE103" i="4"/>
  <c r="BE75" i="6"/>
  <c r="BO101" i="4"/>
  <c r="BO74" i="6"/>
  <c r="BJ101" i="4"/>
  <c r="BJ74" i="6"/>
  <c r="BE101" i="4"/>
  <c r="BE74" i="6"/>
  <c r="BJ99" i="4"/>
  <c r="BJ73" i="6"/>
  <c r="BE99" i="4"/>
  <c r="BE73" i="6"/>
  <c r="BJ97" i="4"/>
  <c r="BJ72" i="6"/>
  <c r="BE97" i="4"/>
  <c r="BE72" i="6"/>
  <c r="CC95" i="4"/>
  <c r="CC71" i="6"/>
  <c r="CB95" i="4"/>
  <c r="CB71" i="6"/>
  <c r="CA95" i="4"/>
  <c r="CA71" i="6"/>
  <c r="BZ95" i="4"/>
  <c r="BZ71" i="6"/>
  <c r="BX95" i="4"/>
  <c r="BX71" i="6"/>
  <c r="BW95" i="4"/>
  <c r="BW71" i="6"/>
  <c r="BV95" i="4"/>
  <c r="BV71" i="6"/>
  <c r="BU95" i="4"/>
  <c r="BU71" i="6"/>
  <c r="BS95" i="4"/>
  <c r="BS71" i="6"/>
  <c r="BR95" i="4"/>
  <c r="BR71" i="6"/>
  <c r="BQ95" i="4"/>
  <c r="BQ71" i="6"/>
  <c r="BP95" i="4"/>
  <c r="BP71" i="6"/>
  <c r="BN95" i="4"/>
  <c r="BN71" i="6"/>
  <c r="BM95" i="4"/>
  <c r="BM71" i="6"/>
  <c r="BL95" i="4"/>
  <c r="BL71" i="6"/>
  <c r="BK95" i="4"/>
  <c r="BK71" i="6"/>
  <c r="BI95" i="4"/>
  <c r="BI71" i="6"/>
  <c r="BH95" i="4"/>
  <c r="BH71" i="6"/>
  <c r="BG95" i="4"/>
  <c r="BG71" i="6"/>
  <c r="BF95" i="4"/>
  <c r="BF71" i="6"/>
  <c r="BE95" i="4"/>
  <c r="BE71" i="6"/>
  <c r="BA95" i="4"/>
  <c r="BA71" i="6"/>
  <c r="BJ93" i="4"/>
  <c r="BJ70" i="6"/>
  <c r="BE93" i="4"/>
  <c r="BE70" i="6"/>
  <c r="BD93" i="4"/>
  <c r="BD70" i="6"/>
  <c r="BC93" i="4"/>
  <c r="BC70" i="6"/>
  <c r="BB93" i="4"/>
  <c r="BB70" i="6"/>
  <c r="BJ92" i="4"/>
  <c r="BE92" i="4"/>
  <c r="BJ91" i="4"/>
  <c r="BJ69" i="6"/>
  <c r="BE91" i="4"/>
  <c r="BE69" i="6"/>
  <c r="BO87" i="4"/>
  <c r="BJ87" i="4"/>
  <c r="BJ84" i="4"/>
  <c r="BE84" i="4"/>
  <c r="BG82" i="4"/>
  <c r="BG60" i="6"/>
  <c r="BD82" i="4"/>
  <c r="BD60" i="6"/>
  <c r="BC82" i="4"/>
  <c r="BC60" i="6"/>
  <c r="BB82" i="4"/>
  <c r="BB60" i="6"/>
  <c r="BA82" i="4"/>
  <c r="BA60" i="6"/>
  <c r="AY82" i="4"/>
  <c r="AY60" i="6"/>
  <c r="AX82" i="4"/>
  <c r="AX60" i="6"/>
  <c r="BI81" i="4"/>
  <c r="BH81" i="4"/>
  <c r="BG81" i="4"/>
  <c r="BF81" i="4"/>
  <c r="BF82" i="4"/>
  <c r="BF60" i="6"/>
  <c r="BE81" i="4"/>
  <c r="AZ81" i="4"/>
  <c r="AZ79" i="4"/>
  <c r="AZ57" i="6"/>
  <c r="BC80" i="4"/>
  <c r="BC58" i="6"/>
  <c r="BJ79" i="4"/>
  <c r="BJ57" i="6"/>
  <c r="BD79" i="4"/>
  <c r="BD57" i="6"/>
  <c r="BC79" i="4"/>
  <c r="BC57" i="6"/>
  <c r="BB79" i="4"/>
  <c r="BA79" i="4"/>
  <c r="BA57" i="6"/>
  <c r="AY79" i="4"/>
  <c r="AY57" i="6"/>
  <c r="AX79" i="4"/>
  <c r="AX57" i="6"/>
  <c r="AW79" i="4"/>
  <c r="AW57" i="6"/>
  <c r="AV79" i="4"/>
  <c r="AV57" i="6"/>
  <c r="BI78" i="4"/>
  <c r="BI56" i="6"/>
  <c r="BH78" i="4"/>
  <c r="BH56" i="6"/>
  <c r="BG78" i="4"/>
  <c r="BG56" i="6"/>
  <c r="BF78" i="4"/>
  <c r="BF56" i="6"/>
  <c r="BD78" i="4"/>
  <c r="BD56" i="6"/>
  <c r="BC78" i="4"/>
  <c r="BC56" i="6"/>
  <c r="BB78" i="4"/>
  <c r="BB56" i="6"/>
  <c r="BA78" i="4"/>
  <c r="BA56" i="6"/>
  <c r="Z78" i="4"/>
  <c r="Z56" i="6"/>
  <c r="Y78" i="4"/>
  <c r="Y56" i="6"/>
  <c r="X78" i="4"/>
  <c r="X56" i="6"/>
  <c r="W78" i="4"/>
  <c r="W56" i="6"/>
  <c r="U78" i="4"/>
  <c r="U56" i="6"/>
  <c r="T78" i="4"/>
  <c r="T56" i="6"/>
  <c r="S78" i="4"/>
  <c r="S56" i="6"/>
  <c r="R78" i="4"/>
  <c r="R56" i="6"/>
  <c r="P78" i="4"/>
  <c r="P56" i="6"/>
  <c r="O78" i="4"/>
  <c r="O56" i="6"/>
  <c r="N78" i="4"/>
  <c r="N56" i="6"/>
  <c r="M78" i="4"/>
  <c r="M56" i="6"/>
  <c r="K78" i="4"/>
  <c r="K56" i="6"/>
  <c r="J78" i="4"/>
  <c r="J56" i="6"/>
  <c r="I78" i="4"/>
  <c r="I56" i="6"/>
  <c r="H78" i="4"/>
  <c r="H56" i="6"/>
  <c r="BJ77" i="4"/>
  <c r="BJ55" i="6"/>
  <c r="BE77" i="4"/>
  <c r="BE55" i="6"/>
  <c r="AZ77" i="4"/>
  <c r="AZ55" i="6"/>
  <c r="AA77" i="4"/>
  <c r="AA55" i="6"/>
  <c r="V77" i="4"/>
  <c r="V55" i="6"/>
  <c r="Q77" i="4"/>
  <c r="Q55" i="6"/>
  <c r="L77" i="4"/>
  <c r="L55" i="6"/>
  <c r="G77" i="4"/>
  <c r="G55" i="6"/>
  <c r="BB74" i="4"/>
  <c r="BB52" i="6"/>
  <c r="BA74" i="4"/>
  <c r="BA52" i="6"/>
  <c r="BE73" i="4"/>
  <c r="AY73" i="4"/>
  <c r="AX73" i="4"/>
  <c r="AX71" i="4"/>
  <c r="AX50" i="6"/>
  <c r="AT73" i="4"/>
  <c r="AT115" i="4"/>
  <c r="AS73" i="4"/>
  <c r="BD71" i="4"/>
  <c r="BD50" i="6"/>
  <c r="BC71" i="4"/>
  <c r="BC50" i="6"/>
  <c r="BB71" i="4"/>
  <c r="BB50" i="6"/>
  <c r="BA71" i="4"/>
  <c r="BA50" i="6"/>
  <c r="AW71" i="4"/>
  <c r="AW50" i="6"/>
  <c r="AV71" i="4"/>
  <c r="AV50" i="6"/>
  <c r="AT71" i="4"/>
  <c r="AT50" i="6"/>
  <c r="BJ69" i="4"/>
  <c r="BJ49" i="6"/>
  <c r="BE69" i="4"/>
  <c r="BE49" i="6"/>
  <c r="BJ67" i="4"/>
  <c r="BE67" i="4"/>
  <c r="BE48" i="6"/>
  <c r="BI66" i="4"/>
  <c r="BH66" i="4"/>
  <c r="BG66" i="4"/>
  <c r="BF66" i="4"/>
  <c r="BD66" i="4"/>
  <c r="BC66" i="4"/>
  <c r="BB66" i="4"/>
  <c r="BA66" i="4"/>
  <c r="AY66" i="4"/>
  <c r="AX66" i="4"/>
  <c r="AW66" i="4"/>
  <c r="AV66" i="4"/>
  <c r="AT66" i="4"/>
  <c r="AS66" i="4"/>
  <c r="AR66" i="4"/>
  <c r="AQ66" i="4"/>
  <c r="AN66" i="4"/>
  <c r="AM66" i="4"/>
  <c r="AL66" i="4"/>
  <c r="AI66" i="4"/>
  <c r="AH66" i="4"/>
  <c r="AE66" i="4"/>
  <c r="AD66" i="4"/>
  <c r="AC66" i="4"/>
  <c r="AB66" i="4"/>
  <c r="BJ65" i="4"/>
  <c r="BJ47" i="6"/>
  <c r="BE65" i="4"/>
  <c r="BE47" i="6"/>
  <c r="AZ65" i="4"/>
  <c r="AZ47" i="6"/>
  <c r="AU65" i="4"/>
  <c r="AU47" i="6"/>
  <c r="AP65" i="4"/>
  <c r="AP47" i="6"/>
  <c r="AJ65" i="4"/>
  <c r="AJ47" i="6"/>
  <c r="AG65" i="4"/>
  <c r="AG47" i="6"/>
  <c r="AF65" i="4"/>
  <c r="AF47" i="6"/>
  <c r="AA65" i="4"/>
  <c r="AA47" i="6"/>
  <c r="V65" i="4"/>
  <c r="V47" i="6"/>
  <c r="Q65" i="4"/>
  <c r="Q47" i="6"/>
  <c r="BI64" i="4"/>
  <c r="BH64" i="4"/>
  <c r="BG64" i="4"/>
  <c r="BF64" i="4"/>
  <c r="BE64" i="4"/>
  <c r="BD64" i="4"/>
  <c r="BC64" i="4"/>
  <c r="AN64" i="4"/>
  <c r="AM64" i="4"/>
  <c r="AI64" i="4"/>
  <c r="AH64" i="4"/>
  <c r="AE64" i="4"/>
  <c r="AD64" i="4"/>
  <c r="AC64" i="4"/>
  <c r="AB64" i="4"/>
  <c r="Z64" i="4"/>
  <c r="Y64" i="4"/>
  <c r="X64" i="4"/>
  <c r="W64" i="4"/>
  <c r="U64" i="4"/>
  <c r="T64" i="4"/>
  <c r="S64" i="4"/>
  <c r="R64" i="4"/>
  <c r="P64" i="4"/>
  <c r="O64" i="4"/>
  <c r="N64" i="4"/>
  <c r="M64" i="4"/>
  <c r="K64" i="4"/>
  <c r="J64" i="4"/>
  <c r="I64" i="4"/>
  <c r="H64" i="4"/>
  <c r="BJ63" i="4"/>
  <c r="BJ46" i="6"/>
  <c r="BE63" i="4"/>
  <c r="BE46" i="6"/>
  <c r="AZ63" i="4"/>
  <c r="AZ46" i="6"/>
  <c r="AU63" i="4"/>
  <c r="AU46" i="6"/>
  <c r="AP63" i="4"/>
  <c r="AP46" i="6"/>
  <c r="AG63" i="4"/>
  <c r="AG46" i="6"/>
  <c r="AF63" i="4"/>
  <c r="AF46" i="6"/>
  <c r="AA63" i="4"/>
  <c r="AA46" i="6"/>
  <c r="V63" i="4"/>
  <c r="V46" i="6"/>
  <c r="Q63" i="4"/>
  <c r="Q46" i="6"/>
  <c r="L63" i="4"/>
  <c r="L46" i="6"/>
  <c r="G63" i="4"/>
  <c r="G46" i="6"/>
  <c r="BI60" i="4"/>
  <c r="BI43" i="6"/>
  <c r="BH60" i="4"/>
  <c r="BH43" i="6"/>
  <c r="BG60" i="4"/>
  <c r="BG43" i="6"/>
  <c r="BF60" i="4"/>
  <c r="BF43" i="6"/>
  <c r="BD60" i="4"/>
  <c r="BD43" i="6"/>
  <c r="BC60" i="4"/>
  <c r="BC43" i="6"/>
  <c r="BB60" i="4"/>
  <c r="BB43" i="6"/>
  <c r="BA60" i="4"/>
  <c r="BA43" i="6"/>
  <c r="AY60" i="4"/>
  <c r="AY43" i="6"/>
  <c r="AX60" i="4"/>
  <c r="AX43" i="6"/>
  <c r="BJ59" i="4"/>
  <c r="BE59" i="4"/>
  <c r="AZ59" i="4"/>
  <c r="BI57" i="4"/>
  <c r="BI40" i="6"/>
  <c r="BH57" i="4"/>
  <c r="BH40" i="6"/>
  <c r="BG57" i="4"/>
  <c r="BG40" i="6"/>
  <c r="BF57" i="4"/>
  <c r="BF40" i="6"/>
  <c r="BD57" i="4"/>
  <c r="BD40" i="6"/>
  <c r="BC57" i="4"/>
  <c r="BC40" i="6"/>
  <c r="BB57" i="4"/>
  <c r="BB40" i="6"/>
  <c r="BA57" i="4"/>
  <c r="BA40" i="6"/>
  <c r="AY57" i="4"/>
  <c r="AY40" i="6"/>
  <c r="AX57" i="4"/>
  <c r="AX40" i="6"/>
  <c r="BJ56" i="4"/>
  <c r="BE56" i="4"/>
  <c r="AZ56" i="4"/>
  <c r="BD54" i="4"/>
  <c r="BD37" i="6"/>
  <c r="BC54" i="4"/>
  <c r="BC37" i="6"/>
  <c r="BB54" i="4"/>
  <c r="BB37" i="6"/>
  <c r="BA54" i="4"/>
  <c r="BA37" i="6"/>
  <c r="AY54" i="4"/>
  <c r="AY37" i="6"/>
  <c r="AX54" i="4"/>
  <c r="AX37" i="6"/>
  <c r="CC53" i="4"/>
  <c r="CB53" i="4"/>
  <c r="CA53" i="4"/>
  <c r="BZ53" i="4"/>
  <c r="BX53" i="4"/>
  <c r="BW53" i="4"/>
  <c r="BV53" i="4"/>
  <c r="BU53" i="4"/>
  <c r="BS53" i="4"/>
  <c r="BR53" i="4"/>
  <c r="BQ53" i="4"/>
  <c r="BP53" i="4"/>
  <c r="BN53" i="4"/>
  <c r="BM53" i="4"/>
  <c r="BL53" i="4"/>
  <c r="BK53" i="4"/>
  <c r="BI53" i="4"/>
  <c r="BI54" i="4"/>
  <c r="BI37" i="6"/>
  <c r="BH53" i="4"/>
  <c r="BH54" i="4"/>
  <c r="BH37" i="6"/>
  <c r="BG53" i="4"/>
  <c r="BF53" i="4"/>
  <c r="BE53" i="4"/>
  <c r="BE54" i="4"/>
  <c r="BE37" i="6"/>
  <c r="AZ53" i="4"/>
  <c r="BI52" i="4"/>
  <c r="BJ51" i="4"/>
  <c r="BD51" i="4"/>
  <c r="BD35" i="6"/>
  <c r="BC51" i="4"/>
  <c r="BC35" i="6"/>
  <c r="BB51" i="4"/>
  <c r="BB35" i="6"/>
  <c r="BA51" i="4"/>
  <c r="AY51" i="4"/>
  <c r="AY35" i="6"/>
  <c r="AX51" i="4"/>
  <c r="AX35" i="6"/>
  <c r="AW51" i="4"/>
  <c r="AW35" i="6"/>
  <c r="AV51" i="4"/>
  <c r="AV35" i="6"/>
  <c r="CD50" i="4"/>
  <c r="BY50" i="4"/>
  <c r="BT50" i="4"/>
  <c r="BJ49" i="4"/>
  <c r="BJ34" i="6"/>
  <c r="BI48" i="4"/>
  <c r="BH48" i="4"/>
  <c r="BG48" i="4"/>
  <c r="BF48" i="4"/>
  <c r="BD48" i="4"/>
  <c r="BC48" i="4"/>
  <c r="BB48" i="4"/>
  <c r="BA48" i="4"/>
  <c r="BJ47" i="4"/>
  <c r="BJ33" i="6"/>
  <c r="BE47" i="4"/>
  <c r="BE33" i="6"/>
  <c r="AZ47" i="4"/>
  <c r="AZ33" i="6"/>
  <c r="BI44" i="4"/>
  <c r="BI30" i="6"/>
  <c r="BD44" i="4"/>
  <c r="BD30" i="6"/>
  <c r="BC44" i="4"/>
  <c r="BC30" i="6"/>
  <c r="BB44" i="4"/>
  <c r="BB30" i="6"/>
  <c r="BA44" i="4"/>
  <c r="BA30" i="6"/>
  <c r="AY44" i="4"/>
  <c r="AY30" i="6"/>
  <c r="AX44" i="4"/>
  <c r="AX30" i="6"/>
  <c r="BI43" i="4"/>
  <c r="BH43" i="4"/>
  <c r="BH44" i="4"/>
  <c r="BH30" i="6"/>
  <c r="BG43" i="4"/>
  <c r="BF43" i="4"/>
  <c r="BE43" i="4"/>
  <c r="AZ43" i="4"/>
  <c r="BE44" i="4"/>
  <c r="BE30" i="6"/>
  <c r="BJ41" i="4"/>
  <c r="BJ28" i="6"/>
  <c r="BD41" i="4"/>
  <c r="BD28" i="6"/>
  <c r="BC41" i="4"/>
  <c r="BC28" i="6"/>
  <c r="BB41" i="4"/>
  <c r="BB28" i="6"/>
  <c r="BA41" i="4"/>
  <c r="BA28" i="6"/>
  <c r="AY41" i="4"/>
  <c r="AY28" i="6"/>
  <c r="AX41" i="4"/>
  <c r="AX28" i="6"/>
  <c r="AW41" i="4"/>
  <c r="AW28" i="6"/>
  <c r="AV41" i="4"/>
  <c r="AV28" i="6"/>
  <c r="CD40" i="4"/>
  <c r="BY40" i="4"/>
  <c r="BT40" i="4"/>
  <c r="BJ39" i="4"/>
  <c r="BJ27" i="6"/>
  <c r="BI38" i="4"/>
  <c r="BH38" i="4"/>
  <c r="BG38" i="4"/>
  <c r="BF38" i="4"/>
  <c r="BD38" i="4"/>
  <c r="BC38" i="4"/>
  <c r="BB38" i="4"/>
  <c r="BA38" i="4"/>
  <c r="BO37" i="4"/>
  <c r="BO26" i="6"/>
  <c r="BJ37" i="4"/>
  <c r="BJ26" i="6"/>
  <c r="BE37" i="4"/>
  <c r="BE26" i="6"/>
  <c r="AZ37" i="4"/>
  <c r="AZ26" i="6"/>
  <c r="BI36" i="4"/>
  <c r="BH36" i="4"/>
  <c r="BG36" i="4"/>
  <c r="BF36" i="4"/>
  <c r="BD36" i="4"/>
  <c r="BC36" i="4"/>
  <c r="BB36" i="4"/>
  <c r="BA36" i="4"/>
  <c r="BJ35" i="4"/>
  <c r="BJ25" i="6"/>
  <c r="BE35" i="4"/>
  <c r="BE25" i="6"/>
  <c r="AZ35" i="4"/>
  <c r="AZ25" i="6"/>
  <c r="BI34" i="4"/>
  <c r="BH34" i="4"/>
  <c r="BG34" i="4"/>
  <c r="BF34" i="4"/>
  <c r="BD34" i="4"/>
  <c r="BC34" i="4"/>
  <c r="BB34" i="4"/>
  <c r="BA34" i="4"/>
  <c r="BJ33" i="4"/>
  <c r="BJ24" i="6"/>
  <c r="BE33" i="4"/>
  <c r="BE24" i="6"/>
  <c r="AZ33" i="4"/>
  <c r="AZ24" i="6"/>
  <c r="BI32" i="4"/>
  <c r="BH32" i="4"/>
  <c r="BG32" i="4"/>
  <c r="BF32" i="4"/>
  <c r="BE32" i="4"/>
  <c r="BD32" i="4"/>
  <c r="BC32" i="4"/>
  <c r="BB32" i="4"/>
  <c r="BA32" i="4"/>
  <c r="BJ31" i="4"/>
  <c r="BJ23" i="6"/>
  <c r="BE31" i="4"/>
  <c r="BE23" i="6"/>
  <c r="AZ31" i="4"/>
  <c r="AZ23" i="6"/>
  <c r="BD28" i="4"/>
  <c r="BD20" i="6"/>
  <c r="BC28" i="4"/>
  <c r="BC20" i="6"/>
  <c r="BB28" i="4"/>
  <c r="BB20" i="6"/>
  <c r="BA28" i="4"/>
  <c r="BA20" i="6"/>
  <c r="AY28" i="4"/>
  <c r="AY20" i="6"/>
  <c r="AX28" i="4"/>
  <c r="AX20" i="6"/>
  <c r="BE27" i="4"/>
  <c r="AZ27" i="4"/>
  <c r="BD25" i="4"/>
  <c r="BD18" i="6"/>
  <c r="BC25" i="4"/>
  <c r="BC18" i="6"/>
  <c r="BB25" i="4"/>
  <c r="BB18" i="6"/>
  <c r="BA25" i="4"/>
  <c r="BA18" i="6"/>
  <c r="AY25" i="4"/>
  <c r="AY18" i="6"/>
  <c r="AX25" i="4"/>
  <c r="AX18" i="6"/>
  <c r="AW25" i="4"/>
  <c r="AW18" i="6"/>
  <c r="AV25" i="4"/>
  <c r="AV18" i="6"/>
  <c r="AT25" i="4"/>
  <c r="AT18" i="6"/>
  <c r="AS25" i="4"/>
  <c r="AS18" i="6"/>
  <c r="BJ23" i="4"/>
  <c r="BJ17" i="6"/>
  <c r="BE23" i="4"/>
  <c r="BE17" i="6"/>
  <c r="CD22" i="4"/>
  <c r="BY22" i="4"/>
  <c r="BT22" i="4"/>
  <c r="BJ21" i="4"/>
  <c r="BJ16" i="6"/>
  <c r="BE21" i="4"/>
  <c r="BE16" i="6"/>
  <c r="CD20" i="4"/>
  <c r="BY20" i="4"/>
  <c r="BT20" i="4"/>
  <c r="BJ19" i="4"/>
  <c r="BJ15" i="6"/>
  <c r="BE19" i="4"/>
  <c r="BE15" i="6"/>
  <c r="CD18" i="4"/>
  <c r="BY18" i="4"/>
  <c r="BT18" i="4"/>
  <c r="BI18" i="4"/>
  <c r="BH18" i="4"/>
  <c r="BG18" i="4"/>
  <c r="BF18" i="4"/>
  <c r="BD18" i="4"/>
  <c r="BC18" i="4"/>
  <c r="BB18" i="4"/>
  <c r="BJ17" i="4"/>
  <c r="BJ14" i="6"/>
  <c r="BE17" i="4"/>
  <c r="BE14" i="6"/>
  <c r="AZ17" i="4"/>
  <c r="AZ14" i="6"/>
  <c r="CD16" i="4"/>
  <c r="BY16" i="4"/>
  <c r="BT16" i="4"/>
  <c r="BO16" i="4"/>
  <c r="BI16" i="4"/>
  <c r="BH16" i="4"/>
  <c r="BG16" i="4"/>
  <c r="BF16" i="4"/>
  <c r="BD16" i="4"/>
  <c r="BC16" i="4"/>
  <c r="BJ15" i="4"/>
  <c r="BJ13" i="6"/>
  <c r="BE15" i="4"/>
  <c r="BE13" i="6"/>
  <c r="AZ15" i="4"/>
  <c r="AZ13" i="6"/>
  <c r="AU15" i="4"/>
  <c r="AU13" i="6"/>
  <c r="BI14" i="4"/>
  <c r="BH14" i="4"/>
  <c r="BG14" i="4"/>
  <c r="BF14" i="4"/>
  <c r="BD14" i="4"/>
  <c r="BC14" i="4"/>
  <c r="BB14" i="4"/>
  <c r="BA14" i="4"/>
  <c r="BJ13" i="4"/>
  <c r="BJ12" i="6"/>
  <c r="BE13" i="4"/>
  <c r="BE12" i="6"/>
  <c r="AZ13" i="4"/>
  <c r="AZ12" i="6"/>
  <c r="BI12" i="4"/>
  <c r="BH12" i="4"/>
  <c r="BG12" i="4"/>
  <c r="BF12" i="4"/>
  <c r="BD12" i="4"/>
  <c r="BC12" i="4"/>
  <c r="BB12" i="4"/>
  <c r="BA12" i="4"/>
  <c r="AY12" i="4"/>
  <c r="AX12" i="4"/>
  <c r="AW12" i="4"/>
  <c r="AV12" i="4"/>
  <c r="BJ11" i="4"/>
  <c r="BJ11" i="6"/>
  <c r="BE11" i="4"/>
  <c r="BE11" i="6"/>
  <c r="AZ11" i="4"/>
  <c r="AZ11" i="6"/>
  <c r="AU11" i="4"/>
  <c r="AU11" i="6"/>
  <c r="AP11" i="4"/>
  <c r="AP11" i="6"/>
  <c r="CC118" i="3"/>
  <c r="CB118" i="3"/>
  <c r="CA118" i="3"/>
  <c r="BZ118" i="3"/>
  <c r="BX118" i="3"/>
  <c r="BW118" i="3"/>
  <c r="BV118" i="3"/>
  <c r="BU118" i="3"/>
  <c r="BS118" i="3"/>
  <c r="BR118" i="3"/>
  <c r="BQ118" i="3"/>
  <c r="BP118" i="3"/>
  <c r="BN118" i="3"/>
  <c r="BM118" i="3"/>
  <c r="BL118" i="3"/>
  <c r="BK118" i="3"/>
  <c r="AE118" i="3"/>
  <c r="CC117" i="3"/>
  <c r="CC121" i="3"/>
  <c r="CB117" i="3"/>
  <c r="CA117" i="3"/>
  <c r="BZ117" i="3"/>
  <c r="BX117" i="3"/>
  <c r="BX121" i="3"/>
  <c r="BW117" i="3"/>
  <c r="BV117" i="3"/>
  <c r="BU117" i="3"/>
  <c r="BS117" i="3"/>
  <c r="BS121" i="3"/>
  <c r="BR117" i="3"/>
  <c r="BQ117" i="3"/>
  <c r="BP117" i="3"/>
  <c r="BN117" i="3"/>
  <c r="BM117" i="3"/>
  <c r="BL117" i="3"/>
  <c r="BK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BI115" i="3"/>
  <c r="BH115" i="3"/>
  <c r="BG115" i="3"/>
  <c r="BF115" i="3"/>
  <c r="BA115" i="3"/>
  <c r="CD114" i="3"/>
  <c r="BY114" i="3"/>
  <c r="BT114" i="3"/>
  <c r="BO114" i="3"/>
  <c r="BJ114" i="3"/>
  <c r="BI114" i="3"/>
  <c r="BI120" i="3"/>
  <c r="BH114" i="3"/>
  <c r="BG114" i="3"/>
  <c r="BF114" i="3"/>
  <c r="BF120" i="3"/>
  <c r="BD114" i="3"/>
  <c r="BC114" i="3"/>
  <c r="BB114" i="3"/>
  <c r="BA114" i="3"/>
  <c r="BE112" i="3"/>
  <c r="CD111" i="3"/>
  <c r="BY111" i="3"/>
  <c r="BT111" i="3"/>
  <c r="BO111" i="3"/>
  <c r="BJ111" i="3"/>
  <c r="BD111" i="3"/>
  <c r="BC111" i="3"/>
  <c r="BB111" i="3"/>
  <c r="BE110" i="3"/>
  <c r="BE108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D107" i="3"/>
  <c r="BC107" i="3"/>
  <c r="BB107" i="3"/>
  <c r="BE106" i="3"/>
  <c r="BJ103" i="3"/>
  <c r="BJ102" i="3"/>
  <c r="BE103" i="3"/>
  <c r="BD102" i="3"/>
  <c r="BC102" i="3"/>
  <c r="BB102" i="3"/>
  <c r="BB115" i="3"/>
  <c r="CC101" i="3"/>
  <c r="CC102" i="3"/>
  <c r="CB101" i="3"/>
  <c r="CB102" i="3"/>
  <c r="CB115" i="3"/>
  <c r="CA101" i="3"/>
  <c r="CA114" i="3"/>
  <c r="BZ101" i="3"/>
  <c r="BZ114" i="3"/>
  <c r="BX101" i="3"/>
  <c r="BW101" i="3"/>
  <c r="BW114" i="3"/>
  <c r="BV101" i="3"/>
  <c r="BU101" i="3"/>
  <c r="BU102" i="3"/>
  <c r="BU115" i="3"/>
  <c r="BS101" i="3"/>
  <c r="BS114" i="3"/>
  <c r="BR101" i="3"/>
  <c r="BR114" i="3"/>
  <c r="BQ101" i="3"/>
  <c r="BQ102" i="3"/>
  <c r="BP101" i="3"/>
  <c r="BP102" i="3"/>
  <c r="BP115" i="3"/>
  <c r="BN101" i="3"/>
  <c r="BM101" i="3"/>
  <c r="BM102" i="3"/>
  <c r="BL101" i="3"/>
  <c r="BK101" i="3"/>
  <c r="BK114" i="3"/>
  <c r="BE101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BE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BE98" i="3"/>
  <c r="BE114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CC96" i="3"/>
  <c r="CB96" i="3"/>
  <c r="CA96" i="3"/>
  <c r="BZ96" i="3"/>
  <c r="BX96" i="3"/>
  <c r="BW96" i="3"/>
  <c r="BV96" i="3"/>
  <c r="BU96" i="3"/>
  <c r="BS96" i="3"/>
  <c r="BR96" i="3"/>
  <c r="BQ96" i="3"/>
  <c r="BP96" i="3"/>
  <c r="CD93" i="3"/>
  <c r="BY93" i="3"/>
  <c r="BT93" i="3"/>
  <c r="BO93" i="3"/>
  <c r="AZ93" i="3"/>
  <c r="AU93" i="3"/>
  <c r="AY89" i="3"/>
  <c r="AX89" i="3"/>
  <c r="AW89" i="3"/>
  <c r="AV89" i="3"/>
  <c r="AT89" i="3"/>
  <c r="AS89" i="3"/>
  <c r="AZ88" i="3"/>
  <c r="AU88" i="3"/>
  <c r="AZ87" i="3"/>
  <c r="AU87" i="3"/>
  <c r="AZ86" i="3"/>
  <c r="AU86" i="3"/>
  <c r="AZ85" i="3"/>
  <c r="AU85" i="3"/>
  <c r="BE84" i="3"/>
  <c r="BE85" i="3"/>
  <c r="AU81" i="3"/>
  <c r="AU82" i="3"/>
  <c r="AU80" i="3"/>
  <c r="AU78" i="3"/>
  <c r="AU77" i="3"/>
  <c r="AT75" i="3"/>
  <c r="AT73" i="3"/>
  <c r="R65" i="3"/>
  <c r="P65" i="3"/>
  <c r="O65" i="3"/>
  <c r="N65" i="3"/>
  <c r="M65" i="3"/>
  <c r="K65" i="3"/>
  <c r="J65" i="3"/>
  <c r="I65" i="3"/>
  <c r="H65" i="3"/>
  <c r="U64" i="3"/>
  <c r="T64" i="3"/>
  <c r="S64" i="3"/>
  <c r="P64" i="3"/>
  <c r="O64" i="3"/>
  <c r="N64" i="3"/>
  <c r="M64" i="3"/>
  <c r="K64" i="3"/>
  <c r="J64" i="3"/>
  <c r="I64" i="3"/>
  <c r="H64" i="3"/>
  <c r="AH62" i="3"/>
  <c r="AE62" i="3"/>
  <c r="AD62" i="3"/>
  <c r="AC62" i="3"/>
  <c r="AB62" i="3"/>
  <c r="Z62" i="3"/>
  <c r="Y62" i="3"/>
  <c r="X62" i="3"/>
  <c r="W62" i="3"/>
  <c r="U62" i="3"/>
  <c r="T62" i="3"/>
  <c r="S62" i="3"/>
  <c r="R62" i="3"/>
  <c r="P62" i="3"/>
  <c r="O62" i="3"/>
  <c r="N62" i="3"/>
  <c r="M62" i="3"/>
  <c r="K62" i="3"/>
  <c r="J62" i="3"/>
  <c r="I62" i="3"/>
  <c r="H62" i="3"/>
  <c r="AD55" i="3"/>
  <c r="AC55" i="3"/>
  <c r="R55" i="3"/>
  <c r="P55" i="3"/>
  <c r="O55" i="3"/>
  <c r="N55" i="3"/>
  <c r="M55" i="3"/>
  <c r="K55" i="3"/>
  <c r="J55" i="3"/>
  <c r="I55" i="3"/>
  <c r="H55" i="3"/>
  <c r="F55" i="3"/>
  <c r="E55" i="3"/>
  <c r="D55" i="3"/>
  <c r="C55" i="3"/>
  <c r="AD54" i="3"/>
  <c r="W54" i="3"/>
  <c r="U54" i="3"/>
  <c r="T54" i="3"/>
  <c r="S54" i="3"/>
  <c r="P54" i="3"/>
  <c r="O54" i="3"/>
  <c r="N54" i="3"/>
  <c r="M54" i="3"/>
  <c r="K54" i="3"/>
  <c r="J54" i="3"/>
  <c r="I54" i="3"/>
  <c r="H54" i="3"/>
  <c r="F54" i="3"/>
  <c r="E54" i="3"/>
  <c r="D54" i="3"/>
  <c r="C54" i="3"/>
  <c r="CC47" i="3"/>
  <c r="CB47" i="3"/>
  <c r="CA47" i="3"/>
  <c r="BZ47" i="3"/>
  <c r="BX47" i="3"/>
  <c r="BW47" i="3"/>
  <c r="BV47" i="3"/>
  <c r="BU47" i="3"/>
  <c r="BS47" i="3"/>
  <c r="BR47" i="3"/>
  <c r="BQ47" i="3"/>
  <c r="BP47" i="3"/>
  <c r="BN47" i="3"/>
  <c r="BM47" i="3"/>
  <c r="BL47" i="3"/>
  <c r="BK47" i="3"/>
  <c r="CC44" i="3"/>
  <c r="CB44" i="3"/>
  <c r="CA44" i="3"/>
  <c r="BZ44" i="3"/>
  <c r="BX44" i="3"/>
  <c r="BW44" i="3"/>
  <c r="BV44" i="3"/>
  <c r="BU44" i="3"/>
  <c r="BS44" i="3"/>
  <c r="BR44" i="3"/>
  <c r="BQ44" i="3"/>
  <c r="BP44" i="3"/>
  <c r="BN44" i="3"/>
  <c r="BM44" i="3"/>
  <c r="BL44" i="3"/>
  <c r="BK44" i="3"/>
  <c r="AK39" i="3"/>
  <c r="AK37" i="3"/>
  <c r="CD36" i="3"/>
  <c r="AH36" i="3"/>
  <c r="AG36" i="3"/>
  <c r="AA36" i="3"/>
  <c r="BE33" i="3"/>
  <c r="AQ98" i="8"/>
  <c r="AY33" i="3"/>
  <c r="AK98" i="8"/>
  <c r="AX33" i="3"/>
  <c r="AJ98" i="8"/>
  <c r="AP33" i="3"/>
  <c r="AB98" i="8"/>
  <c r="AK33" i="3"/>
  <c r="W98" i="8"/>
  <c r="AF33" i="3"/>
  <c r="R98" i="8"/>
  <c r="AA33" i="3"/>
  <c r="M98" i="8"/>
  <c r="CC32" i="3"/>
  <c r="CB32" i="3"/>
  <c r="CA32" i="3"/>
  <c r="BZ32" i="3"/>
  <c r="BS32" i="3"/>
  <c r="BR32" i="3"/>
  <c r="BQ32" i="3"/>
  <c r="BP32" i="3"/>
  <c r="BE29" i="3"/>
  <c r="AY29" i="3"/>
  <c r="AV29" i="3"/>
  <c r="AU29" i="3"/>
  <c r="BD27" i="3"/>
  <c r="BC27" i="3"/>
  <c r="BB27" i="3"/>
  <c r="BA27" i="3"/>
  <c r="AY27" i="3"/>
  <c r="AX27" i="3"/>
  <c r="AW27" i="3"/>
  <c r="AV27" i="3"/>
  <c r="AT27" i="3"/>
  <c r="AS27" i="3"/>
  <c r="AR27" i="3"/>
  <c r="AQ27" i="3"/>
  <c r="AO27" i="3"/>
  <c r="AN27" i="3"/>
  <c r="AM27" i="3"/>
  <c r="AL27" i="3"/>
  <c r="AJ27" i="3"/>
  <c r="AI27" i="3"/>
  <c r="AH27" i="3"/>
  <c r="AG27" i="3"/>
  <c r="AE27" i="3"/>
  <c r="AB27" i="3"/>
  <c r="AF27" i="3"/>
  <c r="AA27" i="3"/>
  <c r="V27" i="3"/>
  <c r="U27" i="3"/>
  <c r="Q27" i="3"/>
  <c r="L27" i="3"/>
  <c r="G27" i="3"/>
  <c r="BD24" i="3"/>
  <c r="BC24" i="3"/>
  <c r="BB24" i="3"/>
  <c r="BA24" i="3"/>
  <c r="AY24" i="3"/>
  <c r="AX24" i="3"/>
  <c r="AW24" i="3"/>
  <c r="AV24" i="3"/>
  <c r="AT24" i="3"/>
  <c r="AS24" i="3"/>
  <c r="AR24" i="3"/>
  <c r="AQ24" i="3"/>
  <c r="AO24" i="3"/>
  <c r="AN24" i="3"/>
  <c r="AM24" i="3"/>
  <c r="AL24" i="3"/>
  <c r="AJ24" i="3"/>
  <c r="AI24" i="3"/>
  <c r="AG24" i="3"/>
  <c r="AE24" i="3"/>
  <c r="AD24" i="3"/>
  <c r="AB24" i="3"/>
  <c r="AF24" i="3"/>
  <c r="X24" i="3"/>
  <c r="W24" i="3"/>
  <c r="U24" i="3"/>
  <c r="T24" i="3"/>
  <c r="S24" i="3"/>
  <c r="R24" i="3"/>
  <c r="P24" i="3"/>
  <c r="O24" i="3"/>
  <c r="N24" i="3"/>
  <c r="M24" i="3"/>
  <c r="K24" i="3"/>
  <c r="J24" i="3"/>
  <c r="I24" i="3"/>
  <c r="H24" i="3"/>
  <c r="F24" i="3"/>
  <c r="E24" i="3"/>
  <c r="D24" i="3"/>
  <c r="C24" i="3"/>
  <c r="CD23" i="3"/>
  <c r="BY23" i="3"/>
  <c r="BT23" i="3"/>
  <c r="BO23" i="3"/>
  <c r="BI23" i="3"/>
  <c r="BH23" i="3"/>
  <c r="BG23" i="3"/>
  <c r="BF23" i="3"/>
  <c r="BD23" i="3"/>
  <c r="BC23" i="3"/>
  <c r="BB23" i="3"/>
  <c r="BA23" i="3"/>
  <c r="AY23" i="3"/>
  <c r="AX23" i="3"/>
  <c r="AW23" i="3"/>
  <c r="AV23" i="3"/>
  <c r="AT23" i="3"/>
  <c r="AS23" i="3"/>
  <c r="AR23" i="3"/>
  <c r="AQ23" i="3"/>
  <c r="AO23" i="3"/>
  <c r="AN23" i="3"/>
  <c r="AM23" i="3"/>
  <c r="AL23" i="3"/>
  <c r="AJ23" i="3"/>
  <c r="AI23" i="3"/>
  <c r="AH23" i="3"/>
  <c r="AG23" i="3"/>
  <c r="AB23" i="3"/>
  <c r="X23" i="3"/>
  <c r="AA23" i="3"/>
  <c r="V23" i="3"/>
  <c r="Q23" i="3"/>
  <c r="L23" i="3"/>
  <c r="G23" i="3"/>
  <c r="BJ22" i="3"/>
  <c r="BE22" i="3"/>
  <c r="AZ22" i="3"/>
  <c r="AR22" i="3"/>
  <c r="AU22" i="3"/>
  <c r="AO22" i="3"/>
  <c r="AP22" i="3"/>
  <c r="AJ22" i="3"/>
  <c r="AK22" i="3"/>
  <c r="AE22" i="3"/>
  <c r="AF22" i="3"/>
  <c r="W22" i="3"/>
  <c r="AA22" i="3"/>
  <c r="U22" i="3"/>
  <c r="T22" i="3"/>
  <c r="S22" i="3"/>
  <c r="R22" i="3"/>
  <c r="P22" i="3"/>
  <c r="O22" i="3"/>
  <c r="N22" i="3"/>
  <c r="M22" i="3"/>
  <c r="K22" i="3"/>
  <c r="J22" i="3"/>
  <c r="I22" i="3"/>
  <c r="H22" i="3"/>
  <c r="F22" i="3"/>
  <c r="E22" i="3"/>
  <c r="D22" i="3"/>
  <c r="C22" i="3"/>
  <c r="AD17" i="3"/>
  <c r="P17" i="3"/>
  <c r="O17" i="3"/>
  <c r="N17" i="3"/>
  <c r="K17" i="3"/>
  <c r="J17" i="3"/>
  <c r="F17" i="3"/>
  <c r="D17" i="3"/>
  <c r="G17" i="3"/>
  <c r="AN16" i="3"/>
  <c r="AM16" i="3"/>
  <c r="AJ16" i="3"/>
  <c r="V104" i="8"/>
  <c r="AI16" i="3"/>
  <c r="U104" i="8"/>
  <c r="AF16" i="3"/>
  <c r="AA16" i="3"/>
  <c r="V16" i="3"/>
  <c r="Q16" i="3"/>
  <c r="L16" i="3"/>
  <c r="G16" i="3"/>
  <c r="BD15" i="3"/>
  <c r="BD118" i="3"/>
  <c r="BC15" i="3"/>
  <c r="BC118" i="3"/>
  <c r="BB15" i="3"/>
  <c r="BB118" i="3"/>
  <c r="BA15" i="3"/>
  <c r="BA118" i="3"/>
  <c r="AY15" i="3"/>
  <c r="AX15" i="3"/>
  <c r="AW15" i="3"/>
  <c r="AV15" i="3"/>
  <c r="AT15" i="3"/>
  <c r="AS15" i="3"/>
  <c r="AR15" i="3"/>
  <c r="AQ15" i="3"/>
  <c r="AO15" i="3"/>
  <c r="AN15" i="3"/>
  <c r="AM15" i="3"/>
  <c r="AL15" i="3"/>
  <c r="AJ15" i="3"/>
  <c r="AI15" i="3"/>
  <c r="AI65" i="3"/>
  <c r="AH15" i="3"/>
  <c r="AH65" i="3"/>
  <c r="AG15" i="3"/>
  <c r="AE15" i="3"/>
  <c r="AB15" i="3"/>
  <c r="Z15" i="3"/>
  <c r="Y15" i="3"/>
  <c r="AD65" i="3"/>
  <c r="X15" i="3"/>
  <c r="AC65" i="3"/>
  <c r="W15" i="3"/>
  <c r="W65" i="3"/>
  <c r="U15" i="3"/>
  <c r="U65" i="3"/>
  <c r="T15" i="3"/>
  <c r="T65" i="3"/>
  <c r="S15" i="3"/>
  <c r="S65" i="3"/>
  <c r="Q15" i="3"/>
  <c r="Q65" i="3"/>
  <c r="L15" i="3"/>
  <c r="G15" i="3"/>
  <c r="BD14" i="3"/>
  <c r="BD117" i="3"/>
  <c r="BD121" i="3"/>
  <c r="BC14" i="3"/>
  <c r="BC117" i="3"/>
  <c r="BC121" i="3"/>
  <c r="BB14" i="3"/>
  <c r="BB117" i="3"/>
  <c r="BA14" i="3"/>
  <c r="BA117" i="3"/>
  <c r="BA121" i="3"/>
  <c r="AY14" i="3"/>
  <c r="AX14" i="3"/>
  <c r="AW14" i="3"/>
  <c r="AV14" i="3"/>
  <c r="AT14" i="3"/>
  <c r="AS14" i="3"/>
  <c r="AR14" i="3"/>
  <c r="AR54" i="3"/>
  <c r="AQ14" i="3"/>
  <c r="AO14" i="3"/>
  <c r="AN14" i="3"/>
  <c r="AM14" i="3"/>
  <c r="AL14" i="3"/>
  <c r="AJ14" i="3"/>
  <c r="AI14" i="3"/>
  <c r="AH14" i="3"/>
  <c r="AG14" i="3"/>
  <c r="AE14" i="3"/>
  <c r="AE54" i="3"/>
  <c r="AC14" i="3"/>
  <c r="AB14" i="3"/>
  <c r="AB54" i="3"/>
  <c r="Z14" i="3"/>
  <c r="Z64" i="3"/>
  <c r="Y14" i="3"/>
  <c r="AD64" i="3"/>
  <c r="X14" i="3"/>
  <c r="X54" i="3"/>
  <c r="R14" i="3"/>
  <c r="R64" i="3"/>
  <c r="Q14" i="3"/>
  <c r="Q64" i="3"/>
  <c r="L14" i="3"/>
  <c r="G14" i="3"/>
  <c r="AD12" i="3"/>
  <c r="AD53" i="3"/>
  <c r="AC12" i="3"/>
  <c r="AC53" i="3"/>
  <c r="AB12" i="3"/>
  <c r="Z12" i="3"/>
  <c r="Z53" i="3"/>
  <c r="Y12" i="3"/>
  <c r="X12" i="3"/>
  <c r="W12" i="3"/>
  <c r="W53" i="3"/>
  <c r="U12" i="3"/>
  <c r="T12" i="3"/>
  <c r="S12" i="3"/>
  <c r="S53" i="3"/>
  <c r="R12" i="3"/>
  <c r="R19" i="3"/>
  <c r="P12" i="3"/>
  <c r="P19" i="3"/>
  <c r="O12" i="3"/>
  <c r="O53" i="3"/>
  <c r="N12" i="3"/>
  <c r="N53" i="3"/>
  <c r="M12" i="3"/>
  <c r="M53" i="3"/>
  <c r="K12" i="3"/>
  <c r="K53" i="3"/>
  <c r="J12" i="3"/>
  <c r="J53" i="3"/>
  <c r="I12" i="3"/>
  <c r="I53" i="3"/>
  <c r="H12" i="3"/>
  <c r="H19" i="3"/>
  <c r="F12" i="3"/>
  <c r="K63" i="3"/>
  <c r="E12" i="3"/>
  <c r="E20" i="3"/>
  <c r="D12" i="3"/>
  <c r="D20" i="3"/>
  <c r="C12" i="3"/>
  <c r="C53" i="3"/>
  <c r="BD11" i="3"/>
  <c r="BC11" i="3"/>
  <c r="BB11" i="3"/>
  <c r="BA11" i="3"/>
  <c r="AY11" i="3"/>
  <c r="AX11" i="3"/>
  <c r="AW11" i="3"/>
  <c r="AV11" i="3"/>
  <c r="AT11" i="3"/>
  <c r="AS11" i="3"/>
  <c r="AR11" i="3"/>
  <c r="AQ11" i="3"/>
  <c r="AO11" i="3"/>
  <c r="AA96" i="8"/>
  <c r="AN11" i="3"/>
  <c r="Z96" i="8"/>
  <c r="AM11" i="3"/>
  <c r="Y96" i="8"/>
  <c r="AL11" i="3"/>
  <c r="X96" i="8"/>
  <c r="AJ11" i="3"/>
  <c r="V96" i="8"/>
  <c r="AI11" i="3"/>
  <c r="U96" i="8"/>
  <c r="AH11" i="3"/>
  <c r="T96" i="8"/>
  <c r="AG11" i="3"/>
  <c r="S96" i="8"/>
  <c r="AE11" i="3"/>
  <c r="Q96" i="8"/>
  <c r="AA11" i="3"/>
  <c r="V11" i="3"/>
  <c r="Q11" i="3"/>
  <c r="C96" i="8"/>
  <c r="L11" i="3"/>
  <c r="G11" i="3"/>
  <c r="BD10" i="3"/>
  <c r="AP95" i="8"/>
  <c r="AP13" i="8"/>
  <c r="BB10" i="3"/>
  <c r="AN95" i="8"/>
  <c r="AN101" i="8"/>
  <c r="BA10" i="3"/>
  <c r="AM95" i="8"/>
  <c r="AM101" i="8"/>
  <c r="AY10" i="3"/>
  <c r="AK95" i="8"/>
  <c r="AK101" i="8"/>
  <c r="AX10" i="3"/>
  <c r="AJ95" i="8"/>
  <c r="AW10" i="3"/>
  <c r="AI95" i="8"/>
  <c r="AV10" i="3"/>
  <c r="AH95" i="8"/>
  <c r="AS10" i="3"/>
  <c r="AE95" i="8"/>
  <c r="AE101" i="8"/>
  <c r="AQ10" i="3"/>
  <c r="AC95" i="8"/>
  <c r="AO10" i="3"/>
  <c r="AA95" i="8"/>
  <c r="AA101" i="8"/>
  <c r="AN10" i="3"/>
  <c r="Z95" i="8"/>
  <c r="Z101" i="8"/>
  <c r="AM10" i="3"/>
  <c r="Y95" i="8"/>
  <c r="Y101" i="8"/>
  <c r="AL10" i="3"/>
  <c r="X95" i="8"/>
  <c r="AJ10" i="3"/>
  <c r="V95" i="8"/>
  <c r="V101" i="8"/>
  <c r="AI10" i="3"/>
  <c r="U95" i="8"/>
  <c r="U101" i="8"/>
  <c r="AG10" i="3"/>
  <c r="S95" i="8"/>
  <c r="AF10" i="3"/>
  <c r="AA10" i="3"/>
  <c r="V10" i="3"/>
  <c r="V62" i="3"/>
  <c r="Q10" i="3"/>
  <c r="C95" i="8"/>
  <c r="C101" i="8"/>
  <c r="L10" i="3"/>
  <c r="G10" i="3"/>
  <c r="AX5" i="3"/>
  <c r="AV5" i="3"/>
  <c r="AW5" i="3"/>
  <c r="BG64" i="5"/>
  <c r="BI61" i="5"/>
  <c r="BZ48" i="3"/>
  <c r="BG32" i="5"/>
  <c r="BG50" i="3"/>
  <c r="BW50" i="3"/>
  <c r="BG45" i="5"/>
  <c r="BI13" i="5"/>
  <c r="CC50" i="3"/>
  <c r="BH13" i="5"/>
  <c r="BH55" i="5"/>
  <c r="BF64" i="5"/>
  <c r="BP50" i="3"/>
  <c r="BG19" i="5"/>
  <c r="BU48" i="3"/>
  <c r="BG10" i="5"/>
  <c r="BH72" i="5"/>
  <c r="BQ48" i="3"/>
  <c r="BD10" i="5"/>
  <c r="BX48" i="3"/>
  <c r="BG55" i="5"/>
  <c r="BD35" i="5"/>
  <c r="BR50" i="3"/>
  <c r="BM50" i="3"/>
  <c r="BD22" i="5"/>
  <c r="BD55" i="5"/>
  <c r="AX72" i="5"/>
  <c r="BJ29" i="5"/>
  <c r="BB72" i="5"/>
  <c r="BH35" i="5"/>
  <c r="CA50" i="3"/>
  <c r="BI64" i="5"/>
  <c r="BF29" i="5"/>
  <c r="BY50" i="3"/>
  <c r="BI16" i="5"/>
  <c r="BF42" i="5"/>
  <c r="BH16" i="5"/>
  <c r="BO50" i="3"/>
  <c r="BS48" i="3"/>
  <c r="BG42" i="5"/>
  <c r="BT48" i="3"/>
  <c r="BF13" i="5"/>
  <c r="CA48" i="3"/>
  <c r="BJ48" i="3"/>
  <c r="BF16" i="5"/>
  <c r="BH58" i="5"/>
  <c r="BF22" i="5"/>
  <c r="BJ16" i="5"/>
  <c r="BM48" i="3"/>
  <c r="AZ72" i="5"/>
  <c r="BI19" i="5"/>
  <c r="BI35" i="5"/>
  <c r="BH10" i="5"/>
  <c r="BJ45" i="5"/>
  <c r="BI32" i="5"/>
  <c r="BJ42" i="5"/>
  <c r="BI42" i="5"/>
  <c r="BF61" i="5"/>
  <c r="BF19" i="5"/>
  <c r="BD29" i="5"/>
  <c r="BD52" i="5"/>
  <c r="BK48" i="3"/>
  <c r="BE50" i="3"/>
  <c r="CD50" i="3"/>
  <c r="BH64" i="5"/>
  <c r="BL48" i="3"/>
  <c r="AV72" i="5"/>
  <c r="BD32" i="5"/>
  <c r="BH19" i="5"/>
  <c r="BY48" i="3"/>
  <c r="BD61" i="5"/>
  <c r="BJ10" i="5"/>
  <c r="BL50" i="3"/>
  <c r="BI55" i="5"/>
  <c r="BG58" i="5"/>
  <c r="BD45" i="5"/>
  <c r="BG52" i="5"/>
  <c r="BD42" i="5"/>
  <c r="BD48" i="3"/>
  <c r="BF10" i="5"/>
  <c r="BF50" i="3"/>
  <c r="BH52" i="5"/>
  <c r="BI10" i="5"/>
  <c r="BI45" i="5"/>
  <c r="BF45" i="5"/>
  <c r="BI29" i="5"/>
  <c r="BG16" i="5"/>
  <c r="BJ55" i="5"/>
  <c r="BT50" i="3"/>
  <c r="BD58" i="5"/>
  <c r="BJ19" i="5"/>
  <c r="BJ35" i="5"/>
  <c r="BJ52" i="5"/>
  <c r="BG61" i="5"/>
  <c r="BG48" i="3"/>
  <c r="BF32" i="5"/>
  <c r="BN48" i="3"/>
  <c r="BK50" i="3"/>
  <c r="BI22" i="5"/>
  <c r="BJ13" i="5"/>
  <c r="BH45" i="5"/>
  <c r="BH61" i="5"/>
  <c r="BJ50" i="3"/>
  <c r="BJ72" i="5"/>
  <c r="BD72" i="5"/>
  <c r="BQ50" i="3"/>
  <c r="CC48" i="3"/>
  <c r="BV48" i="3"/>
  <c r="BH32" i="5"/>
  <c r="BI52" i="5"/>
  <c r="BD64" i="5"/>
  <c r="BO48" i="3"/>
  <c r="BG13" i="5"/>
  <c r="BG22" i="5"/>
  <c r="BS50" i="3"/>
  <c r="CB50" i="3"/>
  <c r="BV50" i="3"/>
  <c r="BU50" i="3"/>
  <c r="BD16" i="5"/>
  <c r="BH22" i="5"/>
  <c r="BW48" i="3"/>
  <c r="BP48" i="3"/>
  <c r="D102" i="9"/>
  <c r="BG29" i="5"/>
  <c r="BI58" i="5"/>
  <c r="BF72" i="5"/>
  <c r="CD48" i="3"/>
  <c r="BF52" i="5"/>
  <c r="BG35" i="5"/>
  <c r="BH48" i="3"/>
  <c r="BH29" i="5"/>
  <c r="BD19" i="5"/>
  <c r="CB48" i="3"/>
  <c r="BH42" i="5"/>
  <c r="BZ50" i="3"/>
  <c r="BJ61" i="5"/>
  <c r="BH50" i="3"/>
  <c r="BF58" i="5"/>
  <c r="BF35" i="5"/>
  <c r="BD50" i="3"/>
  <c r="BJ22" i="5"/>
  <c r="BJ58" i="5"/>
  <c r="BR48" i="3"/>
  <c r="BF55" i="5"/>
  <c r="BN50" i="3"/>
  <c r="BX50" i="3"/>
  <c r="BD13" i="5"/>
  <c r="BF48" i="3"/>
  <c r="BJ32" i="5"/>
  <c r="BJ64" i="5"/>
  <c r="BE48" i="3"/>
  <c r="BO18" i="4"/>
  <c r="BJ38" i="4"/>
  <c r="AS115" i="4"/>
  <c r="AS71" i="4"/>
  <c r="AS50" i="6"/>
  <c r="BB57" i="6"/>
  <c r="BG80" i="4"/>
  <c r="BG58" i="6"/>
  <c r="BW75" i="6"/>
  <c r="CB103" i="4"/>
  <c r="CB75" i="6"/>
  <c r="BF95" i="6"/>
  <c r="BF125" i="4"/>
  <c r="BB103" i="6"/>
  <c r="BB135" i="4"/>
  <c r="BI103" i="6"/>
  <c r="BI133" i="4"/>
  <c r="BC14" i="5"/>
  <c r="BA35" i="6"/>
  <c r="BF52" i="4"/>
  <c r="BA52" i="4"/>
  <c r="BJ35" i="6"/>
  <c r="BO51" i="4"/>
  <c r="BO35" i="6"/>
  <c r="BJ48" i="6"/>
  <c r="BO67" i="4"/>
  <c r="BH87" i="6"/>
  <c r="BH117" i="4"/>
  <c r="AU89" i="3"/>
  <c r="BM115" i="3"/>
  <c r="BB99" i="6"/>
  <c r="BB131" i="4"/>
  <c r="AB25" i="8"/>
  <c r="AA26" i="8"/>
  <c r="Q51" i="8"/>
  <c r="R51" i="8"/>
  <c r="R48" i="8"/>
  <c r="BD115" i="3"/>
  <c r="BD120" i="3"/>
  <c r="BF25" i="4"/>
  <c r="BF18" i="6"/>
  <c r="BF71" i="4"/>
  <c r="BF50" i="6"/>
  <c r="AY137" i="4"/>
  <c r="T19" i="3"/>
  <c r="AA24" i="3"/>
  <c r="AZ29" i="3"/>
  <c r="CC115" i="3"/>
  <c r="BK121" i="3"/>
  <c r="BP121" i="3"/>
  <c r="BU121" i="3"/>
  <c r="BI25" i="4"/>
  <c r="BI18" i="6"/>
  <c r="BO31" i="4"/>
  <c r="BO23" i="6"/>
  <c r="BT37" i="4"/>
  <c r="BT26" i="6"/>
  <c r="AK65" i="4"/>
  <c r="AK47" i="6"/>
  <c r="BI71" i="4"/>
  <c r="BI50" i="6"/>
  <c r="BH80" i="4"/>
  <c r="BH58" i="6"/>
  <c r="BJ102" i="4"/>
  <c r="BJ105" i="4"/>
  <c r="BJ76" i="6"/>
  <c r="BH125" i="4"/>
  <c r="BI99" i="6"/>
  <c r="BI129" i="4"/>
  <c r="AT137" i="4"/>
  <c r="BE155" i="4"/>
  <c r="AZ10" i="5"/>
  <c r="BB14" i="5"/>
  <c r="BB25" i="5"/>
  <c r="BC20" i="5"/>
  <c r="BB30" i="5"/>
  <c r="AZ45" i="5"/>
  <c r="BA46" i="5"/>
  <c r="AZ52" i="5"/>
  <c r="BA53" i="5"/>
  <c r="BA9" i="7"/>
  <c r="E26" i="8"/>
  <c r="J26" i="8"/>
  <c r="R45" i="8"/>
  <c r="AK45" i="8"/>
  <c r="AM40" i="8"/>
  <c r="AL40" i="8"/>
  <c r="H51" i="8"/>
  <c r="Y65" i="8"/>
  <c r="Y86" i="8"/>
  <c r="Z115" i="8"/>
  <c r="Z121" i="8"/>
  <c r="AA63" i="8"/>
  <c r="AF64" i="8"/>
  <c r="Y69" i="8"/>
  <c r="AA68" i="8"/>
  <c r="AL75" i="8"/>
  <c r="C84" i="8"/>
  <c r="G75" i="9"/>
  <c r="H74" i="9"/>
  <c r="F65" i="8"/>
  <c r="K65" i="8"/>
  <c r="K86" i="8"/>
  <c r="X75" i="8"/>
  <c r="AH75" i="8"/>
  <c r="AM41" i="8"/>
  <c r="AN41" i="8"/>
  <c r="AL41" i="8"/>
  <c r="BQ115" i="3"/>
  <c r="BA120" i="3"/>
  <c r="BM121" i="3"/>
  <c r="BW121" i="3"/>
  <c r="CB121" i="3"/>
  <c r="BE115" i="4"/>
  <c r="AA64" i="4"/>
  <c r="AG66" i="4"/>
  <c r="BD80" i="4"/>
  <c r="BD58" i="6"/>
  <c r="BF117" i="4"/>
  <c r="AK132" i="4"/>
  <c r="AK99" i="6"/>
  <c r="BH129" i="4"/>
  <c r="AX137" i="4"/>
  <c r="BH137" i="4"/>
  <c r="BF103" i="6"/>
  <c r="BF133" i="4"/>
  <c r="BF137" i="4"/>
  <c r="BC11" i="5"/>
  <c r="AZ19" i="5"/>
  <c r="AZ22" i="5"/>
  <c r="AZ32" i="5"/>
  <c r="BA33" i="5"/>
  <c r="BC53" i="5"/>
  <c r="T46" i="8"/>
  <c r="Y75" i="8"/>
  <c r="Y77" i="8"/>
  <c r="AA71" i="8"/>
  <c r="AQ104" i="8"/>
  <c r="BE93" i="3"/>
  <c r="AP21" i="8"/>
  <c r="AQ21" i="8"/>
  <c r="AR21" i="8"/>
  <c r="AS21" i="8"/>
  <c r="AT21" i="8"/>
  <c r="AU21" i="8"/>
  <c r="AV21" i="8"/>
  <c r="BA21" i="8"/>
  <c r="AP59" i="8"/>
  <c r="BA43" i="5"/>
  <c r="BA48" i="5"/>
  <c r="BB46" i="5"/>
  <c r="BB53" i="5"/>
  <c r="BB56" i="5"/>
  <c r="BC59" i="5"/>
  <c r="AZ64" i="5"/>
  <c r="BD9" i="7"/>
  <c r="BK57" i="7"/>
  <c r="BK72" i="7"/>
  <c r="BN57" i="7"/>
  <c r="BM57" i="7"/>
  <c r="M25" i="8"/>
  <c r="AG25" i="8"/>
  <c r="F26" i="8"/>
  <c r="I46" i="8"/>
  <c r="N46" i="8"/>
  <c r="U46" i="8"/>
  <c r="Y46" i="8"/>
  <c r="Y53" i="8"/>
  <c r="Y54" i="8"/>
  <c r="AH46" i="8"/>
  <c r="G46" i="8"/>
  <c r="L46" i="8"/>
  <c r="AE46" i="8"/>
  <c r="AE53" i="8"/>
  <c r="AF51" i="8"/>
  <c r="U65" i="8"/>
  <c r="U86" i="8"/>
  <c r="V115" i="8"/>
  <c r="V121" i="8"/>
  <c r="AK63" i="8"/>
  <c r="R65" i="8"/>
  <c r="AD65" i="8"/>
  <c r="AD86" i="8"/>
  <c r="AE115" i="8"/>
  <c r="G68" i="8"/>
  <c r="G69" i="8"/>
  <c r="AK68" i="8"/>
  <c r="U75" i="8"/>
  <c r="AF72" i="8"/>
  <c r="AA74" i="8"/>
  <c r="AV104" i="8"/>
  <c r="BC9" i="7"/>
  <c r="CA57" i="7"/>
  <c r="CC57" i="7"/>
  <c r="AM18" i="8"/>
  <c r="U26" i="8"/>
  <c r="AK26" i="8"/>
  <c r="M39" i="8"/>
  <c r="W83" i="8"/>
  <c r="V46" i="8"/>
  <c r="AD46" i="8"/>
  <c r="AL51" i="8"/>
  <c r="P53" i="8"/>
  <c r="Q105" i="8"/>
  <c r="R105" i="8"/>
  <c r="AE65" i="8"/>
  <c r="AE86" i="8"/>
  <c r="AF115" i="8"/>
  <c r="D65" i="8"/>
  <c r="N65" i="8"/>
  <c r="N86" i="8"/>
  <c r="AE75" i="8"/>
  <c r="AN77" i="8"/>
  <c r="AK84" i="8"/>
  <c r="AF89" i="8"/>
  <c r="AP132" i="4"/>
  <c r="AP99" i="6"/>
  <c r="BE132" i="4"/>
  <c r="AQ137" i="4"/>
  <c r="AZ13" i="5"/>
  <c r="BB17" i="5"/>
  <c r="BA17" i="5"/>
  <c r="BB20" i="5"/>
  <c r="BB23" i="5"/>
  <c r="BC43" i="5"/>
  <c r="BC48" i="5"/>
  <c r="BB62" i="5"/>
  <c r="BC57" i="7"/>
  <c r="BC72" i="7"/>
  <c r="BW57" i="7"/>
  <c r="BW72" i="7"/>
  <c r="BB57" i="7"/>
  <c r="BB72" i="7"/>
  <c r="BV57" i="7"/>
  <c r="BA57" i="7"/>
  <c r="BA72" i="7"/>
  <c r="BU57" i="7"/>
  <c r="AI18" i="8"/>
  <c r="Q26" i="8"/>
  <c r="K26" i="8"/>
  <c r="Z26" i="8"/>
  <c r="Z54" i="8"/>
  <c r="AE26" i="8"/>
  <c r="AI39" i="8"/>
  <c r="H83" i="8"/>
  <c r="AB83" i="8"/>
  <c r="F46" i="8"/>
  <c r="M45" i="8"/>
  <c r="M46" i="8"/>
  <c r="AP45" i="8"/>
  <c r="AI45" i="8"/>
  <c r="BA43" i="8"/>
  <c r="BF43" i="8"/>
  <c r="W44" i="8"/>
  <c r="W45" i="8"/>
  <c r="W46" i="8"/>
  <c r="O46" i="8"/>
  <c r="AI51" i="8"/>
  <c r="L53" i="8"/>
  <c r="S65" i="8"/>
  <c r="S86" i="8"/>
  <c r="T65" i="8"/>
  <c r="T86" i="8"/>
  <c r="U115" i="8"/>
  <c r="U121" i="8"/>
  <c r="AH65" i="8"/>
  <c r="AH86" i="8"/>
  <c r="E77" i="8"/>
  <c r="C75" i="8"/>
  <c r="M75" i="8"/>
  <c r="S75" i="8"/>
  <c r="AJ75" i="8"/>
  <c r="V74" i="8"/>
  <c r="AF74" i="8"/>
  <c r="U109" i="8"/>
  <c r="AN109" i="8"/>
  <c r="AT128" i="4"/>
  <c r="AT95" i="6"/>
  <c r="AS65" i="3"/>
  <c r="AB19" i="3"/>
  <c r="AB56" i="3"/>
  <c r="AO65" i="3"/>
  <c r="Q17" i="3"/>
  <c r="G22" i="3"/>
  <c r="L22" i="3"/>
  <c r="Q22" i="3"/>
  <c r="AK23" i="3"/>
  <c r="AP23" i="3"/>
  <c r="AU23" i="3"/>
  <c r="AZ23" i="3"/>
  <c r="BE23" i="3"/>
  <c r="AZ33" i="3"/>
  <c r="AL98" i="8"/>
  <c r="BE86" i="3"/>
  <c r="AZ89" i="3"/>
  <c r="BE107" i="3"/>
  <c r="BW51" i="7"/>
  <c r="X19" i="3"/>
  <c r="X96" i="3"/>
  <c r="J87" i="8"/>
  <c r="AG54" i="3"/>
  <c r="AZ14" i="3"/>
  <c r="D56" i="9"/>
  <c r="AK15" i="3"/>
  <c r="AZ15" i="3"/>
  <c r="AP24" i="3"/>
  <c r="AU24" i="3"/>
  <c r="BH120" i="3"/>
  <c r="BX51" i="7"/>
  <c r="AH64" i="3"/>
  <c r="AW65" i="3"/>
  <c r="L17" i="3"/>
  <c r="AK24" i="3"/>
  <c r="AK27" i="3"/>
  <c r="AP27" i="3"/>
  <c r="AZ27" i="3"/>
  <c r="BE27" i="3"/>
  <c r="BJ115" i="3"/>
  <c r="BL121" i="3"/>
  <c r="BQ121" i="3"/>
  <c r="CA121" i="3"/>
  <c r="M95" i="8"/>
  <c r="Y63" i="3"/>
  <c r="AM54" i="3"/>
  <c r="G55" i="3"/>
  <c r="AL65" i="3"/>
  <c r="AQ65" i="3"/>
  <c r="V22" i="3"/>
  <c r="BA54" i="3"/>
  <c r="Y55" i="3"/>
  <c r="AO55" i="3"/>
  <c r="AB64" i="3"/>
  <c r="BK102" i="3"/>
  <c r="BK115" i="3"/>
  <c r="BK120" i="3"/>
  <c r="BJ120" i="3"/>
  <c r="BZ121" i="3"/>
  <c r="AA62" i="3"/>
  <c r="AF11" i="3"/>
  <c r="U63" i="3"/>
  <c r="G54" i="3"/>
  <c r="AC64" i="3"/>
  <c r="AI54" i="3"/>
  <c r="AN54" i="3"/>
  <c r="AS64" i="3"/>
  <c r="AW64" i="3"/>
  <c r="L65" i="3"/>
  <c r="Z65" i="3"/>
  <c r="AM65" i="3"/>
  <c r="AR65" i="3"/>
  <c r="BJ23" i="3"/>
  <c r="G24" i="3"/>
  <c r="L24" i="3"/>
  <c r="Q24" i="3"/>
  <c r="V24" i="3"/>
  <c r="Q54" i="3"/>
  <c r="Q55" i="3"/>
  <c r="AW55" i="3"/>
  <c r="AL62" i="3"/>
  <c r="AV73" i="3"/>
  <c r="AZ73" i="3"/>
  <c r="BE102" i="3"/>
  <c r="BO103" i="3"/>
  <c r="BM114" i="3"/>
  <c r="BM120" i="3"/>
  <c r="BU114" i="3"/>
  <c r="BU120" i="3"/>
  <c r="BV121" i="3"/>
  <c r="L62" i="3"/>
  <c r="AF62" i="3"/>
  <c r="M63" i="3"/>
  <c r="L54" i="3"/>
  <c r="AJ54" i="3"/>
  <c r="AO64" i="3"/>
  <c r="AT64" i="3"/>
  <c r="AX64" i="3"/>
  <c r="AF15" i="3"/>
  <c r="AF55" i="3"/>
  <c r="AN65" i="3"/>
  <c r="AX65" i="3"/>
  <c r="U53" i="3"/>
  <c r="Z101" i="3"/>
  <c r="Y54" i="3"/>
  <c r="AO54" i="3"/>
  <c r="BA55" i="3"/>
  <c r="AT62" i="3"/>
  <c r="BW102" i="3"/>
  <c r="BW115" i="3"/>
  <c r="BW120" i="3"/>
  <c r="BE111" i="3"/>
  <c r="BR121" i="3"/>
  <c r="I63" i="3"/>
  <c r="N101" i="3"/>
  <c r="AC63" i="3"/>
  <c r="AK14" i="3"/>
  <c r="AL64" i="3"/>
  <c r="AQ54" i="3"/>
  <c r="AU14" i="3"/>
  <c r="AY54" i="3"/>
  <c r="AE65" i="3"/>
  <c r="AJ65" i="3"/>
  <c r="AT65" i="3"/>
  <c r="AY65" i="3"/>
  <c r="AZ24" i="3"/>
  <c r="BE24" i="3"/>
  <c r="E53" i="3"/>
  <c r="J101" i="3"/>
  <c r="Y53" i="3"/>
  <c r="AD101" i="3"/>
  <c r="AC54" i="3"/>
  <c r="AW54" i="3"/>
  <c r="U55" i="3"/>
  <c r="AG55" i="3"/>
  <c r="L64" i="3"/>
  <c r="X64" i="3"/>
  <c r="BA65" i="3"/>
  <c r="AW75" i="3"/>
  <c r="BQ114" i="3"/>
  <c r="BQ120" i="3"/>
  <c r="CC114" i="3"/>
  <c r="CC120" i="3"/>
  <c r="BN121" i="3"/>
  <c r="AZ35" i="5"/>
  <c r="BA36" i="5"/>
  <c r="BB36" i="5"/>
  <c r="BC62" i="5"/>
  <c r="BB33" i="5"/>
  <c r="BC33" i="5"/>
  <c r="BC38" i="5"/>
  <c r="BA65" i="5"/>
  <c r="BB65" i="5"/>
  <c r="BB67" i="5"/>
  <c r="BC65" i="5"/>
  <c r="AZ55" i="5"/>
  <c r="BA56" i="5"/>
  <c r="AZ58" i="5"/>
  <c r="AZ42" i="5"/>
  <c r="BB43" i="5"/>
  <c r="BB48" i="5"/>
  <c r="BG11" i="5"/>
  <c r="BF14" i="5"/>
  <c r="BI17" i="5"/>
  <c r="BD11" i="5"/>
  <c r="BH11" i="5"/>
  <c r="BG14" i="5"/>
  <c r="BF17" i="5"/>
  <c r="BD20" i="5"/>
  <c r="BF23" i="5"/>
  <c r="BI11" i="5"/>
  <c r="BD14" i="5"/>
  <c r="BH14" i="5"/>
  <c r="BG17" i="5"/>
  <c r="BG20" i="5"/>
  <c r="BG23" i="5"/>
  <c r="BF11" i="5"/>
  <c r="BI14" i="5"/>
  <c r="BD17" i="5"/>
  <c r="BH17" i="5"/>
  <c r="BH20" i="5"/>
  <c r="BF20" i="5"/>
  <c r="BI23" i="5"/>
  <c r="BF30" i="5"/>
  <c r="BI33" i="5"/>
  <c r="BD36" i="5"/>
  <c r="BH36" i="5"/>
  <c r="BI43" i="5"/>
  <c r="BD46" i="5"/>
  <c r="BH46" i="5"/>
  <c r="BI53" i="5"/>
  <c r="BD56" i="5"/>
  <c r="BH56" i="5"/>
  <c r="BG59" i="5"/>
  <c r="BF62" i="5"/>
  <c r="BI65" i="5"/>
  <c r="BG30" i="5"/>
  <c r="BF33" i="5"/>
  <c r="BI36" i="5"/>
  <c r="BF43" i="5"/>
  <c r="BI46" i="5"/>
  <c r="BF53" i="5"/>
  <c r="BI56" i="5"/>
  <c r="BD59" i="5"/>
  <c r="BH59" i="5"/>
  <c r="BG62" i="5"/>
  <c r="BF65" i="5"/>
  <c r="BD30" i="5"/>
  <c r="BH30" i="5"/>
  <c r="BG33" i="5"/>
  <c r="BF36" i="5"/>
  <c r="BG43" i="5"/>
  <c r="BF46" i="5"/>
  <c r="BG53" i="5"/>
  <c r="BF56" i="5"/>
  <c r="BI59" i="5"/>
  <c r="BD62" i="5"/>
  <c r="BH62" i="5"/>
  <c r="BG65" i="5"/>
  <c r="BI20" i="5"/>
  <c r="BD23" i="5"/>
  <c r="BH23" i="5"/>
  <c r="BI30" i="5"/>
  <c r="BD33" i="5"/>
  <c r="BH33" i="5"/>
  <c r="BG36" i="5"/>
  <c r="BD43" i="5"/>
  <c r="BH43" i="5"/>
  <c r="BG46" i="5"/>
  <c r="BD53" i="5"/>
  <c r="BH53" i="5"/>
  <c r="BG56" i="5"/>
  <c r="BF59" i="5"/>
  <c r="BI62" i="5"/>
  <c r="BD65" i="5"/>
  <c r="BH65" i="5"/>
  <c r="R56" i="3"/>
  <c r="R20" i="3"/>
  <c r="R26" i="3"/>
  <c r="P20" i="3"/>
  <c r="P26" i="3"/>
  <c r="P56" i="3"/>
  <c r="AB96" i="3"/>
  <c r="AB20" i="3"/>
  <c r="AB26" i="3"/>
  <c r="D26" i="3"/>
  <c r="D56" i="3"/>
  <c r="S101" i="3"/>
  <c r="X20" i="3"/>
  <c r="X26" i="3"/>
  <c r="X56" i="3"/>
  <c r="H20" i="3"/>
  <c r="H26" i="3"/>
  <c r="H56" i="3"/>
  <c r="E26" i="3"/>
  <c r="E56" i="3"/>
  <c r="O101" i="3"/>
  <c r="T20" i="3"/>
  <c r="T26" i="3"/>
  <c r="T56" i="3"/>
  <c r="D55" i="9"/>
  <c r="D61" i="9"/>
  <c r="E61" i="9"/>
  <c r="AP11" i="3"/>
  <c r="V12" i="3"/>
  <c r="AH12" i="3"/>
  <c r="AX12" i="3"/>
  <c r="F20" i="3"/>
  <c r="O63" i="3"/>
  <c r="AJ64" i="3"/>
  <c r="Y65" i="3"/>
  <c r="AC101" i="8"/>
  <c r="AG95" i="8"/>
  <c r="S103" i="8"/>
  <c r="S102" i="8"/>
  <c r="W96" i="8"/>
  <c r="W102" i="8"/>
  <c r="AK11" i="3"/>
  <c r="AA103" i="8"/>
  <c r="AA102" i="8"/>
  <c r="AE96" i="8"/>
  <c r="AI96" i="8"/>
  <c r="AI102" i="8"/>
  <c r="AM96" i="8"/>
  <c r="BE11" i="3"/>
  <c r="Q12" i="3"/>
  <c r="AG12" i="3"/>
  <c r="AO12" i="3"/>
  <c r="AS12" i="3"/>
  <c r="AW12" i="3"/>
  <c r="BA12" i="3"/>
  <c r="AP14" i="3"/>
  <c r="BB121" i="3"/>
  <c r="AA15" i="3"/>
  <c r="BE15" i="3"/>
  <c r="U105" i="8"/>
  <c r="AI36" i="3"/>
  <c r="W104" i="8"/>
  <c r="I19" i="3"/>
  <c r="M19" i="3"/>
  <c r="R66" i="3"/>
  <c r="U19" i="3"/>
  <c r="Y19" i="3"/>
  <c r="AC19" i="3"/>
  <c r="AU27" i="3"/>
  <c r="D53" i="3"/>
  <c r="I101" i="3"/>
  <c r="H53" i="3"/>
  <c r="H101" i="3"/>
  <c r="P53" i="3"/>
  <c r="P101" i="3"/>
  <c r="T53" i="3"/>
  <c r="T101" i="3"/>
  <c r="X53" i="3"/>
  <c r="X101" i="3"/>
  <c r="AB53" i="3"/>
  <c r="AB101" i="3"/>
  <c r="AV54" i="3"/>
  <c r="BD54" i="3"/>
  <c r="L55" i="3"/>
  <c r="T55" i="3"/>
  <c r="X55" i="3"/>
  <c r="AB55" i="3"/>
  <c r="AJ55" i="3"/>
  <c r="AN55" i="3"/>
  <c r="AR55" i="3"/>
  <c r="AV55" i="3"/>
  <c r="BD55" i="3"/>
  <c r="Q62" i="3"/>
  <c r="AG62" i="3"/>
  <c r="AO62" i="3"/>
  <c r="AS62" i="3"/>
  <c r="AW62" i="3"/>
  <c r="BA62" i="3"/>
  <c r="J63" i="3"/>
  <c r="N63" i="3"/>
  <c r="R63" i="3"/>
  <c r="Z63" i="3"/>
  <c r="AD63" i="3"/>
  <c r="W64" i="3"/>
  <c r="AE64" i="3"/>
  <c r="AI64" i="3"/>
  <c r="AM64" i="3"/>
  <c r="AQ64" i="3"/>
  <c r="AY64" i="3"/>
  <c r="BC64" i="3"/>
  <c r="X65" i="3"/>
  <c r="AB65" i="3"/>
  <c r="AV65" i="3"/>
  <c r="BD65" i="3"/>
  <c r="AY73" i="3"/>
  <c r="AV75" i="3"/>
  <c r="AZ75" i="3"/>
  <c r="BN114" i="3"/>
  <c r="BN102" i="3"/>
  <c r="BN115" i="3"/>
  <c r="BX102" i="3"/>
  <c r="BX115" i="3"/>
  <c r="BX114" i="3"/>
  <c r="CA102" i="3"/>
  <c r="CA115" i="3"/>
  <c r="CA120" i="3"/>
  <c r="BC115" i="3"/>
  <c r="AT82" i="6"/>
  <c r="AT121" i="4"/>
  <c r="AY104" i="6"/>
  <c r="AY151" i="4"/>
  <c r="AY152" i="4"/>
  <c r="AY138" i="4"/>
  <c r="AY105" i="6"/>
  <c r="BH104" i="6"/>
  <c r="BH151" i="4"/>
  <c r="BH153" i="4"/>
  <c r="BH138" i="4"/>
  <c r="BH105" i="6"/>
  <c r="BE10" i="5"/>
  <c r="BE11" i="5"/>
  <c r="T102" i="8"/>
  <c r="T103" i="8"/>
  <c r="AJ96" i="8"/>
  <c r="AJ103" i="8"/>
  <c r="AP15" i="3"/>
  <c r="J19" i="3"/>
  <c r="Z19" i="3"/>
  <c r="AS54" i="3"/>
  <c r="AX62" i="3"/>
  <c r="W63" i="3"/>
  <c r="AV64" i="3"/>
  <c r="AG65" i="3"/>
  <c r="BE82" i="6"/>
  <c r="BE121" i="4"/>
  <c r="BC95" i="6"/>
  <c r="BC127" i="4"/>
  <c r="AT104" i="6"/>
  <c r="AT151" i="4"/>
  <c r="AT152" i="4"/>
  <c r="AT138" i="4"/>
  <c r="AT105" i="6"/>
  <c r="AF96" i="8"/>
  <c r="AL12" i="3"/>
  <c r="BB12" i="3"/>
  <c r="N19" i="3"/>
  <c r="AD19" i="3"/>
  <c r="AC101" i="3"/>
  <c r="S63" i="3"/>
  <c r="AR64" i="3"/>
  <c r="AK10" i="3"/>
  <c r="AK55" i="3"/>
  <c r="AU10" i="3"/>
  <c r="AQ13" i="8"/>
  <c r="Q103" i="8"/>
  <c r="Q102" i="8"/>
  <c r="U103" i="8"/>
  <c r="U102" i="8"/>
  <c r="Y103" i="8"/>
  <c r="Y102" i="8"/>
  <c r="AC96" i="8"/>
  <c r="AU11" i="3"/>
  <c r="AK96" i="8"/>
  <c r="AO96" i="8"/>
  <c r="G12" i="3"/>
  <c r="G53" i="3"/>
  <c r="AA12" i="3"/>
  <c r="AE12" i="3"/>
  <c r="AI12" i="3"/>
  <c r="AM12" i="3"/>
  <c r="AQ12" i="3"/>
  <c r="AY12" i="3"/>
  <c r="BC12" i="3"/>
  <c r="V14" i="3"/>
  <c r="AA14" i="3"/>
  <c r="AF14" i="3"/>
  <c r="AU15" i="3"/>
  <c r="AK16" i="3"/>
  <c r="K19" i="3"/>
  <c r="O19" i="3"/>
  <c r="T66" i="3"/>
  <c r="S19" i="3"/>
  <c r="X66" i="3"/>
  <c r="W19" i="3"/>
  <c r="AB66" i="3"/>
  <c r="C20" i="3"/>
  <c r="H66" i="3"/>
  <c r="AE23" i="3"/>
  <c r="AF23" i="3"/>
  <c r="BD46" i="3"/>
  <c r="BD49" i="3"/>
  <c r="F53" i="3"/>
  <c r="K101" i="3"/>
  <c r="R53" i="3"/>
  <c r="R101" i="3"/>
  <c r="R54" i="3"/>
  <c r="Z54" i="3"/>
  <c r="AH54" i="3"/>
  <c r="AL54" i="3"/>
  <c r="AT54" i="3"/>
  <c r="AX54" i="3"/>
  <c r="BB54" i="3"/>
  <c r="Z55" i="3"/>
  <c r="AH55" i="3"/>
  <c r="AL55" i="3"/>
  <c r="AT55" i="3"/>
  <c r="AX55" i="3"/>
  <c r="BB55" i="3"/>
  <c r="AI62" i="3"/>
  <c r="AM62" i="3"/>
  <c r="AQ62" i="3"/>
  <c r="AY62" i="3"/>
  <c r="BC62" i="3"/>
  <c r="H63" i="3"/>
  <c r="P63" i="3"/>
  <c r="T63" i="3"/>
  <c r="X63" i="3"/>
  <c r="AB63" i="3"/>
  <c r="Y64" i="3"/>
  <c r="AG64" i="3"/>
  <c r="BA64" i="3"/>
  <c r="BB65" i="3"/>
  <c r="AW73" i="3"/>
  <c r="AS75" i="3"/>
  <c r="AX75" i="3"/>
  <c r="BL102" i="3"/>
  <c r="BL115" i="3"/>
  <c r="BL114" i="3"/>
  <c r="BV114" i="3"/>
  <c r="BV102" i="3"/>
  <c r="BV115" i="3"/>
  <c r="BS102" i="3"/>
  <c r="BS115" i="3"/>
  <c r="BS120" i="3"/>
  <c r="BB120" i="3"/>
  <c r="BD95" i="6"/>
  <c r="BE99" i="6"/>
  <c r="AQ104" i="6"/>
  <c r="AQ151" i="4"/>
  <c r="AQ152" i="4"/>
  <c r="AQ138" i="4"/>
  <c r="AQ105" i="6"/>
  <c r="BF104" i="6"/>
  <c r="BF151" i="4"/>
  <c r="BF153" i="4"/>
  <c r="BF138" i="4"/>
  <c r="BF105" i="6"/>
  <c r="X102" i="8"/>
  <c r="AB96" i="8"/>
  <c r="AB102" i="8"/>
  <c r="X103" i="8"/>
  <c r="AN96" i="8"/>
  <c r="AT12" i="3"/>
  <c r="M101" i="3"/>
  <c r="AS55" i="3"/>
  <c r="BB62" i="3"/>
  <c r="AN64" i="3"/>
  <c r="BD64" i="3"/>
  <c r="S101" i="8"/>
  <c r="W95" i="8"/>
  <c r="W101" i="8"/>
  <c r="X101" i="8"/>
  <c r="AB95" i="8"/>
  <c r="AB101" i="8"/>
  <c r="AP10" i="3"/>
  <c r="AH101" i="8"/>
  <c r="AL95" i="8"/>
  <c r="AL101" i="8"/>
  <c r="AZ10" i="3"/>
  <c r="BE10" i="3"/>
  <c r="C103" i="8"/>
  <c r="C102" i="8"/>
  <c r="V103" i="8"/>
  <c r="V102" i="8"/>
  <c r="Z103" i="8"/>
  <c r="Z102" i="8"/>
  <c r="AD96" i="8"/>
  <c r="AH96" i="8"/>
  <c r="AZ11" i="3"/>
  <c r="AP96" i="8"/>
  <c r="L12" i="3"/>
  <c r="AF12" i="3"/>
  <c r="AJ12" i="3"/>
  <c r="AN12" i="3"/>
  <c r="AR12" i="3"/>
  <c r="AV12" i="3"/>
  <c r="BD12" i="3"/>
  <c r="BE14" i="3"/>
  <c r="V15" i="3"/>
  <c r="BC54" i="3"/>
  <c r="S55" i="3"/>
  <c r="W55" i="3"/>
  <c r="AE55" i="3"/>
  <c r="AI55" i="3"/>
  <c r="AM55" i="3"/>
  <c r="AQ55" i="3"/>
  <c r="AY55" i="3"/>
  <c r="BC55" i="3"/>
  <c r="AJ62" i="3"/>
  <c r="AN62" i="3"/>
  <c r="AR62" i="3"/>
  <c r="AV62" i="3"/>
  <c r="BD62" i="3"/>
  <c r="BB64" i="3"/>
  <c r="BC65" i="3"/>
  <c r="AS73" i="3"/>
  <c r="AX73" i="3"/>
  <c r="AY75" i="3"/>
  <c r="BC120" i="3"/>
  <c r="BG120" i="3"/>
  <c r="AS82" i="6"/>
  <c r="AS121" i="4"/>
  <c r="AU115" i="4"/>
  <c r="BE87" i="6"/>
  <c r="AX104" i="6"/>
  <c r="AX151" i="4"/>
  <c r="AX152" i="4"/>
  <c r="BG104" i="6"/>
  <c r="BG151" i="4"/>
  <c r="BG153" i="4"/>
  <c r="BG138" i="4"/>
  <c r="BG105" i="6"/>
  <c r="BE13" i="5"/>
  <c r="BE14" i="5"/>
  <c r="BR102" i="3"/>
  <c r="BR115" i="3"/>
  <c r="BR120" i="3"/>
  <c r="BZ102" i="3"/>
  <c r="BZ115" i="3"/>
  <c r="BZ120" i="3"/>
  <c r="BP114" i="3"/>
  <c r="BP120" i="3"/>
  <c r="CB114" i="3"/>
  <c r="CB120" i="3"/>
  <c r="AZ12" i="4"/>
  <c r="BE25" i="4"/>
  <c r="BA26" i="4"/>
  <c r="BF27" i="4"/>
  <c r="BE28" i="4"/>
  <c r="BE20" i="6"/>
  <c r="BJ36" i="4"/>
  <c r="BE38" i="4"/>
  <c r="BE41" i="4"/>
  <c r="BE28" i="6"/>
  <c r="E7" i="9"/>
  <c r="BE10" i="7"/>
  <c r="BE29" i="6"/>
  <c r="BI10" i="7"/>
  <c r="BI29" i="6"/>
  <c r="BJ48" i="4"/>
  <c r="BD52" i="4"/>
  <c r="BH52" i="4"/>
  <c r="E9" i="9"/>
  <c r="BE11" i="7"/>
  <c r="BE36" i="6"/>
  <c r="BI11" i="7"/>
  <c r="BI36" i="6"/>
  <c r="BM11" i="7"/>
  <c r="BM9" i="7"/>
  <c r="BM36" i="6"/>
  <c r="BQ11" i="7"/>
  <c r="BQ9" i="7"/>
  <c r="BQ36" i="6"/>
  <c r="BU11" i="7"/>
  <c r="BU9" i="7"/>
  <c r="BU36" i="6"/>
  <c r="CC11" i="7"/>
  <c r="CC9" i="7"/>
  <c r="CC36" i="6"/>
  <c r="D11" i="9"/>
  <c r="AZ12" i="7"/>
  <c r="AZ39" i="6"/>
  <c r="D13" i="9"/>
  <c r="AZ13" i="7"/>
  <c r="AZ42" i="6"/>
  <c r="V64" i="4"/>
  <c r="AL64" i="4"/>
  <c r="AK66" i="4"/>
  <c r="AO66" i="4"/>
  <c r="BE66" i="4"/>
  <c r="BJ68" i="4"/>
  <c r="BE71" i="4"/>
  <c r="BA72" i="4"/>
  <c r="AX41" i="7"/>
  <c r="AX51" i="6"/>
  <c r="BF73" i="4"/>
  <c r="V78" i="4"/>
  <c r="V56" i="6"/>
  <c r="BB80" i="4"/>
  <c r="BB58" i="6"/>
  <c r="BF80" i="4"/>
  <c r="BF58" i="6"/>
  <c r="BG14" i="7"/>
  <c r="BG59" i="6"/>
  <c r="F21" i="9"/>
  <c r="BJ65" i="6"/>
  <c r="BJ16" i="7"/>
  <c r="BO91" i="4"/>
  <c r="BO103" i="4"/>
  <c r="BO105" i="4"/>
  <c r="CA103" i="4"/>
  <c r="BE105" i="4"/>
  <c r="BE76" i="6"/>
  <c r="BU105" i="4"/>
  <c r="BU76" i="6"/>
  <c r="BO107" i="4"/>
  <c r="BJ108" i="4"/>
  <c r="BG113" i="4"/>
  <c r="AW116" i="4"/>
  <c r="AW83" i="6"/>
  <c r="BA116" i="4"/>
  <c r="BA83" i="6"/>
  <c r="E84" i="6"/>
  <c r="E49" i="7"/>
  <c r="I84" i="6"/>
  <c r="I49" i="7"/>
  <c r="M84" i="6"/>
  <c r="M49" i="7"/>
  <c r="Q84" i="6"/>
  <c r="Q49" i="7"/>
  <c r="U84" i="6"/>
  <c r="U49" i="7"/>
  <c r="Y84" i="6"/>
  <c r="Y49" i="7"/>
  <c r="AX49" i="7"/>
  <c r="AX84" i="6"/>
  <c r="BG49" i="7"/>
  <c r="BG84" i="6"/>
  <c r="BB121" i="4"/>
  <c r="AA58" i="7"/>
  <c r="AA92" i="6"/>
  <c r="AM92" i="6"/>
  <c r="AM58" i="7"/>
  <c r="AQ58" i="7"/>
  <c r="AQ92" i="6"/>
  <c r="AU125" i="4"/>
  <c r="AZ128" i="4"/>
  <c r="AZ95" i="6"/>
  <c r="D31" i="9"/>
  <c r="AZ58" i="7"/>
  <c r="AZ92" i="6"/>
  <c r="BH58" i="7"/>
  <c r="BH92" i="6"/>
  <c r="BD126" i="4"/>
  <c r="BD93" i="6"/>
  <c r="BB94" i="6"/>
  <c r="BB39" i="5"/>
  <c r="AX128" i="4"/>
  <c r="AX95" i="6"/>
  <c r="AU59" i="7"/>
  <c r="AU96" i="6"/>
  <c r="BF59" i="7"/>
  <c r="BF96" i="6"/>
  <c r="BJ129" i="4"/>
  <c r="AN60" i="7"/>
  <c r="AN100" i="6"/>
  <c r="AR60" i="7"/>
  <c r="AR100" i="6"/>
  <c r="AV60" i="7"/>
  <c r="AV100" i="6"/>
  <c r="E35" i="9"/>
  <c r="BE100" i="6"/>
  <c r="BE60" i="7"/>
  <c r="BI100" i="6"/>
  <c r="BI60" i="7"/>
  <c r="BB102" i="6"/>
  <c r="BB68" i="5"/>
  <c r="AT136" i="4"/>
  <c r="AT103" i="6"/>
  <c r="AX136" i="4"/>
  <c r="AX103" i="6"/>
  <c r="Y138" i="4"/>
  <c r="Y105" i="6"/>
  <c r="AH138" i="4"/>
  <c r="AH105" i="6"/>
  <c r="AL138" i="4"/>
  <c r="AL105" i="6"/>
  <c r="BB138" i="4"/>
  <c r="BB105" i="6"/>
  <c r="G142" i="4"/>
  <c r="G108" i="6"/>
  <c r="BN142" i="4"/>
  <c r="BR142" i="4"/>
  <c r="BV142" i="4"/>
  <c r="BZ142" i="4"/>
  <c r="Z143" i="4"/>
  <c r="Z109" i="6"/>
  <c r="AR148" i="4"/>
  <c r="AR149" i="4"/>
  <c r="BB151" i="4"/>
  <c r="BB152" i="4"/>
  <c r="BN151" i="4"/>
  <c r="BN153" i="4"/>
  <c r="BN155" i="4"/>
  <c r="BR151" i="4"/>
  <c r="BR153" i="4"/>
  <c r="BR155" i="4"/>
  <c r="BV151" i="4"/>
  <c r="BV153" i="4"/>
  <c r="BV155" i="4"/>
  <c r="BZ151" i="4"/>
  <c r="BZ153" i="4"/>
  <c r="BZ155" i="4"/>
  <c r="BA11" i="5"/>
  <c r="BE16" i="5"/>
  <c r="BE17" i="5"/>
  <c r="BC23" i="5"/>
  <c r="BC25" i="5"/>
  <c r="BE12" i="4"/>
  <c r="BB26" i="4"/>
  <c r="BF10" i="7"/>
  <c r="BF29" i="6"/>
  <c r="BJ43" i="4"/>
  <c r="BF11" i="7"/>
  <c r="BF36" i="6"/>
  <c r="BJ53" i="4"/>
  <c r="BN11" i="7"/>
  <c r="BN9" i="7"/>
  <c r="BN36" i="6"/>
  <c r="BR11" i="7"/>
  <c r="BR9" i="7"/>
  <c r="BR36" i="6"/>
  <c r="BV11" i="7"/>
  <c r="BV9" i="7"/>
  <c r="BV36" i="6"/>
  <c r="BZ11" i="7"/>
  <c r="BZ9" i="7"/>
  <c r="BZ36" i="6"/>
  <c r="E11" i="9"/>
  <c r="BE12" i="7"/>
  <c r="BE39" i="6"/>
  <c r="E13" i="9"/>
  <c r="E14" i="9"/>
  <c r="BE13" i="7"/>
  <c r="BE42" i="6"/>
  <c r="AU64" i="4"/>
  <c r="AP66" i="4"/>
  <c r="BJ66" i="4"/>
  <c r="BB72" i="4"/>
  <c r="AY41" i="7"/>
  <c r="AY51" i="6"/>
  <c r="AA78" i="4"/>
  <c r="AA56" i="6"/>
  <c r="BE79" i="4"/>
  <c r="D17" i="9"/>
  <c r="AZ59" i="6"/>
  <c r="AZ14" i="7"/>
  <c r="BH14" i="7"/>
  <c r="BH59" i="6"/>
  <c r="E19" i="9"/>
  <c r="BE62" i="6"/>
  <c r="BE15" i="7"/>
  <c r="G21" i="9"/>
  <c r="G22" i="9"/>
  <c r="BO65" i="6"/>
  <c r="BO16" i="7"/>
  <c r="BV105" i="4"/>
  <c r="BV76" i="6"/>
  <c r="BB111" i="4"/>
  <c r="BH113" i="4"/>
  <c r="BB116" i="4"/>
  <c r="BB83" i="6"/>
  <c r="F49" i="7"/>
  <c r="F84" i="6"/>
  <c r="J49" i="7"/>
  <c r="J84" i="6"/>
  <c r="N49" i="7"/>
  <c r="N84" i="6"/>
  <c r="R49" i="7"/>
  <c r="R84" i="6"/>
  <c r="V49" i="7"/>
  <c r="V84" i="6"/>
  <c r="Z49" i="7"/>
  <c r="Z84" i="6"/>
  <c r="D28" i="9"/>
  <c r="AZ49" i="7"/>
  <c r="AZ84" i="6"/>
  <c r="BH49" i="7"/>
  <c r="BH84" i="6"/>
  <c r="BD119" i="4"/>
  <c r="BD86" i="6"/>
  <c r="BC121" i="4"/>
  <c r="AF58" i="7"/>
  <c r="AF92" i="6"/>
  <c r="AN58" i="7"/>
  <c r="AN92" i="6"/>
  <c r="AR58" i="7"/>
  <c r="AR92" i="6"/>
  <c r="AV58" i="7"/>
  <c r="AV92" i="6"/>
  <c r="E31" i="9"/>
  <c r="BE58" i="7"/>
  <c r="BE92" i="6"/>
  <c r="BI58" i="7"/>
  <c r="BI92" i="6"/>
  <c r="AA128" i="4"/>
  <c r="AA95" i="6"/>
  <c r="AM128" i="4"/>
  <c r="AM95" i="6"/>
  <c r="AQ128" i="4"/>
  <c r="AQ95" i="6"/>
  <c r="AY128" i="4"/>
  <c r="AY95" i="6"/>
  <c r="AF59" i="7"/>
  <c r="AF96" i="6"/>
  <c r="AX96" i="6"/>
  <c r="AX59" i="7"/>
  <c r="BG59" i="7"/>
  <c r="BG96" i="6"/>
  <c r="BD131" i="4"/>
  <c r="BD98" i="6"/>
  <c r="AX132" i="4"/>
  <c r="AX99" i="6"/>
  <c r="AO100" i="6"/>
  <c r="AO60" i="7"/>
  <c r="AS100" i="6"/>
  <c r="AS60" i="7"/>
  <c r="AX60" i="7"/>
  <c r="AX100" i="6"/>
  <c r="BF60" i="7"/>
  <c r="BF100" i="6"/>
  <c r="BJ133" i="4"/>
  <c r="AQ136" i="4"/>
  <c r="AQ103" i="6"/>
  <c r="AY136" i="4"/>
  <c r="BC136" i="4"/>
  <c r="G137" i="4"/>
  <c r="G104" i="6"/>
  <c r="AA137" i="4"/>
  <c r="Z138" i="4"/>
  <c r="Z105" i="6"/>
  <c r="AI138" i="4"/>
  <c r="AI105" i="6"/>
  <c r="AM138" i="4"/>
  <c r="AM105" i="6"/>
  <c r="BC138" i="4"/>
  <c r="BC105" i="6"/>
  <c r="L142" i="4"/>
  <c r="L108" i="6"/>
  <c r="AQ142" i="4"/>
  <c r="BK142" i="4"/>
  <c r="BS142" i="4"/>
  <c r="BW142" i="4"/>
  <c r="CA142" i="4"/>
  <c r="W143" i="4"/>
  <c r="W109" i="6"/>
  <c r="AA143" i="4"/>
  <c r="AA109" i="6"/>
  <c r="BC151" i="4"/>
  <c r="BC152" i="4"/>
  <c r="BK151" i="4"/>
  <c r="BK153" i="4"/>
  <c r="BK155" i="4"/>
  <c r="BS151" i="4"/>
  <c r="BS153" i="4"/>
  <c r="BS155" i="4"/>
  <c r="BW151" i="4"/>
  <c r="BW153" i="4"/>
  <c r="BW155" i="4"/>
  <c r="CA151" i="4"/>
  <c r="CA153" i="4"/>
  <c r="CA155" i="4"/>
  <c r="BA14" i="5"/>
  <c r="BC67" i="5"/>
  <c r="BJ12" i="4"/>
  <c r="BO13" i="4"/>
  <c r="BE14" i="4"/>
  <c r="BE16" i="4"/>
  <c r="BE18" i="4"/>
  <c r="BO20" i="4"/>
  <c r="BG25" i="4"/>
  <c r="AX26" i="4"/>
  <c r="BC26" i="4"/>
  <c r="D5" i="9"/>
  <c r="AZ33" i="7"/>
  <c r="AZ19" i="6"/>
  <c r="BT31" i="4"/>
  <c r="BJ32" i="4"/>
  <c r="BO33" i="4"/>
  <c r="BE34" i="4"/>
  <c r="BY37" i="4"/>
  <c r="BO41" i="4"/>
  <c r="BJ42" i="4"/>
  <c r="BG10" i="7"/>
  <c r="BG29" i="6"/>
  <c r="BF44" i="4"/>
  <c r="BF30" i="6"/>
  <c r="BO50" i="4"/>
  <c r="AZ51" i="4"/>
  <c r="AZ35" i="6"/>
  <c r="BT51" i="4"/>
  <c r="BB52" i="4"/>
  <c r="BG11" i="7"/>
  <c r="BG36" i="6"/>
  <c r="BK11" i="7"/>
  <c r="BK9" i="7"/>
  <c r="BK36" i="6"/>
  <c r="BS11" i="7"/>
  <c r="BS9" i="7"/>
  <c r="BS36" i="6"/>
  <c r="BW11" i="7"/>
  <c r="BW9" i="7"/>
  <c r="BW36" i="6"/>
  <c r="CA11" i="7"/>
  <c r="CA9" i="7"/>
  <c r="CA36" i="6"/>
  <c r="BF54" i="4"/>
  <c r="BF37" i="6"/>
  <c r="F11" i="9"/>
  <c r="BJ12" i="7"/>
  <c r="BJ39" i="6"/>
  <c r="BE57" i="4"/>
  <c r="BE40" i="6"/>
  <c r="F13" i="9"/>
  <c r="F14" i="9"/>
  <c r="BJ13" i="7"/>
  <c r="BJ42" i="6"/>
  <c r="BE60" i="4"/>
  <c r="BE43" i="6"/>
  <c r="BO63" i="4"/>
  <c r="L64" i="4"/>
  <c r="AF64" i="4"/>
  <c r="AZ64" i="4"/>
  <c r="BJ64" i="4"/>
  <c r="AU66" i="4"/>
  <c r="AY71" i="4"/>
  <c r="BG71" i="4"/>
  <c r="AX72" i="4"/>
  <c r="BC72" i="4"/>
  <c r="AS41" i="7"/>
  <c r="AS51" i="6"/>
  <c r="AZ73" i="4"/>
  <c r="AX74" i="4"/>
  <c r="AX52" i="6"/>
  <c r="BC74" i="4"/>
  <c r="BC52" i="6"/>
  <c r="BO77" i="4"/>
  <c r="L78" i="4"/>
  <c r="L56" i="6"/>
  <c r="BE78" i="4"/>
  <c r="BE56" i="6"/>
  <c r="E17" i="9"/>
  <c r="BE14" i="7"/>
  <c r="BE59" i="6"/>
  <c r="BI14" i="7"/>
  <c r="BI59" i="6"/>
  <c r="BH82" i="4"/>
  <c r="BH60" i="6"/>
  <c r="F19" i="9"/>
  <c r="F20" i="9"/>
  <c r="BJ15" i="7"/>
  <c r="BJ62" i="6"/>
  <c r="BT87" i="4"/>
  <c r="BO99" i="4"/>
  <c r="BJ100" i="4"/>
  <c r="BT101" i="4"/>
  <c r="CC103" i="4"/>
  <c r="BW105" i="4"/>
  <c r="BW76" i="6"/>
  <c r="BC111" i="4"/>
  <c r="BC79" i="6"/>
  <c r="BO111" i="4"/>
  <c r="E23" i="9"/>
  <c r="BE25" i="7"/>
  <c r="BE27" i="7"/>
  <c r="BE80" i="6"/>
  <c r="BI113" i="4"/>
  <c r="AX115" i="4"/>
  <c r="BC116" i="4"/>
  <c r="BC83" i="6"/>
  <c r="C49" i="7"/>
  <c r="C84" i="6"/>
  <c r="G49" i="7"/>
  <c r="G84" i="6"/>
  <c r="K49" i="7"/>
  <c r="K84" i="6"/>
  <c r="O49" i="7"/>
  <c r="O84" i="6"/>
  <c r="S49" i="7"/>
  <c r="S84" i="6"/>
  <c r="W49" i="7"/>
  <c r="W84" i="6"/>
  <c r="AA49" i="7"/>
  <c r="AA84" i="6"/>
  <c r="E28" i="9"/>
  <c r="BE84" i="6"/>
  <c r="BE49" i="7"/>
  <c r="BI49" i="7"/>
  <c r="BI84" i="6"/>
  <c r="BA119" i="4"/>
  <c r="AX120" i="4"/>
  <c r="U121" i="4"/>
  <c r="U88" i="6"/>
  <c r="Y121" i="4"/>
  <c r="Y88" i="6"/>
  <c r="AV121" i="4"/>
  <c r="BD121" i="4"/>
  <c r="AK58" i="7"/>
  <c r="AK92" i="6"/>
  <c r="AO58" i="7"/>
  <c r="AO92" i="6"/>
  <c r="AS58" i="7"/>
  <c r="AS92" i="6"/>
  <c r="AX58" i="7"/>
  <c r="AX92" i="6"/>
  <c r="BF58" i="7"/>
  <c r="BF57" i="7"/>
  <c r="BF92" i="6"/>
  <c r="BJ125" i="4"/>
  <c r="AF128" i="4"/>
  <c r="AF95" i="6"/>
  <c r="AN128" i="4"/>
  <c r="AN95" i="6"/>
  <c r="AR128" i="4"/>
  <c r="AR95" i="6"/>
  <c r="AV128" i="4"/>
  <c r="AV95" i="6"/>
  <c r="AK59" i="7"/>
  <c r="AK96" i="6"/>
  <c r="D33" i="9"/>
  <c r="AZ59" i="7"/>
  <c r="AZ96" i="6"/>
  <c r="BH59" i="7"/>
  <c r="BH96" i="6"/>
  <c r="BA131" i="4"/>
  <c r="AU132" i="4"/>
  <c r="AU99" i="6"/>
  <c r="BC132" i="4"/>
  <c r="AL60" i="7"/>
  <c r="AL100" i="6"/>
  <c r="AP133" i="4"/>
  <c r="AT60" i="7"/>
  <c r="AT100" i="6"/>
  <c r="AY60" i="7"/>
  <c r="AY100" i="6"/>
  <c r="BG60" i="7"/>
  <c r="BG100" i="6"/>
  <c r="BA134" i="4"/>
  <c r="BA101" i="6"/>
  <c r="AR136" i="4"/>
  <c r="AR103" i="6"/>
  <c r="AV136" i="4"/>
  <c r="AV103" i="6"/>
  <c r="BD136" i="4"/>
  <c r="L137" i="4"/>
  <c r="L104" i="6"/>
  <c r="AF137" i="4"/>
  <c r="AF104" i="6"/>
  <c r="AR137" i="4"/>
  <c r="AR142" i="4"/>
  <c r="AV137" i="4"/>
  <c r="BA138" i="4"/>
  <c r="BA105" i="6"/>
  <c r="W138" i="4"/>
  <c r="W105" i="6"/>
  <c r="AJ138" i="4"/>
  <c r="AJ105" i="6"/>
  <c r="AN138" i="4"/>
  <c r="AN105" i="6"/>
  <c r="BD138" i="4"/>
  <c r="BD105" i="6"/>
  <c r="BL142" i="4"/>
  <c r="BP142" i="4"/>
  <c r="BX142" i="4"/>
  <c r="CB142" i="4"/>
  <c r="X143" i="4"/>
  <c r="X109" i="6"/>
  <c r="BD151" i="4"/>
  <c r="BD152" i="4"/>
  <c r="BL151" i="4"/>
  <c r="BL153" i="4"/>
  <c r="BL155" i="4"/>
  <c r="BP151" i="4"/>
  <c r="BP153" i="4"/>
  <c r="BP155" i="4"/>
  <c r="BX151" i="4"/>
  <c r="BX153" i="4"/>
  <c r="BX155" i="4"/>
  <c r="CB151" i="4"/>
  <c r="CB153" i="4"/>
  <c r="CB155" i="4"/>
  <c r="BE19" i="5"/>
  <c r="BE20" i="5"/>
  <c r="BE22" i="5"/>
  <c r="BE23" i="5"/>
  <c r="BE58" i="5"/>
  <c r="BE59" i="5"/>
  <c r="BE61" i="5"/>
  <c r="BE62" i="5"/>
  <c r="BO11" i="4"/>
  <c r="AU12" i="4"/>
  <c r="BJ14" i="4"/>
  <c r="BJ16" i="4"/>
  <c r="BJ18" i="4"/>
  <c r="AZ25" i="4"/>
  <c r="AZ18" i="6"/>
  <c r="BH25" i="4"/>
  <c r="AY26" i="4"/>
  <c r="BD26" i="4"/>
  <c r="E5" i="9"/>
  <c r="BE33" i="7"/>
  <c r="BE35" i="7"/>
  <c r="BE19" i="6"/>
  <c r="BI27" i="4"/>
  <c r="BJ34" i="4"/>
  <c r="BO35" i="4"/>
  <c r="BE36" i="4"/>
  <c r="BO40" i="4"/>
  <c r="AZ41" i="4"/>
  <c r="AZ28" i="6"/>
  <c r="D7" i="9"/>
  <c r="AZ10" i="7"/>
  <c r="AZ29" i="6"/>
  <c r="BH10" i="7"/>
  <c r="BH29" i="6"/>
  <c r="BG44" i="4"/>
  <c r="BG30" i="6"/>
  <c r="BO47" i="4"/>
  <c r="BE48" i="4"/>
  <c r="BE51" i="4"/>
  <c r="BJ52" i="4"/>
  <c r="BC52" i="4"/>
  <c r="BG52" i="4"/>
  <c r="D9" i="9"/>
  <c r="AZ11" i="7"/>
  <c r="AZ36" i="6"/>
  <c r="BH11" i="7"/>
  <c r="BH36" i="6"/>
  <c r="BL11" i="7"/>
  <c r="BL36" i="6"/>
  <c r="BP11" i="7"/>
  <c r="BP36" i="6"/>
  <c r="BX11" i="7"/>
  <c r="BX36" i="6"/>
  <c r="CB11" i="7"/>
  <c r="CB36" i="6"/>
  <c r="BG54" i="4"/>
  <c r="BG37" i="6"/>
  <c r="BO56" i="4"/>
  <c r="BJ57" i="4"/>
  <c r="BJ40" i="6"/>
  <c r="BO59" i="4"/>
  <c r="BJ60" i="4"/>
  <c r="BJ43" i="6"/>
  <c r="AJ63" i="4"/>
  <c r="Q64" i="4"/>
  <c r="AG64" i="4"/>
  <c r="BO65" i="4"/>
  <c r="AF66" i="4"/>
  <c r="AJ66" i="4"/>
  <c r="AZ66" i="4"/>
  <c r="BO69" i="4"/>
  <c r="BJ70" i="4"/>
  <c r="AZ71" i="4"/>
  <c r="AZ50" i="6"/>
  <c r="BH71" i="4"/>
  <c r="BD72" i="4"/>
  <c r="AT41" i="7"/>
  <c r="AT51" i="6"/>
  <c r="E15" i="9"/>
  <c r="BE41" i="7"/>
  <c r="BE43" i="7"/>
  <c r="BE51" i="6"/>
  <c r="BI73" i="4"/>
  <c r="AY74" i="4"/>
  <c r="AY52" i="6"/>
  <c r="BD74" i="4"/>
  <c r="BD52" i="6"/>
  <c r="Q78" i="4"/>
  <c r="Q56" i="6"/>
  <c r="BJ78" i="4"/>
  <c r="BJ56" i="6"/>
  <c r="BO79" i="4"/>
  <c r="BA80" i="4"/>
  <c r="BA58" i="6"/>
  <c r="BI80" i="4"/>
  <c r="BI58" i="6"/>
  <c r="BF14" i="7"/>
  <c r="BF59" i="6"/>
  <c r="BJ81" i="4"/>
  <c r="BE82" i="4"/>
  <c r="BE60" i="6"/>
  <c r="BI82" i="4"/>
  <c r="BI60" i="6"/>
  <c r="BO84" i="4"/>
  <c r="BO93" i="4"/>
  <c r="BE94" i="4"/>
  <c r="BJ94" i="4"/>
  <c r="BJ95" i="4"/>
  <c r="BO97" i="4"/>
  <c r="BJ98" i="4"/>
  <c r="BZ103" i="4"/>
  <c r="BX105" i="4"/>
  <c r="BX76" i="6"/>
  <c r="CB105" i="4"/>
  <c r="CB76" i="6"/>
  <c r="BY109" i="4"/>
  <c r="BD111" i="4"/>
  <c r="BD79" i="6"/>
  <c r="BF113" i="4"/>
  <c r="AY115" i="4"/>
  <c r="AV116" i="4"/>
  <c r="AV83" i="6"/>
  <c r="D49" i="7"/>
  <c r="D84" i="6"/>
  <c r="H49" i="7"/>
  <c r="H84" i="6"/>
  <c r="L49" i="7"/>
  <c r="L84" i="6"/>
  <c r="P49" i="7"/>
  <c r="P84" i="6"/>
  <c r="T49" i="7"/>
  <c r="T84" i="6"/>
  <c r="X49" i="7"/>
  <c r="X84" i="6"/>
  <c r="AU49" i="7"/>
  <c r="AU84" i="6"/>
  <c r="BF49" i="7"/>
  <c r="BF84" i="6"/>
  <c r="BJ117" i="4"/>
  <c r="BB119" i="4"/>
  <c r="BC120" i="4"/>
  <c r="R121" i="4"/>
  <c r="R88" i="6"/>
  <c r="V121" i="4"/>
  <c r="V88" i="6"/>
  <c r="Z121" i="4"/>
  <c r="Z88" i="6"/>
  <c r="AW121" i="4"/>
  <c r="BA121" i="4"/>
  <c r="V58" i="7"/>
  <c r="V92" i="6"/>
  <c r="AL58" i="7"/>
  <c r="AL92" i="6"/>
  <c r="AP125" i="4"/>
  <c r="AT58" i="7"/>
  <c r="AT92" i="6"/>
  <c r="AY92" i="6"/>
  <c r="AY58" i="7"/>
  <c r="BG58" i="7"/>
  <c r="BG92" i="6"/>
  <c r="BA126" i="4"/>
  <c r="BA93" i="6"/>
  <c r="AK128" i="4"/>
  <c r="AK95" i="6"/>
  <c r="AO128" i="4"/>
  <c r="AO95" i="6"/>
  <c r="AS128" i="4"/>
  <c r="AS95" i="6"/>
  <c r="AW128" i="4"/>
  <c r="AW95" i="6"/>
  <c r="BA128" i="4"/>
  <c r="BE128" i="4"/>
  <c r="AP59" i="7"/>
  <c r="AP96" i="6"/>
  <c r="E33" i="9"/>
  <c r="E34" i="9"/>
  <c r="BE59" i="7"/>
  <c r="BE96" i="6"/>
  <c r="BI59" i="7"/>
  <c r="BI96" i="6"/>
  <c r="BB98" i="6"/>
  <c r="BB49" i="5"/>
  <c r="AZ132" i="4"/>
  <c r="AZ99" i="6"/>
  <c r="AM60" i="7"/>
  <c r="AM100" i="6"/>
  <c r="AQ60" i="7"/>
  <c r="AQ100" i="6"/>
  <c r="AU133" i="4"/>
  <c r="AZ133" i="4"/>
  <c r="BH60" i="7"/>
  <c r="BH100" i="6"/>
  <c r="BD134" i="4"/>
  <c r="BD101" i="6"/>
  <c r="AS136" i="4"/>
  <c r="AS103" i="6"/>
  <c r="AW136" i="4"/>
  <c r="AW103" i="6"/>
  <c r="BA136" i="4"/>
  <c r="BE136" i="4"/>
  <c r="AK137" i="4"/>
  <c r="AS137" i="4"/>
  <c r="BE137" i="4"/>
  <c r="BI137" i="4"/>
  <c r="X138" i="4"/>
  <c r="X105" i="6"/>
  <c r="AG138" i="4"/>
  <c r="AG105" i="6"/>
  <c r="AO138" i="4"/>
  <c r="AO105" i="6"/>
  <c r="AW138" i="4"/>
  <c r="AW105" i="6"/>
  <c r="BM142" i="4"/>
  <c r="BQ142" i="4"/>
  <c r="BU142" i="4"/>
  <c r="CC142" i="4"/>
  <c r="Y143" i="4"/>
  <c r="Y109" i="6"/>
  <c r="AQ148" i="4"/>
  <c r="AQ149" i="4"/>
  <c r="AW151" i="4"/>
  <c r="AW152" i="4"/>
  <c r="BA151" i="4"/>
  <c r="BA152" i="4"/>
  <c r="BM151" i="4"/>
  <c r="BM153" i="4"/>
  <c r="BM155" i="4"/>
  <c r="BQ151" i="4"/>
  <c r="BQ153" i="4"/>
  <c r="BQ155" i="4"/>
  <c r="BU151" i="4"/>
  <c r="BU153" i="4"/>
  <c r="BU155" i="4"/>
  <c r="CC151" i="4"/>
  <c r="CC153" i="4"/>
  <c r="CC155" i="4"/>
  <c r="AZ29" i="5"/>
  <c r="BA30" i="5"/>
  <c r="BA38" i="5"/>
  <c r="BE29" i="5"/>
  <c r="BE32" i="5"/>
  <c r="BE33" i="5"/>
  <c r="BE42" i="5"/>
  <c r="BE43" i="5"/>
  <c r="BE52" i="5"/>
  <c r="BE53" i="5"/>
  <c r="BA59" i="5"/>
  <c r="BA67" i="5"/>
  <c r="BE64" i="5"/>
  <c r="BE65" i="5"/>
  <c r="AF118" i="8"/>
  <c r="AF121" i="8"/>
  <c r="AF126" i="8"/>
  <c r="Y115" i="8"/>
  <c r="Y121" i="8"/>
  <c r="BE35" i="5"/>
  <c r="BE36" i="5"/>
  <c r="BE45" i="5"/>
  <c r="BE46" i="5"/>
  <c r="BE55" i="5"/>
  <c r="BE56" i="5"/>
  <c r="BA62" i="5"/>
  <c r="BL9" i="7"/>
  <c r="BM64" i="7"/>
  <c r="BM72" i="7"/>
  <c r="AF45" i="8"/>
  <c r="AF46" i="8"/>
  <c r="AF53" i="8"/>
  <c r="AG44" i="8"/>
  <c r="AC46" i="8"/>
  <c r="T53" i="8"/>
  <c r="T54" i="8"/>
  <c r="V68" i="8"/>
  <c r="W69" i="8"/>
  <c r="CB9" i="7"/>
  <c r="CA72" i="7"/>
  <c r="CA64" i="7"/>
  <c r="BU51" i="7"/>
  <c r="CC51" i="7"/>
  <c r="BP9" i="7"/>
  <c r="BX9" i="7"/>
  <c r="BB9" i="7"/>
  <c r="BZ64" i="7"/>
  <c r="BZ72" i="7"/>
  <c r="W39" i="8"/>
  <c r="AJ39" i="8"/>
  <c r="AM32" i="8"/>
  <c r="AN32" i="8"/>
  <c r="AL32" i="8"/>
  <c r="AK39" i="8"/>
  <c r="AK46" i="8"/>
  <c r="AK53" i="8"/>
  <c r="AK54" i="8"/>
  <c r="AJ46" i="8"/>
  <c r="BK43" i="8"/>
  <c r="BP43" i="8"/>
  <c r="X53" i="8"/>
  <c r="AJ53" i="8"/>
  <c r="BV64" i="7"/>
  <c r="BV72" i="7"/>
  <c r="BS64" i="7"/>
  <c r="BX72" i="7"/>
  <c r="R82" i="8"/>
  <c r="AJ18" i="8"/>
  <c r="AJ82" i="8"/>
  <c r="AN82" i="8"/>
  <c r="AN84" i="8"/>
  <c r="AN18" i="8"/>
  <c r="AJ25" i="8"/>
  <c r="AJ26" i="8"/>
  <c r="X54" i="8"/>
  <c r="AL45" i="8"/>
  <c r="AS40" i="8"/>
  <c r="V51" i="8"/>
  <c r="V53" i="8"/>
  <c r="W48" i="8"/>
  <c r="W51" i="8"/>
  <c r="AA53" i="8"/>
  <c r="AA54" i="8"/>
  <c r="AG51" i="8"/>
  <c r="E53" i="8"/>
  <c r="E54" i="8"/>
  <c r="I53" i="8"/>
  <c r="N53" i="8"/>
  <c r="AI65" i="8"/>
  <c r="AI86" i="8"/>
  <c r="AJ115" i="8"/>
  <c r="AK58" i="8"/>
  <c r="J65" i="8"/>
  <c r="J86" i="8"/>
  <c r="L64" i="8"/>
  <c r="W75" i="8"/>
  <c r="V71" i="8"/>
  <c r="AE77" i="8"/>
  <c r="J75" i="8"/>
  <c r="J77" i="8"/>
  <c r="L72" i="8"/>
  <c r="L75" i="8"/>
  <c r="BR64" i="7"/>
  <c r="BR72" i="7"/>
  <c r="BU64" i="7"/>
  <c r="BU72" i="7"/>
  <c r="CC64" i="7"/>
  <c r="CC72" i="7"/>
  <c r="BW64" i="7"/>
  <c r="BL72" i="7"/>
  <c r="CB72" i="7"/>
  <c r="AL18" i="8"/>
  <c r="W25" i="8"/>
  <c r="C26" i="8"/>
  <c r="N26" i="8"/>
  <c r="AH26" i="8"/>
  <c r="L54" i="8"/>
  <c r="AL83" i="8"/>
  <c r="AL84" i="8"/>
  <c r="AL88" i="8"/>
  <c r="H45" i="8"/>
  <c r="AB45" i="8"/>
  <c r="C46" i="8"/>
  <c r="AQ45" i="8"/>
  <c r="M51" i="8"/>
  <c r="M53" i="8"/>
  <c r="AH53" i="8"/>
  <c r="F53" i="8"/>
  <c r="F54" i="8"/>
  <c r="J53" i="8"/>
  <c r="J54" i="8"/>
  <c r="O53" i="8"/>
  <c r="O54" i="8"/>
  <c r="U53" i="8"/>
  <c r="AC53" i="8"/>
  <c r="AC54" i="8"/>
  <c r="AJ65" i="8"/>
  <c r="AJ86" i="8"/>
  <c r="AK115" i="8"/>
  <c r="AO105" i="8"/>
  <c r="AQ105" i="8"/>
  <c r="AO65" i="8"/>
  <c r="AO86" i="8"/>
  <c r="AP115" i="8"/>
  <c r="AQ59" i="8"/>
  <c r="AM65" i="8"/>
  <c r="AM86" i="8"/>
  <c r="AN115" i="8"/>
  <c r="AQ63" i="8"/>
  <c r="AE121" i="8"/>
  <c r="AE126" i="8"/>
  <c r="AE118" i="8"/>
  <c r="V69" i="8"/>
  <c r="AF67" i="8"/>
  <c r="AD69" i="8"/>
  <c r="BN64" i="7"/>
  <c r="BN72" i="7"/>
  <c r="BQ64" i="7"/>
  <c r="BQ72" i="7"/>
  <c r="BK64" i="7"/>
  <c r="BP72" i="7"/>
  <c r="G18" i="8"/>
  <c r="H15" i="8"/>
  <c r="U54" i="8"/>
  <c r="V18" i="8"/>
  <c r="V26" i="8"/>
  <c r="V54" i="8"/>
  <c r="H25" i="8"/>
  <c r="H26" i="8"/>
  <c r="I26" i="8"/>
  <c r="I54" i="8"/>
  <c r="S26" i="8"/>
  <c r="AD26" i="8"/>
  <c r="AD54" i="8"/>
  <c r="AI26" i="8"/>
  <c r="P54" i="8"/>
  <c r="AF54" i="8"/>
  <c r="R39" i="8"/>
  <c r="R46" i="8"/>
  <c r="R53" i="8"/>
  <c r="AM37" i="8"/>
  <c r="AN37" i="8"/>
  <c r="AL37" i="8"/>
  <c r="AG45" i="8"/>
  <c r="AG46" i="8"/>
  <c r="AR42" i="8"/>
  <c r="AR45" i="8"/>
  <c r="D46" i="8"/>
  <c r="D53" i="8"/>
  <c r="D54" i="8"/>
  <c r="S46" i="8"/>
  <c r="S53" i="8"/>
  <c r="AD53" i="8"/>
  <c r="C53" i="8"/>
  <c r="G53" i="8"/>
  <c r="K53" i="8"/>
  <c r="K54" i="8"/>
  <c r="AO53" i="8"/>
  <c r="M65" i="8"/>
  <c r="M77" i="8"/>
  <c r="L63" i="8"/>
  <c r="L65" i="8"/>
  <c r="AA64" i="8"/>
  <c r="AB65" i="8"/>
  <c r="F77" i="8"/>
  <c r="T77" i="8"/>
  <c r="AI115" i="8"/>
  <c r="W82" i="8"/>
  <c r="M101" i="8"/>
  <c r="AG101" i="8"/>
  <c r="W18" i="8"/>
  <c r="G25" i="8"/>
  <c r="AG84" i="8"/>
  <c r="Q53" i="8"/>
  <c r="Q54" i="8"/>
  <c r="AV60" i="8"/>
  <c r="BA60" i="8"/>
  <c r="BF60" i="8"/>
  <c r="BK60" i="8"/>
  <c r="BP60" i="8"/>
  <c r="W65" i="8"/>
  <c r="V63" i="8"/>
  <c r="D64" i="9"/>
  <c r="AK64" i="8"/>
  <c r="AO118" i="8"/>
  <c r="AO121" i="8"/>
  <c r="AO123" i="8"/>
  <c r="AO126" i="8"/>
  <c r="K69" i="8"/>
  <c r="K77" i="8"/>
  <c r="L67" i="8"/>
  <c r="C77" i="8"/>
  <c r="C79" i="8"/>
  <c r="S77" i="8"/>
  <c r="S79" i="8"/>
  <c r="AG75" i="8"/>
  <c r="H77" i="8"/>
  <c r="N77" i="8"/>
  <c r="X77" i="8"/>
  <c r="X79" i="8"/>
  <c r="AM82" i="8"/>
  <c r="AM84" i="8"/>
  <c r="AI101" i="8"/>
  <c r="H18" i="8"/>
  <c r="AB18" i="8"/>
  <c r="AB26" i="8"/>
  <c r="AL19" i="8"/>
  <c r="AL25" i="8"/>
  <c r="AL26" i="8"/>
  <c r="AN29" i="8"/>
  <c r="AL33" i="8"/>
  <c r="AL39" i="8"/>
  <c r="R83" i="8"/>
  <c r="R84" i="8"/>
  <c r="AI88" i="8"/>
  <c r="AI83" i="8"/>
  <c r="AQ35" i="8"/>
  <c r="AB48" i="8"/>
  <c r="AB51" i="8"/>
  <c r="AA65" i="8"/>
  <c r="AA86" i="8"/>
  <c r="AB86" i="8"/>
  <c r="AC115" i="8"/>
  <c r="V105" i="8"/>
  <c r="AJ36" i="3"/>
  <c r="AI105" i="8"/>
  <c r="AK59" i="8"/>
  <c r="AK105" i="8"/>
  <c r="T115" i="8"/>
  <c r="AG65" i="8"/>
  <c r="AF63" i="8"/>
  <c r="AF65" i="8"/>
  <c r="AF86" i="8"/>
  <c r="AG86" i="8"/>
  <c r="AH115" i="8"/>
  <c r="G64" i="8"/>
  <c r="AA69" i="8"/>
  <c r="AV67" i="8"/>
  <c r="Q68" i="8"/>
  <c r="Q69" i="8"/>
  <c r="O69" i="8"/>
  <c r="AQ68" i="8"/>
  <c r="E66" i="9"/>
  <c r="AM69" i="8"/>
  <c r="O75" i="8"/>
  <c r="O77" i="8"/>
  <c r="Q71" i="8"/>
  <c r="Q75" i="8"/>
  <c r="AC75" i="8"/>
  <c r="AC77" i="8"/>
  <c r="AC79" i="8"/>
  <c r="AM75" i="8"/>
  <c r="AM77" i="8"/>
  <c r="AQ71" i="8"/>
  <c r="V72" i="8"/>
  <c r="AL77" i="8"/>
  <c r="AL79" i="8"/>
  <c r="AQ74" i="8"/>
  <c r="D77" i="8"/>
  <c r="P77" i="8"/>
  <c r="Z77" i="8"/>
  <c r="AH77" i="8"/>
  <c r="AH79" i="8"/>
  <c r="AK76" i="8"/>
  <c r="H82" i="8"/>
  <c r="H84" i="8"/>
  <c r="AO84" i="8"/>
  <c r="AL105" i="8"/>
  <c r="M82" i="8"/>
  <c r="M84" i="8"/>
  <c r="AI82" i="8"/>
  <c r="AJ101" i="8"/>
  <c r="R15" i="8"/>
  <c r="R18" i="8"/>
  <c r="R26" i="8"/>
  <c r="R54" i="8"/>
  <c r="M18" i="8"/>
  <c r="M26" i="8"/>
  <c r="M54" i="8"/>
  <c r="AG18" i="8"/>
  <c r="AG26" i="8"/>
  <c r="AM19" i="8"/>
  <c r="AI103" i="8"/>
  <c r="W84" i="8"/>
  <c r="AJ88" i="8"/>
  <c r="AJ83" i="8"/>
  <c r="H39" i="8"/>
  <c r="AB39" i="8"/>
  <c r="AP110" i="8"/>
  <c r="AV59" i="8"/>
  <c r="G63" i="8"/>
  <c r="G65" i="8"/>
  <c r="AD115" i="8"/>
  <c r="Q64" i="8"/>
  <c r="Q65" i="8"/>
  <c r="Q86" i="8"/>
  <c r="R86" i="8"/>
  <c r="V64" i="8"/>
  <c r="AK67" i="8"/>
  <c r="AK69" i="8"/>
  <c r="AI75" i="8"/>
  <c r="AI77" i="8"/>
  <c r="AK71" i="8"/>
  <c r="AB77" i="8"/>
  <c r="AB79" i="8"/>
  <c r="AB80" i="8"/>
  <c r="AJ77" i="8"/>
  <c r="AB82" i="8"/>
  <c r="AB84" i="8"/>
  <c r="AD109" i="8"/>
  <c r="AD84" i="8"/>
  <c r="Z89" i="8"/>
  <c r="AP88" i="8"/>
  <c r="L68" i="8"/>
  <c r="AF68" i="8"/>
  <c r="AQ69" i="8"/>
  <c r="AF71" i="8"/>
  <c r="AF75" i="8"/>
  <c r="AK72" i="8"/>
  <c r="AD77" i="8"/>
  <c r="Q84" i="8"/>
  <c r="Z109" i="8"/>
  <c r="Z84" i="8"/>
  <c r="V89" i="8"/>
  <c r="W88" i="8"/>
  <c r="AG89" i="8"/>
  <c r="AM89" i="8"/>
  <c r="O103" i="8"/>
  <c r="O102" i="8"/>
  <c r="V109" i="8"/>
  <c r="N84" i="8"/>
  <c r="V84" i="8"/>
  <c r="AH89" i="8"/>
  <c r="K103" i="8"/>
  <c r="K102" i="8"/>
  <c r="I101" i="8"/>
  <c r="O84" i="8"/>
  <c r="S84" i="8"/>
  <c r="X109" i="8"/>
  <c r="AC84" i="8"/>
  <c r="AH109" i="8"/>
  <c r="AH84" i="8"/>
  <c r="AD89" i="8"/>
  <c r="G103" i="8"/>
  <c r="G102" i="8"/>
  <c r="AB109" i="8"/>
  <c r="AA109" i="8"/>
  <c r="AE109" i="8"/>
  <c r="AM109" i="8"/>
  <c r="U84" i="8"/>
  <c r="Y84" i="8"/>
  <c r="U89" i="8"/>
  <c r="Y89" i="8"/>
  <c r="AC89" i="8"/>
  <c r="AK89" i="8"/>
  <c r="AO89" i="8"/>
  <c r="R95" i="8"/>
  <c r="R101" i="8"/>
  <c r="H96" i="8"/>
  <c r="H102" i="8"/>
  <c r="E102" i="8"/>
  <c r="L103" i="8"/>
  <c r="AL109" i="8"/>
  <c r="T109" i="8"/>
  <c r="AB88" i="8"/>
  <c r="M96" i="8"/>
  <c r="M102" i="8"/>
  <c r="I102" i="8"/>
  <c r="P103" i="8"/>
  <c r="AC109" i="8"/>
  <c r="AK109" i="8"/>
  <c r="AO109" i="8"/>
  <c r="AA84" i="8"/>
  <c r="AE84" i="8"/>
  <c r="H95" i="8"/>
  <c r="H101" i="8"/>
  <c r="F103" i="8"/>
  <c r="F102" i="8"/>
  <c r="J103" i="8"/>
  <c r="J102" i="8"/>
  <c r="N103" i="8"/>
  <c r="N102" i="8"/>
  <c r="R96" i="8"/>
  <c r="R103" i="8"/>
  <c r="D103" i="8"/>
  <c r="AG105" i="8"/>
  <c r="AU36" i="3"/>
  <c r="AG109" i="8"/>
  <c r="AQ110" i="8"/>
  <c r="AA104" i="8"/>
  <c r="AO16" i="3"/>
  <c r="AP16" i="3"/>
  <c r="X105" i="8"/>
  <c r="BA105" i="8"/>
  <c r="W110" i="8"/>
  <c r="H75" i="9"/>
  <c r="I74" i="9"/>
  <c r="N54" i="8"/>
  <c r="AZ55" i="3"/>
  <c r="AI46" i="8"/>
  <c r="AI53" i="8"/>
  <c r="BJ93" i="3"/>
  <c r="BJ36" i="3"/>
  <c r="G77" i="8"/>
  <c r="L69" i="8"/>
  <c r="L77" i="8"/>
  <c r="W77" i="8"/>
  <c r="W79" i="8"/>
  <c r="W80" i="8"/>
  <c r="AG53" i="8"/>
  <c r="AO77" i="8"/>
  <c r="AZ9" i="7"/>
  <c r="AZ18" i="7"/>
  <c r="BB38" i="5"/>
  <c r="AN40" i="8"/>
  <c r="AN45" i="8"/>
  <c r="AM45" i="8"/>
  <c r="BO48" i="6"/>
  <c r="BT67" i="4"/>
  <c r="W26" i="8"/>
  <c r="BF9" i="7"/>
  <c r="BE115" i="3"/>
  <c r="BE120" i="3"/>
  <c r="AK75" i="8"/>
  <c r="AG54" i="8"/>
  <c r="W53" i="8"/>
  <c r="AE54" i="8"/>
  <c r="U77" i="8"/>
  <c r="U79" i="8"/>
  <c r="AA75" i="8"/>
  <c r="AA77" i="8"/>
  <c r="BH48" i="5"/>
  <c r="BD48" i="5"/>
  <c r="BI38" i="5"/>
  <c r="BJ14" i="5"/>
  <c r="BD67" i="5"/>
  <c r="BG9" i="7"/>
  <c r="E18" i="9"/>
  <c r="AJ102" i="8"/>
  <c r="AZ64" i="3"/>
  <c r="BV120" i="3"/>
  <c r="AK64" i="3"/>
  <c r="Y101" i="3"/>
  <c r="U101" i="3"/>
  <c r="AK65" i="3"/>
  <c r="R102" i="8"/>
  <c r="AB103" i="8"/>
  <c r="W103" i="8"/>
  <c r="BT103" i="3"/>
  <c r="BO102" i="3"/>
  <c r="BO115" i="3"/>
  <c r="BO120" i="3"/>
  <c r="AF65" i="3"/>
  <c r="BH67" i="5"/>
  <c r="BE30" i="5"/>
  <c r="BE38" i="5"/>
  <c r="AG115" i="8"/>
  <c r="AC121" i="8"/>
  <c r="BU11" i="3"/>
  <c r="BP11" i="3"/>
  <c r="CA11" i="3"/>
  <c r="BZ11" i="3"/>
  <c r="BQ11" i="3"/>
  <c r="BL11" i="3"/>
  <c r="BV11" i="3"/>
  <c r="BM11" i="3"/>
  <c r="CB11" i="3"/>
  <c r="BS11" i="3"/>
  <c r="BR11" i="3"/>
  <c r="AK36" i="3"/>
  <c r="AL115" i="8"/>
  <c r="AH121" i="8"/>
  <c r="AH118" i="8"/>
  <c r="CC11" i="3"/>
  <c r="BX11" i="3"/>
  <c r="BK11" i="3"/>
  <c r="BN11" i="3"/>
  <c r="AI78" i="8"/>
  <c r="AI79" i="8"/>
  <c r="AH80" i="8"/>
  <c r="G63" i="9"/>
  <c r="BF105" i="8"/>
  <c r="BA59" i="8"/>
  <c r="BO81" i="7"/>
  <c r="AQ109" i="8"/>
  <c r="AB104" i="8"/>
  <c r="W105" i="8"/>
  <c r="AB89" i="8"/>
  <c r="W89" i="8"/>
  <c r="M103" i="8"/>
  <c r="C80" i="8"/>
  <c r="D78" i="8"/>
  <c r="H78" i="8"/>
  <c r="AI54" i="8"/>
  <c r="AF69" i="8"/>
  <c r="AF77" i="8"/>
  <c r="E63" i="9"/>
  <c r="BE81" i="7"/>
  <c r="BE36" i="3"/>
  <c r="AL89" i="8"/>
  <c r="AH54" i="8"/>
  <c r="C54" i="8"/>
  <c r="V75" i="8"/>
  <c r="AM39" i="8"/>
  <c r="AM46" i="8"/>
  <c r="AM53" i="8"/>
  <c r="CC108" i="6"/>
  <c r="CC147" i="4"/>
  <c r="CC156" i="4"/>
  <c r="CC10" i="3"/>
  <c r="AK104" i="6"/>
  <c r="AK138" i="4"/>
  <c r="AK105" i="6"/>
  <c r="D35" i="9"/>
  <c r="AZ60" i="7"/>
  <c r="AZ57" i="7"/>
  <c r="AZ100" i="6"/>
  <c r="AZ137" i="4"/>
  <c r="AZ136" i="4"/>
  <c r="AZ103" i="6"/>
  <c r="BE95" i="6"/>
  <c r="BG57" i="7"/>
  <c r="BB86" i="6"/>
  <c r="BB26" i="5"/>
  <c r="AY82" i="6"/>
  <c r="AY116" i="4"/>
  <c r="AY83" i="6"/>
  <c r="AY121" i="4"/>
  <c r="BO72" i="6"/>
  <c r="BT97" i="4"/>
  <c r="F17" i="9"/>
  <c r="F18" i="9"/>
  <c r="BJ14" i="7"/>
  <c r="BJ59" i="6"/>
  <c r="BJ82" i="4"/>
  <c r="BJ60" i="6"/>
  <c r="BO49" i="6"/>
  <c r="BT69" i="4"/>
  <c r="BO47" i="6"/>
  <c r="BT65" i="4"/>
  <c r="BO33" i="6"/>
  <c r="BO53" i="4"/>
  <c r="BT47" i="4"/>
  <c r="BI33" i="7"/>
  <c r="BI35" i="7"/>
  <c r="BI19" i="6"/>
  <c r="BI115" i="4"/>
  <c r="BI28" i="4"/>
  <c r="BI20" i="6"/>
  <c r="BO11" i="6"/>
  <c r="BT11" i="4"/>
  <c r="BP108" i="6"/>
  <c r="BP147" i="4"/>
  <c r="BP156" i="4"/>
  <c r="BP10" i="3"/>
  <c r="AR104" i="6"/>
  <c r="AR151" i="4"/>
  <c r="AR152" i="4"/>
  <c r="AR138" i="4"/>
  <c r="AR105" i="6"/>
  <c r="BC99" i="6"/>
  <c r="BC131" i="4"/>
  <c r="E29" i="9"/>
  <c r="AX82" i="6"/>
  <c r="AX116" i="4"/>
  <c r="AX83" i="6"/>
  <c r="AX121" i="4"/>
  <c r="BO76" i="6"/>
  <c r="BO106" i="4"/>
  <c r="BO73" i="6"/>
  <c r="BT99" i="4"/>
  <c r="D15" i="9"/>
  <c r="D25" i="9"/>
  <c r="AZ51" i="6"/>
  <c r="AZ41" i="7"/>
  <c r="BY26" i="6"/>
  <c r="CD37" i="4"/>
  <c r="CD26" i="6"/>
  <c r="BT23" i="6"/>
  <c r="BY31" i="4"/>
  <c r="BS108" i="6"/>
  <c r="BS147" i="4"/>
  <c r="BS156" i="4"/>
  <c r="BS10" i="3"/>
  <c r="AA104" i="6"/>
  <c r="AA138" i="4"/>
  <c r="AA105" i="6"/>
  <c r="BB79" i="6"/>
  <c r="BE111" i="4"/>
  <c r="BE79" i="6"/>
  <c r="F9" i="9"/>
  <c r="F10" i="9"/>
  <c r="BJ11" i="7"/>
  <c r="BJ36" i="6"/>
  <c r="BJ54" i="4"/>
  <c r="BJ37" i="6"/>
  <c r="BZ108" i="6"/>
  <c r="BZ147" i="4"/>
  <c r="BZ156" i="4"/>
  <c r="BZ10" i="3"/>
  <c r="BF41" i="7"/>
  <c r="BF51" i="6"/>
  <c r="BF74" i="4"/>
  <c r="BF52" i="6"/>
  <c r="BE50" i="6"/>
  <c r="BE72" i="4"/>
  <c r="BF33" i="7"/>
  <c r="BF35" i="7"/>
  <c r="BF19" i="6"/>
  <c r="BF115" i="4"/>
  <c r="BF28" i="4"/>
  <c r="BF20" i="6"/>
  <c r="BE74" i="4"/>
  <c r="BE52" i="6"/>
  <c r="E56" i="9"/>
  <c r="BE117" i="3"/>
  <c r="BE54" i="3"/>
  <c r="BE64" i="3"/>
  <c r="AN20" i="3"/>
  <c r="AN63" i="3"/>
  <c r="AN53" i="3"/>
  <c r="AH103" i="8"/>
  <c r="AH102" i="8"/>
  <c r="AL96" i="8"/>
  <c r="AT53" i="3"/>
  <c r="AT20" i="3"/>
  <c r="AT63" i="3"/>
  <c r="C56" i="3"/>
  <c r="G19" i="3"/>
  <c r="C26" i="3"/>
  <c r="K56" i="3"/>
  <c r="K66" i="3"/>
  <c r="K20" i="3"/>
  <c r="K26" i="3"/>
  <c r="AA54" i="3"/>
  <c r="AA64" i="3"/>
  <c r="AQ53" i="3"/>
  <c r="AQ20" i="3"/>
  <c r="AQ63" i="3"/>
  <c r="AA53" i="3"/>
  <c r="AA63" i="3"/>
  <c r="AC103" i="8"/>
  <c r="AC102" i="8"/>
  <c r="AG96" i="8"/>
  <c r="N56" i="3"/>
  <c r="N20" i="3"/>
  <c r="N26" i="3"/>
  <c r="N66" i="3"/>
  <c r="AF102" i="8"/>
  <c r="AF103" i="8"/>
  <c r="Z66" i="3"/>
  <c r="Z20" i="3"/>
  <c r="Z56" i="3"/>
  <c r="Z96" i="3"/>
  <c r="L87" i="8"/>
  <c r="Z26" i="3"/>
  <c r="Y26" i="3"/>
  <c r="Y56" i="3"/>
  <c r="Y96" i="3"/>
  <c r="K87" i="8"/>
  <c r="Y66" i="3"/>
  <c r="Y20" i="3"/>
  <c r="AS63" i="3"/>
  <c r="AS53" i="3"/>
  <c r="AS20" i="3"/>
  <c r="E54" i="9"/>
  <c r="AQ96" i="8"/>
  <c r="AH53" i="3"/>
  <c r="AH20" i="3"/>
  <c r="AH63" i="3"/>
  <c r="D58" i="3"/>
  <c r="D57" i="3"/>
  <c r="D32" i="3"/>
  <c r="P66" i="3"/>
  <c r="BJ17" i="5"/>
  <c r="BJ46" i="5"/>
  <c r="BJ65" i="5"/>
  <c r="BJ33" i="5"/>
  <c r="BJ62" i="5"/>
  <c r="BI48" i="5"/>
  <c r="BJ30" i="5"/>
  <c r="AN121" i="8"/>
  <c r="AN123" i="8"/>
  <c r="AN126" i="8"/>
  <c r="AN118" i="8"/>
  <c r="AK118" i="8"/>
  <c r="AK121" i="8"/>
  <c r="AT40" i="8"/>
  <c r="L86" i="8"/>
  <c r="M86" i="8"/>
  <c r="BU108" i="6"/>
  <c r="BU147" i="4"/>
  <c r="BU156" i="4"/>
  <c r="BU10" i="3"/>
  <c r="BI104" i="6"/>
  <c r="BI151" i="4"/>
  <c r="BI153" i="4"/>
  <c r="BI138" i="4"/>
  <c r="BI105" i="6"/>
  <c r="BE103" i="6"/>
  <c r="AU60" i="7"/>
  <c r="AU100" i="6"/>
  <c r="AU137" i="4"/>
  <c r="AU136" i="4"/>
  <c r="AU103" i="6"/>
  <c r="BA95" i="6"/>
  <c r="BA127" i="4"/>
  <c r="AP58" i="7"/>
  <c r="AP92" i="6"/>
  <c r="AP128" i="4"/>
  <c r="AP95" i="6"/>
  <c r="F28" i="9"/>
  <c r="F29" i="9"/>
  <c r="BJ49" i="7"/>
  <c r="BJ84" i="6"/>
  <c r="BJ120" i="4"/>
  <c r="BO117" i="4"/>
  <c r="BF80" i="6"/>
  <c r="BF25" i="7"/>
  <c r="BJ71" i="6"/>
  <c r="BJ113" i="4"/>
  <c r="BJ96" i="4"/>
  <c r="G19" i="9"/>
  <c r="G20" i="9"/>
  <c r="BO62" i="6"/>
  <c r="BO15" i="7"/>
  <c r="BT84" i="4"/>
  <c r="BO57" i="6"/>
  <c r="BT79" i="4"/>
  <c r="E16" i="9"/>
  <c r="BH50" i="6"/>
  <c r="BH73" i="4"/>
  <c r="G11" i="9"/>
  <c r="G12" i="9"/>
  <c r="BO12" i="7"/>
  <c r="BO39" i="6"/>
  <c r="BT56" i="4"/>
  <c r="BL108" i="6"/>
  <c r="BL147" i="4"/>
  <c r="BL156" i="4"/>
  <c r="BL10" i="3"/>
  <c r="AP60" i="7"/>
  <c r="AP100" i="6"/>
  <c r="BF64" i="7"/>
  <c r="BF72" i="7"/>
  <c r="BI25" i="7"/>
  <c r="BI80" i="6"/>
  <c r="BO79" i="6"/>
  <c r="BT111" i="4"/>
  <c r="CC75" i="6"/>
  <c r="CC105" i="4"/>
  <c r="CC76" i="6"/>
  <c r="H21" i="9"/>
  <c r="H22" i="9"/>
  <c r="BT16" i="7"/>
  <c r="BT65" i="6"/>
  <c r="BY87" i="4"/>
  <c r="BO55" i="6"/>
  <c r="BT77" i="4"/>
  <c r="BO81" i="4"/>
  <c r="BG50" i="6"/>
  <c r="BG73" i="4"/>
  <c r="BO46" i="6"/>
  <c r="BT63" i="4"/>
  <c r="BK108" i="6"/>
  <c r="BK147" i="4"/>
  <c r="BK156" i="4"/>
  <c r="BK10" i="3"/>
  <c r="F35" i="9"/>
  <c r="F36" i="9"/>
  <c r="BJ60" i="7"/>
  <c r="BJ100" i="6"/>
  <c r="BO133" i="4"/>
  <c r="BJ137" i="4"/>
  <c r="BJ136" i="4"/>
  <c r="BE57" i="7"/>
  <c r="BE57" i="6"/>
  <c r="BE80" i="4"/>
  <c r="BE58" i="6"/>
  <c r="BV108" i="6"/>
  <c r="BV147" i="4"/>
  <c r="BV156" i="4"/>
  <c r="BV10" i="3"/>
  <c r="F33" i="9"/>
  <c r="F34" i="9"/>
  <c r="BJ59" i="7"/>
  <c r="BJ96" i="6"/>
  <c r="BJ132" i="4"/>
  <c r="BO129" i="4"/>
  <c r="BG25" i="7"/>
  <c r="BG80" i="6"/>
  <c r="BO69" i="6"/>
  <c r="BT91" i="4"/>
  <c r="BO95" i="4"/>
  <c r="BE9" i="7"/>
  <c r="BE18" i="7"/>
  <c r="BW11" i="3"/>
  <c r="AU82" i="6"/>
  <c r="AU121" i="4"/>
  <c r="BD20" i="3"/>
  <c r="BD63" i="3"/>
  <c r="BD53" i="3"/>
  <c r="AJ20" i="3"/>
  <c r="AJ63" i="3"/>
  <c r="AJ53" i="3"/>
  <c r="AP28" i="8"/>
  <c r="AP14" i="8"/>
  <c r="AQ95" i="8"/>
  <c r="AQ101" i="8"/>
  <c r="BE49" i="3"/>
  <c r="BE46" i="3"/>
  <c r="BE62" i="3"/>
  <c r="BE12" i="3"/>
  <c r="AP62" i="3"/>
  <c r="AP12" i="3"/>
  <c r="W56" i="3"/>
  <c r="W96" i="3"/>
  <c r="W66" i="3"/>
  <c r="W20" i="3"/>
  <c r="AA19" i="3"/>
  <c r="W26" i="3"/>
  <c r="AB67" i="3"/>
  <c r="V64" i="3"/>
  <c r="V54" i="3"/>
  <c r="AM53" i="3"/>
  <c r="AM63" i="3"/>
  <c r="AM20" i="3"/>
  <c r="AK103" i="8"/>
  <c r="AK102" i="8"/>
  <c r="AU62" i="3"/>
  <c r="AU12" i="3"/>
  <c r="BB53" i="3"/>
  <c r="BB20" i="3"/>
  <c r="BB63" i="3"/>
  <c r="J66" i="3"/>
  <c r="J20" i="3"/>
  <c r="J56" i="3"/>
  <c r="J26" i="3"/>
  <c r="AT88" i="6"/>
  <c r="AT148" i="4"/>
  <c r="AT149" i="4"/>
  <c r="AT142" i="4"/>
  <c r="U26" i="3"/>
  <c r="U56" i="3"/>
  <c r="U66" i="3"/>
  <c r="U20" i="3"/>
  <c r="AP64" i="3"/>
  <c r="AP54" i="3"/>
  <c r="AO63" i="3"/>
  <c r="AO20" i="3"/>
  <c r="AO53" i="3"/>
  <c r="V53" i="3"/>
  <c r="V63" i="3"/>
  <c r="N87" i="8"/>
  <c r="V19" i="3"/>
  <c r="BJ59" i="5"/>
  <c r="BJ56" i="5"/>
  <c r="BJ43" i="5"/>
  <c r="BI67" i="5"/>
  <c r="BF38" i="5"/>
  <c r="BJ23" i="5"/>
  <c r="BI25" i="5"/>
  <c r="AQ88" i="8"/>
  <c r="AQ83" i="8"/>
  <c r="AR35" i="8"/>
  <c r="H79" i="8"/>
  <c r="H80" i="8"/>
  <c r="AA105" i="8"/>
  <c r="AJ109" i="8"/>
  <c r="AJ84" i="8"/>
  <c r="AQ78" i="8"/>
  <c r="AM78" i="8"/>
  <c r="AM79" i="8"/>
  <c r="AC80" i="8"/>
  <c r="AD78" i="8"/>
  <c r="F67" i="9"/>
  <c r="AV69" i="8"/>
  <c r="BA67" i="8"/>
  <c r="T121" i="8"/>
  <c r="W121" i="8"/>
  <c r="W115" i="8"/>
  <c r="AI109" i="8"/>
  <c r="AI84" i="8"/>
  <c r="AN39" i="8"/>
  <c r="AN46" i="8"/>
  <c r="AN53" i="8"/>
  <c r="AL80" i="8"/>
  <c r="AG77" i="8"/>
  <c r="H103" i="8"/>
  <c r="S54" i="8"/>
  <c r="AB46" i="8"/>
  <c r="AB53" i="8"/>
  <c r="AB54" i="8"/>
  <c r="AK65" i="8"/>
  <c r="AK86" i="8"/>
  <c r="BE67" i="5"/>
  <c r="BQ108" i="6"/>
  <c r="BQ147" i="4"/>
  <c r="BQ156" i="4"/>
  <c r="BQ10" i="3"/>
  <c r="BE104" i="6"/>
  <c r="BE151" i="4"/>
  <c r="BE152" i="4"/>
  <c r="BE138" i="4"/>
  <c r="BE105" i="6"/>
  <c r="BA103" i="6"/>
  <c r="BA135" i="4"/>
  <c r="BA88" i="6"/>
  <c r="BA142" i="4"/>
  <c r="BA122" i="4"/>
  <c r="BA89" i="6"/>
  <c r="BA148" i="4"/>
  <c r="BA149" i="4"/>
  <c r="BD116" i="4"/>
  <c r="BD83" i="6"/>
  <c r="BZ75" i="6"/>
  <c r="BZ105" i="4"/>
  <c r="BZ76" i="6"/>
  <c r="BI41" i="7"/>
  <c r="BI51" i="6"/>
  <c r="BI74" i="4"/>
  <c r="BI52" i="6"/>
  <c r="G13" i="9"/>
  <c r="G14" i="9"/>
  <c r="BO13" i="7"/>
  <c r="BO42" i="6"/>
  <c r="BT59" i="4"/>
  <c r="BE35" i="6"/>
  <c r="BE52" i="4"/>
  <c r="BO25" i="6"/>
  <c r="BT35" i="4"/>
  <c r="BH18" i="6"/>
  <c r="BH27" i="4"/>
  <c r="CB108" i="6"/>
  <c r="CB147" i="4"/>
  <c r="CB156" i="4"/>
  <c r="CB10" i="3"/>
  <c r="AR108" i="6"/>
  <c r="AR147" i="4"/>
  <c r="AR156" i="4"/>
  <c r="BA98" i="6"/>
  <c r="BA49" i="5"/>
  <c r="BE131" i="4"/>
  <c r="BD88" i="6"/>
  <c r="BD142" i="4"/>
  <c r="BD122" i="4"/>
  <c r="BD89" i="6"/>
  <c r="BD148" i="4"/>
  <c r="BD149" i="4"/>
  <c r="AX87" i="6"/>
  <c r="AX119" i="4"/>
  <c r="AX86" i="6"/>
  <c r="BT74" i="6"/>
  <c r="BY101" i="4"/>
  <c r="AY50" i="6"/>
  <c r="AY72" i="4"/>
  <c r="BO24" i="6"/>
  <c r="BT33" i="4"/>
  <c r="BG18" i="6"/>
  <c r="BG27" i="4"/>
  <c r="CA108" i="6"/>
  <c r="CA147" i="4"/>
  <c r="CA156" i="4"/>
  <c r="CA10" i="3"/>
  <c r="AQ108" i="6"/>
  <c r="AQ147" i="4"/>
  <c r="AQ156" i="4"/>
  <c r="BC103" i="6"/>
  <c r="BC135" i="4"/>
  <c r="E37" i="9"/>
  <c r="E32" i="9"/>
  <c r="BJ71" i="4"/>
  <c r="BR108" i="6"/>
  <c r="BR147" i="4"/>
  <c r="BR156" i="4"/>
  <c r="BR10" i="3"/>
  <c r="AP138" i="4"/>
  <c r="AP105" i="6"/>
  <c r="E36" i="9"/>
  <c r="D37" i="9"/>
  <c r="BB88" i="6"/>
  <c r="BB122" i="4"/>
  <c r="BB89" i="6"/>
  <c r="BB148" i="4"/>
  <c r="BB149" i="4"/>
  <c r="BB142" i="4"/>
  <c r="CA75" i="6"/>
  <c r="CA105" i="4"/>
  <c r="CA76" i="6"/>
  <c r="E10" i="9"/>
  <c r="E8" i="9"/>
  <c r="BE18" i="6"/>
  <c r="BE26" i="4"/>
  <c r="AS88" i="6"/>
  <c r="AS142" i="4"/>
  <c r="AS148" i="4"/>
  <c r="AS149" i="4"/>
  <c r="AV20" i="3"/>
  <c r="AV63" i="3"/>
  <c r="AV53" i="3"/>
  <c r="AF63" i="3"/>
  <c r="AF53" i="3"/>
  <c r="D54" i="9"/>
  <c r="AD103" i="8"/>
  <c r="AD102" i="8"/>
  <c r="AZ62" i="3"/>
  <c r="AZ12" i="3"/>
  <c r="AN102" i="8"/>
  <c r="AN103" i="8"/>
  <c r="BD127" i="4"/>
  <c r="BD94" i="6"/>
  <c r="BL120" i="3"/>
  <c r="S56" i="3"/>
  <c r="S66" i="3"/>
  <c r="S20" i="3"/>
  <c r="S26" i="3"/>
  <c r="AU65" i="3"/>
  <c r="AU55" i="3"/>
  <c r="BC53" i="3"/>
  <c r="BC63" i="3"/>
  <c r="BC20" i="3"/>
  <c r="AI53" i="3"/>
  <c r="AI20" i="3"/>
  <c r="AI63" i="3"/>
  <c r="AK62" i="3"/>
  <c r="AK12" i="3"/>
  <c r="AL53" i="3"/>
  <c r="AL20" i="3"/>
  <c r="AL63" i="3"/>
  <c r="BE88" i="6"/>
  <c r="BE142" i="4"/>
  <c r="BE148" i="4"/>
  <c r="BE149" i="4"/>
  <c r="AP65" i="3"/>
  <c r="AP55" i="3"/>
  <c r="BX120" i="3"/>
  <c r="BN120" i="3"/>
  <c r="M26" i="3"/>
  <c r="R67" i="3"/>
  <c r="M56" i="3"/>
  <c r="M66" i="3"/>
  <c r="M20" i="3"/>
  <c r="Q19" i="3"/>
  <c r="E55" i="9"/>
  <c r="BE118" i="3"/>
  <c r="BE65" i="3"/>
  <c r="BE55" i="3"/>
  <c r="BA63" i="3"/>
  <c r="BA53" i="3"/>
  <c r="BA20" i="3"/>
  <c r="AG63" i="3"/>
  <c r="AG53" i="3"/>
  <c r="AG20" i="3"/>
  <c r="AM103" i="8"/>
  <c r="AM102" i="8"/>
  <c r="AE103" i="8"/>
  <c r="AE102" i="8"/>
  <c r="F56" i="3"/>
  <c r="F26" i="3"/>
  <c r="AZ65" i="3"/>
  <c r="T31" i="3"/>
  <c r="T58" i="3"/>
  <c r="T57" i="3"/>
  <c r="H67" i="3"/>
  <c r="H31" i="3"/>
  <c r="H58" i="3"/>
  <c r="H57" i="3"/>
  <c r="AU54" i="3"/>
  <c r="X67" i="3"/>
  <c r="X31" i="3"/>
  <c r="X58" i="3"/>
  <c r="X57" i="3"/>
  <c r="AB31" i="3"/>
  <c r="AB57" i="3"/>
  <c r="P67" i="3"/>
  <c r="P31" i="3"/>
  <c r="P58" i="3"/>
  <c r="P57" i="3"/>
  <c r="R58" i="3"/>
  <c r="R57" i="3"/>
  <c r="R31" i="3"/>
  <c r="V26" i="3"/>
  <c r="BG48" i="5"/>
  <c r="BH38" i="5"/>
  <c r="BJ53" i="5"/>
  <c r="BF48" i="5"/>
  <c r="BG38" i="5"/>
  <c r="BJ11" i="5"/>
  <c r="BH25" i="5"/>
  <c r="AB105" i="8"/>
  <c r="J74" i="9"/>
  <c r="I75" i="9"/>
  <c r="AD79" i="8"/>
  <c r="AD121" i="8"/>
  <c r="AD126" i="8"/>
  <c r="AD118" i="8"/>
  <c r="AJ89" i="8"/>
  <c r="AM25" i="8"/>
  <c r="AM26" i="8"/>
  <c r="AM54" i="8"/>
  <c r="AN19" i="8"/>
  <c r="D63" i="9"/>
  <c r="AZ81" i="7"/>
  <c r="AZ36" i="3"/>
  <c r="AK77" i="8"/>
  <c r="Q77" i="8"/>
  <c r="AI89" i="8"/>
  <c r="Y78" i="8"/>
  <c r="Y79" i="8"/>
  <c r="X80" i="8"/>
  <c r="T78" i="8"/>
  <c r="S80" i="8"/>
  <c r="V65" i="8"/>
  <c r="V86" i="8"/>
  <c r="G26" i="8"/>
  <c r="G54" i="8"/>
  <c r="AI121" i="8"/>
  <c r="AI118" i="8"/>
  <c r="AS42" i="8"/>
  <c r="AP121" i="8"/>
  <c r="AP123" i="8"/>
  <c r="AP118" i="8"/>
  <c r="H46" i="8"/>
  <c r="H53" i="8"/>
  <c r="H54" i="8"/>
  <c r="AL86" i="8"/>
  <c r="AM115" i="8"/>
  <c r="AJ121" i="8"/>
  <c r="AJ118" i="8"/>
  <c r="AL46" i="8"/>
  <c r="AL53" i="8"/>
  <c r="AL54" i="8"/>
  <c r="AJ54" i="8"/>
  <c r="BE48" i="5"/>
  <c r="BM108" i="6"/>
  <c r="BM147" i="4"/>
  <c r="BM156" i="4"/>
  <c r="BM10" i="3"/>
  <c r="AS104" i="6"/>
  <c r="AS151" i="4"/>
  <c r="AS152" i="4"/>
  <c r="AS138" i="4"/>
  <c r="AS105" i="6"/>
  <c r="AW88" i="6"/>
  <c r="AW142" i="4"/>
  <c r="AW122" i="4"/>
  <c r="AW89" i="6"/>
  <c r="AW148" i="4"/>
  <c r="AW149" i="4"/>
  <c r="BC87" i="6"/>
  <c r="BC119" i="4"/>
  <c r="BY78" i="6"/>
  <c r="CD109" i="4"/>
  <c r="BO70" i="6"/>
  <c r="BT93" i="4"/>
  <c r="AJ46" i="6"/>
  <c r="AO64" i="4"/>
  <c r="AJ64" i="4"/>
  <c r="AK63" i="4"/>
  <c r="BH9" i="7"/>
  <c r="E25" i="9"/>
  <c r="E6" i="9"/>
  <c r="BX108" i="6"/>
  <c r="BX147" i="4"/>
  <c r="BX156" i="4"/>
  <c r="BX10" i="3"/>
  <c r="AV104" i="6"/>
  <c r="AV151" i="4"/>
  <c r="AV152" i="4"/>
  <c r="AV138" i="4"/>
  <c r="AV105" i="6"/>
  <c r="BD103" i="6"/>
  <c r="BD135" i="4"/>
  <c r="BD102" i="6"/>
  <c r="F31" i="9"/>
  <c r="BJ58" i="7"/>
  <c r="BJ57" i="7"/>
  <c r="BJ92" i="6"/>
  <c r="BO125" i="4"/>
  <c r="BJ128" i="4"/>
  <c r="AV88" i="6"/>
  <c r="AV142" i="4"/>
  <c r="AV122" i="4"/>
  <c r="AV89" i="6"/>
  <c r="AV148" i="4"/>
  <c r="AV149" i="4"/>
  <c r="BA86" i="6"/>
  <c r="BA26" i="5"/>
  <c r="BE119" i="4"/>
  <c r="BT35" i="6"/>
  <c r="BY51" i="4"/>
  <c r="BO43" i="4"/>
  <c r="BO28" i="6"/>
  <c r="BT41" i="4"/>
  <c r="BO12" i="6"/>
  <c r="BT13" i="4"/>
  <c r="BW108" i="6"/>
  <c r="BW147" i="4"/>
  <c r="BW156" i="4"/>
  <c r="BW10" i="3"/>
  <c r="AY103" i="6"/>
  <c r="AY135" i="4"/>
  <c r="AY102" i="6"/>
  <c r="BI57" i="7"/>
  <c r="BC88" i="6"/>
  <c r="BC148" i="4"/>
  <c r="BC149" i="4"/>
  <c r="BC142" i="4"/>
  <c r="BC122" i="4"/>
  <c r="BC89" i="6"/>
  <c r="BH25" i="7"/>
  <c r="BH80" i="6"/>
  <c r="F7" i="9"/>
  <c r="F8" i="9"/>
  <c r="BJ10" i="7"/>
  <c r="BJ29" i="6"/>
  <c r="BJ44" i="4"/>
  <c r="BJ30" i="6"/>
  <c r="BJ25" i="4"/>
  <c r="BA25" i="5"/>
  <c r="BN108" i="6"/>
  <c r="BN147" i="4"/>
  <c r="BN156" i="4"/>
  <c r="BN10" i="3"/>
  <c r="BH57" i="7"/>
  <c r="AU58" i="7"/>
  <c r="AU92" i="6"/>
  <c r="AU128" i="4"/>
  <c r="AU95" i="6"/>
  <c r="BO77" i="6"/>
  <c r="BT107" i="4"/>
  <c r="BO75" i="6"/>
  <c r="BT103" i="4"/>
  <c r="BJ80" i="4"/>
  <c r="BJ58" i="6"/>
  <c r="BI9" i="7"/>
  <c r="AX138" i="4"/>
  <c r="AX105" i="6"/>
  <c r="V65" i="3"/>
  <c r="V55" i="3"/>
  <c r="AR20" i="3"/>
  <c r="AR63" i="3"/>
  <c r="AR53" i="3"/>
  <c r="L63" i="3"/>
  <c r="L53" i="3"/>
  <c r="L101" i="3"/>
  <c r="BJ153" i="4"/>
  <c r="O56" i="3"/>
  <c r="O66" i="3"/>
  <c r="O20" i="3"/>
  <c r="O26" i="3"/>
  <c r="T67" i="3"/>
  <c r="AF64" i="3"/>
  <c r="AF54" i="3"/>
  <c r="AY53" i="3"/>
  <c r="AY20" i="3"/>
  <c r="AY63" i="3"/>
  <c r="AE53" i="3"/>
  <c r="AE101" i="3"/>
  <c r="AE20" i="3"/>
  <c r="AE63" i="3"/>
  <c r="AO103" i="8"/>
  <c r="AO102" i="8"/>
  <c r="AD56" i="3"/>
  <c r="AD96" i="3"/>
  <c r="P87" i="8"/>
  <c r="AD26" i="3"/>
  <c r="AD66" i="3"/>
  <c r="AD20" i="3"/>
  <c r="BC94" i="6"/>
  <c r="BC39" i="5"/>
  <c r="BE25" i="5"/>
  <c r="AZ115" i="4"/>
  <c r="AU64" i="3"/>
  <c r="AC26" i="3"/>
  <c r="AC56" i="3"/>
  <c r="AC96" i="3"/>
  <c r="O87" i="8"/>
  <c r="O90" i="8"/>
  <c r="AC66" i="3"/>
  <c r="AC20" i="3"/>
  <c r="I26" i="3"/>
  <c r="I56" i="3"/>
  <c r="I66" i="3"/>
  <c r="I20" i="3"/>
  <c r="AA65" i="3"/>
  <c r="AA55" i="3"/>
  <c r="AW63" i="3"/>
  <c r="AW53" i="3"/>
  <c r="AW20" i="3"/>
  <c r="Q63" i="3"/>
  <c r="Q53" i="3"/>
  <c r="AX53" i="3"/>
  <c r="AX63" i="3"/>
  <c r="AX20" i="3"/>
  <c r="AZ54" i="3"/>
  <c r="E58" i="3"/>
  <c r="E57" i="3"/>
  <c r="E32" i="3"/>
  <c r="L19" i="3"/>
  <c r="AK54" i="3"/>
  <c r="W101" i="3"/>
  <c r="AB58" i="3"/>
  <c r="BG67" i="5"/>
  <c r="BJ36" i="5"/>
  <c r="BD38" i="5"/>
  <c r="BF67" i="5"/>
  <c r="BJ20" i="5"/>
  <c r="BF25" i="5"/>
  <c r="BD25" i="5"/>
  <c r="BG25" i="5"/>
  <c r="BT48" i="6"/>
  <c r="BY67" i="4"/>
  <c r="D39" i="9"/>
  <c r="D49" i="9"/>
  <c r="AF20" i="3"/>
  <c r="W54" i="8"/>
  <c r="U80" i="8"/>
  <c r="V78" i="8"/>
  <c r="BJ67" i="5"/>
  <c r="BJ48" i="5"/>
  <c r="D48" i="9"/>
  <c r="BJ9" i="7"/>
  <c r="Q101" i="3"/>
  <c r="BT102" i="3"/>
  <c r="BT115" i="3"/>
  <c r="BT120" i="3"/>
  <c r="BY103" i="3"/>
  <c r="AJ78" i="8"/>
  <c r="AJ79" i="8"/>
  <c r="AI80" i="8"/>
  <c r="AN78" i="8"/>
  <c r="AN79" i="8"/>
  <c r="AM80" i="8"/>
  <c r="AZ82" i="6"/>
  <c r="AZ116" i="4"/>
  <c r="AZ83" i="6"/>
  <c r="AZ121" i="4"/>
  <c r="BE116" i="4"/>
  <c r="BE83" i="6"/>
  <c r="AE56" i="3"/>
  <c r="AE96" i="3"/>
  <c r="Q87" i="8"/>
  <c r="Q90" i="8"/>
  <c r="R90" i="8"/>
  <c r="R92" i="8"/>
  <c r="AE66" i="3"/>
  <c r="AE26" i="3"/>
  <c r="AR96" i="3"/>
  <c r="AD87" i="8"/>
  <c r="AR66" i="3"/>
  <c r="AR26" i="3"/>
  <c r="AR56" i="3"/>
  <c r="BC108" i="6"/>
  <c r="BC147" i="4"/>
  <c r="BC156" i="4"/>
  <c r="BT28" i="6"/>
  <c r="BY41" i="4"/>
  <c r="BE86" i="6"/>
  <c r="BE118" i="4"/>
  <c r="BE85" i="6"/>
  <c r="G31" i="9"/>
  <c r="BO58" i="7"/>
  <c r="BO92" i="6"/>
  <c r="BT125" i="4"/>
  <c r="AK46" i="6"/>
  <c r="AK64" i="4"/>
  <c r="AP64" i="4"/>
  <c r="BT70" i="6"/>
  <c r="BY93" i="4"/>
  <c r="AT42" i="8"/>
  <c r="AT45" i="8"/>
  <c r="K74" i="9"/>
  <c r="J75" i="9"/>
  <c r="D97" i="8"/>
  <c r="R35" i="3"/>
  <c r="R59" i="3"/>
  <c r="R32" i="3"/>
  <c r="H35" i="3"/>
  <c r="H59" i="3"/>
  <c r="H32" i="3"/>
  <c r="F97" i="8"/>
  <c r="T35" i="3"/>
  <c r="T59" i="3"/>
  <c r="T32" i="3"/>
  <c r="BA26" i="3"/>
  <c r="BA56" i="3"/>
  <c r="BA96" i="3"/>
  <c r="AM87" i="8"/>
  <c r="BA66" i="3"/>
  <c r="AK63" i="3"/>
  <c r="AK53" i="3"/>
  <c r="AV96" i="3"/>
  <c r="AV66" i="3"/>
  <c r="AV26" i="3"/>
  <c r="AV56" i="3"/>
  <c r="BC102" i="6"/>
  <c r="BC68" i="5"/>
  <c r="CA46" i="3"/>
  <c r="CA49" i="3"/>
  <c r="BG33" i="7"/>
  <c r="BG35" i="7"/>
  <c r="BG19" i="6"/>
  <c r="BG115" i="4"/>
  <c r="BG28" i="4"/>
  <c r="BG20" i="6"/>
  <c r="CB49" i="3"/>
  <c r="CB46" i="3"/>
  <c r="G67" i="9"/>
  <c r="BA69" i="8"/>
  <c r="BF67" i="8"/>
  <c r="AR88" i="8"/>
  <c r="AR83" i="8"/>
  <c r="AS35" i="8"/>
  <c r="AP53" i="3"/>
  <c r="AP63" i="3"/>
  <c r="AQ28" i="8"/>
  <c r="AP39" i="8"/>
  <c r="AP46" i="8"/>
  <c r="BO71" i="6"/>
  <c r="BO96" i="4"/>
  <c r="BO113" i="4"/>
  <c r="BE64" i="7"/>
  <c r="BE66" i="7"/>
  <c r="BE72" i="7"/>
  <c r="BE74" i="7"/>
  <c r="BT55" i="6"/>
  <c r="BT81" i="4"/>
  <c r="BY77" i="4"/>
  <c r="BT57" i="6"/>
  <c r="BY79" i="4"/>
  <c r="BA94" i="6"/>
  <c r="BA39" i="5"/>
  <c r="BE127" i="4"/>
  <c r="AU40" i="8"/>
  <c r="AK123" i="8"/>
  <c r="AK126" i="8"/>
  <c r="AH56" i="3"/>
  <c r="AH66" i="3"/>
  <c r="AH96" i="3"/>
  <c r="T87" i="8"/>
  <c r="AH26" i="3"/>
  <c r="E57" i="9"/>
  <c r="Y67" i="3"/>
  <c r="Y31" i="3"/>
  <c r="Y57" i="3"/>
  <c r="Y102" i="3"/>
  <c r="Y58" i="3"/>
  <c r="AQ56" i="3"/>
  <c r="AQ96" i="3"/>
  <c r="AC87" i="8"/>
  <c r="AQ66" i="3"/>
  <c r="AQ26" i="3"/>
  <c r="K58" i="3"/>
  <c r="K57" i="3"/>
  <c r="P102" i="3"/>
  <c r="K67" i="3"/>
  <c r="K31" i="3"/>
  <c r="C58" i="3"/>
  <c r="C57" i="3"/>
  <c r="C32" i="3"/>
  <c r="G26" i="3"/>
  <c r="AT56" i="3"/>
  <c r="AT66" i="3"/>
  <c r="AT96" i="3"/>
  <c r="AF87" i="8"/>
  <c r="AT26" i="3"/>
  <c r="BT47" i="6"/>
  <c r="BY65" i="4"/>
  <c r="AY88" i="6"/>
  <c r="AY148" i="4"/>
  <c r="AY149" i="4"/>
  <c r="AY142" i="4"/>
  <c r="AY122" i="4"/>
  <c r="AY89" i="6"/>
  <c r="R77" i="8"/>
  <c r="AW26" i="3"/>
  <c r="AW96" i="3"/>
  <c r="AI87" i="8"/>
  <c r="AW66" i="3"/>
  <c r="AW56" i="3"/>
  <c r="I67" i="3"/>
  <c r="I31" i="3"/>
  <c r="I57" i="3"/>
  <c r="I102" i="3"/>
  <c r="I58" i="3"/>
  <c r="BT77" i="6"/>
  <c r="BY107" i="4"/>
  <c r="BT12" i="6"/>
  <c r="BY13" i="4"/>
  <c r="AV108" i="6"/>
  <c r="AV143" i="4"/>
  <c r="AV109" i="6"/>
  <c r="AV147" i="4"/>
  <c r="AV156" i="4"/>
  <c r="BX49" i="3"/>
  <c r="BX46" i="3"/>
  <c r="AS110" i="8"/>
  <c r="X115" i="8"/>
  <c r="W86" i="8"/>
  <c r="Y80" i="8"/>
  <c r="Z78" i="8"/>
  <c r="Z79" i="8"/>
  <c r="AE78" i="8"/>
  <c r="AE79" i="8"/>
  <c r="AD80" i="8"/>
  <c r="BJ25" i="5"/>
  <c r="H102" i="3"/>
  <c r="AG26" i="3"/>
  <c r="AG56" i="3"/>
  <c r="AG96" i="3"/>
  <c r="AG66" i="3"/>
  <c r="AK20" i="3"/>
  <c r="BC56" i="3"/>
  <c r="BC96" i="3"/>
  <c r="AO87" i="8"/>
  <c r="BC66" i="3"/>
  <c r="BC26" i="3"/>
  <c r="BJ50" i="6"/>
  <c r="BO71" i="4"/>
  <c r="BJ72" i="4"/>
  <c r="BJ73" i="4"/>
  <c r="BD108" i="6"/>
  <c r="BD143" i="4"/>
  <c r="BD109" i="6"/>
  <c r="BD147" i="4"/>
  <c r="BD156" i="4"/>
  <c r="BA102" i="6"/>
  <c r="BA68" i="5"/>
  <c r="BE135" i="4"/>
  <c r="V56" i="3"/>
  <c r="V66" i="3"/>
  <c r="V20" i="3"/>
  <c r="V96" i="3"/>
  <c r="H87" i="8"/>
  <c r="V101" i="3"/>
  <c r="AU53" i="3"/>
  <c r="AU20" i="3"/>
  <c r="AU63" i="3"/>
  <c r="AM56" i="3"/>
  <c r="AM96" i="3"/>
  <c r="Y87" i="8"/>
  <c r="AM66" i="3"/>
  <c r="AM26" i="3"/>
  <c r="BT69" i="6"/>
  <c r="BY91" i="4"/>
  <c r="BT95" i="4"/>
  <c r="AZ64" i="7"/>
  <c r="AZ72" i="7"/>
  <c r="BJ103" i="6"/>
  <c r="BJ134" i="4"/>
  <c r="BJ101" i="6"/>
  <c r="BG41" i="7"/>
  <c r="BG51" i="6"/>
  <c r="BG74" i="4"/>
  <c r="BG52" i="6"/>
  <c r="H11" i="9"/>
  <c r="H12" i="9"/>
  <c r="BT12" i="7"/>
  <c r="BT39" i="6"/>
  <c r="BY56" i="4"/>
  <c r="BH41" i="7"/>
  <c r="BH51" i="6"/>
  <c r="BH74" i="4"/>
  <c r="BH52" i="6"/>
  <c r="BJ87" i="6"/>
  <c r="BJ118" i="4"/>
  <c r="BJ85" i="6"/>
  <c r="AS45" i="8"/>
  <c r="AS26" i="3"/>
  <c r="AS56" i="3"/>
  <c r="AS96" i="3"/>
  <c r="AE87" i="8"/>
  <c r="AS66" i="3"/>
  <c r="Z58" i="3"/>
  <c r="Z57" i="3"/>
  <c r="Z67" i="3"/>
  <c r="Z31" i="3"/>
  <c r="N58" i="3"/>
  <c r="N57" i="3"/>
  <c r="N102" i="3"/>
  <c r="N67" i="3"/>
  <c r="N31" i="3"/>
  <c r="G56" i="3"/>
  <c r="G20" i="3"/>
  <c r="BT33" i="6"/>
  <c r="BT53" i="4"/>
  <c r="BY47" i="4"/>
  <c r="BG72" i="7"/>
  <c r="BG64" i="7"/>
  <c r="AZ104" i="6"/>
  <c r="AZ151" i="4"/>
  <c r="AZ152" i="4"/>
  <c r="AZ138" i="4"/>
  <c r="AZ105" i="6"/>
  <c r="D79" i="8"/>
  <c r="AX56" i="3"/>
  <c r="AX96" i="3"/>
  <c r="AJ87" i="8"/>
  <c r="AX26" i="3"/>
  <c r="AX66" i="3"/>
  <c r="L66" i="3"/>
  <c r="L20" i="3"/>
  <c r="L56" i="3"/>
  <c r="AC67" i="3"/>
  <c r="AC31" i="3"/>
  <c r="AC58" i="3"/>
  <c r="AC57" i="3"/>
  <c r="AC102" i="3"/>
  <c r="AD58" i="3"/>
  <c r="AD57" i="3"/>
  <c r="AD67" i="3"/>
  <c r="AD31" i="3"/>
  <c r="BT75" i="6"/>
  <c r="BY103" i="4"/>
  <c r="BY105" i="4"/>
  <c r="BH64" i="7"/>
  <c r="BH72" i="7"/>
  <c r="BW49" i="3"/>
  <c r="BW46" i="3"/>
  <c r="G7" i="9"/>
  <c r="G8" i="9"/>
  <c r="BO10" i="7"/>
  <c r="BO29" i="6"/>
  <c r="BO44" i="4"/>
  <c r="BO30" i="6"/>
  <c r="BJ64" i="7"/>
  <c r="BJ66" i="7"/>
  <c r="BJ72" i="7"/>
  <c r="BJ74" i="7"/>
  <c r="E39" i="9"/>
  <c r="E48" i="9"/>
  <c r="E26" i="9"/>
  <c r="BC86" i="6"/>
  <c r="BC26" i="5"/>
  <c r="AW108" i="6"/>
  <c r="AW143" i="4"/>
  <c r="AW109" i="6"/>
  <c r="AW147" i="4"/>
  <c r="AW156" i="4"/>
  <c r="AJ126" i="8"/>
  <c r="AJ123" i="8"/>
  <c r="AN25" i="8"/>
  <c r="AN26" i="8"/>
  <c r="AN54" i="8"/>
  <c r="AO19" i="8"/>
  <c r="P68" i="3"/>
  <c r="P59" i="3"/>
  <c r="P32" i="3"/>
  <c r="P35" i="3"/>
  <c r="N97" i="8"/>
  <c r="AB37" i="3"/>
  <c r="AB38" i="3"/>
  <c r="AB35" i="3"/>
  <c r="AB59" i="3"/>
  <c r="AB32" i="3"/>
  <c r="J97" i="8"/>
  <c r="X35" i="3"/>
  <c r="X59" i="3"/>
  <c r="X37" i="3"/>
  <c r="X38" i="3"/>
  <c r="X32" i="3"/>
  <c r="AP20" i="3"/>
  <c r="AL56" i="3"/>
  <c r="AL96" i="3"/>
  <c r="AL66" i="3"/>
  <c r="AL26" i="3"/>
  <c r="S58" i="3"/>
  <c r="S57" i="3"/>
  <c r="S67" i="3"/>
  <c r="S31" i="3"/>
  <c r="X68" i="3"/>
  <c r="AZ20" i="3"/>
  <c r="AZ63" i="3"/>
  <c r="AZ53" i="3"/>
  <c r="AS108" i="6"/>
  <c r="AS147" i="4"/>
  <c r="AS156" i="4"/>
  <c r="BR49" i="3"/>
  <c r="BR46" i="3"/>
  <c r="BT24" i="6"/>
  <c r="BY33" i="4"/>
  <c r="BY74" i="6"/>
  <c r="CD101" i="4"/>
  <c r="BT25" i="6"/>
  <c r="BY35" i="4"/>
  <c r="BY43" i="4"/>
  <c r="H13" i="9"/>
  <c r="H14" i="9"/>
  <c r="BT13" i="7"/>
  <c r="BT42" i="6"/>
  <c r="BY59" i="4"/>
  <c r="BQ49" i="3"/>
  <c r="BQ46" i="3"/>
  <c r="BA20" i="8"/>
  <c r="BF20" i="8"/>
  <c r="U67" i="3"/>
  <c r="U31" i="3"/>
  <c r="U58" i="3"/>
  <c r="U57" i="3"/>
  <c r="U102" i="3"/>
  <c r="J58" i="3"/>
  <c r="J57" i="3"/>
  <c r="J102" i="3"/>
  <c r="J67" i="3"/>
  <c r="J31" i="3"/>
  <c r="W58" i="3"/>
  <c r="W57" i="3"/>
  <c r="W102" i="3"/>
  <c r="W67" i="3"/>
  <c r="AA26" i="3"/>
  <c r="W31" i="3"/>
  <c r="AB68" i="3"/>
  <c r="I87" i="8"/>
  <c r="M87" i="8"/>
  <c r="AA96" i="3"/>
  <c r="BE63" i="3"/>
  <c r="BE53" i="3"/>
  <c r="BE20" i="3"/>
  <c r="BD96" i="3"/>
  <c r="AP87" i="8"/>
  <c r="BD66" i="3"/>
  <c r="BD26" i="3"/>
  <c r="BD56" i="3"/>
  <c r="G33" i="9"/>
  <c r="G34" i="9"/>
  <c r="BO59" i="7"/>
  <c r="BO96" i="6"/>
  <c r="BT129" i="4"/>
  <c r="BJ104" i="6"/>
  <c r="BJ151" i="4"/>
  <c r="BJ152" i="4"/>
  <c r="BJ138" i="4"/>
  <c r="BJ105" i="6"/>
  <c r="BT79" i="6"/>
  <c r="BY111" i="4"/>
  <c r="BL49" i="3"/>
  <c r="BL46" i="3"/>
  <c r="H19" i="9"/>
  <c r="H20" i="9"/>
  <c r="BT62" i="6"/>
  <c r="BT15" i="7"/>
  <c r="BY84" i="4"/>
  <c r="AG103" i="8"/>
  <c r="AG102" i="8"/>
  <c r="AA101" i="3"/>
  <c r="AL102" i="8"/>
  <c r="AL103" i="8"/>
  <c r="BE121" i="3"/>
  <c r="BF82" i="6"/>
  <c r="BF116" i="4"/>
  <c r="BF83" i="6"/>
  <c r="BF121" i="4"/>
  <c r="BZ49" i="3"/>
  <c r="BZ46" i="3"/>
  <c r="BY23" i="6"/>
  <c r="CD31" i="4"/>
  <c r="BT73" i="6"/>
  <c r="BY99" i="4"/>
  <c r="AX88" i="6"/>
  <c r="AX122" i="4"/>
  <c r="AX89" i="6"/>
  <c r="AX148" i="4"/>
  <c r="AX149" i="4"/>
  <c r="AX142" i="4"/>
  <c r="BC98" i="6"/>
  <c r="BC49" i="5"/>
  <c r="BT11" i="6"/>
  <c r="BY11" i="4"/>
  <c r="BI82" i="6"/>
  <c r="BI121" i="4"/>
  <c r="BI116" i="4"/>
  <c r="BI83" i="6"/>
  <c r="G9" i="9"/>
  <c r="G10" i="9"/>
  <c r="BO11" i="7"/>
  <c r="BO36" i="6"/>
  <c r="BO54" i="4"/>
  <c r="BO37" i="6"/>
  <c r="BT49" i="6"/>
  <c r="BY69" i="4"/>
  <c r="BT72" i="6"/>
  <c r="BY97" i="4"/>
  <c r="AP36" i="3"/>
  <c r="H63" i="9"/>
  <c r="BT81" i="7"/>
  <c r="BK105" i="8"/>
  <c r="BF59" i="8"/>
  <c r="BT36" i="3"/>
  <c r="AH123" i="8"/>
  <c r="AH126" i="8"/>
  <c r="AL121" i="8"/>
  <c r="AR110" i="8"/>
  <c r="AF66" i="3"/>
  <c r="AF56" i="3"/>
  <c r="E59" i="3"/>
  <c r="E35" i="3"/>
  <c r="AY56" i="3"/>
  <c r="AY96" i="3"/>
  <c r="AK87" i="8"/>
  <c r="AY66" i="3"/>
  <c r="AY26" i="3"/>
  <c r="O58" i="3"/>
  <c r="O57" i="3"/>
  <c r="O31" i="3"/>
  <c r="T68" i="3"/>
  <c r="O67" i="3"/>
  <c r="BN49" i="3"/>
  <c r="BN46" i="3"/>
  <c r="BJ18" i="6"/>
  <c r="BO25" i="4"/>
  <c r="BJ26" i="4"/>
  <c r="BJ27" i="4"/>
  <c r="BJ18" i="7"/>
  <c r="BI64" i="7"/>
  <c r="BI72" i="7"/>
  <c r="D44" i="9"/>
  <c r="BY35" i="6"/>
  <c r="CD51" i="4"/>
  <c r="CD35" i="6"/>
  <c r="BJ95" i="6"/>
  <c r="BJ126" i="4"/>
  <c r="BJ93" i="6"/>
  <c r="F37" i="9"/>
  <c r="F38" i="9"/>
  <c r="F32" i="9"/>
  <c r="CD78" i="6"/>
  <c r="BM49" i="3"/>
  <c r="BM46" i="3"/>
  <c r="AM121" i="8"/>
  <c r="AM118" i="8"/>
  <c r="AQ115" i="8"/>
  <c r="AP126" i="8"/>
  <c r="AP72" i="8"/>
  <c r="AI123" i="8"/>
  <c r="AI126" i="8"/>
  <c r="V57" i="3"/>
  <c r="V58" i="3"/>
  <c r="L26" i="3"/>
  <c r="F58" i="3"/>
  <c r="F57" i="3"/>
  <c r="F32" i="3"/>
  <c r="Q66" i="3"/>
  <c r="Q20" i="3"/>
  <c r="Q56" i="3"/>
  <c r="M67" i="3"/>
  <c r="M31" i="3"/>
  <c r="R68" i="3"/>
  <c r="Q26" i="3"/>
  <c r="V67" i="3"/>
  <c r="M58" i="3"/>
  <c r="M57" i="3"/>
  <c r="M102" i="3"/>
  <c r="BE108" i="6"/>
  <c r="BE147" i="4"/>
  <c r="BE156" i="4"/>
  <c r="AI56" i="3"/>
  <c r="AI26" i="3"/>
  <c r="AI96" i="3"/>
  <c r="U87" i="8"/>
  <c r="AI66" i="3"/>
  <c r="D57" i="9"/>
  <c r="D50" i="9"/>
  <c r="D47" i="9"/>
  <c r="BB108" i="6"/>
  <c r="BB147" i="4"/>
  <c r="BB156" i="4"/>
  <c r="BB143" i="4"/>
  <c r="BB109" i="6"/>
  <c r="E38" i="9"/>
  <c r="BT105" i="4"/>
  <c r="BE98" i="6"/>
  <c r="BE130" i="4"/>
  <c r="BE97" i="6"/>
  <c r="BH33" i="7"/>
  <c r="BH35" i="7"/>
  <c r="BH19" i="6"/>
  <c r="BH28" i="4"/>
  <c r="BH20" i="6"/>
  <c r="BH115" i="4"/>
  <c r="BA108" i="6"/>
  <c r="BA143" i="4"/>
  <c r="BA109" i="6"/>
  <c r="BA147" i="4"/>
  <c r="BA156" i="4"/>
  <c r="P90" i="8"/>
  <c r="N90" i="8"/>
  <c r="AO26" i="3"/>
  <c r="AO56" i="3"/>
  <c r="AO96" i="3"/>
  <c r="AA87" i="8"/>
  <c r="AO66" i="3"/>
  <c r="AT108" i="6"/>
  <c r="AT147" i="4"/>
  <c r="AT156" i="4"/>
  <c r="BB66" i="3"/>
  <c r="BB56" i="3"/>
  <c r="BB96" i="3"/>
  <c r="AN87" i="8"/>
  <c r="BB26" i="3"/>
  <c r="AA56" i="3"/>
  <c r="AA66" i="3"/>
  <c r="AA20" i="3"/>
  <c r="AQ14" i="8"/>
  <c r="AQ102" i="8"/>
  <c r="AP64" i="8"/>
  <c r="AQ64" i="8"/>
  <c r="E64" i="9"/>
  <c r="AJ96" i="3"/>
  <c r="V87" i="8"/>
  <c r="AJ66" i="3"/>
  <c r="AJ26" i="3"/>
  <c r="AJ56" i="3"/>
  <c r="AU88" i="6"/>
  <c r="AU148" i="4"/>
  <c r="AU149" i="4"/>
  <c r="AU142" i="4"/>
  <c r="BJ99" i="6"/>
  <c r="BJ130" i="4"/>
  <c r="BJ97" i="6"/>
  <c r="BV49" i="3"/>
  <c r="BV46" i="3"/>
  <c r="G35" i="9"/>
  <c r="G36" i="9"/>
  <c r="BO60" i="7"/>
  <c r="BO100" i="6"/>
  <c r="BT133" i="4"/>
  <c r="BO137" i="4"/>
  <c r="BK46" i="3"/>
  <c r="BK49" i="3"/>
  <c r="BT46" i="6"/>
  <c r="BY63" i="4"/>
  <c r="G17" i="9"/>
  <c r="G18" i="9"/>
  <c r="BO14" i="7"/>
  <c r="BO59" i="6"/>
  <c r="BO82" i="4"/>
  <c r="BO60" i="6"/>
  <c r="I21" i="9"/>
  <c r="I22" i="9"/>
  <c r="BY16" i="7"/>
  <c r="BY65" i="6"/>
  <c r="CD87" i="4"/>
  <c r="F23" i="9"/>
  <c r="F24" i="9"/>
  <c r="BJ80" i="6"/>
  <c r="BJ25" i="7"/>
  <c r="G28" i="9"/>
  <c r="G29" i="9"/>
  <c r="BO49" i="7"/>
  <c r="BO84" i="6"/>
  <c r="BT117" i="4"/>
  <c r="AU104" i="6"/>
  <c r="AU151" i="4"/>
  <c r="AU152" i="4"/>
  <c r="AU138" i="4"/>
  <c r="AU105" i="6"/>
  <c r="BU49" i="3"/>
  <c r="BU46" i="3"/>
  <c r="BJ38" i="5"/>
  <c r="D35" i="3"/>
  <c r="D59" i="3"/>
  <c r="AN96" i="3"/>
  <c r="Z87" i="8"/>
  <c r="AN66" i="3"/>
  <c r="AN26" i="3"/>
  <c r="AN56" i="3"/>
  <c r="BS49" i="3"/>
  <c r="BS46" i="3"/>
  <c r="BT43" i="4"/>
  <c r="BP49" i="3"/>
  <c r="BP46" i="3"/>
  <c r="CC49" i="3"/>
  <c r="CC46" i="3"/>
  <c r="V77" i="8"/>
  <c r="V79" i="8"/>
  <c r="BY48" i="6"/>
  <c r="CD67" i="4"/>
  <c r="CD48" i="6"/>
  <c r="E49" i="9"/>
  <c r="O102" i="3"/>
  <c r="AF96" i="3"/>
  <c r="S102" i="3"/>
  <c r="R87" i="8"/>
  <c r="AD102" i="3"/>
  <c r="BY102" i="3"/>
  <c r="BY115" i="3"/>
  <c r="BY120" i="3"/>
  <c r="CD103" i="3"/>
  <c r="CD102" i="3"/>
  <c r="CD115" i="3"/>
  <c r="CD120" i="3"/>
  <c r="D58" i="9"/>
  <c r="AN67" i="3"/>
  <c r="AN57" i="3"/>
  <c r="AN32" i="3"/>
  <c r="AN58" i="3"/>
  <c r="BJ27" i="7"/>
  <c r="BY46" i="6"/>
  <c r="CD63" i="4"/>
  <c r="AO67" i="3"/>
  <c r="AO58" i="3"/>
  <c r="AO57" i="3"/>
  <c r="AO32" i="3"/>
  <c r="BH82" i="6"/>
  <c r="BH116" i="4"/>
  <c r="BH83" i="6"/>
  <c r="BH121" i="4"/>
  <c r="F35" i="3"/>
  <c r="F59" i="3"/>
  <c r="AO90" i="8"/>
  <c r="I63" i="9"/>
  <c r="BP105" i="8"/>
  <c r="BK59" i="8"/>
  <c r="BY81" i="7"/>
  <c r="BY11" i="6"/>
  <c r="CD11" i="4"/>
  <c r="I7" i="9"/>
  <c r="BY10" i="7"/>
  <c r="BY29" i="6"/>
  <c r="BY44" i="4"/>
  <c r="BY30" i="6"/>
  <c r="BF88" i="6"/>
  <c r="BF122" i="4"/>
  <c r="BF89" i="6"/>
  <c r="BF148" i="4"/>
  <c r="BF150" i="4"/>
  <c r="BF142" i="4"/>
  <c r="BY76" i="6"/>
  <c r="BY106" i="4"/>
  <c r="R102" i="3"/>
  <c r="E58" i="9"/>
  <c r="E40" i="9"/>
  <c r="E44" i="9"/>
  <c r="BY75" i="6"/>
  <c r="CD103" i="4"/>
  <c r="CD105" i="4"/>
  <c r="AN90" i="8"/>
  <c r="BY33" i="6"/>
  <c r="CD47" i="4"/>
  <c r="BY53" i="4"/>
  <c r="AS67" i="3"/>
  <c r="AS58" i="3"/>
  <c r="AS57" i="3"/>
  <c r="AS32" i="3"/>
  <c r="AA78" i="8"/>
  <c r="AA79" i="8"/>
  <c r="Z80" i="8"/>
  <c r="AF90" i="8"/>
  <c r="C59" i="3"/>
  <c r="G31" i="3"/>
  <c r="C35" i="3"/>
  <c r="E47" i="9"/>
  <c r="BY57" i="6"/>
  <c r="CD79" i="4"/>
  <c r="CD57" i="6"/>
  <c r="H68" i="3"/>
  <c r="K75" i="9"/>
  <c r="L74" i="9"/>
  <c r="AR67" i="3"/>
  <c r="AR57" i="3"/>
  <c r="AR32" i="3"/>
  <c r="AR58" i="3"/>
  <c r="AZ88" i="6"/>
  <c r="AZ142" i="4"/>
  <c r="AZ122" i="4"/>
  <c r="AZ89" i="6"/>
  <c r="AZ148" i="4"/>
  <c r="AZ149" i="4"/>
  <c r="BE122" i="4"/>
  <c r="BE89" i="6"/>
  <c r="AN80" i="8"/>
  <c r="AO78" i="8"/>
  <c r="BO104" i="6"/>
  <c r="BO151" i="4"/>
  <c r="BO153" i="4"/>
  <c r="BO138" i="4"/>
  <c r="BO105" i="6"/>
  <c r="D51" i="9"/>
  <c r="D59" i="9"/>
  <c r="BO18" i="6"/>
  <c r="BT25" i="4"/>
  <c r="BO27" i="4"/>
  <c r="BY72" i="6"/>
  <c r="CD97" i="4"/>
  <c r="CD72" i="6"/>
  <c r="AX108" i="6"/>
  <c r="AX147" i="4"/>
  <c r="AX156" i="4"/>
  <c r="AX143" i="4"/>
  <c r="AX109" i="6"/>
  <c r="BY73" i="6"/>
  <c r="CD99" i="4"/>
  <c r="CD73" i="6"/>
  <c r="I19" i="9"/>
  <c r="I20" i="9"/>
  <c r="BY62" i="6"/>
  <c r="BY15" i="7"/>
  <c r="CD84" i="4"/>
  <c r="H33" i="9"/>
  <c r="H34" i="9"/>
  <c r="BT59" i="7"/>
  <c r="BT96" i="6"/>
  <c r="BY129" i="4"/>
  <c r="BE80" i="7"/>
  <c r="BE70" i="7"/>
  <c r="BE56" i="3"/>
  <c r="BE96" i="3"/>
  <c r="BE66" i="3"/>
  <c r="G97" i="8"/>
  <c r="U59" i="3"/>
  <c r="U68" i="3"/>
  <c r="U35" i="3"/>
  <c r="U32" i="3"/>
  <c r="I13" i="9"/>
  <c r="I14" i="9"/>
  <c r="BY13" i="7"/>
  <c r="BY42" i="6"/>
  <c r="CD59" i="4"/>
  <c r="BY25" i="6"/>
  <c r="CD35" i="4"/>
  <c r="CD25" i="6"/>
  <c r="X87" i="8"/>
  <c r="AA90" i="8"/>
  <c r="AP96" i="3"/>
  <c r="T102" i="3"/>
  <c r="AO25" i="8"/>
  <c r="AO26" i="8"/>
  <c r="AO54" i="8"/>
  <c r="AP19" i="8"/>
  <c r="O97" i="8"/>
  <c r="AC68" i="3"/>
  <c r="AC35" i="3"/>
  <c r="AC37" i="3"/>
  <c r="AC38" i="3"/>
  <c r="AC59" i="3"/>
  <c r="AC32" i="3"/>
  <c r="H9" i="9"/>
  <c r="H10" i="9"/>
  <c r="BT11" i="7"/>
  <c r="BT36" i="6"/>
  <c r="BT54" i="4"/>
  <c r="BT37" i="6"/>
  <c r="N68" i="3"/>
  <c r="N35" i="3"/>
  <c r="N59" i="3"/>
  <c r="N32" i="3"/>
  <c r="L97" i="8"/>
  <c r="Z68" i="3"/>
  <c r="Z35" i="3"/>
  <c r="Z59" i="3"/>
  <c r="Z37" i="3"/>
  <c r="Z38" i="3"/>
  <c r="Z32" i="3"/>
  <c r="AM57" i="3"/>
  <c r="AM32" i="3"/>
  <c r="AM67" i="3"/>
  <c r="AM58" i="3"/>
  <c r="BE102" i="6"/>
  <c r="BE134" i="4"/>
  <c r="BE101" i="6"/>
  <c r="BO50" i="6"/>
  <c r="BT71" i="4"/>
  <c r="BO73" i="4"/>
  <c r="S87" i="8"/>
  <c r="V90" i="8"/>
  <c r="AK96" i="3"/>
  <c r="BY77" i="6"/>
  <c r="CD107" i="4"/>
  <c r="CD77" i="6"/>
  <c r="I68" i="3"/>
  <c r="I35" i="3"/>
  <c r="I32" i="3"/>
  <c r="I59" i="3"/>
  <c r="AM90" i="8"/>
  <c r="BY47" i="6"/>
  <c r="CD65" i="4"/>
  <c r="CD47" i="6"/>
  <c r="K102" i="3"/>
  <c r="AG87" i="8"/>
  <c r="AE90" i="8"/>
  <c r="AC90" i="8"/>
  <c r="K97" i="8"/>
  <c r="Y32" i="3"/>
  <c r="Y68" i="3"/>
  <c r="Y35" i="3"/>
  <c r="Y59" i="3"/>
  <c r="Y37" i="3"/>
  <c r="Y38" i="3"/>
  <c r="AH57" i="3"/>
  <c r="AH32" i="3"/>
  <c r="AH67" i="3"/>
  <c r="AH58" i="3"/>
  <c r="BE94" i="6"/>
  <c r="BE126" i="4"/>
  <c r="BE93" i="6"/>
  <c r="BE78" i="7"/>
  <c r="H67" i="9"/>
  <c r="BK67" i="8"/>
  <c r="AH87" i="8"/>
  <c r="AZ96" i="3"/>
  <c r="AZ82" i="7"/>
  <c r="AP90" i="8"/>
  <c r="AP92" i="8"/>
  <c r="L31" i="3"/>
  <c r="V31" i="3"/>
  <c r="BY70" i="6"/>
  <c r="CD93" i="4"/>
  <c r="BO57" i="7"/>
  <c r="BY28" i="6"/>
  <c r="CD41" i="4"/>
  <c r="CD28" i="6"/>
  <c r="V80" i="8"/>
  <c r="W107" i="8"/>
  <c r="H7" i="9"/>
  <c r="H8" i="9"/>
  <c r="BT10" i="7"/>
  <c r="BT29" i="6"/>
  <c r="BT44" i="4"/>
  <c r="BT30" i="6"/>
  <c r="H35" i="9"/>
  <c r="H36" i="9"/>
  <c r="BT60" i="7"/>
  <c r="BT100" i="6"/>
  <c r="BT137" i="4"/>
  <c r="BY133" i="4"/>
  <c r="BT76" i="6"/>
  <c r="BT106" i="4"/>
  <c r="Q67" i="3"/>
  <c r="Q57" i="3"/>
  <c r="Q58" i="3"/>
  <c r="AP75" i="8"/>
  <c r="AP48" i="8"/>
  <c r="AQ72" i="8"/>
  <c r="AQ75" i="8"/>
  <c r="AM123" i="8"/>
  <c r="AQ121" i="8"/>
  <c r="AY57" i="3"/>
  <c r="AY32" i="3"/>
  <c r="AY67" i="3"/>
  <c r="AY58" i="3"/>
  <c r="BI88" i="6"/>
  <c r="BI142" i="4"/>
  <c r="BI122" i="4"/>
  <c r="BI89" i="6"/>
  <c r="BI148" i="4"/>
  <c r="BI150" i="4"/>
  <c r="BI155" i="4"/>
  <c r="BD67" i="3"/>
  <c r="BD57" i="3"/>
  <c r="BD32" i="3"/>
  <c r="BD58" i="3"/>
  <c r="I97" i="8"/>
  <c r="W59" i="3"/>
  <c r="W37" i="3"/>
  <c r="W38" i="3"/>
  <c r="W32" i="3"/>
  <c r="AA31" i="3"/>
  <c r="W68" i="3"/>
  <c r="W35" i="3"/>
  <c r="BY24" i="6"/>
  <c r="CD33" i="4"/>
  <c r="CD24" i="6"/>
  <c r="AZ80" i="7"/>
  <c r="AZ66" i="3"/>
  <c r="AZ56" i="3"/>
  <c r="BO9" i="7"/>
  <c r="BO18" i="7"/>
  <c r="D80" i="8"/>
  <c r="E78" i="8"/>
  <c r="E79" i="8"/>
  <c r="BT71" i="6"/>
  <c r="BT96" i="4"/>
  <c r="BT113" i="4"/>
  <c r="AU56" i="3"/>
  <c r="AU26" i="3"/>
  <c r="AU96" i="3"/>
  <c r="AU66" i="3"/>
  <c r="AW67" i="3"/>
  <c r="AW32" i="3"/>
  <c r="AW58" i="3"/>
  <c r="AW57" i="3"/>
  <c r="AY108" i="6"/>
  <c r="AY147" i="4"/>
  <c r="AY156" i="4"/>
  <c r="AY143" i="4"/>
  <c r="AY109" i="6"/>
  <c r="T90" i="8"/>
  <c r="BY55" i="6"/>
  <c r="BY81" i="4"/>
  <c r="CD77" i="4"/>
  <c r="AS88" i="8"/>
  <c r="AS83" i="8"/>
  <c r="AT35" i="8"/>
  <c r="X102" i="3"/>
  <c r="G32" i="9"/>
  <c r="G37" i="9"/>
  <c r="G38" i="9"/>
  <c r="AD90" i="8"/>
  <c r="AK78" i="8"/>
  <c r="AK79" i="8"/>
  <c r="AK80" i="8"/>
  <c r="AJ80" i="8"/>
  <c r="H28" i="9"/>
  <c r="H29" i="9"/>
  <c r="BT49" i="7"/>
  <c r="BT84" i="6"/>
  <c r="BY117" i="4"/>
  <c r="J21" i="9"/>
  <c r="CD65" i="6"/>
  <c r="CD16" i="7"/>
  <c r="AU108" i="6"/>
  <c r="AU147" i="4"/>
  <c r="AU156" i="4"/>
  <c r="AJ67" i="3"/>
  <c r="AJ57" i="3"/>
  <c r="AJ32" i="3"/>
  <c r="AJ58" i="3"/>
  <c r="BB57" i="3"/>
  <c r="BB32" i="3"/>
  <c r="BB67" i="3"/>
  <c r="BB58" i="3"/>
  <c r="AI57" i="3"/>
  <c r="AI32" i="3"/>
  <c r="AI67" i="3"/>
  <c r="AI58" i="3"/>
  <c r="Q31" i="3"/>
  <c r="M32" i="3"/>
  <c r="M68" i="3"/>
  <c r="M35" i="3"/>
  <c r="M59" i="3"/>
  <c r="L67" i="3"/>
  <c r="L57" i="3"/>
  <c r="L58" i="3"/>
  <c r="F5" i="9"/>
  <c r="BJ33" i="7"/>
  <c r="BJ35" i="7"/>
  <c r="BJ19" i="6"/>
  <c r="BJ115" i="4"/>
  <c r="BJ28" i="4"/>
  <c r="BJ20" i="6"/>
  <c r="O59" i="3"/>
  <c r="O32" i="3"/>
  <c r="O68" i="3"/>
  <c r="O35" i="3"/>
  <c r="BY49" i="6"/>
  <c r="CD69" i="4"/>
  <c r="CD49" i="6"/>
  <c r="CD23" i="6"/>
  <c r="CD43" i="4"/>
  <c r="BY79" i="6"/>
  <c r="CD111" i="4"/>
  <c r="CD79" i="6"/>
  <c r="AA57" i="3"/>
  <c r="AA102" i="3"/>
  <c r="AA67" i="3"/>
  <c r="AA58" i="3"/>
  <c r="J68" i="3"/>
  <c r="J35" i="3"/>
  <c r="J59" i="3"/>
  <c r="J32" i="3"/>
  <c r="CD74" i="6"/>
  <c r="E97" i="8"/>
  <c r="S59" i="3"/>
  <c r="S32" i="3"/>
  <c r="S68" i="3"/>
  <c r="S35" i="3"/>
  <c r="AL57" i="3"/>
  <c r="AL32" i="3"/>
  <c r="AL67" i="3"/>
  <c r="AL58" i="3"/>
  <c r="AP66" i="3"/>
  <c r="AP56" i="3"/>
  <c r="AP26" i="3"/>
  <c r="P97" i="8"/>
  <c r="AD68" i="3"/>
  <c r="AD35" i="3"/>
  <c r="AD59" i="3"/>
  <c r="AD32" i="3"/>
  <c r="AD38" i="3"/>
  <c r="AX57" i="3"/>
  <c r="AX32" i="3"/>
  <c r="AX67" i="3"/>
  <c r="AX58" i="3"/>
  <c r="Z102" i="3"/>
  <c r="I11" i="9"/>
  <c r="I12" i="9"/>
  <c r="BY12" i="7"/>
  <c r="BY39" i="6"/>
  <c r="CD56" i="4"/>
  <c r="BY69" i="6"/>
  <c r="CD91" i="4"/>
  <c r="BY95" i="4"/>
  <c r="Y90" i="8"/>
  <c r="F15" i="9"/>
  <c r="F16" i="9"/>
  <c r="BJ41" i="7"/>
  <c r="BJ43" i="7"/>
  <c r="BJ51" i="6"/>
  <c r="BJ74" i="4"/>
  <c r="BJ52" i="6"/>
  <c r="BC57" i="3"/>
  <c r="BC32" i="3"/>
  <c r="BC67" i="3"/>
  <c r="BC58" i="3"/>
  <c r="AK26" i="3"/>
  <c r="AK66" i="3"/>
  <c r="AK56" i="3"/>
  <c r="AG67" i="3"/>
  <c r="AG32" i="3"/>
  <c r="AG57" i="3"/>
  <c r="AG58" i="3"/>
  <c r="AE80" i="8"/>
  <c r="AF78" i="8"/>
  <c r="AF79" i="8"/>
  <c r="X121" i="8"/>
  <c r="AB115" i="8"/>
  <c r="BY12" i="6"/>
  <c r="CD13" i="4"/>
  <c r="CD12" i="6"/>
  <c r="AT57" i="3"/>
  <c r="AT32" i="3"/>
  <c r="AT67" i="3"/>
  <c r="AT58" i="3"/>
  <c r="G57" i="3"/>
  <c r="G58" i="3"/>
  <c r="K59" i="3"/>
  <c r="K32" i="3"/>
  <c r="K68" i="3"/>
  <c r="K35" i="3"/>
  <c r="L35" i="3"/>
  <c r="AQ57" i="3"/>
  <c r="AQ32" i="3"/>
  <c r="AQ67" i="3"/>
  <c r="AQ58" i="3"/>
  <c r="E50" i="9"/>
  <c r="AV40" i="8"/>
  <c r="H17" i="9"/>
  <c r="H18" i="9"/>
  <c r="BT14" i="7"/>
  <c r="BT59" i="6"/>
  <c r="BT82" i="4"/>
  <c r="BT60" i="6"/>
  <c r="G23" i="9"/>
  <c r="G24" i="9"/>
  <c r="BO25" i="7"/>
  <c r="BO27" i="7"/>
  <c r="BO80" i="6"/>
  <c r="BO114" i="4"/>
  <c r="BO81" i="6"/>
  <c r="AQ103" i="8"/>
  <c r="AQ39" i="8"/>
  <c r="AQ46" i="8"/>
  <c r="BG82" i="6"/>
  <c r="BG116" i="4"/>
  <c r="BG83" i="6"/>
  <c r="BG121" i="4"/>
  <c r="AV67" i="3"/>
  <c r="AZ26" i="3"/>
  <c r="AV57" i="3"/>
  <c r="AV32" i="3"/>
  <c r="AV58" i="3"/>
  <c r="BA67" i="3"/>
  <c r="BE26" i="3"/>
  <c r="BA58" i="3"/>
  <c r="BA57" i="3"/>
  <c r="BA32" i="3"/>
  <c r="AB102" i="3"/>
  <c r="AU42" i="8"/>
  <c r="AV42" i="8"/>
  <c r="BA42" i="8"/>
  <c r="H31" i="9"/>
  <c r="BT58" i="7"/>
  <c r="BT92" i="6"/>
  <c r="BY125" i="4"/>
  <c r="BC143" i="4"/>
  <c r="BC109" i="6"/>
  <c r="AE57" i="3"/>
  <c r="AE32" i="3"/>
  <c r="AE67" i="3"/>
  <c r="AE58" i="3"/>
  <c r="AE102" i="3"/>
  <c r="AF26" i="3"/>
  <c r="BT9" i="7"/>
  <c r="BT18" i="7"/>
  <c r="V35" i="3"/>
  <c r="H97" i="8"/>
  <c r="G35" i="3"/>
  <c r="AF32" i="3"/>
  <c r="AF59" i="3"/>
  <c r="AA38" i="3"/>
  <c r="Q102" i="3"/>
  <c r="M97" i="8"/>
  <c r="W90" i="8"/>
  <c r="V92" i="8"/>
  <c r="V91" i="8"/>
  <c r="AV45" i="8"/>
  <c r="BA40" i="8"/>
  <c r="BY71" i="6"/>
  <c r="BY96" i="4"/>
  <c r="BY113" i="4"/>
  <c r="J7" i="9"/>
  <c r="CD10" i="7"/>
  <c r="CD29" i="6"/>
  <c r="CD44" i="4"/>
  <c r="CD30" i="6"/>
  <c r="I28" i="9"/>
  <c r="I29" i="9"/>
  <c r="BY84" i="6"/>
  <c r="BY49" i="7"/>
  <c r="CD117" i="4"/>
  <c r="AQ48" i="8"/>
  <c r="AB90" i="8"/>
  <c r="AA92" i="8"/>
  <c r="AA91" i="8"/>
  <c r="I67" i="9"/>
  <c r="BP67" i="8"/>
  <c r="AC92" i="8"/>
  <c r="AC91" i="8"/>
  <c r="Y97" i="8"/>
  <c r="AM59" i="3"/>
  <c r="AM38" i="3"/>
  <c r="AM68" i="3"/>
  <c r="AQ87" i="8"/>
  <c r="AQ90" i="8"/>
  <c r="AQ92" i="8"/>
  <c r="BE82" i="7"/>
  <c r="L75" i="9"/>
  <c r="M74" i="9"/>
  <c r="AA80" i="8"/>
  <c r="AB107" i="8"/>
  <c r="AN92" i="8"/>
  <c r="AN91" i="8"/>
  <c r="BF155" i="4"/>
  <c r="J63" i="9"/>
  <c r="K63" i="9"/>
  <c r="L63" i="9"/>
  <c r="M63" i="9"/>
  <c r="N63" i="9"/>
  <c r="O63" i="9"/>
  <c r="P63" i="9"/>
  <c r="Q63" i="9"/>
  <c r="R63" i="9"/>
  <c r="S63" i="9"/>
  <c r="T63" i="9"/>
  <c r="BP59" i="8"/>
  <c r="CD81" i="7"/>
  <c r="Z97" i="8"/>
  <c r="AN38" i="3"/>
  <c r="AN68" i="3"/>
  <c r="AN59" i="3"/>
  <c r="BF42" i="8"/>
  <c r="AO97" i="8"/>
  <c r="BC59" i="3"/>
  <c r="BC38" i="3"/>
  <c r="BC68" i="3"/>
  <c r="AN97" i="8"/>
  <c r="BB68" i="3"/>
  <c r="BB59" i="3"/>
  <c r="BB38" i="3"/>
  <c r="AT83" i="8"/>
  <c r="AT88" i="8"/>
  <c r="AU35" i="8"/>
  <c r="Q97" i="8"/>
  <c r="R97" i="8"/>
  <c r="AE59" i="3"/>
  <c r="AE38" i="3"/>
  <c r="AE69" i="3"/>
  <c r="AE68" i="3"/>
  <c r="AE35" i="3"/>
  <c r="AF35" i="3"/>
  <c r="AU45" i="8"/>
  <c r="AC97" i="8"/>
  <c r="AQ59" i="3"/>
  <c r="AU32" i="3"/>
  <c r="AQ38" i="3"/>
  <c r="AQ68" i="3"/>
  <c r="AG107" i="8"/>
  <c r="AF80" i="8"/>
  <c r="S97" i="8"/>
  <c r="AG59" i="3"/>
  <c r="AG68" i="3"/>
  <c r="AG35" i="3"/>
  <c r="AK32" i="3"/>
  <c r="AG38" i="3"/>
  <c r="AG69" i="3"/>
  <c r="AK67" i="3"/>
  <c r="AK57" i="3"/>
  <c r="AK58" i="3"/>
  <c r="CD69" i="6"/>
  <c r="CD95" i="4"/>
  <c r="AP57" i="3"/>
  <c r="AP67" i="3"/>
  <c r="AP58" i="3"/>
  <c r="CD76" i="6"/>
  <c r="CD106" i="4"/>
  <c r="F25" i="9"/>
  <c r="F6" i="9"/>
  <c r="C97" i="8"/>
  <c r="Q68" i="3"/>
  <c r="Q59" i="3"/>
  <c r="Q32" i="3"/>
  <c r="I17" i="9"/>
  <c r="I18" i="9"/>
  <c r="BY14" i="7"/>
  <c r="BY59" i="6"/>
  <c r="BY82" i="4"/>
  <c r="BY60" i="6"/>
  <c r="AI97" i="8"/>
  <c r="AW68" i="3"/>
  <c r="AW38" i="3"/>
  <c r="AW59" i="3"/>
  <c r="AU57" i="3"/>
  <c r="AU67" i="3"/>
  <c r="AU58" i="3"/>
  <c r="BI108" i="6"/>
  <c r="BI143" i="4"/>
  <c r="BI109" i="6"/>
  <c r="BI147" i="4"/>
  <c r="BI10" i="3"/>
  <c r="I35" i="9"/>
  <c r="I36" i="9"/>
  <c r="BY100" i="6"/>
  <c r="BY60" i="7"/>
  <c r="BY137" i="4"/>
  <c r="CD133" i="4"/>
  <c r="AE92" i="8"/>
  <c r="AE91" i="8"/>
  <c r="G15" i="9"/>
  <c r="G16" i="9"/>
  <c r="BO41" i="7"/>
  <c r="BO43" i="7"/>
  <c r="BO51" i="6"/>
  <c r="BO74" i="4"/>
  <c r="BO52" i="6"/>
  <c r="AO108" i="8"/>
  <c r="AO79" i="8"/>
  <c r="AD97" i="8"/>
  <c r="AR38" i="3"/>
  <c r="AR59" i="3"/>
  <c r="AR68" i="3"/>
  <c r="AG90" i="8"/>
  <c r="AF92" i="8"/>
  <c r="AF91" i="8"/>
  <c r="AE97" i="8"/>
  <c r="AS59" i="3"/>
  <c r="AS68" i="3"/>
  <c r="AS38" i="3"/>
  <c r="I9" i="9"/>
  <c r="I10" i="9"/>
  <c r="BY11" i="7"/>
  <c r="BY36" i="6"/>
  <c r="BY54" i="4"/>
  <c r="BY37" i="6"/>
  <c r="CD75" i="6"/>
  <c r="AA97" i="8"/>
  <c r="AO68" i="3"/>
  <c r="AO59" i="3"/>
  <c r="AO38" i="3"/>
  <c r="AM97" i="8"/>
  <c r="BA68" i="3"/>
  <c r="BE32" i="3"/>
  <c r="BA59" i="3"/>
  <c r="BA38" i="3"/>
  <c r="AZ67" i="3"/>
  <c r="AZ57" i="3"/>
  <c r="AZ58" i="3"/>
  <c r="D60" i="9"/>
  <c r="AU110" i="8"/>
  <c r="AF67" i="3"/>
  <c r="AF57" i="3"/>
  <c r="AF58" i="3"/>
  <c r="BT57" i="7"/>
  <c r="AH97" i="8"/>
  <c r="AV38" i="3"/>
  <c r="AV68" i="3"/>
  <c r="AV31" i="3"/>
  <c r="AW31" i="3"/>
  <c r="AV59" i="3"/>
  <c r="AZ32" i="3"/>
  <c r="BG88" i="6"/>
  <c r="BG148" i="4"/>
  <c r="BG150" i="4"/>
  <c r="BG155" i="4"/>
  <c r="BG142" i="4"/>
  <c r="BG122" i="4"/>
  <c r="BG89" i="6"/>
  <c r="AJ97" i="8"/>
  <c r="AX68" i="3"/>
  <c r="AX38" i="3"/>
  <c r="AX59" i="3"/>
  <c r="X97" i="8"/>
  <c r="AL68" i="3"/>
  <c r="AL38" i="3"/>
  <c r="AL69" i="3"/>
  <c r="AL59" i="3"/>
  <c r="AP32" i="3"/>
  <c r="BJ82" i="6"/>
  <c r="BJ116" i="4"/>
  <c r="BJ83" i="6"/>
  <c r="BJ121" i="4"/>
  <c r="Q35" i="3"/>
  <c r="AD92" i="8"/>
  <c r="AD91" i="8"/>
  <c r="E80" i="8"/>
  <c r="F78" i="8"/>
  <c r="F79" i="8"/>
  <c r="BK20" i="8"/>
  <c r="BP20" i="8"/>
  <c r="AA59" i="3"/>
  <c r="AA32" i="3"/>
  <c r="AA68" i="3"/>
  <c r="AK97" i="8"/>
  <c r="AY59" i="3"/>
  <c r="AY38" i="3"/>
  <c r="AY68" i="3"/>
  <c r="AQ123" i="8"/>
  <c r="AQ122" i="8"/>
  <c r="AM126" i="8"/>
  <c r="V102" i="3"/>
  <c r="BT104" i="6"/>
  <c r="BT151" i="4"/>
  <c r="BT153" i="4"/>
  <c r="BT138" i="4"/>
  <c r="BT105" i="6"/>
  <c r="BO64" i="7"/>
  <c r="BO66" i="7"/>
  <c r="BO72" i="7"/>
  <c r="BO74" i="7"/>
  <c r="V68" i="3"/>
  <c r="V59" i="3"/>
  <c r="V32" i="3"/>
  <c r="AJ90" i="8"/>
  <c r="AH90" i="8"/>
  <c r="AL87" i="8"/>
  <c r="AI90" i="8"/>
  <c r="BT50" i="6"/>
  <c r="BY71" i="4"/>
  <c r="BT73" i="4"/>
  <c r="AQ19" i="8"/>
  <c r="AP25" i="8"/>
  <c r="J13" i="9"/>
  <c r="CD13" i="7"/>
  <c r="CD42" i="6"/>
  <c r="BE51" i="7"/>
  <c r="BE31" i="7"/>
  <c r="BE39" i="7"/>
  <c r="BE47" i="7"/>
  <c r="BE22" i="7"/>
  <c r="G5" i="9"/>
  <c r="BO33" i="7"/>
  <c r="BO35" i="7"/>
  <c r="BO19" i="6"/>
  <c r="BO115" i="4"/>
  <c r="BO28" i="4"/>
  <c r="BO20" i="6"/>
  <c r="AZ108" i="6"/>
  <c r="AZ143" i="4"/>
  <c r="AZ109" i="6"/>
  <c r="AZ147" i="4"/>
  <c r="AZ156" i="4"/>
  <c r="BE143" i="4"/>
  <c r="BE109" i="6"/>
  <c r="CD33" i="6"/>
  <c r="CD53" i="4"/>
  <c r="E51" i="9"/>
  <c r="E59" i="9"/>
  <c r="I8" i="9"/>
  <c r="AK90" i="8"/>
  <c r="BH88" i="6"/>
  <c r="BH142" i="4"/>
  <c r="BH122" i="4"/>
  <c r="BH89" i="6"/>
  <c r="BH148" i="4"/>
  <c r="BH150" i="4"/>
  <c r="BH155" i="4"/>
  <c r="CD46" i="6"/>
  <c r="I31" i="9"/>
  <c r="BY58" i="7"/>
  <c r="BY92" i="6"/>
  <c r="CD125" i="4"/>
  <c r="U97" i="8"/>
  <c r="AI59" i="3"/>
  <c r="AI38" i="3"/>
  <c r="AI69" i="3"/>
  <c r="AI68" i="3"/>
  <c r="AI35" i="3"/>
  <c r="CD55" i="6"/>
  <c r="CD81" i="4"/>
  <c r="AP97" i="8"/>
  <c r="AP58" i="8"/>
  <c r="BD38" i="3"/>
  <c r="BD59" i="3"/>
  <c r="BD68" i="3"/>
  <c r="H37" i="9"/>
  <c r="H38" i="9"/>
  <c r="H32" i="9"/>
  <c r="BE67" i="3"/>
  <c r="BE57" i="3"/>
  <c r="BE58" i="3"/>
  <c r="E60" i="9"/>
  <c r="AF97" i="8"/>
  <c r="AT68" i="3"/>
  <c r="AT59" i="3"/>
  <c r="AT38" i="3"/>
  <c r="Y92" i="8"/>
  <c r="Y91" i="8"/>
  <c r="J11" i="9"/>
  <c r="CD12" i="7"/>
  <c r="CD39" i="6"/>
  <c r="L102" i="3"/>
  <c r="V97" i="8"/>
  <c r="AJ38" i="3"/>
  <c r="AJ69" i="3"/>
  <c r="AJ68" i="3"/>
  <c r="AJ35" i="3"/>
  <c r="AJ59" i="3"/>
  <c r="J22" i="9"/>
  <c r="K21" i="9"/>
  <c r="L21" i="9"/>
  <c r="M21" i="9"/>
  <c r="N21" i="9"/>
  <c r="O21" i="9"/>
  <c r="P21" i="9"/>
  <c r="Q21" i="9"/>
  <c r="R21" i="9"/>
  <c r="S21" i="9"/>
  <c r="T21" i="9"/>
  <c r="T91" i="8"/>
  <c r="T92" i="8"/>
  <c r="H23" i="9"/>
  <c r="H24" i="9"/>
  <c r="BT25" i="7"/>
  <c r="BT27" i="7"/>
  <c r="BT80" i="6"/>
  <c r="BT114" i="4"/>
  <c r="BT81" i="6"/>
  <c r="AA35" i="3"/>
  <c r="BI156" i="4"/>
  <c r="BI11" i="3"/>
  <c r="CD70" i="6"/>
  <c r="L68" i="3"/>
  <c r="L59" i="3"/>
  <c r="L32" i="3"/>
  <c r="T97" i="8"/>
  <c r="AH68" i="3"/>
  <c r="AH35" i="3"/>
  <c r="AH59" i="3"/>
  <c r="AH38" i="3"/>
  <c r="AH69" i="3"/>
  <c r="AM92" i="8"/>
  <c r="AM91" i="8"/>
  <c r="S90" i="8"/>
  <c r="W87" i="8"/>
  <c r="U90" i="8"/>
  <c r="X90" i="8"/>
  <c r="AB87" i="8"/>
  <c r="Z90" i="8"/>
  <c r="I33" i="9"/>
  <c r="I34" i="9"/>
  <c r="BY59" i="7"/>
  <c r="BY96" i="6"/>
  <c r="CD129" i="4"/>
  <c r="J19" i="9"/>
  <c r="CD15" i="7"/>
  <c r="CD62" i="6"/>
  <c r="BT18" i="6"/>
  <c r="BY25" i="4"/>
  <c r="BT27" i="4"/>
  <c r="D62" i="9"/>
  <c r="D68" i="9"/>
  <c r="D69" i="9"/>
  <c r="G59" i="3"/>
  <c r="G32" i="3"/>
  <c r="BF108" i="6"/>
  <c r="BF147" i="4"/>
  <c r="BF143" i="4"/>
  <c r="BF109" i="6"/>
  <c r="BF10" i="3"/>
  <c r="CD11" i="6"/>
  <c r="AO92" i="8"/>
  <c r="AO91" i="8"/>
  <c r="AT110" i="8"/>
  <c r="AV110" i="8"/>
  <c r="BY9" i="7"/>
  <c r="BY18" i="7"/>
  <c r="AB97" i="8"/>
  <c r="AF38" i="3"/>
  <c r="AF69" i="3"/>
  <c r="AF68" i="3"/>
  <c r="AL97" i="8"/>
  <c r="H5" i="9"/>
  <c r="BT33" i="7"/>
  <c r="BT35" i="7"/>
  <c r="BT19" i="6"/>
  <c r="BT28" i="4"/>
  <c r="BT20" i="6"/>
  <c r="BT115" i="4"/>
  <c r="X92" i="8"/>
  <c r="X91" i="8"/>
  <c r="K11" i="9"/>
  <c r="L11" i="9"/>
  <c r="M11" i="9"/>
  <c r="N11" i="9"/>
  <c r="O11" i="9"/>
  <c r="P11" i="9"/>
  <c r="Q11" i="9"/>
  <c r="R11" i="9"/>
  <c r="S11" i="9"/>
  <c r="T11" i="9"/>
  <c r="J12" i="9"/>
  <c r="I37" i="9"/>
  <c r="I38" i="9"/>
  <c r="I32" i="9"/>
  <c r="BH11" i="3"/>
  <c r="AL90" i="8"/>
  <c r="AK92" i="8"/>
  <c r="AK91" i="8"/>
  <c r="J9" i="9"/>
  <c r="CD11" i="7"/>
  <c r="CD36" i="6"/>
  <c r="CD54" i="4"/>
  <c r="CD37" i="6"/>
  <c r="AQ25" i="8"/>
  <c r="AR19" i="8"/>
  <c r="AI92" i="8"/>
  <c r="AI91" i="8"/>
  <c r="AY69" i="3"/>
  <c r="AY39" i="3"/>
  <c r="BG108" i="6"/>
  <c r="BG147" i="4"/>
  <c r="BG156" i="4"/>
  <c r="BG143" i="4"/>
  <c r="BG109" i="6"/>
  <c r="BG10" i="3"/>
  <c r="AO80" i="8"/>
  <c r="AP78" i="8"/>
  <c r="AP108" i="8"/>
  <c r="J35" i="9"/>
  <c r="CD60" i="7"/>
  <c r="CD100" i="6"/>
  <c r="CD137" i="4"/>
  <c r="AK68" i="3"/>
  <c r="AK59" i="3"/>
  <c r="AK38" i="3"/>
  <c r="W97" i="8"/>
  <c r="AQ69" i="3"/>
  <c r="AQ39" i="3"/>
  <c r="BF156" i="4"/>
  <c r="BF11" i="3"/>
  <c r="BF12" i="3"/>
  <c r="J67" i="9"/>
  <c r="K67" i="9"/>
  <c r="L67" i="9"/>
  <c r="M67" i="9"/>
  <c r="N67" i="9"/>
  <c r="O67" i="9"/>
  <c r="P67" i="9"/>
  <c r="Q67" i="9"/>
  <c r="R67" i="9"/>
  <c r="S67" i="9"/>
  <c r="T67" i="9"/>
  <c r="J28" i="9"/>
  <c r="CD49" i="7"/>
  <c r="CD84" i="6"/>
  <c r="I23" i="9"/>
  <c r="I24" i="9"/>
  <c r="BY25" i="7"/>
  <c r="BY27" i="7"/>
  <c r="BY80" i="6"/>
  <c r="BY114" i="4"/>
  <c r="BY81" i="6"/>
  <c r="AR95" i="8"/>
  <c r="AR13" i="8"/>
  <c r="BF15" i="3"/>
  <c r="BF49" i="3"/>
  <c r="BF46" i="3"/>
  <c r="BF14" i="3"/>
  <c r="BF62" i="3"/>
  <c r="BY18" i="6"/>
  <c r="CD25" i="4"/>
  <c r="BY27" i="4"/>
  <c r="J20" i="9"/>
  <c r="K19" i="9"/>
  <c r="L19" i="9"/>
  <c r="M19" i="9"/>
  <c r="N19" i="9"/>
  <c r="O19" i="9"/>
  <c r="P19" i="9"/>
  <c r="Q19" i="9"/>
  <c r="R19" i="9"/>
  <c r="S19" i="9"/>
  <c r="T19" i="9"/>
  <c r="U92" i="8"/>
  <c r="U91" i="8"/>
  <c r="AU96" i="8"/>
  <c r="J17" i="9"/>
  <c r="CD14" i="7"/>
  <c r="CD59" i="6"/>
  <c r="CD82" i="4"/>
  <c r="CD60" i="6"/>
  <c r="J31" i="9"/>
  <c r="CD58" i="7"/>
  <c r="CD92" i="6"/>
  <c r="H15" i="9"/>
  <c r="H16" i="9"/>
  <c r="BT41" i="7"/>
  <c r="BT43" i="7"/>
  <c r="BT51" i="6"/>
  <c r="BT74" i="4"/>
  <c r="BT52" i="6"/>
  <c r="AP68" i="3"/>
  <c r="AP35" i="3"/>
  <c r="AP59" i="3"/>
  <c r="AP38" i="3"/>
  <c r="AP69" i="3"/>
  <c r="BG11" i="3"/>
  <c r="BT64" i="7"/>
  <c r="BT66" i="7"/>
  <c r="BT72" i="7"/>
  <c r="BT74" i="7"/>
  <c r="BA69" i="3"/>
  <c r="BA39" i="3"/>
  <c r="AS39" i="3"/>
  <c r="AS69" i="3"/>
  <c r="AQ108" i="8"/>
  <c r="BY104" i="6"/>
  <c r="BY151" i="4"/>
  <c r="BY153" i="4"/>
  <c r="BY138" i="4"/>
  <c r="BY105" i="6"/>
  <c r="CD71" i="6"/>
  <c r="CD113" i="4"/>
  <c r="CD96" i="4"/>
  <c r="AK35" i="3"/>
  <c r="AU59" i="3"/>
  <c r="AU38" i="3"/>
  <c r="AU68" i="3"/>
  <c r="AU35" i="3"/>
  <c r="N74" i="9"/>
  <c r="M75" i="9"/>
  <c r="AB92" i="8"/>
  <c r="AB91" i="8"/>
  <c r="J33" i="9"/>
  <c r="CD59" i="7"/>
  <c r="CD96" i="6"/>
  <c r="Z92" i="8"/>
  <c r="Z91" i="8"/>
  <c r="BD44" i="3"/>
  <c r="BD69" i="3"/>
  <c r="BD39" i="3"/>
  <c r="BD47" i="3"/>
  <c r="BH108" i="6"/>
  <c r="BH143" i="4"/>
  <c r="BH109" i="6"/>
  <c r="BH147" i="4"/>
  <c r="BH156" i="4"/>
  <c r="BH10" i="3"/>
  <c r="E62" i="9"/>
  <c r="E68" i="9"/>
  <c r="G6" i="9"/>
  <c r="G25" i="9"/>
  <c r="K13" i="9"/>
  <c r="L13" i="9"/>
  <c r="M13" i="9"/>
  <c r="N13" i="9"/>
  <c r="O13" i="9"/>
  <c r="P13" i="9"/>
  <c r="Q13" i="9"/>
  <c r="R13" i="9"/>
  <c r="S13" i="9"/>
  <c r="T13" i="9"/>
  <c r="J14" i="9"/>
  <c r="BY50" i="6"/>
  <c r="CD71" i="4"/>
  <c r="BY73" i="4"/>
  <c r="AH92" i="8"/>
  <c r="AH91" i="8"/>
  <c r="BJ88" i="6"/>
  <c r="BJ122" i="4"/>
  <c r="BJ89" i="6"/>
  <c r="BJ148" i="4"/>
  <c r="BJ142" i="4"/>
  <c r="AO69" i="3"/>
  <c r="AO39" i="3"/>
  <c r="AR69" i="3"/>
  <c r="AR39" i="3"/>
  <c r="AU95" i="8"/>
  <c r="AU13" i="8"/>
  <c r="AV13" i="8"/>
  <c r="BI49" i="3"/>
  <c r="BI46" i="3"/>
  <c r="BI14" i="3"/>
  <c r="BI62" i="3"/>
  <c r="BI15" i="3"/>
  <c r="BI12" i="3"/>
  <c r="AW39" i="3"/>
  <c r="AW69" i="3"/>
  <c r="BB69" i="3"/>
  <c r="BB39" i="3"/>
  <c r="BK42" i="8"/>
  <c r="AN69" i="3"/>
  <c r="AN39" i="3"/>
  <c r="AM69" i="3"/>
  <c r="AM39" i="3"/>
  <c r="CD9" i="7"/>
  <c r="S92" i="8"/>
  <c r="S91" i="8"/>
  <c r="AT69" i="3"/>
  <c r="AT39" i="3"/>
  <c r="AQ58" i="8"/>
  <c r="AQ65" i="8"/>
  <c r="AP65" i="8"/>
  <c r="AP49" i="8"/>
  <c r="BY57" i="7"/>
  <c r="BO82" i="6"/>
  <c r="BO116" i="4"/>
  <c r="BO83" i="6"/>
  <c r="BO121" i="4"/>
  <c r="BE55" i="7"/>
  <c r="BE50" i="7"/>
  <c r="AJ92" i="8"/>
  <c r="AJ91" i="8"/>
  <c r="G78" i="8"/>
  <c r="G79" i="8"/>
  <c r="F80" i="8"/>
  <c r="AX69" i="3"/>
  <c r="AX39" i="3"/>
  <c r="AZ68" i="3"/>
  <c r="AZ35" i="3"/>
  <c r="AZ59" i="3"/>
  <c r="AZ38" i="3"/>
  <c r="AZ69" i="3"/>
  <c r="AV69" i="3"/>
  <c r="AV39" i="3"/>
  <c r="AQ97" i="8"/>
  <c r="BE59" i="3"/>
  <c r="BE68" i="3"/>
  <c r="BE35" i="3"/>
  <c r="BE38" i="3"/>
  <c r="AG92" i="8"/>
  <c r="AG91" i="8"/>
  <c r="F26" i="9"/>
  <c r="F39" i="9"/>
  <c r="AG97" i="8"/>
  <c r="AU88" i="8"/>
  <c r="AU83" i="8"/>
  <c r="AV35" i="8"/>
  <c r="AV109" i="8"/>
  <c r="BC69" i="3"/>
  <c r="BC39" i="3"/>
  <c r="BJ150" i="4"/>
  <c r="K7" i="9"/>
  <c r="L7" i="9"/>
  <c r="M7" i="9"/>
  <c r="N7" i="9"/>
  <c r="O7" i="9"/>
  <c r="P7" i="9"/>
  <c r="Q7" i="9"/>
  <c r="R7" i="9"/>
  <c r="S7" i="9"/>
  <c r="T7" i="9"/>
  <c r="J8" i="9"/>
  <c r="BA45" i="8"/>
  <c r="BF40" i="8"/>
  <c r="W92" i="8"/>
  <c r="W91" i="8"/>
  <c r="BJ10" i="3"/>
  <c r="AP39" i="3"/>
  <c r="AZ39" i="3"/>
  <c r="AU69" i="3"/>
  <c r="AV95" i="8"/>
  <c r="AV101" i="8"/>
  <c r="BJ62" i="3"/>
  <c r="BJ49" i="3"/>
  <c r="BJ46" i="3"/>
  <c r="F44" i="9"/>
  <c r="F40" i="9"/>
  <c r="BO88" i="6"/>
  <c r="BO148" i="4"/>
  <c r="BO150" i="4"/>
  <c r="BO155" i="4"/>
  <c r="BO142" i="4"/>
  <c r="BO122" i="4"/>
  <c r="BO89" i="6"/>
  <c r="BY64" i="7"/>
  <c r="BY66" i="7"/>
  <c r="BY72" i="7"/>
  <c r="BY74" i="7"/>
  <c r="CD18" i="7"/>
  <c r="BI117" i="3"/>
  <c r="BI64" i="3"/>
  <c r="CD50" i="6"/>
  <c r="CD73" i="4"/>
  <c r="G39" i="9"/>
  <c r="G26" i="9"/>
  <c r="AU28" i="8"/>
  <c r="AU14" i="8"/>
  <c r="AV14" i="8"/>
  <c r="J29" i="9"/>
  <c r="K28" i="9"/>
  <c r="L28" i="9"/>
  <c r="M28" i="9"/>
  <c r="N28" i="9"/>
  <c r="O28" i="9"/>
  <c r="P28" i="9"/>
  <c r="Q28" i="9"/>
  <c r="R28" i="9"/>
  <c r="S28" i="9"/>
  <c r="T28" i="9"/>
  <c r="AU39" i="3"/>
  <c r="BJ155" i="4"/>
  <c r="BJ149" i="4"/>
  <c r="G80" i="8"/>
  <c r="I78" i="8"/>
  <c r="AQ49" i="8"/>
  <c r="AP51" i="8"/>
  <c r="AP53" i="8"/>
  <c r="BI63" i="3"/>
  <c r="BI20" i="3"/>
  <c r="BI53" i="3"/>
  <c r="BJ108" i="6"/>
  <c r="BJ147" i="4"/>
  <c r="CF87" i="4"/>
  <c r="BJ143" i="4"/>
  <c r="BJ109" i="6"/>
  <c r="CF59" i="4"/>
  <c r="CF56" i="4"/>
  <c r="CF84" i="4"/>
  <c r="CF53" i="4"/>
  <c r="CF81" i="4"/>
  <c r="CF117" i="4"/>
  <c r="CF43" i="4"/>
  <c r="CF137" i="4"/>
  <c r="CF113" i="4"/>
  <c r="CF73" i="4"/>
  <c r="CF27" i="4"/>
  <c r="J34" i="9"/>
  <c r="K33" i="9"/>
  <c r="L33" i="9"/>
  <c r="M33" i="9"/>
  <c r="N33" i="9"/>
  <c r="O33" i="9"/>
  <c r="P33" i="9"/>
  <c r="Q33" i="9"/>
  <c r="R33" i="9"/>
  <c r="S33" i="9"/>
  <c r="T33" i="9"/>
  <c r="O74" i="9"/>
  <c r="N75" i="9"/>
  <c r="J23" i="9"/>
  <c r="CD25" i="7"/>
  <c r="CD80" i="6"/>
  <c r="CD114" i="4"/>
  <c r="CD81" i="6"/>
  <c r="AS96" i="8"/>
  <c r="CD57" i="7"/>
  <c r="I5" i="9"/>
  <c r="BY33" i="7"/>
  <c r="BY35" i="7"/>
  <c r="BY19" i="6"/>
  <c r="BY115" i="4"/>
  <c r="BY28" i="4"/>
  <c r="BY20" i="6"/>
  <c r="BF20" i="3"/>
  <c r="BF53" i="3"/>
  <c r="BF63" i="3"/>
  <c r="J36" i="9"/>
  <c r="K35" i="9"/>
  <c r="L35" i="9"/>
  <c r="M35" i="9"/>
  <c r="N35" i="9"/>
  <c r="O35" i="9"/>
  <c r="P35" i="9"/>
  <c r="Q35" i="9"/>
  <c r="R35" i="9"/>
  <c r="S35" i="9"/>
  <c r="T35" i="9"/>
  <c r="AS95" i="8"/>
  <c r="AS13" i="8"/>
  <c r="BG62" i="3"/>
  <c r="BG15" i="3"/>
  <c r="BG12" i="3"/>
  <c r="BG49" i="3"/>
  <c r="BG14" i="3"/>
  <c r="BG46" i="3"/>
  <c r="AV88" i="8"/>
  <c r="AV83" i="8"/>
  <c r="BA35" i="8"/>
  <c r="BF45" i="8"/>
  <c r="BK40" i="8"/>
  <c r="AP86" i="8"/>
  <c r="AP77" i="8"/>
  <c r="AP79" i="8"/>
  <c r="AP11" i="8"/>
  <c r="BI118" i="3"/>
  <c r="BI65" i="3"/>
  <c r="J37" i="9"/>
  <c r="J38" i="9"/>
  <c r="J32" i="9"/>
  <c r="K31" i="9"/>
  <c r="K17" i="9"/>
  <c r="L17" i="9"/>
  <c r="M17" i="9"/>
  <c r="N17" i="9"/>
  <c r="O17" i="9"/>
  <c r="P17" i="9"/>
  <c r="Q17" i="9"/>
  <c r="R17" i="9"/>
  <c r="S17" i="9"/>
  <c r="T17" i="9"/>
  <c r="J18" i="9"/>
  <c r="CD18" i="6"/>
  <c r="CD27" i="4"/>
  <c r="BF117" i="3"/>
  <c r="BF64" i="3"/>
  <c r="BF118" i="3"/>
  <c r="BF65" i="3"/>
  <c r="CD104" i="6"/>
  <c r="CD151" i="4"/>
  <c r="CD153" i="4"/>
  <c r="CD138" i="4"/>
  <c r="CD105" i="6"/>
  <c r="AR25" i="8"/>
  <c r="AS19" i="8"/>
  <c r="AL92" i="8"/>
  <c r="AL91" i="8"/>
  <c r="BE47" i="3"/>
  <c r="BE69" i="3"/>
  <c r="BE39" i="3"/>
  <c r="BE44" i="3"/>
  <c r="E71" i="9"/>
  <c r="E69" i="9"/>
  <c r="AQ86" i="8"/>
  <c r="AQ77" i="8"/>
  <c r="AQ79" i="8"/>
  <c r="BP42" i="8"/>
  <c r="I15" i="9"/>
  <c r="I16" i="9"/>
  <c r="BY41" i="7"/>
  <c r="BY43" i="7"/>
  <c r="BY51" i="6"/>
  <c r="BY74" i="4"/>
  <c r="BY52" i="6"/>
  <c r="AT95" i="8"/>
  <c r="AT13" i="8"/>
  <c r="BH62" i="3"/>
  <c r="BH15" i="3"/>
  <c r="BH12" i="3"/>
  <c r="BH49" i="3"/>
  <c r="BH46" i="3"/>
  <c r="BH14" i="3"/>
  <c r="AR96" i="8"/>
  <c r="BJ11" i="3"/>
  <c r="K9" i="9"/>
  <c r="L9" i="9"/>
  <c r="M9" i="9"/>
  <c r="N9" i="9"/>
  <c r="O9" i="9"/>
  <c r="P9" i="9"/>
  <c r="Q9" i="9"/>
  <c r="R9" i="9"/>
  <c r="S9" i="9"/>
  <c r="T9" i="9"/>
  <c r="J10" i="9"/>
  <c r="AT96" i="8"/>
  <c r="BT82" i="6"/>
  <c r="BT116" i="4"/>
  <c r="BT83" i="6"/>
  <c r="BT121" i="4"/>
  <c r="H25" i="9"/>
  <c r="H6" i="9"/>
  <c r="BJ14" i="3"/>
  <c r="BJ54" i="3"/>
  <c r="AQ107" i="8"/>
  <c r="H39" i="9"/>
  <c r="H26" i="9"/>
  <c r="BH117" i="3"/>
  <c r="BH64" i="3"/>
  <c r="BH118" i="3"/>
  <c r="BH65" i="3"/>
  <c r="AV115" i="8"/>
  <c r="AR115" i="8"/>
  <c r="BF121" i="3"/>
  <c r="O75" i="9"/>
  <c r="P74" i="9"/>
  <c r="BO108" i="6"/>
  <c r="BO147" i="4"/>
  <c r="BO143" i="4"/>
  <c r="BO109" i="6"/>
  <c r="BO10" i="3"/>
  <c r="AT28" i="8"/>
  <c r="AT39" i="8"/>
  <c r="AT46" i="8"/>
  <c r="AT14" i="8"/>
  <c r="F54" i="9"/>
  <c r="AV96" i="8"/>
  <c r="AV102" i="8"/>
  <c r="L31" i="9"/>
  <c r="K37" i="9"/>
  <c r="K38" i="9"/>
  <c r="BG53" i="3"/>
  <c r="BG20" i="3"/>
  <c r="BG63" i="3"/>
  <c r="BF80" i="7"/>
  <c r="BF51" i="7"/>
  <c r="BF56" i="3"/>
  <c r="BF96" i="3"/>
  <c r="AR87" i="8"/>
  <c r="BF66" i="3"/>
  <c r="BF26" i="3"/>
  <c r="CD27" i="7"/>
  <c r="BJ156" i="4"/>
  <c r="BO156" i="4"/>
  <c r="BO11" i="3"/>
  <c r="BT88" i="6"/>
  <c r="BT142" i="4"/>
  <c r="BT122" i="4"/>
  <c r="BT89" i="6"/>
  <c r="BT148" i="4"/>
  <c r="BT150" i="4"/>
  <c r="BT155" i="4"/>
  <c r="J5" i="9"/>
  <c r="CD33" i="7"/>
  <c r="CD19" i="6"/>
  <c r="CD115" i="4"/>
  <c r="CD28" i="4"/>
  <c r="CD20" i="6"/>
  <c r="BP40" i="8"/>
  <c r="BP45" i="8"/>
  <c r="BK45" i="8"/>
  <c r="AS25" i="8"/>
  <c r="AT19" i="8"/>
  <c r="BG118" i="3"/>
  <c r="BG65" i="3"/>
  <c r="I25" i="9"/>
  <c r="I6" i="9"/>
  <c r="AS28" i="8"/>
  <c r="AS39" i="8"/>
  <c r="AS46" i="8"/>
  <c r="AS14" i="8"/>
  <c r="K23" i="9"/>
  <c r="L23" i="9"/>
  <c r="M23" i="9"/>
  <c r="N23" i="9"/>
  <c r="O23" i="9"/>
  <c r="P23" i="9"/>
  <c r="Q23" i="9"/>
  <c r="R23" i="9"/>
  <c r="S23" i="9"/>
  <c r="T23" i="9"/>
  <c r="J24" i="9"/>
  <c r="AQ51" i="8"/>
  <c r="AQ53" i="8"/>
  <c r="G44" i="9"/>
  <c r="G40" i="9"/>
  <c r="BI121" i="3"/>
  <c r="BJ12" i="3"/>
  <c r="AR14" i="8"/>
  <c r="AR28" i="8"/>
  <c r="AR39" i="8"/>
  <c r="AR46" i="8"/>
  <c r="BH20" i="3"/>
  <c r="BH63" i="3"/>
  <c r="BH53" i="3"/>
  <c r="AV78" i="8"/>
  <c r="AR78" i="8"/>
  <c r="AR108" i="8"/>
  <c r="BJ15" i="3"/>
  <c r="AP82" i="8"/>
  <c r="AP84" i="8"/>
  <c r="AP80" i="8"/>
  <c r="AQ11" i="8"/>
  <c r="AP18" i="8"/>
  <c r="AP26" i="8"/>
  <c r="AP54" i="8"/>
  <c r="AP89" i="8"/>
  <c r="AP91" i="8"/>
  <c r="BA88" i="8"/>
  <c r="BA83" i="8"/>
  <c r="BF35" i="8"/>
  <c r="BA110" i="8"/>
  <c r="BG117" i="3"/>
  <c r="BG64" i="3"/>
  <c r="BY82" i="6"/>
  <c r="BY121" i="4"/>
  <c r="BY116" i="4"/>
  <c r="BY83" i="6"/>
  <c r="CD64" i="7"/>
  <c r="CD66" i="7"/>
  <c r="CD72" i="7"/>
  <c r="CD74" i="7"/>
  <c r="BI80" i="7"/>
  <c r="BI51" i="7"/>
  <c r="BI26" i="3"/>
  <c r="BI56" i="3"/>
  <c r="BI96" i="3"/>
  <c r="AU87" i="8"/>
  <c r="BI66" i="3"/>
  <c r="M78" i="8"/>
  <c r="M79" i="8"/>
  <c r="M80" i="8"/>
  <c r="I79" i="8"/>
  <c r="AU39" i="8"/>
  <c r="AU46" i="8"/>
  <c r="AV28" i="8"/>
  <c r="J15" i="9"/>
  <c r="CD41" i="7"/>
  <c r="CD51" i="6"/>
  <c r="CD74" i="4"/>
  <c r="CD52" i="6"/>
  <c r="BJ64" i="3"/>
  <c r="BJ117" i="3"/>
  <c r="F56" i="9"/>
  <c r="F49" i="9"/>
  <c r="BG121" i="3"/>
  <c r="BH121" i="3"/>
  <c r="BH80" i="7"/>
  <c r="BH51" i="7"/>
  <c r="BH96" i="3"/>
  <c r="AT87" i="8"/>
  <c r="BH66" i="3"/>
  <c r="BH26" i="3"/>
  <c r="BH56" i="3"/>
  <c r="BT11" i="3"/>
  <c r="K15" i="9"/>
  <c r="L15" i="9"/>
  <c r="M15" i="9"/>
  <c r="N15" i="9"/>
  <c r="O15" i="9"/>
  <c r="P15" i="9"/>
  <c r="Q15" i="9"/>
  <c r="R15" i="9"/>
  <c r="S15" i="9"/>
  <c r="T15" i="9"/>
  <c r="J16" i="9"/>
  <c r="BI67" i="3"/>
  <c r="BI57" i="3"/>
  <c r="BI27" i="3"/>
  <c r="BI32" i="3"/>
  <c r="AQ82" i="8"/>
  <c r="AQ84" i="8"/>
  <c r="AQ80" i="8"/>
  <c r="AQ18" i="8"/>
  <c r="AQ26" i="8"/>
  <c r="AQ54" i="8"/>
  <c r="AQ89" i="8"/>
  <c r="AQ91" i="8"/>
  <c r="BJ53" i="3"/>
  <c r="BJ20" i="3"/>
  <c r="BJ63" i="3"/>
  <c r="AU64" i="8"/>
  <c r="CD82" i="6"/>
  <c r="CD116" i="4"/>
  <c r="CD83" i="6"/>
  <c r="CD121" i="4"/>
  <c r="BF27" i="3"/>
  <c r="BF57" i="3"/>
  <c r="BF67" i="3"/>
  <c r="AR121" i="8"/>
  <c r="AR118" i="8"/>
  <c r="AV103" i="8"/>
  <c r="AV39" i="8"/>
  <c r="AV46" i="8"/>
  <c r="AT64" i="8"/>
  <c r="G54" i="9"/>
  <c r="BA96" i="8"/>
  <c r="I39" i="9"/>
  <c r="I26" i="9"/>
  <c r="AU19" i="8"/>
  <c r="AT25" i="8"/>
  <c r="CD35" i="7"/>
  <c r="AR90" i="8"/>
  <c r="AR92" i="8"/>
  <c r="BG80" i="7"/>
  <c r="BG51" i="7"/>
  <c r="BG56" i="3"/>
  <c r="BG26" i="3"/>
  <c r="BG96" i="3"/>
  <c r="AS87" i="8"/>
  <c r="AS90" i="8"/>
  <c r="AS92" i="8"/>
  <c r="BG66" i="3"/>
  <c r="BA95" i="8"/>
  <c r="BA13" i="8"/>
  <c r="BO14" i="3"/>
  <c r="BO62" i="3"/>
  <c r="BO15" i="3"/>
  <c r="BO12" i="3"/>
  <c r="BO49" i="3"/>
  <c r="BO46" i="3"/>
  <c r="BY88" i="6"/>
  <c r="BY142" i="4"/>
  <c r="BY122" i="4"/>
  <c r="BY89" i="6"/>
  <c r="BY148" i="4"/>
  <c r="BY150" i="4"/>
  <c r="BY155" i="4"/>
  <c r="CD43" i="7"/>
  <c r="I80" i="8"/>
  <c r="J78" i="8"/>
  <c r="J79" i="8"/>
  <c r="BF83" i="8"/>
  <c r="BF88" i="8"/>
  <c r="BK35" i="8"/>
  <c r="BF110" i="8"/>
  <c r="F55" i="9"/>
  <c r="F48" i="9"/>
  <c r="BJ118" i="3"/>
  <c r="BJ65" i="3"/>
  <c r="BJ55" i="3"/>
  <c r="AS64" i="8"/>
  <c r="AR64" i="8"/>
  <c r="J25" i="9"/>
  <c r="K5" i="9"/>
  <c r="J6" i="9"/>
  <c r="BT108" i="6"/>
  <c r="BT143" i="4"/>
  <c r="BT109" i="6"/>
  <c r="BT147" i="4"/>
  <c r="BT156" i="4"/>
  <c r="BT10" i="3"/>
  <c r="M31" i="9"/>
  <c r="L37" i="9"/>
  <c r="L38" i="9"/>
  <c r="F47" i="9"/>
  <c r="P75" i="9"/>
  <c r="Q74" i="9"/>
  <c r="H40" i="9"/>
  <c r="AV64" i="8"/>
  <c r="F64" i="9"/>
  <c r="BJ121" i="3"/>
  <c r="F57" i="9"/>
  <c r="F50" i="9"/>
  <c r="AT90" i="8"/>
  <c r="AT92" i="8"/>
  <c r="AU97" i="8"/>
  <c r="AU58" i="8"/>
  <c r="AU65" i="8"/>
  <c r="AU86" i="8"/>
  <c r="BI68" i="3"/>
  <c r="BI59" i="3"/>
  <c r="K78" i="8"/>
  <c r="K79" i="8"/>
  <c r="J80" i="8"/>
  <c r="BG57" i="3"/>
  <c r="BG27" i="3"/>
  <c r="BG32" i="3"/>
  <c r="BG67" i="3"/>
  <c r="AU25" i="8"/>
  <c r="AV19" i="8"/>
  <c r="C88" i="9"/>
  <c r="D98" i="9"/>
  <c r="BJ96" i="7"/>
  <c r="BJ112" i="7"/>
  <c r="BJ128" i="7"/>
  <c r="BH67" i="3"/>
  <c r="BH27" i="3"/>
  <c r="BH32" i="3"/>
  <c r="BH57" i="3"/>
  <c r="BY11" i="3"/>
  <c r="BO53" i="3"/>
  <c r="BO20" i="3"/>
  <c r="BO63" i="3"/>
  <c r="BA28" i="8"/>
  <c r="BA39" i="8"/>
  <c r="BA46" i="8"/>
  <c r="BA14" i="8"/>
  <c r="BA64" i="8"/>
  <c r="G64" i="9"/>
  <c r="AR123" i="8"/>
  <c r="H54" i="9"/>
  <c r="BF96" i="8"/>
  <c r="N31" i="9"/>
  <c r="M37" i="9"/>
  <c r="M38" i="9"/>
  <c r="G56" i="9"/>
  <c r="G49" i="9"/>
  <c r="BO117" i="3"/>
  <c r="BO64" i="3"/>
  <c r="BF95" i="8"/>
  <c r="BF13" i="8"/>
  <c r="BT62" i="3"/>
  <c r="BT15" i="3"/>
  <c r="BT12" i="3"/>
  <c r="BT49" i="3"/>
  <c r="BT46" i="3"/>
  <c r="BT14" i="3"/>
  <c r="F58" i="9"/>
  <c r="K25" i="9"/>
  <c r="L5" i="9"/>
  <c r="BY108" i="6"/>
  <c r="BY143" i="4"/>
  <c r="BY109" i="6"/>
  <c r="BY147" i="4"/>
  <c r="BY156" i="4"/>
  <c r="BY10" i="3"/>
  <c r="G55" i="9"/>
  <c r="G48" i="9"/>
  <c r="BO118" i="3"/>
  <c r="BO65" i="3"/>
  <c r="AU90" i="8"/>
  <c r="AU92" i="8"/>
  <c r="I40" i="9"/>
  <c r="G47" i="9"/>
  <c r="CD88" i="6"/>
  <c r="CD122" i="4"/>
  <c r="CD89" i="6"/>
  <c r="CD148" i="4"/>
  <c r="CD150" i="4"/>
  <c r="CD155" i="4"/>
  <c r="CD142" i="4"/>
  <c r="BK88" i="8"/>
  <c r="BK83" i="8"/>
  <c r="BP35" i="8"/>
  <c r="BK110" i="8"/>
  <c r="R74" i="9"/>
  <c r="Q75" i="9"/>
  <c r="J26" i="9"/>
  <c r="J39" i="9"/>
  <c r="BF32" i="3"/>
  <c r="BJ80" i="7"/>
  <c r="BJ56" i="3"/>
  <c r="BJ96" i="3"/>
  <c r="BJ26" i="3"/>
  <c r="BJ66" i="3"/>
  <c r="BJ27" i="3"/>
  <c r="F61" i="9"/>
  <c r="AS97" i="8"/>
  <c r="AS58" i="8"/>
  <c r="AS65" i="8"/>
  <c r="AS86" i="8"/>
  <c r="AT115" i="8"/>
  <c r="BG59" i="3"/>
  <c r="BG68" i="3"/>
  <c r="AR97" i="8"/>
  <c r="AR58" i="8"/>
  <c r="BF68" i="3"/>
  <c r="BF59" i="3"/>
  <c r="CD108" i="6"/>
  <c r="CD147" i="4"/>
  <c r="CD156" i="4"/>
  <c r="CD143" i="4"/>
  <c r="CD109" i="6"/>
  <c r="CD10" i="3"/>
  <c r="BF28" i="8"/>
  <c r="BF39" i="8"/>
  <c r="BF46" i="8"/>
  <c r="BF14" i="8"/>
  <c r="BF64" i="8"/>
  <c r="H64" i="9"/>
  <c r="AR126" i="8"/>
  <c r="BF33" i="3"/>
  <c r="AR72" i="8"/>
  <c r="AV87" i="8"/>
  <c r="AV90" i="8"/>
  <c r="BJ82" i="7"/>
  <c r="BK95" i="8"/>
  <c r="BK13" i="8"/>
  <c r="BY49" i="3"/>
  <c r="BY46" i="3"/>
  <c r="BY14" i="3"/>
  <c r="BY62" i="3"/>
  <c r="BY15" i="3"/>
  <c r="BY12" i="3"/>
  <c r="F51" i="9"/>
  <c r="F59" i="9"/>
  <c r="H47" i="9"/>
  <c r="AT97" i="8"/>
  <c r="AT58" i="8"/>
  <c r="AT65" i="8"/>
  <c r="AT86" i="8"/>
  <c r="AU115" i="8"/>
  <c r="BH68" i="3"/>
  <c r="BH59" i="3"/>
  <c r="J40" i="9"/>
  <c r="CD11" i="3"/>
  <c r="BT20" i="3"/>
  <c r="BT63" i="3"/>
  <c r="BT53" i="3"/>
  <c r="N37" i="9"/>
  <c r="N38" i="9"/>
  <c r="O31" i="9"/>
  <c r="BJ58" i="3"/>
  <c r="F60" i="9"/>
  <c r="K80" i="8"/>
  <c r="L78" i="8"/>
  <c r="L79" i="8"/>
  <c r="BJ57" i="3"/>
  <c r="BJ32" i="3"/>
  <c r="BJ67" i="3"/>
  <c r="K39" i="9"/>
  <c r="K26" i="9"/>
  <c r="BP88" i="8"/>
  <c r="BP83" i="8"/>
  <c r="BP110" i="8"/>
  <c r="G57" i="9"/>
  <c r="BJ51" i="7"/>
  <c r="BJ70" i="7"/>
  <c r="BJ78" i="7"/>
  <c r="BJ22" i="7"/>
  <c r="BJ47" i="7"/>
  <c r="BJ31" i="7"/>
  <c r="BJ39" i="7"/>
  <c r="S74" i="9"/>
  <c r="R75" i="9"/>
  <c r="L25" i="9"/>
  <c r="M5" i="9"/>
  <c r="H56" i="9"/>
  <c r="H49" i="9"/>
  <c r="BT117" i="3"/>
  <c r="BT64" i="3"/>
  <c r="H55" i="9"/>
  <c r="H48" i="9"/>
  <c r="BT118" i="3"/>
  <c r="BT65" i="3"/>
  <c r="BO121" i="3"/>
  <c r="BO80" i="7"/>
  <c r="BO56" i="3"/>
  <c r="BO96" i="3"/>
  <c r="BO66" i="3"/>
  <c r="BO26" i="3"/>
  <c r="I54" i="9"/>
  <c r="BK96" i="8"/>
  <c r="AV25" i="8"/>
  <c r="BA19" i="8"/>
  <c r="BT121" i="3"/>
  <c r="BA87" i="8"/>
  <c r="BA90" i="8"/>
  <c r="BA92" i="8"/>
  <c r="BO82" i="7"/>
  <c r="AZ90" i="7"/>
  <c r="L80" i="8"/>
  <c r="N78" i="8"/>
  <c r="P31" i="9"/>
  <c r="O37" i="9"/>
  <c r="O38" i="9"/>
  <c r="BT80" i="7"/>
  <c r="BT96" i="3"/>
  <c r="BT66" i="3"/>
  <c r="BT26" i="3"/>
  <c r="BT56" i="3"/>
  <c r="AR75" i="8"/>
  <c r="AR48" i="8"/>
  <c r="I47" i="9"/>
  <c r="AZ89" i="7"/>
  <c r="AZ93" i="7"/>
  <c r="F62" i="9"/>
  <c r="F68" i="9"/>
  <c r="I56" i="9"/>
  <c r="I49" i="9"/>
  <c r="BY117" i="3"/>
  <c r="BY64" i="3"/>
  <c r="AR98" i="8"/>
  <c r="AR65" i="8"/>
  <c r="AR86" i="8"/>
  <c r="AS115" i="8"/>
  <c r="AV58" i="8"/>
  <c r="AV65" i="8"/>
  <c r="AV86" i="8"/>
  <c r="BA115" i="8"/>
  <c r="AR49" i="8"/>
  <c r="AS49" i="8"/>
  <c r="AT49" i="8"/>
  <c r="AU49" i="8"/>
  <c r="AV49" i="8"/>
  <c r="K40" i="9"/>
  <c r="BJ55" i="7"/>
  <c r="BJ50" i="7"/>
  <c r="AV97" i="8"/>
  <c r="BJ68" i="3"/>
  <c r="BJ59" i="3"/>
  <c r="J54" i="9"/>
  <c r="BP96" i="8"/>
  <c r="AU121" i="8"/>
  <c r="AU123" i="8"/>
  <c r="AU118" i="8"/>
  <c r="H57" i="9"/>
  <c r="BY63" i="3"/>
  <c r="BY53" i="3"/>
  <c r="BY20" i="3"/>
  <c r="BR91" i="8"/>
  <c r="AV92" i="8"/>
  <c r="BP95" i="8"/>
  <c r="BP13" i="8"/>
  <c r="CD12" i="3"/>
  <c r="CD62" i="3"/>
  <c r="CD49" i="3"/>
  <c r="CD46" i="3"/>
  <c r="CD14" i="3"/>
  <c r="CD15" i="3"/>
  <c r="BF38" i="3"/>
  <c r="AT118" i="8"/>
  <c r="AT121" i="8"/>
  <c r="AT123" i="8"/>
  <c r="BK28" i="8"/>
  <c r="BK39" i="8"/>
  <c r="BK46" i="8"/>
  <c r="BK14" i="8"/>
  <c r="BA25" i="8"/>
  <c r="BF19" i="8"/>
  <c r="BO57" i="3"/>
  <c r="BO67" i="3"/>
  <c r="BO27" i="3"/>
  <c r="G61" i="9"/>
  <c r="BO51" i="7"/>
  <c r="BO22" i="7"/>
  <c r="BO31" i="7"/>
  <c r="BO70" i="7"/>
  <c r="BO39" i="7"/>
  <c r="BO47" i="7"/>
  <c r="BO78" i="7"/>
  <c r="M25" i="9"/>
  <c r="N5" i="9"/>
  <c r="AZ91" i="7"/>
  <c r="L39" i="9"/>
  <c r="L26" i="9"/>
  <c r="S75" i="9"/>
  <c r="T74" i="9"/>
  <c r="T75" i="9"/>
  <c r="AZ88" i="7"/>
  <c r="G50" i="9"/>
  <c r="G58" i="9"/>
  <c r="I55" i="9"/>
  <c r="I48" i="9"/>
  <c r="BY118" i="3"/>
  <c r="BY65" i="3"/>
  <c r="BK64" i="8"/>
  <c r="I64" i="9"/>
  <c r="L40" i="9"/>
  <c r="BK19" i="8"/>
  <c r="AT126" i="8"/>
  <c r="AT72" i="8"/>
  <c r="AT75" i="8"/>
  <c r="AT77" i="8"/>
  <c r="J56" i="9"/>
  <c r="J49" i="9"/>
  <c r="K49" i="9"/>
  <c r="CD117" i="3"/>
  <c r="CD64" i="3"/>
  <c r="CD53" i="3"/>
  <c r="CD63" i="3"/>
  <c r="CD20" i="3"/>
  <c r="BY80" i="7"/>
  <c r="BY26" i="3"/>
  <c r="BY96" i="3"/>
  <c r="BY66" i="3"/>
  <c r="BY56" i="3"/>
  <c r="J47" i="9"/>
  <c r="K47" i="9"/>
  <c r="AS118" i="8"/>
  <c r="AS121" i="8"/>
  <c r="AZ105" i="7"/>
  <c r="BJ89" i="7"/>
  <c r="AR77" i="8"/>
  <c r="AR79" i="8"/>
  <c r="BT27" i="3"/>
  <c r="H61" i="9"/>
  <c r="BT67" i="3"/>
  <c r="BT57" i="3"/>
  <c r="M39" i="9"/>
  <c r="M26" i="9"/>
  <c r="AU126" i="8"/>
  <c r="AU72" i="8"/>
  <c r="AU75" i="8"/>
  <c r="AU77" i="8"/>
  <c r="AZ92" i="7"/>
  <c r="AZ94" i="7"/>
  <c r="BY121" i="3"/>
  <c r="Q31" i="9"/>
  <c r="P37" i="9"/>
  <c r="P38" i="9"/>
  <c r="BJ90" i="7"/>
  <c r="AZ106" i="7"/>
  <c r="BJ88" i="7"/>
  <c r="AZ104" i="7"/>
  <c r="G51" i="9"/>
  <c r="G59" i="9"/>
  <c r="G62" i="9"/>
  <c r="AZ107" i="7"/>
  <c r="BJ91" i="7"/>
  <c r="BO32" i="3"/>
  <c r="BF47" i="3"/>
  <c r="BF69" i="3"/>
  <c r="BF39" i="3"/>
  <c r="BF44" i="3"/>
  <c r="AZ109" i="7"/>
  <c r="BJ93" i="7"/>
  <c r="I57" i="9"/>
  <c r="BF87" i="8"/>
  <c r="BF90" i="8"/>
  <c r="BF92" i="8"/>
  <c r="BT82" i="7"/>
  <c r="R78" i="8"/>
  <c r="R79" i="8"/>
  <c r="R80" i="8"/>
  <c r="N79" i="8"/>
  <c r="N25" i="9"/>
  <c r="O5" i="9"/>
  <c r="BO55" i="7"/>
  <c r="BO50" i="7"/>
  <c r="J55" i="9"/>
  <c r="J48" i="9"/>
  <c r="K48" i="9"/>
  <c r="CD118" i="3"/>
  <c r="CD65" i="3"/>
  <c r="H50" i="9"/>
  <c r="H58" i="9"/>
  <c r="BP14" i="8"/>
  <c r="BP28" i="8"/>
  <c r="BP39" i="8"/>
  <c r="BP46" i="8"/>
  <c r="BA118" i="8"/>
  <c r="BA121" i="8"/>
  <c r="BA123" i="8"/>
  <c r="F69" i="9"/>
  <c r="F71" i="9"/>
  <c r="F76" i="9"/>
  <c r="AR51" i="8"/>
  <c r="AR53" i="8"/>
  <c r="BT51" i="7"/>
  <c r="BT22" i="7"/>
  <c r="BT31" i="7"/>
  <c r="BT39" i="7"/>
  <c r="BT78" i="7"/>
  <c r="BT70" i="7"/>
  <c r="BT47" i="7"/>
  <c r="BP64" i="8"/>
  <c r="J64" i="9"/>
  <c r="K64" i="9"/>
  <c r="L64" i="9"/>
  <c r="M64" i="9"/>
  <c r="N64" i="9"/>
  <c r="O64" i="9"/>
  <c r="P64" i="9"/>
  <c r="Q64" i="9"/>
  <c r="R64" i="9"/>
  <c r="S64" i="9"/>
  <c r="T64" i="9"/>
  <c r="O78" i="8"/>
  <c r="O79" i="8"/>
  <c r="N80" i="8"/>
  <c r="I50" i="9"/>
  <c r="I58" i="9"/>
  <c r="BA97" i="8"/>
  <c r="BA58" i="8"/>
  <c r="BO59" i="3"/>
  <c r="BO68" i="3"/>
  <c r="BJ92" i="7"/>
  <c r="BJ94" i="7"/>
  <c r="AZ108" i="7"/>
  <c r="M40" i="9"/>
  <c r="BJ105" i="7"/>
  <c r="AZ121" i="7"/>
  <c r="BJ121" i="7"/>
  <c r="J57" i="9"/>
  <c r="BY67" i="3"/>
  <c r="BY27" i="3"/>
  <c r="I61" i="9"/>
  <c r="BY57" i="3"/>
  <c r="BT55" i="7"/>
  <c r="BT50" i="7"/>
  <c r="R31" i="9"/>
  <c r="Q37" i="9"/>
  <c r="Q38" i="9"/>
  <c r="AS123" i="8"/>
  <c r="AV121" i="8"/>
  <c r="BY51" i="7"/>
  <c r="BY22" i="7"/>
  <c r="BY31" i="7"/>
  <c r="BY39" i="7"/>
  <c r="BY78" i="7"/>
  <c r="BY70" i="7"/>
  <c r="BY47" i="7"/>
  <c r="P5" i="9"/>
  <c r="O25" i="9"/>
  <c r="BJ109" i="7"/>
  <c r="AZ125" i="7"/>
  <c r="BJ125" i="7"/>
  <c r="BJ107" i="7"/>
  <c r="AZ123" i="7"/>
  <c r="BJ123" i="7"/>
  <c r="G68" i="9"/>
  <c r="AZ122" i="7"/>
  <c r="BJ122" i="7"/>
  <c r="BJ106" i="7"/>
  <c r="BT32" i="3"/>
  <c r="AS78" i="8"/>
  <c r="AS108" i="8"/>
  <c r="AR11" i="8"/>
  <c r="CD80" i="7"/>
  <c r="CD56" i="3"/>
  <c r="CD66" i="3"/>
  <c r="CD96" i="3"/>
  <c r="CD26" i="3"/>
  <c r="CD121" i="3"/>
  <c r="BA126" i="8"/>
  <c r="BA72" i="8"/>
  <c r="BA75" i="8"/>
  <c r="H51" i="9"/>
  <c r="K55" i="9"/>
  <c r="L48" i="9"/>
  <c r="N26" i="9"/>
  <c r="N39" i="9"/>
  <c r="AZ120" i="7"/>
  <c r="BJ104" i="7"/>
  <c r="AZ110" i="7"/>
  <c r="K54" i="9"/>
  <c r="L47" i="9"/>
  <c r="BK87" i="8"/>
  <c r="BK90" i="8"/>
  <c r="BK92" i="8"/>
  <c r="BY82" i="7"/>
  <c r="K56" i="9"/>
  <c r="L49" i="9"/>
  <c r="BP19" i="8"/>
  <c r="K57" i="9"/>
  <c r="BE94" i="7"/>
  <c r="BJ97" i="7"/>
  <c r="BJ99" i="7"/>
  <c r="K50" i="9"/>
  <c r="K58" i="9"/>
  <c r="O39" i="9"/>
  <c r="O26" i="9"/>
  <c r="BY55" i="7"/>
  <c r="BY50" i="7"/>
  <c r="AZ124" i="7"/>
  <c r="BJ124" i="7"/>
  <c r="BJ108" i="7"/>
  <c r="CD27" i="3"/>
  <c r="J61" i="9"/>
  <c r="CD57" i="3"/>
  <c r="CD67" i="3"/>
  <c r="CD51" i="7"/>
  <c r="CD22" i="7"/>
  <c r="CD78" i="7"/>
  <c r="CD31" i="7"/>
  <c r="CD70" i="7"/>
  <c r="CD39" i="7"/>
  <c r="CD47" i="7"/>
  <c r="P25" i="9"/>
  <c r="Q5" i="9"/>
  <c r="R37" i="9"/>
  <c r="R38" i="9"/>
  <c r="S31" i="9"/>
  <c r="BA65" i="8"/>
  <c r="BA86" i="8"/>
  <c r="BF115" i="8"/>
  <c r="BA49" i="8"/>
  <c r="BF49" i="8"/>
  <c r="BF97" i="8"/>
  <c r="BF58" i="8"/>
  <c r="BF65" i="8"/>
  <c r="BF86" i="8"/>
  <c r="BK115" i="8"/>
  <c r="BT59" i="3"/>
  <c r="BT68" i="3"/>
  <c r="BJ110" i="7"/>
  <c r="L55" i="9"/>
  <c r="M48" i="9"/>
  <c r="BP87" i="8"/>
  <c r="BP90" i="8"/>
  <c r="BP92" i="8"/>
  <c r="CD82" i="7"/>
  <c r="AR82" i="8"/>
  <c r="AR84" i="8"/>
  <c r="AR80" i="8"/>
  <c r="AR18" i="8"/>
  <c r="AR26" i="8"/>
  <c r="AR54" i="8"/>
  <c r="AR89" i="8"/>
  <c r="AR91" i="8"/>
  <c r="AS126" i="8"/>
  <c r="BG33" i="3"/>
  <c r="AS72" i="8"/>
  <c r="AV123" i="8"/>
  <c r="AV122" i="8"/>
  <c r="J50" i="9"/>
  <c r="J58" i="9"/>
  <c r="O80" i="8"/>
  <c r="P78" i="8"/>
  <c r="P79" i="8"/>
  <c r="N40" i="9"/>
  <c r="L56" i="9"/>
  <c r="M49" i="9"/>
  <c r="L54" i="9"/>
  <c r="M47" i="9"/>
  <c r="AZ126" i="7"/>
  <c r="BJ120" i="7"/>
  <c r="G69" i="9"/>
  <c r="G71" i="9"/>
  <c r="G76" i="9"/>
  <c r="H70" i="9"/>
  <c r="BY32" i="3"/>
  <c r="I51" i="9"/>
  <c r="BJ126" i="7"/>
  <c r="BJ129" i="7"/>
  <c r="BJ131" i="7"/>
  <c r="BA77" i="8"/>
  <c r="M56" i="9"/>
  <c r="N49" i="9"/>
  <c r="Q25" i="9"/>
  <c r="R5" i="9"/>
  <c r="CD55" i="7"/>
  <c r="CD50" i="7"/>
  <c r="K51" i="9"/>
  <c r="P80" i="8"/>
  <c r="Q78" i="8"/>
  <c r="Q79" i="8"/>
  <c r="Q80" i="8"/>
  <c r="BE110" i="7"/>
  <c r="BJ113" i="7"/>
  <c r="BJ115" i="7"/>
  <c r="BF118" i="8"/>
  <c r="BF121" i="8"/>
  <c r="BF123" i="8"/>
  <c r="BF68" i="8"/>
  <c r="P39" i="9"/>
  <c r="P26" i="9"/>
  <c r="BK97" i="8"/>
  <c r="BK58" i="8"/>
  <c r="BK65" i="8"/>
  <c r="BK86" i="8"/>
  <c r="BP115" i="8"/>
  <c r="BY59" i="3"/>
  <c r="BY68" i="3"/>
  <c r="M54" i="9"/>
  <c r="N47" i="9"/>
  <c r="AS75" i="8"/>
  <c r="AS77" i="8"/>
  <c r="AS79" i="8"/>
  <c r="AV72" i="8"/>
  <c r="AV75" i="8"/>
  <c r="AV77" i="8"/>
  <c r="AV79" i="8"/>
  <c r="BA78" i="8"/>
  <c r="BA108" i="8"/>
  <c r="AS48" i="8"/>
  <c r="BK118" i="8"/>
  <c r="BK121" i="8"/>
  <c r="BK123" i="8"/>
  <c r="BK68" i="8"/>
  <c r="T31" i="9"/>
  <c r="T37" i="9"/>
  <c r="S37" i="9"/>
  <c r="S38" i="9"/>
  <c r="CD32" i="3"/>
  <c r="H43" i="9"/>
  <c r="L57" i="9"/>
  <c r="J51" i="9"/>
  <c r="AS98" i="8"/>
  <c r="BH33" i="3"/>
  <c r="BG38" i="3"/>
  <c r="M55" i="9"/>
  <c r="N48" i="9"/>
  <c r="O40" i="9"/>
  <c r="BE126" i="7"/>
  <c r="T38" i="9"/>
  <c r="BA79" i="8"/>
  <c r="BA11" i="8"/>
  <c r="BF78" i="8"/>
  <c r="BF108" i="8"/>
  <c r="N54" i="9"/>
  <c r="O47" i="9"/>
  <c r="P40" i="9"/>
  <c r="Q39" i="9"/>
  <c r="Q26" i="9"/>
  <c r="BG69" i="3"/>
  <c r="BG39" i="3"/>
  <c r="BG44" i="3"/>
  <c r="BG47" i="3"/>
  <c r="BP97" i="8"/>
  <c r="BP58" i="8"/>
  <c r="BP65" i="8"/>
  <c r="BP86" i="8"/>
  <c r="CD68" i="3"/>
  <c r="CD59" i="3"/>
  <c r="I66" i="9"/>
  <c r="BK69" i="8"/>
  <c r="AS51" i="8"/>
  <c r="AS53" i="8"/>
  <c r="AT48" i="8"/>
  <c r="M57" i="9"/>
  <c r="BP121" i="8"/>
  <c r="BP123" i="8"/>
  <c r="BP118" i="8"/>
  <c r="BP68" i="8"/>
  <c r="H66" i="9"/>
  <c r="BF21" i="8"/>
  <c r="BF69" i="8"/>
  <c r="BK49" i="8"/>
  <c r="N55" i="9"/>
  <c r="O48" i="9"/>
  <c r="H59" i="9"/>
  <c r="H44" i="9"/>
  <c r="BK126" i="8"/>
  <c r="BK72" i="8"/>
  <c r="BK75" i="8"/>
  <c r="BK77" i="8"/>
  <c r="BF126" i="8"/>
  <c r="BF72" i="8"/>
  <c r="BF75" i="8"/>
  <c r="N56" i="9"/>
  <c r="O49" i="9"/>
  <c r="AT98" i="8"/>
  <c r="BI33" i="3"/>
  <c r="BH38" i="3"/>
  <c r="L50" i="9"/>
  <c r="L58" i="9"/>
  <c r="AT78" i="8"/>
  <c r="AS11" i="8"/>
  <c r="R25" i="9"/>
  <c r="S5" i="9"/>
  <c r="BF77" i="8"/>
  <c r="BF79" i="8"/>
  <c r="BK78" i="8"/>
  <c r="BP49" i="8"/>
  <c r="AS82" i="8"/>
  <c r="AS84" i="8"/>
  <c r="AS80" i="8"/>
  <c r="AS18" i="8"/>
  <c r="AS26" i="8"/>
  <c r="AS54" i="8"/>
  <c r="AS89" i="8"/>
  <c r="AS91" i="8"/>
  <c r="M50" i="9"/>
  <c r="M58" i="9"/>
  <c r="Q40" i="9"/>
  <c r="O54" i="9"/>
  <c r="P47" i="9"/>
  <c r="J66" i="9"/>
  <c r="BP69" i="8"/>
  <c r="AT51" i="8"/>
  <c r="AT53" i="8"/>
  <c r="AU48" i="8"/>
  <c r="N57" i="9"/>
  <c r="BH44" i="3"/>
  <c r="BH47" i="3"/>
  <c r="BH69" i="3"/>
  <c r="BH39" i="3"/>
  <c r="AT108" i="8"/>
  <c r="AT79" i="8"/>
  <c r="AU98" i="8"/>
  <c r="BI38" i="3"/>
  <c r="BJ33" i="3"/>
  <c r="T5" i="9"/>
  <c r="T25" i="9"/>
  <c r="S25" i="9"/>
  <c r="L51" i="9"/>
  <c r="H62" i="9"/>
  <c r="H68" i="9"/>
  <c r="BA82" i="8"/>
  <c r="BA84" i="8"/>
  <c r="BA80" i="8"/>
  <c r="BA18" i="8"/>
  <c r="BA26" i="8"/>
  <c r="BA89" i="8"/>
  <c r="BA91" i="8"/>
  <c r="R39" i="9"/>
  <c r="R26" i="9"/>
  <c r="O56" i="9"/>
  <c r="P49" i="9"/>
  <c r="O55" i="9"/>
  <c r="P48" i="9"/>
  <c r="BK21" i="8"/>
  <c r="BF25" i="8"/>
  <c r="BP126" i="8"/>
  <c r="BP72" i="8"/>
  <c r="BP75" i="8"/>
  <c r="BP77" i="8"/>
  <c r="BF11" i="8"/>
  <c r="BF18" i="8"/>
  <c r="BF26" i="8"/>
  <c r="BK108" i="8"/>
  <c r="BK79" i="8"/>
  <c r="BP78" i="8"/>
  <c r="BP108" i="8"/>
  <c r="H69" i="9"/>
  <c r="H71" i="9"/>
  <c r="H76" i="9"/>
  <c r="C84" i="9"/>
  <c r="D96" i="9"/>
  <c r="I70" i="9"/>
  <c r="D95" i="9"/>
  <c r="T39" i="9"/>
  <c r="T26" i="9"/>
  <c r="R40" i="9"/>
  <c r="AV98" i="8"/>
  <c r="BO33" i="3"/>
  <c r="BJ35" i="3"/>
  <c r="BJ38" i="3"/>
  <c r="P54" i="9"/>
  <c r="Q47" i="9"/>
  <c r="AU78" i="8"/>
  <c r="AT11" i="8"/>
  <c r="BK11" i="8"/>
  <c r="BP21" i="8"/>
  <c r="BP25" i="8"/>
  <c r="BK25" i="8"/>
  <c r="P56" i="9"/>
  <c r="Q49" i="9"/>
  <c r="BI47" i="3"/>
  <c r="BI39" i="3"/>
  <c r="BI44" i="3"/>
  <c r="BI69" i="3"/>
  <c r="N50" i="9"/>
  <c r="N58" i="9"/>
  <c r="O57" i="9"/>
  <c r="M51" i="9"/>
  <c r="P55" i="9"/>
  <c r="Q48" i="9"/>
  <c r="S39" i="9"/>
  <c r="S26" i="9"/>
  <c r="AU51" i="8"/>
  <c r="AU53" i="8"/>
  <c r="AV48" i="8"/>
  <c r="BF80" i="8"/>
  <c r="BF89" i="8"/>
  <c r="BF91" i="8"/>
  <c r="BF82" i="8"/>
  <c r="BF84" i="8"/>
  <c r="BA48" i="8"/>
  <c r="AV51" i="8"/>
  <c r="AV53" i="8"/>
  <c r="N51" i="9"/>
  <c r="P57" i="9"/>
  <c r="I43" i="9"/>
  <c r="Q55" i="9"/>
  <c r="R48" i="9"/>
  <c r="AT82" i="8"/>
  <c r="AT84" i="8"/>
  <c r="AT80" i="8"/>
  <c r="AT18" i="8"/>
  <c r="AT26" i="8"/>
  <c r="AT54" i="8"/>
  <c r="AT89" i="8"/>
  <c r="AT91" i="8"/>
  <c r="BJ47" i="3"/>
  <c r="BJ69" i="3"/>
  <c r="BJ39" i="3"/>
  <c r="BJ44" i="3"/>
  <c r="AU108" i="8"/>
  <c r="AV108" i="8"/>
  <c r="AV107" i="8"/>
  <c r="AU79" i="8"/>
  <c r="AU11" i="8"/>
  <c r="T40" i="9"/>
  <c r="Q56" i="9"/>
  <c r="R49" i="9"/>
  <c r="S40" i="9"/>
  <c r="BP79" i="8"/>
  <c r="BP11" i="8"/>
  <c r="O50" i="9"/>
  <c r="O58" i="9"/>
  <c r="BK82" i="8"/>
  <c r="BK84" i="8"/>
  <c r="BK80" i="8"/>
  <c r="BK18" i="8"/>
  <c r="BK26" i="8"/>
  <c r="BK89" i="8"/>
  <c r="BK91" i="8"/>
  <c r="Q54" i="9"/>
  <c r="R47" i="9"/>
  <c r="BA98" i="8"/>
  <c r="BT33" i="3"/>
  <c r="BO38" i="3"/>
  <c r="D97" i="9"/>
  <c r="D99" i="9"/>
  <c r="D101" i="9"/>
  <c r="Q57" i="9"/>
  <c r="P50" i="9"/>
  <c r="P58" i="9"/>
  <c r="R54" i="9"/>
  <c r="S47" i="9"/>
  <c r="BP82" i="8"/>
  <c r="BP84" i="8"/>
  <c r="BP80" i="8"/>
  <c r="BP18" i="8"/>
  <c r="BP26" i="8"/>
  <c r="BP89" i="8"/>
  <c r="BP91" i="8"/>
  <c r="R56" i="9"/>
  <c r="S49" i="9"/>
  <c r="BO69" i="3"/>
  <c r="BO39" i="3"/>
  <c r="BO44" i="3"/>
  <c r="BO47" i="3"/>
  <c r="Q50" i="9"/>
  <c r="Q58" i="9"/>
  <c r="R55" i="9"/>
  <c r="S48" i="9"/>
  <c r="BA51" i="8"/>
  <c r="BA53" i="8"/>
  <c r="BA54" i="8"/>
  <c r="BF48" i="8"/>
  <c r="BF98" i="8"/>
  <c r="BY33" i="3"/>
  <c r="BT35" i="3"/>
  <c r="BT38" i="3"/>
  <c r="O51" i="9"/>
  <c r="AU80" i="8"/>
  <c r="AU18" i="8"/>
  <c r="AU26" i="8"/>
  <c r="AU54" i="8"/>
  <c r="AV11" i="8"/>
  <c r="AU82" i="8"/>
  <c r="AU84" i="8"/>
  <c r="AU89" i="8"/>
  <c r="AU91" i="8"/>
  <c r="I59" i="9"/>
  <c r="I44" i="9"/>
  <c r="R57" i="9"/>
  <c r="R50" i="9"/>
  <c r="AV80" i="8"/>
  <c r="AV82" i="8"/>
  <c r="AV84" i="8"/>
  <c r="AV18" i="8"/>
  <c r="AV26" i="8"/>
  <c r="AV54" i="8"/>
  <c r="AV89" i="8"/>
  <c r="AV91" i="8"/>
  <c r="BK98" i="8"/>
  <c r="CD33" i="3"/>
  <c r="BY38" i="3"/>
  <c r="S55" i="9"/>
  <c r="T48" i="9"/>
  <c r="T55" i="9"/>
  <c r="S56" i="9"/>
  <c r="T49" i="9"/>
  <c r="T56" i="9"/>
  <c r="P51" i="9"/>
  <c r="I62" i="9"/>
  <c r="I68" i="9"/>
  <c r="BT44" i="3"/>
  <c r="BT69" i="3"/>
  <c r="BT39" i="3"/>
  <c r="BT47" i="3"/>
  <c r="BF51" i="8"/>
  <c r="BF53" i="8"/>
  <c r="BF54" i="8"/>
  <c r="BK48" i="8"/>
  <c r="Q51" i="9"/>
  <c r="S54" i="9"/>
  <c r="S57" i="9"/>
  <c r="T47" i="9"/>
  <c r="T54" i="9"/>
  <c r="R58" i="9"/>
  <c r="I71" i="9"/>
  <c r="I76" i="9"/>
  <c r="J70" i="9"/>
  <c r="I69" i="9"/>
  <c r="R51" i="9"/>
  <c r="T57" i="9"/>
  <c r="BY39" i="3"/>
  <c r="BY47" i="3"/>
  <c r="BY44" i="3"/>
  <c r="BY69" i="3"/>
  <c r="S50" i="9"/>
  <c r="S58" i="9"/>
  <c r="BK51" i="8"/>
  <c r="BK53" i="8"/>
  <c r="BK54" i="8"/>
  <c r="BP48" i="8"/>
  <c r="BP51" i="8"/>
  <c r="BP53" i="8"/>
  <c r="BP54" i="8"/>
  <c r="BP98" i="8"/>
  <c r="CD38" i="3"/>
  <c r="CD35" i="3"/>
  <c r="M43" i="9"/>
  <c r="T43" i="9"/>
  <c r="L43" i="9"/>
  <c r="J43" i="9"/>
  <c r="S43" i="9"/>
  <c r="K43" i="9"/>
  <c r="Q43" i="9"/>
  <c r="R43" i="9"/>
  <c r="O43" i="9"/>
  <c r="N43" i="9"/>
  <c r="P43" i="9"/>
  <c r="T50" i="9"/>
  <c r="T58" i="9"/>
  <c r="CD47" i="3"/>
  <c r="CD44" i="3"/>
  <c r="CD69" i="3"/>
  <c r="CD39" i="3"/>
  <c r="S51" i="9"/>
  <c r="R59" i="9"/>
  <c r="R44" i="9"/>
  <c r="J59" i="9"/>
  <c r="J44" i="9"/>
  <c r="P59" i="9"/>
  <c r="P44" i="9"/>
  <c r="Q59" i="9"/>
  <c r="Q44" i="9"/>
  <c r="L59" i="9"/>
  <c r="L44" i="9"/>
  <c r="N59" i="9"/>
  <c r="N44" i="9"/>
  <c r="K59" i="9"/>
  <c r="K44" i="9"/>
  <c r="T44" i="9"/>
  <c r="T51" i="9"/>
  <c r="T59" i="9"/>
  <c r="O59" i="9"/>
  <c r="O44" i="9"/>
  <c r="S59" i="9"/>
  <c r="S44" i="9"/>
  <c r="M59" i="9"/>
  <c r="M44" i="9"/>
  <c r="T62" i="9"/>
  <c r="T61" i="9"/>
  <c r="M62" i="9"/>
  <c r="M61" i="9"/>
  <c r="O62" i="9"/>
  <c r="O61" i="9"/>
  <c r="N62" i="9"/>
  <c r="N61" i="9"/>
  <c r="N68" i="9"/>
  <c r="Q62" i="9"/>
  <c r="Q61" i="9"/>
  <c r="J62" i="9"/>
  <c r="J68" i="9"/>
  <c r="S62" i="9"/>
  <c r="S61" i="9"/>
  <c r="K62" i="9"/>
  <c r="K61" i="9"/>
  <c r="L62" i="9"/>
  <c r="L61" i="9"/>
  <c r="P62" i="9"/>
  <c r="P61" i="9"/>
  <c r="R62" i="9"/>
  <c r="R61" i="9"/>
  <c r="M68" i="9"/>
  <c r="M69" i="9"/>
  <c r="S68" i="9"/>
  <c r="O68" i="9"/>
  <c r="O69" i="9"/>
  <c r="T68" i="9"/>
  <c r="L68" i="9"/>
  <c r="L69" i="9"/>
  <c r="R68" i="9"/>
  <c r="R71" i="9"/>
  <c r="R76" i="9"/>
  <c r="P68" i="9"/>
  <c r="P69" i="9"/>
  <c r="K68" i="9"/>
  <c r="K69" i="9"/>
  <c r="Q68" i="9"/>
  <c r="Q71" i="9"/>
  <c r="Q76" i="9"/>
  <c r="O71" i="9"/>
  <c r="O76" i="9"/>
  <c r="L71" i="9"/>
  <c r="L76" i="9"/>
  <c r="R69" i="9"/>
  <c r="M71" i="9"/>
  <c r="M76" i="9"/>
  <c r="Q69" i="9"/>
  <c r="S69" i="9"/>
  <c r="S71" i="9"/>
  <c r="S76" i="9"/>
  <c r="N69" i="9"/>
  <c r="N71" i="9"/>
  <c r="N76" i="9"/>
  <c r="T69" i="9"/>
  <c r="T71" i="9"/>
  <c r="T76" i="9"/>
  <c r="U76" i="9"/>
  <c r="C86" i="9"/>
  <c r="J69" i="9"/>
  <c r="J71" i="9"/>
  <c r="J76" i="9"/>
  <c r="K71" i="9"/>
  <c r="K76" i="9"/>
  <c r="C85" i="9"/>
  <c r="C87" i="9"/>
  <c r="C89" i="9"/>
  <c r="C91" i="9"/>
  <c r="P71" i="9"/>
  <c r="P76" i="9"/>
</calcChain>
</file>

<file path=xl/sharedStrings.xml><?xml version="1.0" encoding="utf-8"?>
<sst xmlns="http://schemas.openxmlformats.org/spreadsheetml/2006/main" count="1169" uniqueCount="457">
  <si>
    <t>Total Emerging Markets</t>
  </si>
  <si>
    <t>VALEANT PHARMACEUTICALS INTERNATIONAL (VRX)</t>
  </si>
  <si>
    <t>Quarterly Income Statement</t>
  </si>
  <si>
    <t>legacy Biovail &lt; ----|</t>
  </si>
  <si>
    <t>| ----&gt; post VRX merger</t>
  </si>
  <si>
    <t>millions USD</t>
  </si>
  <si>
    <t>Fiscal year ends December 31</t>
  </si>
  <si>
    <t>1QA</t>
  </si>
  <si>
    <t>2QA</t>
  </si>
  <si>
    <t>3QA</t>
  </si>
  <si>
    <t>4QA</t>
  </si>
  <si>
    <t>FY 2005</t>
  </si>
  <si>
    <t>FY 2006</t>
  </si>
  <si>
    <t>FY 2007</t>
  </si>
  <si>
    <t>FY 2008</t>
  </si>
  <si>
    <t>FY 2009</t>
  </si>
  <si>
    <t>FY 2010A</t>
  </si>
  <si>
    <t>FY 2011A</t>
  </si>
  <si>
    <t>FY 2012A</t>
  </si>
  <si>
    <t>FY 2013A</t>
  </si>
  <si>
    <t>FY 2014A</t>
  </si>
  <si>
    <t>FY 2015A</t>
  </si>
  <si>
    <t>1QE</t>
  </si>
  <si>
    <t>2QE</t>
  </si>
  <si>
    <t>3QE</t>
  </si>
  <si>
    <t>4QE</t>
  </si>
  <si>
    <t>FY 2016E</t>
  </si>
  <si>
    <t>FY 2017E</t>
  </si>
  <si>
    <t>FY 2018E</t>
  </si>
  <si>
    <t>FY 2019E</t>
  </si>
  <si>
    <t>FY 2020E</t>
  </si>
  <si>
    <t>Comments</t>
  </si>
  <si>
    <t>FY 2015E</t>
  </si>
  <si>
    <t>Income Statement</t>
  </si>
  <si>
    <t>Net Revenue</t>
  </si>
  <si>
    <t>$11.0-$11.2bn</t>
  </si>
  <si>
    <t>Cost of goods, services and alliances</t>
  </si>
  <si>
    <t>~77%</t>
  </si>
  <si>
    <t>Gross Profit</t>
  </si>
  <si>
    <t xml:space="preserve"> </t>
  </si>
  <si>
    <t>R&amp;D</t>
  </si>
  <si>
    <t>$400-500mm</t>
  </si>
  <si>
    <t>SG&amp;A</t>
  </si>
  <si>
    <t>~25%</t>
  </si>
  <si>
    <t>Amortization of intangibles</t>
  </si>
  <si>
    <t>Other</t>
  </si>
  <si>
    <t>Operating Income (Inc amort)</t>
  </si>
  <si>
    <t>Operating Income (ex amort)</t>
  </si>
  <si>
    <t>Interest Income</t>
  </si>
  <si>
    <t>Interest Expense</t>
  </si>
  <si>
    <t>$1.625bn</t>
  </si>
  <si>
    <t>Other Non-Operating Income</t>
  </si>
  <si>
    <t>Pretax Income</t>
  </si>
  <si>
    <t>Taxes</t>
  </si>
  <si>
    <t>New tax reporting structure ~10-15%, Cash taxes ~$215mm</t>
  </si>
  <si>
    <t>Loss from Discontinued Operations</t>
  </si>
  <si>
    <t>Net Income (loss) attrib to non-controlling interest</t>
  </si>
  <si>
    <t>Net Income (inc amort)</t>
  </si>
  <si>
    <t>Net Income (ex amort)</t>
  </si>
  <si>
    <t>FD shares outstanding</t>
  </si>
  <si>
    <t>Adjusted EPS</t>
  </si>
  <si>
    <t>Depreciation and Amortization</t>
  </si>
  <si>
    <t>Reported Cash EPS</t>
  </si>
  <si>
    <t>$8.50-$9.50</t>
  </si>
  <si>
    <t>Adjusted Cash EPS</t>
  </si>
  <si>
    <t>JPM published EPS</t>
  </si>
  <si>
    <t>Differential</t>
  </si>
  <si>
    <t>JPM published revenue</t>
  </si>
  <si>
    <t>JPMe EPS</t>
  </si>
  <si>
    <t>Bloomberg consensus EPS</t>
  </si>
  <si>
    <t>JPMe Revenue</t>
  </si>
  <si>
    <t>Bloomberg consensus revenue</t>
  </si>
  <si>
    <t>Margins</t>
  </si>
  <si>
    <t>Gross Margin</t>
  </si>
  <si>
    <t>R&amp;D (% of sales)</t>
  </si>
  <si>
    <t>SG&amp;A (% of sales)</t>
  </si>
  <si>
    <t>Operating Margin</t>
  </si>
  <si>
    <t>Pretax Margin</t>
  </si>
  <si>
    <t>Tax Rate</t>
  </si>
  <si>
    <t>Net Margin</t>
  </si>
  <si>
    <t>Growth Rates</t>
  </si>
  <si>
    <t>Net Revenues</t>
  </si>
  <si>
    <t>Operating Income</t>
  </si>
  <si>
    <t>Net Income</t>
  </si>
  <si>
    <t>EPS</t>
  </si>
  <si>
    <t>nm</t>
  </si>
  <si>
    <t>Medicis Synergies</t>
  </si>
  <si>
    <t>Valeant R&amp;D (% of legacy VRX sales)</t>
  </si>
  <si>
    <t>Valeant R&amp;D</t>
  </si>
  <si>
    <t>Valeant SG&amp;A (% of legacy VRX sales)</t>
  </si>
  <si>
    <t>Valeant SG&amp;A</t>
  </si>
  <si>
    <t>Medicis R&amp;D</t>
  </si>
  <si>
    <t>Medicis SG&amp;A</t>
  </si>
  <si>
    <t>R&amp;D synergies</t>
  </si>
  <si>
    <t>SG&amp;A synergies</t>
  </si>
  <si>
    <t>Total synergies</t>
  </si>
  <si>
    <t>Bausch &amp; Lomb Synergies</t>
  </si>
  <si>
    <t>Bausch R&amp;D</t>
  </si>
  <si>
    <t>BOL 2Q/13 R&amp;D: $25mm</t>
  </si>
  <si>
    <t>Bausch SG&amp;A</t>
  </si>
  <si>
    <t>BOL 2Q/13 SG&amp;A: $257mm</t>
  </si>
  <si>
    <t>Amortization</t>
  </si>
  <si>
    <t>EBITDA</t>
  </si>
  <si>
    <t>$5.6-$5.8bn</t>
  </si>
  <si>
    <t>VRX/SLXP/DNDNQ Margin Calculation</t>
  </si>
  <si>
    <t>VRX Published R&amp;D</t>
  </si>
  <si>
    <t>VRX Published SG&amp;A</t>
  </si>
  <si>
    <t>SLXP R&amp;D</t>
  </si>
  <si>
    <t>SLXP SG&amp;A</t>
  </si>
  <si>
    <t>Total SLXP Opex</t>
  </si>
  <si>
    <t>SLXP Opex Growth</t>
  </si>
  <si>
    <t>SLXP R&amp;D Synergies</t>
  </si>
  <si>
    <t>SLXP SG&amp;A Synergies</t>
  </si>
  <si>
    <t>SLXP Total Opex Synergies</t>
  </si>
  <si>
    <t>Incremental DNDNQ R&amp;D</t>
  </si>
  <si>
    <t>Incremental DNDNQ SG&amp;A</t>
  </si>
  <si>
    <t>DNDNQ Total Incremental Opex</t>
  </si>
  <si>
    <t>Pro-Forma R&amp;D</t>
  </si>
  <si>
    <t>Pro-Forma SG&amp;A</t>
  </si>
  <si>
    <t>Model R&amp;D (from above)</t>
  </si>
  <si>
    <t>Model SG&amp;A (from above)</t>
  </si>
  <si>
    <t>Quarterly Revenue Analysis</t>
  </si>
  <si>
    <t>FY 2009A</t>
  </si>
  <si>
    <t>Developed Markets Segment</t>
  </si>
  <si>
    <t>Dermatology</t>
  </si>
  <si>
    <t>Solodyn</t>
  </si>
  <si>
    <t>growth</t>
  </si>
  <si>
    <t>Elidel</t>
  </si>
  <si>
    <t>Jublia</t>
  </si>
  <si>
    <t>Luzu (luliconazole)</t>
  </si>
  <si>
    <t>Onexton</t>
  </si>
  <si>
    <t>IDP-118 (psoriasis)</t>
  </si>
  <si>
    <t>brodalumab (IL-17, psoriasis)</t>
  </si>
  <si>
    <t>risk adjusted</t>
  </si>
  <si>
    <t>Other Dermatology</t>
  </si>
  <si>
    <t>Total Dermatology</t>
  </si>
  <si>
    <t>Consumer</t>
  </si>
  <si>
    <t>Ocuvite</t>
  </si>
  <si>
    <t>Renu Multiplus</t>
  </si>
  <si>
    <t>CeraVe</t>
  </si>
  <si>
    <t>BioTrue Solution</t>
  </si>
  <si>
    <t>Luminesse (Eye-whitening)</t>
  </si>
  <si>
    <t>Other Consumer</t>
  </si>
  <si>
    <t>Total Consumer</t>
  </si>
  <si>
    <t>Ophthalmology Rx</t>
  </si>
  <si>
    <t>Lotemax</t>
  </si>
  <si>
    <t>Vesneo</t>
  </si>
  <si>
    <t>Other Ophthalmology Rx</t>
  </si>
  <si>
    <t>Total Ophthalmology Rx</t>
  </si>
  <si>
    <t>Total Contact Lenses</t>
  </si>
  <si>
    <t>Total Surgical</t>
  </si>
  <si>
    <t>Neuro &amp; Other/Generics</t>
  </si>
  <si>
    <t>Wellbutrin XL</t>
  </si>
  <si>
    <t>Xenazine/Nitoman</t>
  </si>
  <si>
    <t>Nitropress</t>
  </si>
  <si>
    <t>Isuprel</t>
  </si>
  <si>
    <t>Other Neuro/Other/Generics</t>
  </si>
  <si>
    <t>Total Neuro/Other/Generics</t>
  </si>
  <si>
    <t>Dental</t>
  </si>
  <si>
    <t>Arestin</t>
  </si>
  <si>
    <t>Other Dental</t>
  </si>
  <si>
    <t>Total Dental</t>
  </si>
  <si>
    <t>Total Oncology/Urology (Provenge)</t>
  </si>
  <si>
    <t>Total Women's Health (Addyi)</t>
  </si>
  <si>
    <t>Gastrointestinal (Salix)</t>
  </si>
  <si>
    <t>Xifaxan (HE, TD)</t>
  </si>
  <si>
    <t>Xifaxan (IBS-D)</t>
  </si>
  <si>
    <t>Total Xifaxan</t>
  </si>
  <si>
    <t>Glumetza</t>
  </si>
  <si>
    <t>Apriso</t>
  </si>
  <si>
    <t>Uceris Tablets</t>
  </si>
  <si>
    <t>Uceris Foam</t>
  </si>
  <si>
    <t>Total Uceris</t>
  </si>
  <si>
    <t>Relistor (injection)</t>
  </si>
  <si>
    <t>Relistor (oral)</t>
  </si>
  <si>
    <t>Other GI</t>
  </si>
  <si>
    <t>Total Gastrointestinal (Salix)</t>
  </si>
  <si>
    <t>Total United States</t>
  </si>
  <si>
    <t>Total Developed ROW (Canada/Austraila/Japan/WEU)</t>
  </si>
  <si>
    <t>operational growth</t>
  </si>
  <si>
    <t>FX impact</t>
  </si>
  <si>
    <t>Total Developed</t>
  </si>
  <si>
    <t>Emerging Markets Segment</t>
  </si>
  <si>
    <t>Emerging Mkts - EMEA</t>
  </si>
  <si>
    <t>Emerging Mkts - Latin America</t>
  </si>
  <si>
    <t>Emerging Mkts - Asia</t>
  </si>
  <si>
    <t>Total Valeant Revenues</t>
  </si>
  <si>
    <t>Gross Margin Calculation</t>
  </si>
  <si>
    <t>Total Revenue</t>
  </si>
  <si>
    <t>Developed Markets</t>
  </si>
  <si>
    <t>Gross margin</t>
  </si>
  <si>
    <t>COGS</t>
  </si>
  <si>
    <t>Emerging Markets Revenues</t>
  </si>
  <si>
    <t>Consolidated</t>
  </si>
  <si>
    <t>FX Analysis</t>
  </si>
  <si>
    <t>% of Business Unit</t>
  </si>
  <si>
    <t>Developed ROW</t>
  </si>
  <si>
    <t>Western Europe (EUR)</t>
  </si>
  <si>
    <t>% Change</t>
  </si>
  <si>
    <t>UK (GBP)</t>
  </si>
  <si>
    <t>Canada (CAD)</t>
  </si>
  <si>
    <t>Australia (AUD)</t>
  </si>
  <si>
    <t>Japan (JPY)</t>
  </si>
  <si>
    <t>Implied FX Impact</t>
  </si>
  <si>
    <t>Reported FX Impact</t>
  </si>
  <si>
    <t>EM- EMEA</t>
  </si>
  <si>
    <t>Russia (RUB)</t>
  </si>
  <si>
    <t>Poland (PLN)</t>
  </si>
  <si>
    <t>Serbia (RSD)</t>
  </si>
  <si>
    <t>EM- LatAm</t>
  </si>
  <si>
    <t>Brazil (BRL)</t>
  </si>
  <si>
    <t>Mexico (MXN)</t>
  </si>
  <si>
    <t>EM- APAC</t>
  </si>
  <si>
    <t>China (CNY)</t>
  </si>
  <si>
    <t>Korea (KRW)</t>
  </si>
  <si>
    <t>India (INR)</t>
  </si>
  <si>
    <t>Indonesia (IDR)</t>
  </si>
  <si>
    <t>Thai (THB)</t>
  </si>
  <si>
    <t>BRLUSD Curncy</t>
  </si>
  <si>
    <t>RUBUSD Curncy</t>
  </si>
  <si>
    <t>RSDUSD Curncy</t>
  </si>
  <si>
    <t>PLNUSD Curncy</t>
  </si>
  <si>
    <t>KRWUSD Curncy</t>
  </si>
  <si>
    <t>INRUSD Curncy</t>
  </si>
  <si>
    <t>IDRUSD Curncy</t>
  </si>
  <si>
    <t>THBUSD Curncy</t>
  </si>
  <si>
    <t>Annual Product Sales</t>
  </si>
  <si>
    <t>Broader SOTP analysis</t>
  </si>
  <si>
    <t>Total US Legacy B&amp;L, Consumer, Other Businesses</t>
  </si>
  <si>
    <t>Operating Profit</t>
  </si>
  <si>
    <t>% Adjusted downside</t>
  </si>
  <si>
    <t>Implied EBITDA</t>
  </si>
  <si>
    <t>Emerging Markets Total (Breakdown)</t>
  </si>
  <si>
    <t>% Bausch &amp; Lomb</t>
  </si>
  <si>
    <t>% Branded Generics</t>
  </si>
  <si>
    <t>Emerging Markets B&amp;L</t>
  </si>
  <si>
    <t>Emerging Markets Brand Generics</t>
  </si>
  <si>
    <t>VRX Total Operating Profit</t>
  </si>
  <si>
    <t>VRX Depreciation</t>
  </si>
  <si>
    <t>VRX EBITDA</t>
  </si>
  <si>
    <t>Scenario 1</t>
  </si>
  <si>
    <t>EV/EBITDA</t>
  </si>
  <si>
    <t>Value</t>
  </si>
  <si>
    <t>Comment</t>
  </si>
  <si>
    <t>US B&amp;L, Consumer, and Other Brands</t>
  </si>
  <si>
    <t>US GI (Salix)</t>
  </si>
  <si>
    <t>Discount to original Salix acquisition</t>
  </si>
  <si>
    <t>US Derm</t>
  </si>
  <si>
    <t>US Neuro/Other</t>
  </si>
  <si>
    <t>Blend of low-growth Major Pharma trading multiple and Established Products transaction comps</t>
  </si>
  <si>
    <t>EM</t>
  </si>
  <si>
    <t>Blend of B&amp;L transaction multiple and emerging market comps</t>
  </si>
  <si>
    <t>Total EV</t>
  </si>
  <si>
    <t>(less: YE15 net debt)</t>
  </si>
  <si>
    <t>Equity Value</t>
  </si>
  <si>
    <t>Shares outstanding</t>
  </si>
  <si>
    <t>$/Sh</t>
  </si>
  <si>
    <t>Scenario 2</t>
  </si>
  <si>
    <t>In-line with B&amp;L transaction multiple</t>
  </si>
  <si>
    <t>Discount to Medicis transaciton multiple due to controversies</t>
  </si>
  <si>
    <t>Scenario 3 - current price</t>
  </si>
  <si>
    <t>Discount to B&amp;L multiple despite higher growth business</t>
  </si>
  <si>
    <t>Balance Sheet and Cash Flows</t>
  </si>
  <si>
    <t>FY 2014E</t>
  </si>
  <si>
    <t>BALANCE SHEET</t>
  </si>
  <si>
    <t>ASSETS</t>
  </si>
  <si>
    <t>Cash &amp; equivalents</t>
  </si>
  <si>
    <t>Marketable securities</t>
  </si>
  <si>
    <t>Receivables</t>
  </si>
  <si>
    <t>Inventories</t>
  </si>
  <si>
    <t>Prepaid expenses and other current assets</t>
  </si>
  <si>
    <t>Deferred tax assets, net</t>
  </si>
  <si>
    <t>Assets held for sale</t>
  </si>
  <si>
    <t>Total current assets</t>
  </si>
  <si>
    <t>Long-term marketable securities &amp; restricted cash</t>
  </si>
  <si>
    <t>PP&amp;E, net</t>
  </si>
  <si>
    <t>Intangible assets, net</t>
  </si>
  <si>
    <t>Goodwill</t>
  </si>
  <si>
    <t>Other long-term assets, net</t>
  </si>
  <si>
    <t>Total long-term assets</t>
  </si>
  <si>
    <t>TOTAL ASSETS</t>
  </si>
  <si>
    <t>LIABILITIES</t>
  </si>
  <si>
    <t>Accounts payable</t>
  </si>
  <si>
    <t>Dividends payable</t>
  </si>
  <si>
    <t>Accrued liabilities</t>
  </si>
  <si>
    <t>Accrued legal settlements</t>
  </si>
  <si>
    <t>Income taxes payable</t>
  </si>
  <si>
    <t>Deferred revenue</t>
  </si>
  <si>
    <t>Deferred tax liabilities</t>
  </si>
  <si>
    <t>Current portion of long-term obligations</t>
  </si>
  <si>
    <t>Acquisition related contingent consideration</t>
  </si>
  <si>
    <t>Other current liabilities</t>
  </si>
  <si>
    <t>Liabilities held for sale</t>
  </si>
  <si>
    <t>Total current liabilities</t>
  </si>
  <si>
    <t>Long-term obligations</t>
  </si>
  <si>
    <t>Other long-term liabilities</t>
  </si>
  <si>
    <t>Total non-current liabilities</t>
  </si>
  <si>
    <t>TOTAL LIABILITIES</t>
  </si>
  <si>
    <t>SHAREHOLDERS' EQUITY</t>
  </si>
  <si>
    <t>Common stock + APIC</t>
  </si>
  <si>
    <t>Accumulated earnings (deficit)</t>
  </si>
  <si>
    <t>Accumulated OCI</t>
  </si>
  <si>
    <t>Total shareholders' equity</t>
  </si>
  <si>
    <t>Non-controlling interest</t>
  </si>
  <si>
    <t>TOTAL LIABILITIES &amp; S/H EQUITY</t>
  </si>
  <si>
    <t>check</t>
  </si>
  <si>
    <t>CASH FLOW STATEMENT (by quarter)</t>
  </si>
  <si>
    <t>Operations</t>
  </si>
  <si>
    <t>Net income (inc Amort)</t>
  </si>
  <si>
    <t>D&amp;A</t>
  </si>
  <si>
    <t>Share-based compensation</t>
  </si>
  <si>
    <t>Deferred income taxes</t>
  </si>
  <si>
    <t>Restructuring charges</t>
  </si>
  <si>
    <t>Changes in working capital</t>
  </si>
  <si>
    <t>CASH FLOW FROM OPERATING ACTIVITIES</t>
  </si>
  <si>
    <t>Investing</t>
  </si>
  <si>
    <t>Capex</t>
  </si>
  <si>
    <t>Other (including business development)</t>
  </si>
  <si>
    <t>CASH FLOW FROM INVESTING ACTIVITIES</t>
  </si>
  <si>
    <t>Financing</t>
  </si>
  <si>
    <t>Net debt activities</t>
  </si>
  <si>
    <t>Net stock activities</t>
  </si>
  <si>
    <t>Dividends</t>
  </si>
  <si>
    <t>CASH FLOW FROM FINANCING ACTIVITES</t>
  </si>
  <si>
    <t>Effect of exchange rates on cash</t>
  </si>
  <si>
    <t>NET CASH FLOW</t>
  </si>
  <si>
    <t>Cash &amp; equivalents, beginning of period</t>
  </si>
  <si>
    <t>Cash &amp; equivalents, end of period</t>
  </si>
  <si>
    <t>Cash</t>
  </si>
  <si>
    <t>Debt</t>
  </si>
  <si>
    <t>Net debt</t>
  </si>
  <si>
    <t>Free cash flow</t>
  </si>
  <si>
    <t>Total debt</t>
  </si>
  <si>
    <t>net debt</t>
  </si>
  <si>
    <t>TTM EBITDA</t>
  </si>
  <si>
    <t>Net Debt/EBITDA (TTM)</t>
  </si>
  <si>
    <t>Gross Debt/EBITDA (TTM)</t>
  </si>
  <si>
    <t>P&amp;L Items</t>
  </si>
  <si>
    <t>Revenue</t>
  </si>
  <si>
    <t>Cost of sales</t>
  </si>
  <si>
    <t>Adjusted net income</t>
  </si>
  <si>
    <t>FD share count</t>
  </si>
  <si>
    <t>Balance Sheet and Cash Flow Drivers</t>
  </si>
  <si>
    <t>Days sales outstanding</t>
  </si>
  <si>
    <t>Days inventory outstanding</t>
  </si>
  <si>
    <t>Days payable outstanding</t>
  </si>
  <si>
    <t>Amortization expense</t>
  </si>
  <si>
    <t>From last 10-Q</t>
  </si>
  <si>
    <t>Depreciation expense</t>
  </si>
  <si>
    <t>Share issuance/buyback/adjustments</t>
  </si>
  <si>
    <t>Cash interest rate</t>
  </si>
  <si>
    <t>Interest income</t>
  </si>
  <si>
    <t>Average debt interest rate</t>
  </si>
  <si>
    <t>Interest expense</t>
  </si>
  <si>
    <t>Interest expense HARD CODE for P&amp;L</t>
  </si>
  <si>
    <t>Business Development</t>
  </si>
  <si>
    <t>Free cash flow from prior period</t>
  </si>
  <si>
    <t>Target FCF to biz dev</t>
  </si>
  <si>
    <t>Target purchase multiple</t>
  </si>
  <si>
    <t>Additional periodic revenues</t>
  </si>
  <si>
    <t>Share Repo</t>
  </si>
  <si>
    <t>% of FCF</t>
  </si>
  <si>
    <t>Share Repo amount</t>
  </si>
  <si>
    <t>Share Issuance amount</t>
  </si>
  <si>
    <t xml:space="preserve">  Purchase Price</t>
  </si>
  <si>
    <t>Total Share Issuance (Repo)</t>
  </si>
  <si>
    <t>Sept 30, 2014</t>
  </si>
  <si>
    <t>Due Date</t>
  </si>
  <si>
    <t>Revolving Credit Facility</t>
  </si>
  <si>
    <t>April 2018</t>
  </si>
  <si>
    <t>Series A-1 Tranche A Term Loan Facility</t>
  </si>
  <si>
    <t>April 2016</t>
  </si>
  <si>
    <t>Series A-2 Tranche A Term Loan Facility</t>
  </si>
  <si>
    <t>Series A-3 Tranche A Term Loan Facility</t>
  </si>
  <si>
    <t>October 2018</t>
  </si>
  <si>
    <t>Series D-2 Tranche B Term Loan Facility</t>
  </si>
  <si>
    <t>February 2019</t>
  </si>
  <si>
    <t>Series C-2 Tranche B Term Loan Facility</t>
  </si>
  <si>
    <t>December 2019</t>
  </si>
  <si>
    <t>Series E-1 Tranche B Term Loan Facility</t>
  </si>
  <si>
    <t>August 2020</t>
  </si>
  <si>
    <t>Senior Notes:</t>
  </si>
  <si>
    <t>6.75%</t>
  </si>
  <si>
    <t>October 2017</t>
  </si>
  <si>
    <t>6.875%</t>
  </si>
  <si>
    <t>December 2018</t>
  </si>
  <si>
    <t>7.00%</t>
  </si>
  <si>
    <t>October 2020</t>
  </si>
  <si>
    <t>August 2021</t>
  </si>
  <si>
    <t>7.25%</t>
  </si>
  <si>
    <t>July 2022</t>
  </si>
  <si>
    <t>6.375%</t>
  </si>
  <si>
    <t>August 2018</t>
  </si>
  <si>
    <t>7.50%</t>
  </si>
  <si>
    <t>July 2021</t>
  </si>
  <si>
    <t>5.625%</t>
  </si>
  <si>
    <t>December 2021</t>
  </si>
  <si>
    <t>Various</t>
  </si>
  <si>
    <t>Less current portion</t>
  </si>
  <si>
    <t>Total long-term debt</t>
  </si>
  <si>
    <t>millions USD, fiscal year ends 12/31</t>
  </si>
  <si>
    <t>Terminal</t>
  </si>
  <si>
    <t>Solodyn, 2025; Onexton, 2029; Jublia, 2030</t>
  </si>
  <si>
    <t>Total US</t>
  </si>
  <si>
    <t>Incremental Revenues</t>
  </si>
  <si>
    <t>Total Revenue (inclu. Business Development)</t>
  </si>
  <si>
    <t>Operating expenses</t>
  </si>
  <si>
    <t>EBIT margin</t>
  </si>
  <si>
    <t>P&amp;L/Cash Flow</t>
  </si>
  <si>
    <t>EBIT</t>
  </si>
  <si>
    <t>EBIT (from biz dev)</t>
  </si>
  <si>
    <t>Tax rate</t>
  </si>
  <si>
    <t>Tax</t>
  </si>
  <si>
    <t>Incremental Tax (from biz dev)</t>
  </si>
  <si>
    <t>D&amp;A (linked to deprectiation only)</t>
  </si>
  <si>
    <t>Change in NWC</t>
  </si>
  <si>
    <t>Restructuring Charges</t>
  </si>
  <si>
    <t>Announced Acquisitions/Divestitures</t>
  </si>
  <si>
    <t>Free Cash Flow</t>
  </si>
  <si>
    <t>Free Cash Flow ex-BD</t>
  </si>
  <si>
    <t>Adjusted FCF</t>
  </si>
  <si>
    <t>PV Analysis</t>
  </si>
  <si>
    <t>Year</t>
  </si>
  <si>
    <t>PV factor</t>
  </si>
  <si>
    <t>PV of FCF</t>
  </si>
  <si>
    <t>DCF</t>
  </si>
  <si>
    <t>WACC</t>
  </si>
  <si>
    <t>Terminal growth rate</t>
  </si>
  <si>
    <t>Multiple on biz dev</t>
  </si>
  <si>
    <t>Percent of prev yr FCF</t>
  </si>
  <si>
    <t>PV of estimate periods (now-2018)</t>
  </si>
  <si>
    <t>PV of long-term periods (2019-2030)</t>
  </si>
  <si>
    <t>Terminal PV</t>
  </si>
  <si>
    <t>Less: net debt (YE 2015)</t>
  </si>
  <si>
    <t>Equity value</t>
  </si>
  <si>
    <t>DCF/share</t>
  </si>
  <si>
    <t>Reverse DCF Analysis</t>
  </si>
  <si>
    <t>PV of 2016-2018 Cash Flow</t>
  </si>
  <si>
    <t>PV of 2019+ Cash Flow</t>
  </si>
  <si>
    <t>Less: net debt</t>
  </si>
  <si>
    <t>Implied DCF Value</t>
  </si>
  <si>
    <t>Market Value</t>
  </si>
  <si>
    <t>Assumed Terminal Growth</t>
  </si>
  <si>
    <t>Premium to B&amp;L transaction multiple</t>
  </si>
  <si>
    <t>In-line with Medicis transaciton multiple</t>
  </si>
  <si>
    <t>Welcome to WallStreetOasis' free financial model templates! Download more free templates, master your finance career, and get top interviewing/networking/modeling tips at WallStreetOasis.com. You can find other services and information at WSO below:</t>
  </si>
  <si>
    <t>FREE RESOURCES</t>
  </si>
  <si>
    <t>PREMIUM RESOURCES &amp; SERVICES</t>
  </si>
  <si>
    <t>Join the WSO Community! &gt;&gt;</t>
  </si>
  <si>
    <t>Interview &amp; Prep Courses (IB, PE, HF, Consulting) &gt;&gt;</t>
  </si>
  <si>
    <t>Top FAQs &amp; Resources &gt;&gt;</t>
  </si>
  <si>
    <t>Resume Review Service &gt;&gt;</t>
  </si>
  <si>
    <t>Industry Reports &amp; Company Database &gt;&gt;</t>
  </si>
  <si>
    <t>Find a Mentor &gt;&gt;</t>
  </si>
  <si>
    <t>WSO Templates (Resume, Networking, Models, etc) &gt;&gt;</t>
  </si>
  <si>
    <t>GMAT/Series 7 Exam Prep Courses &gt;&gt;</t>
  </si>
  <si>
    <t>The Talent Oasis - Land a Job!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</si>
</sst>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#,##0.0_);\(#,##0.0\)"/>
    <numFmt numFmtId="166" formatCode="&quot;$&quot;#,##0.0"/>
    <numFmt numFmtId="167" formatCode="mmm\ yyyy"/>
    <numFmt numFmtId="168" formatCode="_(* #,##0.0_);_(* \(#,##0.0\);_(* &quot;-&quot;??_);_(@_)"/>
    <numFmt numFmtId="169" formatCode="_(* #,##0.000_);_(* \(#,##0.000\);_(* &quot;-&quot;??_);_(@_)"/>
    <numFmt numFmtId="170" formatCode="_(* #,##0.0000_);_(* \(#,##0.0000\);_(* &quot;-&quot;??_);_(@_)"/>
    <numFmt numFmtId="171" formatCode="_(* #,##0_);_(* \(#,##0\);_(* &quot;-&quot;??_);_(@_)"/>
    <numFmt numFmtId="172" formatCode="#,##0.0"/>
    <numFmt numFmtId="173" formatCode="#,##0.0000"/>
    <numFmt numFmtId="174" formatCode="0.0\x"/>
    <numFmt numFmtId="175" formatCode="_(* #,##0.0\x_);_(* \(#,##0.0\);_(* &quot;-&quot;??_);_(@_)"/>
    <numFmt numFmtId="176" formatCode="_(* #,##0.00000_);_(* \(#,##0.00000\);_(* &quot;-&quot;??_);_(@_)"/>
    <numFmt numFmtId="177" formatCode="_(&quot;$&quot;#,##0_)&quot;millions&quot;;\(&quot;$&quot;#,##0\)&quot; millions&quot;"/>
    <numFmt numFmtId="178" formatCode="&quot;$&quot;#,##0.00_)\ \ \ ;\(&quot;$&quot;#,##0.00\)\ \ \ "/>
    <numFmt numFmtId="179" formatCode="&quot;$&quot;#,##0.00&quot;*&quot;\ \ ;\(&quot;$&quot;#,##0.00\)&quot;*&quot;\ \ "/>
    <numFmt numFmtId="180" formatCode="&quot;$&quot;#,##0.00\A_)\ ;\(&quot;$&quot;#,##0.00\A\)\ \ "/>
    <numFmt numFmtId="181" formatCode="&quot;$&quot;@\ "/>
    <numFmt numFmtId="182" formatCode="0.0\ \x"/>
    <numFmt numFmtId="183" formatCode="#,##0.0_);[Red]\(#,##0.0\)"/>
    <numFmt numFmtId="184" formatCode="#,##0.0;\(#,##0.0\)"/>
    <numFmt numFmtId="185" formatCode="\£#,##0_);\(\£#,##0\)"/>
    <numFmt numFmtId="186" formatCode="&quot;Yes&quot;;&quot;No&quot;"/>
    <numFmt numFmtId="187" formatCode="&quot;Yes&quot;;&quot;No&quot;;&quot;No&quot;"/>
    <numFmt numFmtId="188" formatCode="&quot;Yes&quot;;&quot;Yes&quot;;&quot;No&quot;"/>
    <numFmt numFmtId="189" formatCode="&quot;$&quot;#,##0.0_);\(&quot;$&quot;#,##0\)"/>
    <numFmt numFmtId="190" formatCode="&quot;DM&quot;#,##0.0_);\(&quot;DM&quot;#,##0.0\)"/>
    <numFmt numFmtId="191" formatCode="General_)"/>
    <numFmt numFmtId="192" formatCode="0.000_)"/>
    <numFmt numFmtId="193" formatCode=".000"/>
    <numFmt numFmtId="194" formatCode="#,##0_%_);\(#,##0\)_%;#,##0_%_);@_%_)"/>
    <numFmt numFmtId="195" formatCode="#,##0.00_%_);\(#,##0.00\)_%;#,##0.00_%_);@_%_)"/>
    <numFmt numFmtId="196" formatCode="_(* #,##0.000_);_(* \(#,##0.000\);_(* &quot;-&quot;???_);_(@_)"/>
    <numFmt numFmtId="197" formatCode="0.00_);\(0.00\);0.00"/>
    <numFmt numFmtId="198" formatCode="&quot;$&quot;#,##0.0;\(&quot;$&quot;#,##0.0\)"/>
    <numFmt numFmtId="199" formatCode="\£#,##0.0;\(\£#,##0.0\);\£#,##0.0"/>
    <numFmt numFmtId="200" formatCode="&quot;$&quot;#,##0_%_);\(&quot;$&quot;#,##0\)_%;&quot;$&quot;#,##0_%_);@_%_)"/>
    <numFmt numFmtId="201" formatCode="&quot;$&quot;#,##0.00_%_);\(&quot;$&quot;#,##0.00\)_%;&quot;$&quot;#,##0.00_%_);@_%_)"/>
    <numFmt numFmtId="202" formatCode="&quot;$&quot;#,##0.00_%_);\(&quot;$&quot;#,##0.00\)_%;&quot;$&quot;###0.00_%_);@_%_)"/>
    <numFmt numFmtId="203" formatCode="&quot;$&quot;#,##0\ ;\(&quot;$&quot;#,##0\)"/>
    <numFmt numFmtId="204" formatCode="_(&quot;$&quot;\ #,##0.0_);_(&quot;$&quot;\ \(#,##0.0\);_(* &quot;-&quot;??_);_(@_)"/>
    <numFmt numFmtId="205" formatCode="_(&quot;$&quot;\ #,##0.00_);_(&quot;$&quot;\ \(#,##0.00\);_(* &quot;-&quot;??_);_(@_)"/>
    <numFmt numFmtId="206" formatCode="&quot;$&quot;#,##0.0;\(&quot;$&quot;###0.0\)"/>
    <numFmt numFmtId="207" formatCode="_(&quot;$&quot;#,##0.0_);_(\(&quot;$&quot;#,##0.0\);_(&quot;--&quot;_);_(@_)"/>
    <numFmt numFmtId="208" formatCode="_(&quot;$&quot;#,##0.00_);_(\(&quot;$&quot;#,##0.00\);_(&quot;--&quot;_);_(@_)"/>
    <numFmt numFmtId="209" formatCode="\+0%;\(0%\)"/>
    <numFmt numFmtId="210" formatCode="@\ \ \ \ \ "/>
    <numFmt numFmtId="211" formatCode="#,##0\ ;\(#,##0\);\-\ "/>
    <numFmt numFmtId="212" formatCode="mmm"/>
    <numFmt numFmtId="213" formatCode="m/d/yy_%_)"/>
    <numFmt numFmtId="214" formatCode="yyyy"/>
    <numFmt numFmtId="215" formatCode="&quot;$&quot;#,##0.0\ \ \ ;\(&quot;$&quot;#,##0.0\)\ \ "/>
    <numFmt numFmtId="216" formatCode="&quot;C&quot;&quot;$&quot;#,##0.00_);[Red]\(&quot;C&quot;&quot;$&quot;#,##0.00\)"/>
    <numFmt numFmtId="217" formatCode="&quot;$&quot;#,##0.0_);\(&quot;$&quot;#,##0.0\)"/>
    <numFmt numFmtId="218" formatCode="0_%_);\(0\)_%;0_%_);@_%_)"/>
    <numFmt numFmtId="219" formatCode="#,##0.00_)\ \ \ \ \ ;\(#,##0.00\)\ \ \ \ \ "/>
    <numFmt numFmtId="220" formatCode="0.000\x"/>
    <numFmt numFmtId="221" formatCode="&quot;$&quot;#,##0.00_)\ \ \ \ \ ;\(&quot;$&quot;#,##0.00\)\ \ \ \ \ 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_([$€-2]* #,##0.00_);_([$€-2]* \(#,##0.00\);_([$€-2]* &quot;-&quot;??_)"/>
    <numFmt numFmtId="227" formatCode="#,##0.000_);\(#,##0.000\)"/>
    <numFmt numFmtId="228" formatCode="0%\ \ \ \ \ \ \ "/>
    <numFmt numFmtId="229" formatCode="dd\-mmm\-yy"/>
    <numFmt numFmtId="230" formatCode="0.0%_);[Red]\(0.0%\)"/>
    <numFmt numFmtId="231" formatCode="0.00%_);[Red]\(0.00%\)"/>
    <numFmt numFmtId="232" formatCode="&quot;$&quot;#,##0"/>
    <numFmt numFmtId="233" formatCode="0.0\%_);\(0.0\%\);0.0\%_);@_%_)"/>
    <numFmt numFmtId="234" formatCode="#,##0.00\ ;\ \(#,##0.00\);\ &quot;- &quot;"/>
    <numFmt numFmtId="235" formatCode="##0.00"/>
    <numFmt numFmtId="236" formatCode="0.00_);\(0.00\);0.00_)"/>
    <numFmt numFmtId="237" formatCode="0.00_)"/>
    <numFmt numFmtId="238" formatCode="_(&quot;$&quot;* #,##0_)\ &quot;millions&quot;;_(&quot;$&quot;* \(#,##0\)&quot; millions&quot;"/>
    <numFmt numFmtId="239" formatCode="&quot;$&quot;#,##0\ &quot;MM&quot;;\(&quot;$&quot;#,##0.00\ &quot;MM&quot;\)"/>
    <numFmt numFmtId="240" formatCode="#,##0\ &quot;MM&quot;"/>
    <numFmt numFmtId="241" formatCode="0.0\x_)_);&quot;NM&quot;_x_)_);0.0\x_)_);@_%_)"/>
    <numFmt numFmtId="242" formatCode="#,##0.0\x_);[Red]\(#,##0.0\x\)"/>
    <numFmt numFmtId="243" formatCode="0%;\-0%"/>
    <numFmt numFmtId="244" formatCode="#,##0.000_);[Red]\(#,##0.000\)"/>
    <numFmt numFmtId="245" formatCode="#,##0.00\p;[Red]\-&quot;£&quot;#,##0.00\p"/>
    <numFmt numFmtId="246" formatCode="#,##0.00\p;[Red]\-#,##0.00\p"/>
    <numFmt numFmtId="247" formatCode="0.0"/>
    <numFmt numFmtId="248" formatCode="#,##0.0\ \ \ ;\(#,##0.0\)\ \ "/>
    <numFmt numFmtId="249" formatCode="&quot;DK&quot;#,##0_);\(&quot;$&quot;#,##0\)"/>
    <numFmt numFmtId="250" formatCode="&quot;FL&quot;#,##0_);\(&quot;$&quot;#,##0\)"/>
    <numFmt numFmtId="251" formatCode="&quot;$&quot;General"/>
    <numFmt numFmtId="252" formatCode="0.000&quot;:1&quot;"/>
    <numFmt numFmtId="253" formatCode="0.0\ \ \ \ \ \ "/>
    <numFmt numFmtId="254" formatCode="0.0%\ \ \ \ \ "/>
    <numFmt numFmtId="255" formatCode="&quot;$&quot;#,##0.0;\(&quot;$&quot;#,##0\)"/>
    <numFmt numFmtId="256" formatCode="&quot;$&quot;0"/>
    <numFmt numFmtId="257" formatCode="0&quot;(A)&quot;"/>
    <numFmt numFmtId="258" formatCode="&quot;FL&quot;#,##0.00_);\(&quot;$&quot;#,##0.00\)"/>
    <numFmt numFmtId="259" formatCode="0.0%;[Red]\(0.0%\)"/>
    <numFmt numFmtId="260" formatCode="#,##0.0\%_);\(#,##0.0\%\);#,##0.0\%_);@_)"/>
    <numFmt numFmtId="261" formatCode="0.00\%;\-0.00\%;0.00\%"/>
    <numFmt numFmtId="262" formatCode="&quot;EP&quot;#,##0_);\(&quot;$&quot;#,##0\)"/>
    <numFmt numFmtId="263" formatCode="0.000%"/>
    <numFmt numFmtId="264" formatCode="0.00\ \ \ \ "/>
    <numFmt numFmtId="265" formatCode="@\ "/>
    <numFmt numFmtId="266" formatCode="&quot;$&quot;@"/>
    <numFmt numFmtId="267" formatCode="0.00\x;\-0.00\x;0.00\x"/>
    <numFmt numFmtId="268" formatCode="##0.00000"/>
    <numFmt numFmtId="269" formatCode="_(&quot;Quarterly:&quot;* 0.000%"/>
    <numFmt numFmtId="270" formatCode="_(* #,##0.0_);_(* \(#,##0.0\);_(* &quot;-&quot;_);_(@_)"/>
    <numFmt numFmtId="271" formatCode="* &quot;$&quot;#,##0.0_);\(* &quot;$&quot;#,##0.0\)"/>
    <numFmt numFmtId="272" formatCode="&quot;£&quot;#,##0.0;[Red]\-&quot;£&quot;#,##0.0"/>
    <numFmt numFmtId="273" formatCode="#,##0.0\ ;\(#,##0.0\)"/>
    <numFmt numFmtId="274" formatCode="&quot;£&quot;#,##0.00;[Red]\-&quot;£&quot;#,##0.00"/>
    <numFmt numFmtId="275" formatCode="0_);\(0\)"/>
    <numFmt numFmtId="276" formatCode="\¥#,##0_);\(\¥#,##0\)"/>
  </numFmts>
  <fonts count="178" x14ac:knownFonts="1">
    <font>
      <sz val="10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9"/>
      <color theme="0"/>
      <name val="Arial"/>
      <family val="2"/>
    </font>
    <font>
      <b/>
      <sz val="9"/>
      <color indexed="9"/>
      <name val="Arial"/>
      <family val="2"/>
    </font>
    <font>
      <sz val="9"/>
      <color indexed="12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i/>
      <sz val="9"/>
      <name val="Arial"/>
      <family val="2"/>
    </font>
    <font>
      <b/>
      <sz val="9"/>
      <color indexed="12"/>
      <name val="Arial"/>
      <family val="2"/>
    </font>
    <font>
      <u val="singleAccounting"/>
      <sz val="9"/>
      <name val="Arial"/>
      <family val="2"/>
    </font>
    <font>
      <u val="singleAccounting"/>
      <sz val="9"/>
      <color indexed="12"/>
      <name val="Arial"/>
      <family val="2"/>
    </font>
    <font>
      <b/>
      <u val="singleAccounting"/>
      <sz val="9"/>
      <name val="Arial"/>
      <family val="2"/>
    </font>
    <font>
      <sz val="9"/>
      <color rgb="FF0000FF"/>
      <name val="Arial"/>
      <family val="2"/>
    </font>
    <font>
      <sz val="9"/>
      <color theme="4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b/>
      <sz val="8.5"/>
      <color rgb="FFFF0000"/>
      <name val="Arial"/>
      <family val="2"/>
    </font>
    <font>
      <b/>
      <sz val="8.5"/>
      <color theme="0"/>
      <name val="Arial"/>
      <family val="2"/>
    </font>
    <font>
      <b/>
      <sz val="9"/>
      <color rgb="FF663300"/>
      <name val="Arial"/>
      <family val="2"/>
    </font>
    <font>
      <i/>
      <sz val="8"/>
      <name val="Arial"/>
      <family val="2"/>
    </font>
    <font>
      <i/>
      <sz val="8"/>
      <color indexed="12"/>
      <name val="Arial"/>
      <family val="2"/>
    </font>
    <font>
      <i/>
      <sz val="8"/>
      <color indexed="55"/>
      <name val="Arial"/>
      <family val="2"/>
    </font>
    <font>
      <i/>
      <u val="singleAccounting"/>
      <sz val="8"/>
      <name val="Arial"/>
      <family val="2"/>
    </font>
    <font>
      <u val="singleAccounting"/>
      <sz val="9"/>
      <color rgb="FFFF0000"/>
      <name val="Arial"/>
      <family val="2"/>
    </font>
    <font>
      <i/>
      <sz val="8"/>
      <color rgb="FF0000FF"/>
      <name val="Arial"/>
      <family val="2"/>
    </font>
    <font>
      <sz val="9"/>
      <color theme="1"/>
      <name val="Arial"/>
      <family val="2"/>
    </font>
    <font>
      <i/>
      <sz val="8"/>
      <color theme="1"/>
      <name val="Arial"/>
      <family val="2"/>
    </font>
    <font>
      <sz val="9"/>
      <color indexed="55"/>
      <name val="Arial"/>
      <family val="2"/>
    </font>
    <font>
      <i/>
      <u/>
      <sz val="8"/>
      <name val="Arial"/>
      <family val="2"/>
    </font>
    <font>
      <sz val="9"/>
      <color theme="1" tint="0.499984740745262"/>
      <name val="Arial"/>
      <family val="2"/>
    </font>
    <font>
      <i/>
      <sz val="8"/>
      <color theme="1" tint="0.499984740745262"/>
      <name val="Arial"/>
      <family val="2"/>
    </font>
    <font>
      <i/>
      <sz val="8"/>
      <color rgb="FFFF0000"/>
      <name val="Arial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9"/>
      <color theme="0" tint="-0.499984740745262"/>
      <name val="Arial"/>
      <family val="2"/>
    </font>
    <font>
      <b/>
      <i/>
      <sz val="8"/>
      <name val="Arial"/>
      <family val="2"/>
    </font>
    <font>
      <b/>
      <i/>
      <sz val="8"/>
      <color indexed="12"/>
      <name val="Arial"/>
      <family val="2"/>
    </font>
    <font>
      <sz val="8"/>
      <color theme="1" tint="0.499984740745262"/>
      <name val="Arial"/>
      <family val="2"/>
    </font>
    <font>
      <b/>
      <sz val="9"/>
      <color theme="1" tint="0.499984740745262"/>
      <name val="Arial"/>
      <family val="2"/>
    </font>
    <font>
      <sz val="8"/>
      <color theme="1"/>
      <name val="Arial"/>
      <family val="2"/>
    </font>
    <font>
      <b/>
      <sz val="9"/>
      <color indexed="55"/>
      <name val="Arial"/>
      <family val="2"/>
    </font>
    <font>
      <b/>
      <sz val="9"/>
      <color rgb="FF0000FF"/>
      <name val="Arial"/>
      <family val="2"/>
    </font>
    <font>
      <sz val="8"/>
      <color indexed="55"/>
      <name val="Arial"/>
      <family val="2"/>
    </font>
    <font>
      <sz val="8.5"/>
      <color rgb="FF0000FF"/>
      <name val="Arial"/>
      <family val="2"/>
    </font>
    <font>
      <b/>
      <sz val="10"/>
      <name val="Arial"/>
      <family val="2"/>
    </font>
    <font>
      <u val="singleAccounting"/>
      <sz val="8"/>
      <name val="Arial"/>
      <family val="2"/>
    </font>
    <font>
      <i/>
      <u val="singleAccounting"/>
      <sz val="8"/>
      <color indexed="12"/>
      <name val="Arial"/>
      <family val="2"/>
    </font>
    <font>
      <i/>
      <u val="singleAccounting"/>
      <sz val="8"/>
      <color theme="1"/>
      <name val="Arial"/>
      <family val="2"/>
    </font>
    <font>
      <i/>
      <u val="singleAccounting"/>
      <sz val="8"/>
      <color indexed="55"/>
      <name val="Arial"/>
      <family val="2"/>
    </font>
    <font>
      <u val="singleAccounting"/>
      <sz val="9"/>
      <color theme="1"/>
      <name val="Arial"/>
      <family val="2"/>
    </font>
    <font>
      <u val="singleAccounting"/>
      <sz val="9"/>
      <color theme="1" tint="0.499984740745262"/>
      <name val="Arial"/>
      <family val="2"/>
    </font>
    <font>
      <sz val="8.5"/>
      <color theme="0"/>
      <name val="Arial"/>
      <family val="2"/>
    </font>
    <font>
      <u val="singleAccounting"/>
      <sz val="8.5"/>
      <name val="Arial"/>
      <family val="2"/>
    </font>
    <font>
      <b/>
      <i/>
      <sz val="9"/>
      <name val="Arial"/>
      <family val="2"/>
    </font>
    <font>
      <b/>
      <sz val="9"/>
      <color theme="0"/>
      <name val="Arial"/>
      <family val="2"/>
    </font>
    <font>
      <sz val="9"/>
      <color rgb="FF00B0F0"/>
      <name val="Arial"/>
      <family val="2"/>
    </font>
    <font>
      <sz val="9"/>
      <color indexed="10"/>
      <name val="Arial"/>
      <family val="2"/>
    </font>
    <font>
      <sz val="9"/>
      <color indexed="53"/>
      <name val="Arial"/>
      <family val="2"/>
    </font>
    <font>
      <sz val="10"/>
      <name val="Times New Roman"/>
      <family val="1"/>
    </font>
    <font>
      <i/>
      <sz val="8"/>
      <color theme="4"/>
      <name val="Arial"/>
      <family val="2"/>
    </font>
    <font>
      <sz val="10"/>
      <color theme="3" tint="0.39997558519241921"/>
      <name val="Arial"/>
      <family val="2"/>
    </font>
    <font>
      <u val="singleAccounting"/>
      <sz val="10"/>
      <name val="Arial"/>
      <family val="2"/>
    </font>
    <font>
      <i/>
      <sz val="8"/>
      <color theme="3" tint="0.3999755851924192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name val="GillSans"/>
      <family val="2"/>
    </font>
    <font>
      <sz val="10"/>
      <color indexed="14"/>
      <name val="Baskerville MT"/>
    </font>
    <font>
      <sz val="10"/>
      <color indexed="8"/>
      <name val="MS Sans Serif"/>
      <family val="2"/>
    </font>
    <font>
      <sz val="10"/>
      <color indexed="8"/>
      <name val="Palatino"/>
      <family val="1"/>
    </font>
    <font>
      <b/>
      <sz val="10"/>
      <color indexed="17"/>
      <name val="MS Sans Serif"/>
      <family val="2"/>
    </font>
    <font>
      <sz val="12"/>
      <name val="Arial"/>
      <family val="2"/>
    </font>
    <font>
      <sz val="8"/>
      <name val="Times New Roman"/>
      <family val="1"/>
    </font>
    <font>
      <sz val="10"/>
      <color indexed="8"/>
      <name val="Tms Rmn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sz val="10"/>
      <color indexed="12"/>
      <name val="Times New Roman"/>
      <family val="1"/>
    </font>
    <font>
      <b/>
      <sz val="8"/>
      <color indexed="8"/>
      <name val="Arial"/>
      <family val="2"/>
    </font>
    <font>
      <b/>
      <sz val="8"/>
      <name val="Times New Roman"/>
      <family val="1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sz val="11"/>
      <name val="Tms Rmn"/>
      <family val="1"/>
    </font>
    <font>
      <sz val="12"/>
      <name val="Book Antiqua"/>
      <family val="1"/>
    </font>
    <font>
      <sz val="8"/>
      <name val="Palatino"/>
      <family val="1"/>
    </font>
    <font>
      <sz val="8"/>
      <color indexed="24"/>
      <name val="Times New Roman"/>
      <family val="1"/>
    </font>
    <font>
      <sz val="24"/>
      <name val="Arial"/>
      <family val="2"/>
    </font>
    <font>
      <sz val="11"/>
      <color indexed="12"/>
      <name val="Book Antiqua"/>
      <family val="1"/>
    </font>
    <font>
      <sz val="8"/>
      <name val="Univers"/>
      <family val="2"/>
    </font>
    <font>
      <sz val="8"/>
      <name val="Univers 47 CondensedLight"/>
      <family val="2"/>
    </font>
    <font>
      <sz val="8"/>
      <name val="Helv"/>
    </font>
    <font>
      <sz val="10"/>
      <color indexed="8"/>
      <name val="Arial"/>
      <family val="2"/>
    </font>
    <font>
      <sz val="10"/>
      <name val="Palatino"/>
      <family val="1"/>
    </font>
    <font>
      <sz val="8"/>
      <name val="Arial MT"/>
    </font>
    <font>
      <sz val="8"/>
      <name val="Helvetica"/>
      <family val="2"/>
    </font>
    <font>
      <sz val="10"/>
      <name val="MS Sans Serif"/>
      <family val="2"/>
    </font>
    <font>
      <sz val="10"/>
      <name val="Helv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b/>
      <i/>
      <sz val="8"/>
      <color indexed="12"/>
      <name val="HelveticaNeue Condensed"/>
      <family val="2"/>
    </font>
    <font>
      <b/>
      <i/>
      <sz val="9"/>
      <color indexed="12"/>
      <name val="HelveticaNeue Condensed"/>
    </font>
    <font>
      <sz val="7"/>
      <name val="Palatino"/>
      <family val="1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8"/>
      <color indexed="17"/>
      <name val="Times New Roman"/>
      <family val="1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sz val="6"/>
      <color indexed="16"/>
      <name val="Palatino"/>
      <family val="1"/>
    </font>
    <font>
      <b/>
      <sz val="8"/>
      <color indexed="9"/>
      <name val="Helvetica"/>
      <family val="2"/>
    </font>
    <font>
      <b/>
      <sz val="10"/>
      <color indexed="18"/>
      <name val="Times New Roman"/>
      <family val="1"/>
    </font>
    <font>
      <b/>
      <sz val="16"/>
      <name val="Times New Roman"/>
      <family val="1"/>
    </font>
    <font>
      <b/>
      <sz val="8"/>
      <name val="Arial MT"/>
    </font>
    <font>
      <b/>
      <i/>
      <sz val="22"/>
      <name val="Times New Roman"/>
      <family val="1"/>
    </font>
    <font>
      <sz val="8"/>
      <color indexed="9"/>
      <name val="Times New Roman"/>
      <family val="1"/>
    </font>
    <font>
      <sz val="8"/>
      <color indexed="39"/>
      <name val="Arial"/>
      <family val="2"/>
    </font>
    <font>
      <sz val="10"/>
      <color indexed="17"/>
      <name val="Arial"/>
      <family val="2"/>
    </font>
    <font>
      <b/>
      <sz val="10"/>
      <name val="MS Sans Serif"/>
      <family val="2"/>
    </font>
    <font>
      <sz val="10"/>
      <name val="GillSans Light"/>
      <family val="2"/>
    </font>
    <font>
      <b/>
      <sz val="22"/>
      <color indexed="16"/>
      <name val="Arial"/>
      <family val="2"/>
    </font>
    <font>
      <b/>
      <sz val="10"/>
      <color indexed="17"/>
      <name val="Arial"/>
      <family val="2"/>
    </font>
    <font>
      <b/>
      <i/>
      <sz val="16"/>
      <name val="Helv"/>
    </font>
    <font>
      <sz val="10"/>
      <name val="Geneva"/>
      <family val="2"/>
    </font>
    <font>
      <sz val="12"/>
      <color indexed="12"/>
      <name val="Times New Roman"/>
      <family val="1"/>
    </font>
    <font>
      <b/>
      <sz val="12"/>
      <name val="Times New Roman"/>
      <family val="1"/>
    </font>
    <font>
      <i/>
      <sz val="10"/>
      <name val="Helv"/>
    </font>
    <font>
      <sz val="8"/>
      <color indexed="8"/>
      <name val="Times New Roman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Arial Narrow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i/>
      <sz val="8"/>
      <name val="Times New Roman"/>
      <family val="1"/>
    </font>
    <font>
      <i/>
      <sz val="8"/>
      <name val="Arial MT"/>
    </font>
    <font>
      <u/>
      <sz val="10"/>
      <name val="GillSans"/>
      <family val="2"/>
    </font>
    <font>
      <sz val="8"/>
      <color indexed="10"/>
      <name val="Arial"/>
      <family val="2"/>
    </font>
    <font>
      <sz val="10"/>
      <name val="Tms Rmn"/>
    </font>
    <font>
      <sz val="10"/>
      <color indexed="23"/>
      <name val="MS Sans Serif"/>
      <family val="2"/>
    </font>
    <font>
      <b/>
      <sz val="12"/>
      <name val="MS Sans Serif"/>
      <family val="2"/>
    </font>
    <font>
      <b/>
      <sz val="16"/>
      <color indexed="16"/>
      <name val="Arial"/>
      <family val="2"/>
    </font>
    <font>
      <b/>
      <sz val="10"/>
      <name val="GillSans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2"/>
      <name val="GillSans"/>
      <family val="2"/>
    </font>
    <font>
      <b/>
      <sz val="10"/>
      <name val="lr ¾©"/>
      <family val="1"/>
    </font>
    <font>
      <sz val="12"/>
      <name val="Times New Roman"/>
      <family val="1"/>
    </font>
    <font>
      <sz val="9"/>
      <name val="Times New Roman"/>
      <family val="1"/>
    </font>
    <font>
      <b/>
      <sz val="16"/>
      <color indexed="62"/>
      <name val="Arial"/>
      <family val="2"/>
    </font>
    <font>
      <b/>
      <sz val="10"/>
      <name val="Helvetica 65"/>
      <family val="2"/>
    </font>
    <font>
      <b/>
      <sz val="10"/>
      <name val="Times New Roman"/>
      <family val="1"/>
    </font>
    <font>
      <b/>
      <sz val="8"/>
      <name val="Helv"/>
    </font>
    <font>
      <b/>
      <sz val="8"/>
      <color indexed="18"/>
      <name val="Times New Roman"/>
      <family val="1"/>
    </font>
    <font>
      <u/>
      <sz val="11"/>
      <name val="GillSans"/>
      <family val="2"/>
    </font>
    <font>
      <b/>
      <sz val="10"/>
      <color indexed="16"/>
      <name val="GillSans"/>
      <family val="2"/>
    </font>
    <font>
      <b/>
      <i/>
      <sz val="24"/>
      <name val="Arial"/>
      <family val="2"/>
    </font>
    <font>
      <sz val="10"/>
      <name val="MS Serif"/>
      <family val="1"/>
    </font>
    <font>
      <sz val="8"/>
      <color indexed="9"/>
      <name val="Arial"/>
      <family val="2"/>
    </font>
    <font>
      <b/>
      <u/>
      <sz val="8"/>
      <name val="Helvetica"/>
      <family val="2"/>
    </font>
    <font>
      <sz val="10"/>
      <name val="細明朝体"/>
      <family val="3"/>
      <charset val="128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b/>
      <u/>
      <sz val="18"/>
      <color theme="10"/>
      <name val="Calibri"/>
      <family val="2"/>
      <scheme val="minor"/>
    </font>
    <font>
      <u/>
      <sz val="18"/>
      <color theme="1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9"/>
      </patternFill>
    </fill>
    <fill>
      <patternFill patternType="mediumGray"/>
    </fill>
    <fill>
      <patternFill patternType="solid">
        <fgColor indexed="12"/>
      </patternFill>
    </fill>
    <fill>
      <patternFill patternType="solid">
        <fgColor indexed="13"/>
      </patternFill>
    </fill>
    <fill>
      <patternFill patternType="medium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485"/>
        <bgColor indexed="64"/>
      </patternFill>
    </fill>
  </fills>
  <borders count="9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indexed="60"/>
      </left>
      <right/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0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hair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dotted">
        <color auto="1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dotted">
        <color auto="1"/>
      </top>
      <bottom style="medium">
        <color auto="1"/>
      </bottom>
      <diagonal/>
    </border>
  </borders>
  <cellStyleXfs count="448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4" fillId="0" borderId="0"/>
    <xf numFmtId="177" fontId="74" fillId="0" borderId="0">
      <alignment horizontal="right"/>
    </xf>
    <xf numFmtId="178" fontId="74" fillId="8" borderId="0"/>
    <xf numFmtId="179" fontId="74" fillId="8" borderId="0"/>
    <xf numFmtId="180" fontId="74" fillId="8" borderId="0"/>
    <xf numFmtId="181" fontId="74" fillId="8" borderId="0">
      <alignment horizontal="right"/>
    </xf>
    <xf numFmtId="7" fontId="75" fillId="0" borderId="0">
      <alignment horizontal="right"/>
    </xf>
    <xf numFmtId="0" fontId="76" fillId="0" borderId="0" applyNumberFormat="0" applyFont="0" applyFill="0" applyBorder="0" applyAlignment="0" applyProtection="0"/>
    <xf numFmtId="0" fontId="2" fillId="0" borderId="0"/>
    <xf numFmtId="3" fontId="9" fillId="0" borderId="0"/>
    <xf numFmtId="3" fontId="9" fillId="0" borderId="0"/>
    <xf numFmtId="3" fontId="9" fillId="0" borderId="0"/>
    <xf numFmtId="0" fontId="2" fillId="0" borderId="0"/>
    <xf numFmtId="3" fontId="9" fillId="0" borderId="0"/>
    <xf numFmtId="0" fontId="2" fillId="0" borderId="0"/>
    <xf numFmtId="3" fontId="9" fillId="0" borderId="0"/>
    <xf numFmtId="3" fontId="9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182" fontId="77" fillId="0" borderId="0">
      <alignment horizontal="left"/>
      <protection locked="0"/>
    </xf>
    <xf numFmtId="38" fontId="67" fillId="0" borderId="73"/>
    <xf numFmtId="165" fontId="4" fillId="0" borderId="0"/>
    <xf numFmtId="165" fontId="78" fillId="0" borderId="73">
      <alignment horizontal="right"/>
    </xf>
    <xf numFmtId="0" fontId="2" fillId="0" borderId="0"/>
    <xf numFmtId="0" fontId="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" fillId="0" borderId="74" applyNumberFormat="0" applyFill="0" applyAlignment="0" applyProtection="0"/>
    <xf numFmtId="183" fontId="80" fillId="0" borderId="0" applyFill="0" applyBorder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9" borderId="0" applyNumberFormat="0" applyFill="0" applyBorder="0" applyAlignment="0" applyProtection="0">
      <protection locked="0"/>
    </xf>
    <xf numFmtId="165" fontId="67" fillId="0" borderId="0" applyNumberFormat="0" applyFont="0" applyAlignment="0" applyProtection="0"/>
    <xf numFmtId="0" fontId="84" fillId="0" borderId="0" applyNumberFormat="0" applyFill="0" applyBorder="0" applyAlignment="0" applyProtection="0"/>
    <xf numFmtId="7" fontId="85" fillId="0" borderId="0">
      <alignment horizontal="right"/>
      <protection locked="0"/>
    </xf>
    <xf numFmtId="0" fontId="86" fillId="9" borderId="10" applyNumberFormat="0" applyFill="0" applyBorder="0" applyAlignment="0" applyProtection="0">
      <protection locked="0"/>
    </xf>
    <xf numFmtId="0" fontId="80" fillId="0" borderId="30" applyNumberFormat="0" applyFont="0" applyFill="0" applyAlignment="0" applyProtection="0"/>
    <xf numFmtId="0" fontId="80" fillId="0" borderId="75" applyNumberFormat="0" applyFont="0" applyFill="0" applyAlignment="0" applyProtection="0"/>
    <xf numFmtId="184" fontId="2" fillId="0" borderId="0" applyFont="0" applyFill="0" applyBorder="0" applyAlignment="0" applyProtection="0"/>
    <xf numFmtId="185" fontId="70" fillId="0" borderId="0" applyFont="0" applyFill="0" applyBorder="0" applyAlignment="0" applyProtection="0"/>
    <xf numFmtId="186" fontId="2" fillId="0" borderId="0" applyFill="0" applyBorder="0" applyAlignment="0"/>
    <xf numFmtId="187" fontId="2" fillId="0" borderId="0" applyFill="0" applyBorder="0" applyAlignment="0"/>
    <xf numFmtId="186" fontId="2" fillId="0" borderId="0" applyFill="0" applyBorder="0" applyAlignment="0"/>
    <xf numFmtId="188" fontId="2" fillId="0" borderId="0" applyFill="0" applyBorder="0" applyAlignment="0"/>
    <xf numFmtId="189" fontId="2" fillId="0" borderId="0" applyFill="0" applyBorder="0" applyAlignment="0"/>
    <xf numFmtId="186" fontId="2" fillId="0" borderId="0" applyFill="0" applyBorder="0" applyAlignment="0"/>
    <xf numFmtId="190" fontId="2" fillId="0" borderId="0" applyFill="0" applyBorder="0" applyAlignment="0"/>
    <xf numFmtId="187" fontId="2" fillId="0" borderId="0" applyFill="0" applyBorder="0" applyAlignment="0"/>
    <xf numFmtId="191" fontId="80" fillId="17" borderId="0" applyNumberFormat="0" applyFont="0" applyBorder="0" applyAlignment="0"/>
    <xf numFmtId="183" fontId="80" fillId="0" borderId="0" applyFill="0" applyBorder="0" applyProtection="0"/>
    <xf numFmtId="183" fontId="87" fillId="0" borderId="0" applyFont="0" applyFill="0" applyBorder="0" applyAlignment="0" applyProtection="0"/>
    <xf numFmtId="1" fontId="88" fillId="0" borderId="0"/>
    <xf numFmtId="0" fontId="89" fillId="0" borderId="45" applyNumberFormat="0" applyFill="0" applyProtection="0">
      <alignment horizontal="left" vertical="center"/>
    </xf>
    <xf numFmtId="0" fontId="2" fillId="0" borderId="0">
      <alignment horizontal="center" wrapText="1"/>
      <protection hidden="1"/>
    </xf>
    <xf numFmtId="0" fontId="90" fillId="0" borderId="76" applyNumberFormat="0" applyFill="0" applyProtection="0">
      <alignment horizontal="center" vertical="center"/>
    </xf>
    <xf numFmtId="0" fontId="91" fillId="0" borderId="45" applyNumberFormat="0" applyFill="0" applyBorder="0" applyProtection="0">
      <alignment horizontal="right" vertical="center"/>
    </xf>
    <xf numFmtId="192" fontId="92" fillId="0" borderId="0"/>
    <xf numFmtId="192" fontId="92" fillId="0" borderId="0"/>
    <xf numFmtId="192" fontId="92" fillId="0" borderId="0"/>
    <xf numFmtId="192" fontId="92" fillId="0" borderId="0"/>
    <xf numFmtId="192" fontId="92" fillId="0" borderId="0"/>
    <xf numFmtId="192" fontId="92" fillId="0" borderId="0"/>
    <xf numFmtId="192" fontId="92" fillId="0" borderId="0"/>
    <xf numFmtId="192" fontId="92" fillId="0" borderId="0"/>
    <xf numFmtId="193" fontId="93" fillId="0" borderId="0"/>
    <xf numFmtId="186" fontId="2" fillId="0" borderId="0" applyFont="0" applyFill="0" applyBorder="0" applyAlignment="0" applyProtection="0"/>
    <xf numFmtId="193" fontId="93" fillId="0" borderId="0"/>
    <xf numFmtId="194" fontId="94" fillId="0" borderId="0" applyFont="0" applyFill="0" applyBorder="0" applyAlignment="0" applyProtection="0">
      <alignment horizontal="right"/>
    </xf>
    <xf numFmtId="195" fontId="94" fillId="0" borderId="0" applyFont="0" applyFill="0" applyBorder="0" applyAlignment="0" applyProtection="0">
      <alignment horizontal="right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4" fontId="9" fillId="0" borderId="77" applyFill="0" applyBorder="0" applyProtection="0"/>
    <xf numFmtId="196" fontId="2" fillId="0" borderId="45" applyFont="0"/>
    <xf numFmtId="165" fontId="4" fillId="0" borderId="0"/>
    <xf numFmtId="3" fontId="95" fillId="0" borderId="0" applyFont="0" applyFill="0" applyBorder="0" applyAlignment="0" applyProtection="0"/>
    <xf numFmtId="0" fontId="96" fillId="18" borderId="0">
      <alignment horizontal="center" vertical="center" wrapText="1"/>
    </xf>
    <xf numFmtId="197" fontId="2" fillId="0" borderId="0" applyFill="0" applyBorder="0">
      <alignment horizontal="right"/>
      <protection locked="0"/>
    </xf>
    <xf numFmtId="198" fontId="80" fillId="0" borderId="0" applyFont="0" applyFill="0" applyBorder="0" applyAlignment="0" applyProtection="0">
      <protection locked="0"/>
    </xf>
    <xf numFmtId="199" fontId="80" fillId="0" borderId="0" applyFont="0" applyFill="0" applyBorder="0" applyAlignment="0" applyProtection="0">
      <protection locked="0"/>
    </xf>
    <xf numFmtId="184" fontId="93" fillId="0" borderId="0"/>
    <xf numFmtId="187" fontId="2" fillId="0" borderId="0" applyFont="0" applyFill="0" applyBorder="0" applyAlignment="0" applyProtection="0"/>
    <xf numFmtId="184" fontId="93" fillId="0" borderId="0"/>
    <xf numFmtId="8" fontId="97" fillId="0" borderId="78">
      <protection locked="0"/>
    </xf>
    <xf numFmtId="200" fontId="94" fillId="0" borderId="0" applyFont="0" applyFill="0" applyBorder="0" applyAlignment="0" applyProtection="0">
      <alignment horizontal="right"/>
    </xf>
    <xf numFmtId="201" fontId="94" fillId="0" borderId="0" applyFont="0" applyFill="0" applyBorder="0" applyAlignment="0" applyProtection="0">
      <alignment horizontal="right"/>
    </xf>
    <xf numFmtId="5" fontId="74" fillId="0" borderId="0" applyFont="0" applyFill="0" applyBorder="0" applyAlignment="0" applyProtection="0"/>
    <xf numFmtId="44" fontId="2" fillId="0" borderId="0" applyFont="0" applyFill="0" applyBorder="0" applyAlignment="0" applyProtection="0"/>
    <xf numFmtId="202" fontId="67" fillId="0" borderId="0" applyFont="0" applyFill="0" applyBorder="0" applyProtection="0">
      <alignment horizontal="right"/>
    </xf>
    <xf numFmtId="203" fontId="95" fillId="0" borderId="0" applyFont="0" applyFill="0" applyBorder="0" applyAlignment="0" applyProtection="0"/>
    <xf numFmtId="204" fontId="98" fillId="0" borderId="79" applyFill="0" applyBorder="0" applyAlignment="0" applyProtection="0">
      <alignment horizontal="right"/>
    </xf>
    <xf numFmtId="205" fontId="99" fillId="0" borderId="79" applyFont="0" applyFill="0" applyBorder="0" applyAlignment="0" applyProtection="0">
      <alignment horizontal="right"/>
    </xf>
    <xf numFmtId="7" fontId="100" fillId="0" borderId="0" applyFill="0" applyBorder="0" applyProtection="0"/>
    <xf numFmtId="43" fontId="4" fillId="0" borderId="0" applyFont="0" applyFill="0" applyBorder="0" applyAlignment="0" applyProtection="0"/>
    <xf numFmtId="198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184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207" fontId="67" fillId="0" borderId="0" applyFont="0" applyFill="0" applyBorder="0" applyAlignment="0" applyProtection="0"/>
    <xf numFmtId="208" fontId="67" fillId="0" borderId="0" applyFont="0" applyFill="0" applyBorder="0" applyAlignment="0" applyProtection="0"/>
    <xf numFmtId="37" fontId="2" fillId="0" borderId="0" applyFont="0" applyFill="0" applyBorder="0" applyAlignment="0" applyProtection="0"/>
    <xf numFmtId="209" fontId="67" fillId="0" borderId="0" applyFont="0" applyFill="0" applyBorder="0" applyAlignment="0" applyProtection="0"/>
    <xf numFmtId="4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210" fontId="74" fillId="8" borderId="10">
      <alignment horizontal="right"/>
    </xf>
    <xf numFmtId="191" fontId="80" fillId="0" borderId="0" applyFont="0" applyFill="0" applyBorder="0" applyProtection="0">
      <alignment horizontal="right"/>
    </xf>
    <xf numFmtId="15" fontId="3" fillId="0" borderId="0" applyFill="0" applyBorder="0" applyAlignment="0"/>
    <xf numFmtId="211" fontId="2" fillId="19" borderId="0" applyFont="0" applyFill="0" applyBorder="0" applyAlignment="0" applyProtection="0"/>
    <xf numFmtId="212" fontId="2" fillId="19" borderId="5" applyFont="0" applyFill="0" applyBorder="0" applyAlignment="0" applyProtection="0"/>
    <xf numFmtId="211" fontId="2" fillId="19" borderId="0" applyFont="0" applyFill="0" applyBorder="0" applyAlignment="0" applyProtection="0"/>
    <xf numFmtId="17" fontId="3" fillId="0" borderId="0" applyFill="0" applyBorder="0">
      <alignment horizontal="right"/>
    </xf>
    <xf numFmtId="213" fontId="94" fillId="0" borderId="0" applyFont="0" applyFill="0" applyBorder="0" applyAlignment="0" applyProtection="0"/>
    <xf numFmtId="14" fontId="87" fillId="0" borderId="0" applyFill="0" applyBorder="0" applyProtection="0">
      <alignment horizontal="center"/>
    </xf>
    <xf numFmtId="14" fontId="101" fillId="0" borderId="0" applyFill="0" applyBorder="0" applyAlignment="0"/>
    <xf numFmtId="214" fontId="87" fillId="0" borderId="0" applyFill="0" applyBorder="0" applyProtection="0">
      <alignment horizontal="center"/>
    </xf>
    <xf numFmtId="191" fontId="80" fillId="0" borderId="0" applyFont="0" applyFill="0" applyBorder="0" applyProtection="0">
      <alignment horizontal="right"/>
    </xf>
    <xf numFmtId="14" fontId="67" fillId="0" borderId="0">
      <alignment horizontal="right"/>
      <protection locked="0"/>
    </xf>
    <xf numFmtId="14" fontId="87" fillId="0" borderId="0" applyFont="0" applyFill="0" applyBorder="0" applyAlignment="0" applyProtection="0">
      <alignment horizontal="center"/>
    </xf>
    <xf numFmtId="214" fontId="87" fillId="0" borderId="0" applyFont="0" applyFill="0" applyBorder="0" applyAlignment="0" applyProtection="0">
      <alignment horizontal="center"/>
    </xf>
    <xf numFmtId="15" fontId="102" fillId="0" borderId="0" applyFont="0" applyFill="0" applyBorder="0" applyAlignment="0" applyProtection="0">
      <alignment horizontal="center"/>
    </xf>
    <xf numFmtId="183" fontId="102" fillId="0" borderId="0" applyFont="0" applyFill="0" applyBorder="0" applyAlignment="0" applyProtection="0">
      <alignment horizontal="center"/>
    </xf>
    <xf numFmtId="165" fontId="103" fillId="0" borderId="0"/>
    <xf numFmtId="39" fontId="104" fillId="0" borderId="0"/>
    <xf numFmtId="38" fontId="105" fillId="0" borderId="0" applyFont="0" applyFill="0" applyBorder="0" applyAlignment="0" applyProtection="0"/>
    <xf numFmtId="4" fontId="106" fillId="0" borderId="0" applyFont="0" applyFill="0" applyBorder="0" applyAlignment="0" applyProtection="0"/>
    <xf numFmtId="215" fontId="100" fillId="0" borderId="0"/>
    <xf numFmtId="216" fontId="87" fillId="0" borderId="0" applyFill="0" applyBorder="0" applyProtection="0"/>
    <xf numFmtId="6" fontId="80" fillId="0" borderId="0" applyFill="0" applyBorder="0" applyProtection="0"/>
    <xf numFmtId="215" fontId="100" fillId="0" borderId="0"/>
    <xf numFmtId="217" fontId="80" fillId="0" borderId="0"/>
    <xf numFmtId="217" fontId="107" fillId="0" borderId="0">
      <protection locked="0"/>
    </xf>
    <xf numFmtId="7" fontId="80" fillId="0" borderId="0"/>
    <xf numFmtId="7" fontId="4" fillId="0" borderId="0"/>
    <xf numFmtId="6" fontId="80" fillId="0" borderId="0" applyFont="0" applyFill="0" applyBorder="0" applyAlignment="0" applyProtection="0"/>
    <xf numFmtId="218" fontId="94" fillId="0" borderId="80" applyNumberFormat="0" applyFont="0" applyFill="0" applyAlignment="0" applyProtection="0"/>
    <xf numFmtId="42" fontId="108" fillId="0" borderId="0" applyFill="0" applyBorder="0" applyAlignment="0" applyProtection="0"/>
    <xf numFmtId="0" fontId="2" fillId="0" borderId="3" applyNumberFormat="0" applyBorder="0"/>
    <xf numFmtId="164" fontId="109" fillId="0" borderId="81" applyNumberFormat="0" applyAlignment="0" applyProtection="0">
      <alignment vertical="top"/>
    </xf>
    <xf numFmtId="0" fontId="4" fillId="20" borderId="0" applyNumberFormat="0" applyFont="0" applyBorder="0" applyAlignment="0" applyProtection="0"/>
    <xf numFmtId="164" fontId="110" fillId="0" borderId="81" applyNumberFormat="0" applyAlignment="0" applyProtection="0">
      <alignment vertical="top"/>
    </xf>
    <xf numFmtId="186" fontId="2" fillId="0" borderId="0" applyFill="0" applyBorder="0" applyAlignment="0"/>
    <xf numFmtId="187" fontId="2" fillId="0" borderId="0" applyFill="0" applyBorder="0" applyAlignment="0"/>
    <xf numFmtId="186" fontId="2" fillId="0" borderId="0" applyFill="0" applyBorder="0" applyAlignment="0"/>
    <xf numFmtId="190" fontId="2" fillId="0" borderId="0" applyFill="0" applyBorder="0" applyAlignment="0"/>
    <xf numFmtId="187" fontId="2" fillId="0" borderId="0" applyFill="0" applyBorder="0" applyAlignment="0"/>
    <xf numFmtId="219" fontId="74" fillId="0" borderId="0"/>
    <xf numFmtId="220" fontId="93" fillId="0" borderId="0"/>
    <xf numFmtId="221" fontId="74" fillId="0" borderId="0"/>
    <xf numFmtId="222" fontId="74" fillId="0" borderId="0"/>
    <xf numFmtId="223" fontId="74" fillId="0" borderId="0"/>
    <xf numFmtId="39" fontId="74" fillId="21" borderId="0"/>
    <xf numFmtId="224" fontId="74" fillId="0" borderId="0"/>
    <xf numFmtId="225" fontId="74" fillId="0" borderId="0"/>
    <xf numFmtId="0" fontId="4" fillId="0" borderId="0"/>
    <xf numFmtId="226" fontId="2" fillId="0" borderId="0" applyFont="0" applyFill="0" applyBorder="0" applyAlignment="0" applyProtection="0"/>
    <xf numFmtId="2" fontId="95" fillId="0" borderId="0" applyFont="0" applyFill="0" applyBorder="0" applyAlignment="0" applyProtection="0"/>
    <xf numFmtId="183" fontId="2" fillId="19" borderId="0" applyFont="0" applyFill="0" applyBorder="0" applyAlignment="0"/>
    <xf numFmtId="227" fontId="100" fillId="0" borderId="0" applyFill="0" applyBorder="0" applyProtection="0"/>
    <xf numFmtId="0" fontId="111" fillId="0" borderId="0" applyFill="0" applyBorder="0" applyProtection="0">
      <alignment horizontal="left"/>
    </xf>
    <xf numFmtId="183" fontId="4" fillId="9" borderId="21" applyFont="0" applyBorder="0" applyAlignment="0" applyProtection="0">
      <alignment vertical="top"/>
    </xf>
    <xf numFmtId="221" fontId="74" fillId="0" borderId="82"/>
    <xf numFmtId="228" fontId="74" fillId="8" borderId="10">
      <alignment horizontal="right"/>
    </xf>
    <xf numFmtId="183" fontId="80" fillId="0" borderId="0" applyFill="0" applyBorder="0" applyAlignment="0" applyProtection="0">
      <protection locked="0"/>
    </xf>
    <xf numFmtId="0" fontId="53" fillId="0" borderId="0" applyNumberFormat="0">
      <protection locked="0"/>
    </xf>
    <xf numFmtId="0" fontId="2" fillId="22" borderId="0" applyNumberFormat="0">
      <alignment horizontal="right" wrapText="1"/>
    </xf>
    <xf numFmtId="0" fontId="3" fillId="23" borderId="0">
      <alignment horizontal="left"/>
    </xf>
    <xf numFmtId="0" fontId="6" fillId="23" borderId="0">
      <alignment horizontal="left"/>
    </xf>
    <xf numFmtId="0" fontId="5" fillId="23" borderId="0">
      <alignment horizontal="left"/>
    </xf>
    <xf numFmtId="229" fontId="3" fillId="23" borderId="0">
      <alignment horizontal="right"/>
    </xf>
    <xf numFmtId="0" fontId="2" fillId="0" borderId="0"/>
    <xf numFmtId="0" fontId="3" fillId="23" borderId="0">
      <alignment horizontal="right"/>
    </xf>
    <xf numFmtId="0" fontId="5" fillId="23" borderId="0">
      <alignment horizontal="left"/>
    </xf>
    <xf numFmtId="0" fontId="2" fillId="0" borderId="0"/>
    <xf numFmtId="0" fontId="53" fillId="0" borderId="0"/>
    <xf numFmtId="0" fontId="112" fillId="24" borderId="21">
      <alignment horizontal="center" wrapText="1"/>
    </xf>
    <xf numFmtId="0" fontId="53" fillId="25" borderId="0">
      <alignment horizontal="left" wrapText="1"/>
    </xf>
    <xf numFmtId="0" fontId="5" fillId="25" borderId="0">
      <alignment horizontal="left"/>
    </xf>
    <xf numFmtId="0" fontId="112" fillId="0" borderId="0">
      <protection hidden="1"/>
    </xf>
    <xf numFmtId="0" fontId="113" fillId="24" borderId="21">
      <alignment horizontal="center" wrapText="1"/>
    </xf>
    <xf numFmtId="0" fontId="2" fillId="26" borderId="0" applyNumberFormat="0">
      <alignment horizontal="right" wrapText="1"/>
      <protection locked="0"/>
    </xf>
    <xf numFmtId="0" fontId="112" fillId="24" borderId="0">
      <alignment horizontal="left"/>
    </xf>
    <xf numFmtId="38" fontId="4" fillId="8" borderId="0" applyNumberFormat="0" applyFont="0" applyBorder="0" applyAlignment="0">
      <protection hidden="1"/>
    </xf>
    <xf numFmtId="230" fontId="80" fillId="0" borderId="0" applyFill="0" applyBorder="0" applyAlignment="0" applyProtection="0">
      <alignment horizontal="right"/>
    </xf>
    <xf numFmtId="231" fontId="114" fillId="0" borderId="0" applyFill="0" applyBorder="0" applyAlignment="0" applyProtection="0"/>
    <xf numFmtId="0" fontId="80" fillId="27" borderId="21"/>
    <xf numFmtId="0" fontId="67" fillId="0" borderId="0"/>
    <xf numFmtId="184" fontId="107" fillId="0" borderId="0" applyNumberFormat="0" applyFill="0" applyBorder="0" applyAlignment="0" applyProtection="0"/>
    <xf numFmtId="232" fontId="2" fillId="19" borderId="21" applyNumberFormat="0" applyFont="0" applyAlignment="0"/>
    <xf numFmtId="233" fontId="94" fillId="0" borderId="0" applyFont="0" applyFill="0" applyBorder="0" applyAlignment="0" applyProtection="0">
      <alignment horizontal="right"/>
    </xf>
    <xf numFmtId="0" fontId="115" fillId="28" borderId="0" applyNumberFormat="0" applyBorder="0" applyProtection="0">
      <alignment horizontal="left" vertical="center"/>
    </xf>
    <xf numFmtId="0" fontId="116" fillId="1" borderId="0" applyNumberFormat="0" applyBorder="0" applyProtection="0">
      <alignment horizontal="left" vertical="center"/>
    </xf>
    <xf numFmtId="0" fontId="117" fillId="0" borderId="0" applyProtection="0">
      <alignment horizontal="right"/>
    </xf>
    <xf numFmtId="0" fontId="5" fillId="0" borderId="70" applyNumberFormat="0" applyAlignment="0" applyProtection="0">
      <alignment horizontal="left" vertical="center"/>
    </xf>
    <xf numFmtId="0" fontId="5" fillId="0" borderId="22">
      <alignment horizontal="left" vertical="center"/>
    </xf>
    <xf numFmtId="37" fontId="118" fillId="29" borderId="0">
      <alignment horizontal="centerContinuous"/>
    </xf>
    <xf numFmtId="0" fontId="119" fillId="0" borderId="0"/>
    <xf numFmtId="191" fontId="120" fillId="0" borderId="0">
      <alignment horizontal="right"/>
    </xf>
    <xf numFmtId="191" fontId="120" fillId="0" borderId="0">
      <alignment horizontal="left"/>
    </xf>
    <xf numFmtId="37" fontId="121" fillId="0" borderId="45">
      <alignment horizontal="right"/>
    </xf>
    <xf numFmtId="0" fontId="122" fillId="0" borderId="83" applyNumberFormat="0" applyFill="0" applyBorder="0" applyAlignment="0" applyProtection="0">
      <alignment horizontal="left"/>
    </xf>
    <xf numFmtId="0" fontId="123" fillId="0" borderId="0" applyNumberFormat="0" applyFill="0" applyBorder="0" applyAlignment="0" applyProtection="0"/>
    <xf numFmtId="183" fontId="80" fillId="0" borderId="0" applyFill="0" applyBorder="0" applyAlignment="0" applyProtection="0"/>
    <xf numFmtId="164" fontId="2" fillId="0" borderId="0">
      <alignment horizontal="right"/>
    </xf>
    <xf numFmtId="8" fontId="4" fillId="19" borderId="0" applyFont="0" applyBorder="0" applyAlignment="0" applyProtection="0">
      <protection locked="0"/>
    </xf>
    <xf numFmtId="212" fontId="2" fillId="19" borderId="0" applyFont="0" applyBorder="0" applyAlignment="0" applyProtection="0">
      <protection locked="0"/>
    </xf>
    <xf numFmtId="183" fontId="2" fillId="19" borderId="0" applyFont="0" applyBorder="0" applyAlignment="0">
      <protection locked="0"/>
    </xf>
    <xf numFmtId="183" fontId="4" fillId="19" borderId="0">
      <protection locked="0"/>
    </xf>
    <xf numFmtId="234" fontId="2" fillId="19" borderId="0" applyFont="0" applyBorder="0" applyAlignment="0">
      <protection locked="0"/>
    </xf>
    <xf numFmtId="10" fontId="4" fillId="19" borderId="0">
      <protection locked="0"/>
    </xf>
    <xf numFmtId="183" fontId="124" fillId="19" borderId="0" applyNumberFormat="0" applyBorder="0" applyAlignment="0">
      <protection locked="0"/>
    </xf>
    <xf numFmtId="234" fontId="2" fillId="19" borderId="21"/>
    <xf numFmtId="37" fontId="103" fillId="8" borderId="0" applyFont="0" applyBorder="0" applyProtection="0"/>
    <xf numFmtId="38" fontId="28" fillId="19" borderId="21"/>
    <xf numFmtId="232" fontId="4" fillId="19" borderId="0" applyNumberFormat="0" applyFont="0" applyBorder="0" applyAlignment="0" applyProtection="0">
      <alignment horizontal="center"/>
      <protection locked="0"/>
    </xf>
    <xf numFmtId="164" fontId="4" fillId="19" borderId="45" applyNumberFormat="0" applyFont="0" applyAlignment="0" applyProtection="0">
      <alignment horizontal="center"/>
      <protection locked="0"/>
    </xf>
    <xf numFmtId="40" fontId="28" fillId="19" borderId="21"/>
    <xf numFmtId="235" fontId="125" fillId="0" borderId="25" applyBorder="0">
      <protection locked="0"/>
    </xf>
    <xf numFmtId="0" fontId="2" fillId="0" borderId="0" applyFill="0" applyBorder="0">
      <alignment horizontal="right"/>
      <protection locked="0"/>
    </xf>
    <xf numFmtId="236" fontId="2" fillId="0" borderId="0" applyFill="0" applyBorder="0">
      <alignment horizontal="right"/>
      <protection locked="0"/>
    </xf>
    <xf numFmtId="0" fontId="126" fillId="30" borderId="84">
      <alignment horizontal="left" vertical="center" wrapText="1"/>
    </xf>
    <xf numFmtId="165" fontId="2" fillId="0" borderId="0" applyFont="0" applyFill="0" applyBorder="0" applyAlignment="0" applyProtection="0"/>
    <xf numFmtId="0" fontId="127" fillId="0" borderId="0" applyNumberFormat="0" applyFill="0" applyBorder="0" applyProtection="0">
      <alignment horizontal="left" vertical="center"/>
    </xf>
    <xf numFmtId="237" fontId="80" fillId="0" borderId="0">
      <alignment horizontal="left"/>
    </xf>
    <xf numFmtId="0" fontId="128" fillId="0" borderId="0" applyNumberFormat="0">
      <alignment horizontal="left"/>
    </xf>
    <xf numFmtId="186" fontId="2" fillId="0" borderId="0" applyFill="0" applyBorder="0" applyAlignment="0"/>
    <xf numFmtId="187" fontId="2" fillId="0" borderId="0" applyFill="0" applyBorder="0" applyAlignment="0"/>
    <xf numFmtId="186" fontId="2" fillId="0" borderId="0" applyFill="0" applyBorder="0" applyAlignment="0"/>
    <xf numFmtId="190" fontId="2" fillId="0" borderId="0" applyFill="0" applyBorder="0" applyAlignment="0"/>
    <xf numFmtId="187" fontId="2" fillId="0" borderId="0" applyFill="0" applyBorder="0" applyAlignment="0"/>
    <xf numFmtId="0" fontId="4" fillId="0" borderId="0"/>
    <xf numFmtId="238" fontId="74" fillId="0" borderId="0">
      <alignment horizontal="right"/>
    </xf>
    <xf numFmtId="239" fontId="74" fillId="0" borderId="0">
      <alignment horizontal="right"/>
    </xf>
    <xf numFmtId="230" fontId="80" fillId="0" borderId="0" applyFill="0" applyBorder="0" applyAlignment="0" applyProtection="0">
      <alignment horizontal="right"/>
    </xf>
    <xf numFmtId="240" fontId="74" fillId="0" borderId="0">
      <alignment horizontal="right"/>
    </xf>
    <xf numFmtId="17" fontId="102" fillId="0" borderId="0" applyFont="0" applyFill="0" applyBorder="0" applyAlignment="0" applyProtection="0">
      <alignment horizontal="center"/>
    </xf>
    <xf numFmtId="241" fontId="94" fillId="0" borderId="0" applyFont="0" applyFill="0" applyBorder="0" applyAlignment="0" applyProtection="0">
      <alignment horizontal="right"/>
    </xf>
    <xf numFmtId="40" fontId="80" fillId="0" borderId="0" applyFill="0" applyBorder="0" applyAlignment="0" applyProtection="0">
      <alignment horizontal="left"/>
    </xf>
    <xf numFmtId="242" fontId="80" fillId="0" borderId="0" applyFill="0" applyBorder="0" applyAlignment="0" applyProtection="0">
      <alignment horizontal="left"/>
    </xf>
    <xf numFmtId="243" fontId="2" fillId="8" borderId="0" applyFont="0" applyBorder="0" applyAlignment="0" applyProtection="0">
      <alignment horizontal="right"/>
      <protection hidden="1"/>
    </xf>
    <xf numFmtId="0" fontId="129" fillId="0" borderId="0">
      <alignment horizontal="right"/>
    </xf>
    <xf numFmtId="0" fontId="2" fillId="21" borderId="0"/>
    <xf numFmtId="0" fontId="125" fillId="0" borderId="85" applyNumberFormat="0" applyAlignment="0"/>
    <xf numFmtId="165" fontId="105" fillId="0" borderId="73">
      <alignment horizontal="right"/>
    </xf>
    <xf numFmtId="237" fontId="130" fillId="0" borderId="0"/>
    <xf numFmtId="38" fontId="4" fillId="0" borderId="0" applyFont="0" applyFill="0" applyBorder="0" applyAlignment="0"/>
    <xf numFmtId="183" fontId="2" fillId="0" borderId="0" applyFont="0" applyFill="0" applyBorder="0" applyAlignment="0"/>
    <xf numFmtId="40" fontId="4" fillId="0" borderId="0" applyFont="0" applyFill="0" applyBorder="0" applyAlignment="0"/>
    <xf numFmtId="244" fontId="4" fillId="0" borderId="0" applyFont="0" applyFill="0" applyBorder="0" applyAlignment="0"/>
    <xf numFmtId="0" fontId="2" fillId="0" borderId="0"/>
    <xf numFmtId="0" fontId="67" fillId="0" borderId="0"/>
    <xf numFmtId="0" fontId="67" fillId="0" borderId="0"/>
    <xf numFmtId="0" fontId="2" fillId="0" borderId="0"/>
    <xf numFmtId="0" fontId="8" fillId="0" borderId="0"/>
    <xf numFmtId="0" fontId="8" fillId="0" borderId="0"/>
    <xf numFmtId="0" fontId="2" fillId="0" borderId="0"/>
    <xf numFmtId="183" fontId="3" fillId="0" borderId="0" applyNumberFormat="0" applyFill="0" applyBorder="0" applyAlignment="0" applyProtection="0"/>
    <xf numFmtId="245" fontId="2" fillId="0" borderId="0" applyFont="0" applyFill="0" applyBorder="0" applyAlignment="0" applyProtection="0"/>
    <xf numFmtId="165" fontId="132" fillId="0" borderId="0">
      <alignment horizontal="left"/>
      <protection locked="0"/>
    </xf>
    <xf numFmtId="165" fontId="133" fillId="0" borderId="0">
      <alignment horizontal="left"/>
      <protection locked="0"/>
    </xf>
    <xf numFmtId="184" fontId="67" fillId="0" borderId="0" applyFill="0" applyBorder="0" applyAlignment="0" applyProtection="0"/>
    <xf numFmtId="0" fontId="104" fillId="0" borderId="0" applyFill="0" applyBorder="0" applyAlignment="0" applyProtection="0"/>
    <xf numFmtId="0" fontId="134" fillId="0" borderId="8"/>
    <xf numFmtId="246" fontId="2" fillId="0" borderId="0" applyFont="0" applyFill="0" applyBorder="0" applyAlignment="0" applyProtection="0"/>
    <xf numFmtId="1" fontId="107" fillId="0" borderId="0">
      <alignment horizontal="right"/>
      <protection locked="0"/>
    </xf>
    <xf numFmtId="247" fontId="135" fillId="0" borderId="0">
      <alignment horizontal="right"/>
      <protection locked="0"/>
    </xf>
    <xf numFmtId="165" fontId="107" fillId="0" borderId="0">
      <protection locked="0"/>
    </xf>
    <xf numFmtId="2" fontId="135" fillId="0" borderId="0">
      <alignment horizontal="right"/>
      <protection locked="0"/>
    </xf>
    <xf numFmtId="2" fontId="107" fillId="0" borderId="0">
      <alignment horizontal="right"/>
      <protection locked="0"/>
    </xf>
    <xf numFmtId="248" fontId="100" fillId="0" borderId="0"/>
    <xf numFmtId="249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1" fontId="67" fillId="0" borderId="0" applyFont="0" applyFill="0" applyBorder="0" applyAlignment="0" applyProtection="0"/>
    <xf numFmtId="40" fontId="136" fillId="9" borderId="0">
      <alignment horizontal="right"/>
    </xf>
    <xf numFmtId="0" fontId="137" fillId="9" borderId="0">
      <alignment horizontal="right"/>
    </xf>
    <xf numFmtId="0" fontId="138" fillId="9" borderId="10"/>
    <xf numFmtId="0" fontId="138" fillId="0" borderId="0" applyBorder="0">
      <alignment horizontal="centerContinuous"/>
    </xf>
    <xf numFmtId="0" fontId="139" fillId="0" borderId="0" applyBorder="0">
      <alignment horizontal="centerContinuous"/>
    </xf>
    <xf numFmtId="3" fontId="140" fillId="9" borderId="0" applyAlignment="0"/>
    <xf numFmtId="0" fontId="141" fillId="0" borderId="0" applyProtection="0">
      <alignment horizontal="left"/>
    </xf>
    <xf numFmtId="0" fontId="141" fillId="0" borderId="0" applyFill="0" applyBorder="0" applyProtection="0">
      <alignment horizontal="left"/>
    </xf>
    <xf numFmtId="0" fontId="142" fillId="0" borderId="0" applyFill="0" applyBorder="0" applyProtection="0">
      <alignment horizontal="left"/>
    </xf>
    <xf numFmtId="1" fontId="143" fillId="0" borderId="0" applyProtection="0">
      <alignment horizontal="right" vertical="center"/>
    </xf>
    <xf numFmtId="0" fontId="102" fillId="0" borderId="0" applyNumberFormat="0" applyFill="0" applyBorder="0" applyAlignment="0" applyProtection="0"/>
    <xf numFmtId="250" fontId="2" fillId="0" borderId="0"/>
    <xf numFmtId="251" fontId="2" fillId="0" borderId="0" applyFill="0" applyBorder="0"/>
    <xf numFmtId="252" fontId="2" fillId="0" borderId="0" applyFont="0" applyFill="0" applyBorder="0" applyAlignment="0" applyProtection="0"/>
    <xf numFmtId="253" fontId="74" fillId="0" borderId="0"/>
    <xf numFmtId="254" fontId="74" fillId="0" borderId="0"/>
    <xf numFmtId="164" fontId="80" fillId="0" borderId="0">
      <alignment horizontal="right"/>
    </xf>
    <xf numFmtId="255" fontId="93" fillId="0" borderId="0"/>
    <xf numFmtId="10" fontId="2" fillId="0" borderId="0"/>
    <xf numFmtId="164" fontId="80" fillId="0" borderId="0"/>
    <xf numFmtId="256" fontId="93" fillId="0" borderId="0" applyFont="0" applyFill="0" applyBorder="0" applyAlignment="0" applyProtection="0"/>
    <xf numFmtId="257" fontId="2" fillId="0" borderId="0" applyFont="0" applyFill="0" applyBorder="0" applyAlignment="0" applyProtection="0"/>
    <xf numFmtId="164" fontId="144" fillId="0" borderId="0" applyFont="0" applyFill="0" applyBorder="0" applyAlignment="0" applyProtection="0"/>
    <xf numFmtId="258" fontId="2" fillId="0" borderId="0" applyFont="0" applyFill="0" applyBorder="0" applyAlignment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59" fontId="102" fillId="0" borderId="0" applyFont="0" applyFill="0" applyBorder="0" applyAlignment="0" applyProtection="0">
      <alignment horizontal="center"/>
    </xf>
    <xf numFmtId="260" fontId="80" fillId="0" borderId="0" applyFont="0" applyFill="0" applyBorder="0" applyProtection="0">
      <alignment horizontal="right"/>
    </xf>
    <xf numFmtId="164" fontId="2" fillId="0" borderId="0"/>
    <xf numFmtId="164" fontId="9" fillId="0" borderId="77" applyFill="0" applyBorder="0" applyProtection="0"/>
    <xf numFmtId="9" fontId="4" fillId="0" borderId="0"/>
    <xf numFmtId="37" fontId="145" fillId="0" borderId="0" applyBorder="0"/>
    <xf numFmtId="164" fontId="107" fillId="0" borderId="0"/>
    <xf numFmtId="10" fontId="103" fillId="0" borderId="0" applyBorder="0"/>
    <xf numFmtId="10" fontId="107" fillId="0" borderId="0">
      <protection locked="0"/>
    </xf>
    <xf numFmtId="261" fontId="2" fillId="0" borderId="0" applyFill="0" applyBorder="0">
      <alignment horizontal="right"/>
      <protection locked="0"/>
    </xf>
    <xf numFmtId="230" fontId="80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100" fillId="0" borderId="0" applyFill="0" applyBorder="0" applyProtection="0"/>
    <xf numFmtId="38" fontId="4" fillId="0" borderId="0" applyFill="0" applyBorder="0" applyAlignment="0" applyProtection="0">
      <alignment horizontal="right"/>
    </xf>
    <xf numFmtId="244" fontId="80" fillId="0" borderId="0" applyFill="0" applyBorder="0" applyAlignment="0" applyProtection="0">
      <alignment horizontal="left"/>
    </xf>
    <xf numFmtId="0" fontId="131" fillId="0" borderId="0"/>
    <xf numFmtId="186" fontId="2" fillId="0" borderId="0" applyFill="0" applyBorder="0" applyAlignment="0"/>
    <xf numFmtId="187" fontId="2" fillId="0" borderId="0" applyFill="0" applyBorder="0" applyAlignment="0"/>
    <xf numFmtId="186" fontId="2" fillId="0" borderId="0" applyFill="0" applyBorder="0" applyAlignment="0"/>
    <xf numFmtId="190" fontId="2" fillId="0" borderId="0" applyFill="0" applyBorder="0" applyAlignment="0"/>
    <xf numFmtId="187" fontId="2" fillId="0" borderId="0" applyFill="0" applyBorder="0" applyAlignment="0"/>
    <xf numFmtId="38" fontId="80" fillId="0" borderId="0" applyFont="0" applyFill="0" applyBorder="0" applyAlignment="0" applyProtection="0"/>
    <xf numFmtId="173" fontId="2" fillId="0" borderId="0" applyProtection="0">
      <alignment horizontal="right"/>
    </xf>
    <xf numFmtId="173" fontId="2" fillId="0" borderId="0">
      <alignment horizontal="right"/>
      <protection locked="0"/>
    </xf>
    <xf numFmtId="0" fontId="3" fillId="8" borderId="21" applyNumberFormat="0" applyFont="0" applyAlignment="0" applyProtection="0"/>
    <xf numFmtId="232" fontId="4" fillId="8" borderId="0" applyNumberFormat="0" applyFont="0" applyBorder="0" applyAlignment="0" applyProtection="0">
      <alignment horizontal="center"/>
      <protection locked="0"/>
    </xf>
    <xf numFmtId="0" fontId="105" fillId="0" borderId="0" applyNumberFormat="0" applyFont="0" applyFill="0" applyBorder="0" applyAlignment="0" applyProtection="0">
      <alignment horizontal="left"/>
    </xf>
    <xf numFmtId="15" fontId="105" fillId="0" borderId="0" applyFont="0" applyFill="0" applyBorder="0" applyAlignment="0" applyProtection="0"/>
    <xf numFmtId="4" fontId="105" fillId="0" borderId="0" applyFont="0" applyFill="0" applyBorder="0" applyAlignment="0" applyProtection="0"/>
    <xf numFmtId="0" fontId="126" fillId="0" borderId="30">
      <alignment horizontal="center"/>
    </xf>
    <xf numFmtId="3" fontId="105" fillId="0" borderId="0" applyFont="0" applyFill="0" applyBorder="0" applyAlignment="0" applyProtection="0"/>
    <xf numFmtId="0" fontId="105" fillId="31" borderId="0" applyNumberFormat="0" applyFont="0" applyBorder="0" applyAlignment="0" applyProtection="0"/>
    <xf numFmtId="264" fontId="74" fillId="8" borderId="0"/>
    <xf numFmtId="0" fontId="146" fillId="0" borderId="0">
      <alignment horizontal="center"/>
    </xf>
    <xf numFmtId="0" fontId="74" fillId="0" borderId="45">
      <alignment horizontal="centerContinuous"/>
    </xf>
    <xf numFmtId="265" fontId="74" fillId="8" borderId="0">
      <alignment horizontal="right"/>
    </xf>
    <xf numFmtId="266" fontId="74" fillId="8" borderId="10">
      <alignment horizontal="right"/>
    </xf>
    <xf numFmtId="267" fontId="2" fillId="0" borderId="0">
      <alignment horizontal="right"/>
      <protection locked="0"/>
    </xf>
    <xf numFmtId="183" fontId="147" fillId="0" borderId="0" applyNumberFormat="0" applyFill="0" applyBorder="0" applyAlignment="0" applyProtection="0">
      <alignment horizontal="left"/>
    </xf>
    <xf numFmtId="49" fontId="9" fillId="0" borderId="0">
      <alignment horizontal="right"/>
    </xf>
    <xf numFmtId="0" fontId="127" fillId="0" borderId="0" applyNumberFormat="0" applyFill="0" applyBorder="0" applyProtection="0">
      <alignment horizontal="right" vertical="center"/>
    </xf>
    <xf numFmtId="0" fontId="148" fillId="0" borderId="86"/>
    <xf numFmtId="268" fontId="149" fillId="0" borderId="0" applyFill="0" applyBorder="0">
      <alignment horizontal="right"/>
      <protection hidden="1"/>
    </xf>
    <xf numFmtId="0" fontId="150" fillId="18" borderId="21">
      <alignment horizontal="center" vertical="center" wrapText="1"/>
      <protection hidden="1"/>
    </xf>
    <xf numFmtId="0" fontId="67" fillId="32" borderId="0" applyNumberFormat="0" applyFont="0" applyBorder="0" applyAlignment="0" applyProtection="0"/>
    <xf numFmtId="183" fontId="80" fillId="0" borderId="45" applyFill="0" applyBorder="0" applyProtection="0"/>
    <xf numFmtId="42" fontId="70" fillId="0" borderId="0" applyFill="0" applyBorder="0" applyAlignment="0" applyProtection="0"/>
    <xf numFmtId="191" fontId="151" fillId="0" borderId="0" applyNumberFormat="0">
      <alignment horizontal="left"/>
    </xf>
    <xf numFmtId="3" fontId="4" fillId="0" borderId="0"/>
    <xf numFmtId="37" fontId="9" fillId="0" borderId="0"/>
    <xf numFmtId="3" fontId="2" fillId="8" borderId="87" applyFont="0" applyFill="0" applyBorder="0" applyAlignment="0" applyProtection="0"/>
    <xf numFmtId="4" fontId="2" fillId="8" borderId="87" applyFont="0" applyFill="0" applyBorder="0" applyAlignment="0" applyProtection="0"/>
    <xf numFmtId="244" fontId="2" fillId="8" borderId="87" applyFont="0" applyFill="0" applyBorder="0" applyAlignment="0" applyProtection="0"/>
    <xf numFmtId="183" fontId="2" fillId="8" borderId="88" applyFont="0" applyFill="0" applyBorder="0" applyAlignment="0" applyProtection="0"/>
    <xf numFmtId="10" fontId="2" fillId="8" borderId="87" applyFont="0" applyFill="0" applyBorder="0" applyAlignment="0" applyProtection="0"/>
    <xf numFmtId="9" fontId="2" fillId="8" borderId="87" applyFont="0" applyFill="0" applyBorder="0" applyAlignment="0" applyProtection="0"/>
    <xf numFmtId="2" fontId="2" fillId="8" borderId="87" applyFont="0" applyFill="0" applyBorder="0" applyAlignment="0" applyProtection="0"/>
    <xf numFmtId="0" fontId="105" fillId="0" borderId="0"/>
    <xf numFmtId="0" fontId="106" fillId="0" borderId="0"/>
    <xf numFmtId="183" fontId="4" fillId="33" borderId="0" applyNumberFormat="0" applyFont="0" applyBorder="0" applyAlignment="0">
      <protection hidden="1"/>
    </xf>
    <xf numFmtId="0" fontId="2" fillId="0" borderId="0"/>
    <xf numFmtId="3" fontId="9" fillId="0" borderId="0"/>
    <xf numFmtId="0" fontId="101" fillId="0" borderId="0" applyNumberFormat="0" applyBorder="0" applyAlignment="0"/>
    <xf numFmtId="0" fontId="152" fillId="0" borderId="0" applyNumberFormat="0" applyFill="0" applyBorder="0" applyProtection="0">
      <alignment horizontal="left" vertical="center"/>
    </xf>
    <xf numFmtId="183" fontId="80" fillId="0" borderId="0" applyFill="0" applyBorder="0" applyAlignment="0" applyProtection="0"/>
    <xf numFmtId="0" fontId="67" fillId="0" borderId="0"/>
    <xf numFmtId="0" fontId="152" fillId="0" borderId="22" applyNumberFormat="0" applyFill="0" applyProtection="0">
      <alignment horizontal="left" vertical="center"/>
    </xf>
    <xf numFmtId="0" fontId="3" fillId="8" borderId="0" applyNumberFormat="0" applyFont="0" applyBorder="0" applyAlignment="0" applyProtection="0"/>
    <xf numFmtId="0" fontId="80" fillId="0" borderId="0"/>
    <xf numFmtId="0" fontId="7" fillId="0" borderId="0" applyFill="0" applyBorder="0" applyProtection="0">
      <alignment horizontal="center" vertical="center"/>
    </xf>
    <xf numFmtId="0" fontId="153" fillId="0" borderId="0" applyBorder="0" applyProtection="0">
      <alignment vertical="center"/>
    </xf>
    <xf numFmtId="218" fontId="153" fillId="0" borderId="45" applyBorder="0" applyProtection="0">
      <alignment horizontal="right" vertical="center"/>
    </xf>
    <xf numFmtId="0" fontId="154" fillId="6" borderId="0" applyBorder="0" applyProtection="0">
      <alignment horizontal="centerContinuous" vertical="center"/>
    </xf>
    <xf numFmtId="0" fontId="154" fillId="15" borderId="45" applyBorder="0" applyProtection="0">
      <alignment horizontal="centerContinuous" vertical="center"/>
    </xf>
    <xf numFmtId="3" fontId="7" fillId="0" borderId="0" applyNumberFormat="0"/>
    <xf numFmtId="0" fontId="7" fillId="0" borderId="0" applyFill="0" applyBorder="0" applyProtection="0"/>
    <xf numFmtId="0" fontId="155" fillId="0" borderId="0" applyFill="0" applyBorder="0" applyProtection="0">
      <alignment horizontal="left"/>
    </xf>
    <xf numFmtId="191" fontId="28" fillId="0" borderId="0"/>
    <xf numFmtId="0" fontId="111" fillId="0" borderId="9" applyFill="0" applyBorder="0" applyProtection="0">
      <alignment horizontal="left" vertical="top"/>
    </xf>
    <xf numFmtId="0" fontId="83" fillId="9" borderId="3" applyNumberFormat="0" applyFont="0" applyFill="0" applyAlignment="0" applyProtection="0">
      <protection locked="0"/>
    </xf>
    <xf numFmtId="0" fontId="80" fillId="0" borderId="0"/>
    <xf numFmtId="0" fontId="83" fillId="9" borderId="89" applyNumberFormat="0" applyFont="0" applyFill="0" applyAlignment="0" applyProtection="0">
      <protection locked="0"/>
    </xf>
    <xf numFmtId="49" fontId="156" fillId="0" borderId="0"/>
    <xf numFmtId="0" fontId="157" fillId="34" borderId="0">
      <alignment vertical="top" wrapText="1"/>
    </xf>
    <xf numFmtId="183" fontId="2" fillId="35" borderId="0" applyNumberFormat="0" applyFont="0" applyBorder="0" applyAlignment="0" applyProtection="0"/>
    <xf numFmtId="0" fontId="3" fillId="0" borderId="0" applyNumberFormat="0" applyFill="0" applyBorder="0" applyAlignment="0" applyProtection="0"/>
    <xf numFmtId="269" fontId="93" fillId="0" borderId="0">
      <alignment horizontal="center" vertical="center"/>
    </xf>
    <xf numFmtId="191" fontId="107" fillId="0" borderId="0">
      <alignment horizontal="left"/>
      <protection locked="0"/>
    </xf>
    <xf numFmtId="49" fontId="101" fillId="0" borderId="0" applyFill="0" applyBorder="0" applyAlignment="0"/>
    <xf numFmtId="270" fontId="2" fillId="0" borderId="0" applyFill="0" applyBorder="0" applyAlignment="0"/>
    <xf numFmtId="271" fontId="2" fillId="0" borderId="0" applyFill="0" applyBorder="0" applyAlignment="0"/>
    <xf numFmtId="272" fontId="2" fillId="0" borderId="0" applyFill="0" applyBorder="0" applyAlignment="0" applyProtection="0">
      <alignment horizontal="right"/>
    </xf>
    <xf numFmtId="18" fontId="83" fillId="9" borderId="0" applyFont="0" applyFill="0" applyBorder="0" applyAlignment="0" applyProtection="0">
      <protection locked="0"/>
    </xf>
    <xf numFmtId="1" fontId="87" fillId="0" borderId="22" applyFill="0" applyBorder="0" applyProtection="0">
      <alignment horizontal="right"/>
    </xf>
    <xf numFmtId="0" fontId="6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/>
    <xf numFmtId="183" fontId="87" fillId="0" borderId="0" applyFill="0" applyBorder="0" applyProtection="0"/>
    <xf numFmtId="3" fontId="160" fillId="0" borderId="0"/>
    <xf numFmtId="0" fontId="161" fillId="0" borderId="90"/>
    <xf numFmtId="237" fontId="162" fillId="0" borderId="0">
      <alignment horizontal="centerContinuous"/>
    </xf>
    <xf numFmtId="0" fontId="7" fillId="0" borderId="91"/>
    <xf numFmtId="237" fontId="87" fillId="0" borderId="0">
      <alignment horizontal="centerContinuous"/>
      <protection locked="0"/>
    </xf>
    <xf numFmtId="237" fontId="87" fillId="0" borderId="0">
      <alignment horizontal="left"/>
    </xf>
    <xf numFmtId="191" fontId="163" fillId="0" borderId="0">
      <alignment horizontal="center"/>
    </xf>
    <xf numFmtId="183" fontId="164" fillId="0" borderId="0" applyNumberFormat="0" applyFill="0" applyBorder="0" applyAlignment="0" applyProtection="0"/>
    <xf numFmtId="191" fontId="163" fillId="0" borderId="0">
      <alignment horizontal="left"/>
    </xf>
    <xf numFmtId="0" fontId="2" fillId="0" borderId="0" applyBorder="0"/>
    <xf numFmtId="0" fontId="165" fillId="0" borderId="0"/>
    <xf numFmtId="0" fontId="166" fillId="0" borderId="0" applyNumberFormat="0" applyFont="0" applyFill="0" applyBorder="0" applyAlignment="0">
      <alignment horizontal="left" vertical="center"/>
    </xf>
    <xf numFmtId="0" fontId="7" fillId="0" borderId="22">
      <alignment horizontal="right" wrapText="1"/>
    </xf>
    <xf numFmtId="0" fontId="167" fillId="0" borderId="0"/>
    <xf numFmtId="3" fontId="7" fillId="0" borderId="45" applyNumberFormat="0"/>
    <xf numFmtId="198" fontId="80" fillId="0" borderId="0">
      <alignment horizontal="right"/>
    </xf>
    <xf numFmtId="0" fontId="168" fillId="0" borderId="45" applyNumberFormat="0" applyFill="0" applyProtection="0"/>
    <xf numFmtId="0" fontId="80" fillId="0" borderId="0" applyNumberFormat="0" applyFill="0" applyBorder="0" applyAlignment="0" applyProtection="0"/>
    <xf numFmtId="244" fontId="144" fillId="0" borderId="0" applyFill="0" applyBorder="0" applyAlignment="0" applyProtection="0"/>
    <xf numFmtId="273" fontId="2" fillId="0" borderId="0" applyNumberFormat="0"/>
    <xf numFmtId="232" fontId="2" fillId="0" borderId="0">
      <alignment horizontal="right"/>
    </xf>
    <xf numFmtId="38" fontId="80" fillId="0" borderId="0" applyFill="0" applyBorder="0" applyAlignment="0" applyProtection="0">
      <alignment horizontal="left"/>
    </xf>
    <xf numFmtId="38" fontId="87" fillId="0" borderId="0" applyFill="0" applyBorder="0" applyAlignment="0" applyProtection="0">
      <alignment horizontal="left"/>
    </xf>
    <xf numFmtId="6" fontId="105" fillId="0" borderId="0" applyFont="0" applyFill="0" applyBorder="0" applyAlignment="0" applyProtection="0"/>
    <xf numFmtId="274" fontId="106" fillId="0" borderId="0" applyFont="0" applyFill="0" applyBorder="0" applyAlignment="0" applyProtection="0"/>
    <xf numFmtId="183" fontId="169" fillId="0" borderId="0" applyNumberFormat="0" applyFill="0" applyBorder="0" applyAlignment="0" applyProtection="0"/>
    <xf numFmtId="0" fontId="3" fillId="9" borderId="0" applyNumberFormat="0" applyFont="0" applyAlignment="0" applyProtection="0"/>
    <xf numFmtId="0" fontId="3" fillId="9" borderId="3" applyNumberFormat="0" applyFont="0" applyAlignment="0" applyProtection="0">
      <protection locked="0"/>
    </xf>
    <xf numFmtId="0" fontId="169" fillId="0" borderId="0" applyNumberFormat="0" applyFill="0" applyBorder="0" applyAlignment="0" applyProtection="0"/>
    <xf numFmtId="1" fontId="80" fillId="0" borderId="0" applyFont="0" applyFill="0" applyBorder="0" applyAlignment="0" applyProtection="0"/>
    <xf numFmtId="275" fontId="170" fillId="0" borderId="0"/>
    <xf numFmtId="276" fontId="70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7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174" fillId="0" borderId="0" applyNumberFormat="0" applyFill="0" applyBorder="0" applyAlignment="0" applyProtection="0"/>
  </cellStyleXfs>
  <cellXfs count="1028">
    <xf numFmtId="0" fontId="0" fillId="0" borderId="0" xfId="0"/>
    <xf numFmtId="0" fontId="0" fillId="0" borderId="1" xfId="0" applyBorder="1"/>
    <xf numFmtId="0" fontId="9" fillId="0" borderId="0" xfId="0" applyFont="1" applyFill="1"/>
    <xf numFmtId="43" fontId="9" fillId="0" borderId="0" xfId="0" applyNumberFormat="1" applyFont="1" applyFill="1"/>
    <xf numFmtId="43" fontId="7" fillId="0" borderId="0" xfId="1" applyFont="1" applyFill="1"/>
    <xf numFmtId="2" fontId="9" fillId="0" borderId="0" xfId="0" applyNumberFormat="1" applyFont="1" applyFill="1"/>
    <xf numFmtId="43" fontId="7" fillId="0" borderId="0" xfId="1" applyFont="1" applyFill="1" applyBorder="1"/>
    <xf numFmtId="164" fontId="9" fillId="0" borderId="0" xfId="0" applyNumberFormat="1" applyFont="1" applyFill="1"/>
    <xf numFmtId="0" fontId="9" fillId="0" borderId="0" xfId="0" applyFont="1" applyFill="1" applyBorder="1"/>
    <xf numFmtId="43" fontId="7" fillId="0" borderId="0" xfId="1" applyFont="1" applyFill="1" applyBorder="1" applyAlignment="1"/>
    <xf numFmtId="165" fontId="9" fillId="0" borderId="0" xfId="0" applyNumberFormat="1" applyFont="1" applyFill="1"/>
    <xf numFmtId="9" fontId="9" fillId="2" borderId="0" xfId="2" applyFont="1" applyFill="1" applyBorder="1" applyAlignment="1">
      <alignment horizontal="center"/>
    </xf>
    <xf numFmtId="43" fontId="9" fillId="0" borderId="0" xfId="1" applyFont="1" applyFill="1"/>
    <xf numFmtId="166" fontId="10" fillId="0" borderId="0" xfId="0" applyNumberFormat="1" applyFont="1" applyFill="1" applyAlignment="1">
      <alignment horizontal="center"/>
    </xf>
    <xf numFmtId="166" fontId="9" fillId="0" borderId="0" xfId="0" applyNumberFormat="1" applyFont="1" applyFill="1" applyAlignment="1">
      <alignment horizontal="center"/>
    </xf>
    <xf numFmtId="0" fontId="11" fillId="0" borderId="0" xfId="1" applyNumberFormat="1" applyFont="1" applyFill="1" applyAlignment="1">
      <alignment horizontal="center"/>
    </xf>
    <xf numFmtId="0" fontId="9" fillId="0" borderId="0" xfId="1" applyNumberFormat="1" applyFont="1" applyFill="1" applyAlignment="1">
      <alignment horizontal="center"/>
    </xf>
    <xf numFmtId="4" fontId="9" fillId="2" borderId="0" xfId="1" applyNumberFormat="1" applyFont="1" applyFill="1" applyAlignment="1"/>
    <xf numFmtId="0" fontId="9" fillId="4" borderId="0" xfId="0" applyFont="1" applyFill="1"/>
    <xf numFmtId="9" fontId="7" fillId="4" borderId="0" xfId="2" applyFont="1" applyFill="1" applyAlignment="1">
      <alignment horizontal="right"/>
    </xf>
    <xf numFmtId="9" fontId="7" fillId="5" borderId="0" xfId="2" applyFont="1" applyFill="1"/>
    <xf numFmtId="0" fontId="9" fillId="5" borderId="0" xfId="0" applyFont="1" applyFill="1"/>
    <xf numFmtId="43" fontId="12" fillId="6" borderId="2" xfId="1" applyFont="1" applyFill="1" applyBorder="1" applyAlignment="1">
      <alignment horizontal="left"/>
    </xf>
    <xf numFmtId="167" fontId="12" fillId="6" borderId="3" xfId="1" applyNumberFormat="1" applyFont="1" applyFill="1" applyBorder="1" applyAlignment="1">
      <alignment horizontal="center"/>
    </xf>
    <xf numFmtId="168" fontId="12" fillId="6" borderId="4" xfId="1" applyNumberFormat="1" applyFont="1" applyFill="1" applyBorder="1" applyAlignment="1">
      <alignment horizontal="center"/>
    </xf>
    <xf numFmtId="168" fontId="12" fillId="6" borderId="2" xfId="1" applyNumberFormat="1" applyFont="1" applyFill="1" applyBorder="1" applyAlignment="1">
      <alignment horizontal="center"/>
    </xf>
    <xf numFmtId="167" fontId="7" fillId="7" borderId="3" xfId="1" applyNumberFormat="1" applyFont="1" applyFill="1" applyBorder="1" applyAlignment="1">
      <alignment horizontal="center"/>
    </xf>
    <xf numFmtId="43" fontId="12" fillId="6" borderId="0" xfId="1" applyFont="1" applyFill="1" applyBorder="1" applyAlignment="1">
      <alignment horizontal="center"/>
    </xf>
    <xf numFmtId="168" fontId="9" fillId="0" borderId="0" xfId="1" applyNumberFormat="1" applyFont="1" applyFill="1"/>
    <xf numFmtId="168" fontId="12" fillId="6" borderId="5" xfId="1" applyNumberFormat="1" applyFont="1" applyFill="1" applyBorder="1" applyAlignment="1">
      <alignment horizontal="left"/>
    </xf>
    <xf numFmtId="168" fontId="12" fillId="6" borderId="1" xfId="1" applyNumberFormat="1" applyFont="1" applyFill="1" applyBorder="1" applyAlignment="1">
      <alignment horizontal="center"/>
    </xf>
    <xf numFmtId="168" fontId="12" fillId="6" borderId="6" xfId="1" applyNumberFormat="1" applyFont="1" applyFill="1" applyBorder="1" applyAlignment="1">
      <alignment horizontal="center"/>
    </xf>
    <xf numFmtId="168" fontId="12" fillId="6" borderId="5" xfId="1" applyNumberFormat="1" applyFont="1" applyFill="1" applyBorder="1" applyAlignment="1">
      <alignment horizontal="center"/>
    </xf>
    <xf numFmtId="168" fontId="7" fillId="7" borderId="1" xfId="1" applyNumberFormat="1" applyFont="1" applyFill="1" applyBorder="1" applyAlignment="1">
      <alignment horizontal="center"/>
    </xf>
    <xf numFmtId="168" fontId="7" fillId="8" borderId="2" xfId="1" applyNumberFormat="1" applyFont="1" applyFill="1" applyBorder="1"/>
    <xf numFmtId="168" fontId="7" fillId="8" borderId="7" xfId="1" applyNumberFormat="1" applyFont="1" applyFill="1" applyBorder="1"/>
    <xf numFmtId="168" fontId="7" fillId="8" borderId="3" xfId="1" applyNumberFormat="1" applyFont="1" applyFill="1" applyBorder="1"/>
    <xf numFmtId="43" fontId="9" fillId="8" borderId="2" xfId="1" applyFont="1" applyFill="1" applyBorder="1"/>
    <xf numFmtId="168" fontId="7" fillId="0" borderId="8" xfId="1" applyNumberFormat="1" applyFont="1" applyFill="1" applyBorder="1"/>
    <xf numFmtId="168" fontId="7" fillId="0" borderId="9" xfId="1" applyNumberFormat="1" applyFont="1" applyFill="1" applyBorder="1" applyAlignment="1">
      <alignment horizontal="center"/>
    </xf>
    <xf numFmtId="168" fontId="7" fillId="0" borderId="0" xfId="1" applyNumberFormat="1" applyFont="1" applyFill="1" applyBorder="1" applyAlignment="1">
      <alignment horizontal="center"/>
    </xf>
    <xf numFmtId="168" fontId="7" fillId="0" borderId="8" xfId="1" applyNumberFormat="1" applyFont="1" applyFill="1" applyBorder="1" applyAlignment="1">
      <alignment horizontal="center"/>
    </xf>
    <xf numFmtId="43" fontId="9" fillId="2" borderId="8" xfId="1" applyFont="1" applyFill="1" applyBorder="1"/>
    <xf numFmtId="168" fontId="9" fillId="0" borderId="8" xfId="1" applyNumberFormat="1" applyFont="1" applyFill="1" applyBorder="1"/>
    <xf numFmtId="168" fontId="9" fillId="0" borderId="9" xfId="1" applyNumberFormat="1" applyFont="1" applyFill="1" applyBorder="1" applyAlignment="1">
      <alignment horizontal="center"/>
    </xf>
    <xf numFmtId="168" fontId="9" fillId="0" borderId="0" xfId="1" applyNumberFormat="1" applyFont="1" applyFill="1" applyBorder="1" applyAlignment="1">
      <alignment horizontal="center"/>
    </xf>
    <xf numFmtId="168" fontId="9" fillId="0" borderId="8" xfId="1" applyNumberFormat="1" applyFont="1" applyFill="1" applyBorder="1" applyAlignment="1">
      <alignment horizontal="center"/>
    </xf>
    <xf numFmtId="168" fontId="9" fillId="0" borderId="0" xfId="1" applyNumberFormat="1" applyFont="1" applyFill="1" applyBorder="1"/>
    <xf numFmtId="10" fontId="9" fillId="0" borderId="8" xfId="1" applyNumberFormat="1" applyFont="1" applyFill="1" applyBorder="1"/>
    <xf numFmtId="168" fontId="9" fillId="2" borderId="0" xfId="1" applyNumberFormat="1" applyFont="1" applyFill="1" applyBorder="1" applyAlignment="1">
      <alignment horizontal="center"/>
    </xf>
    <xf numFmtId="168" fontId="13" fillId="0" borderId="8" xfId="1" applyNumberFormat="1" applyFont="1" applyFill="1" applyBorder="1" applyAlignment="1">
      <alignment horizontal="center"/>
    </xf>
    <xf numFmtId="168" fontId="13" fillId="0" borderId="0" xfId="1" applyNumberFormat="1" applyFont="1" applyFill="1" applyBorder="1" applyAlignment="1">
      <alignment horizontal="center"/>
    </xf>
    <xf numFmtId="169" fontId="9" fillId="0" borderId="0" xfId="1" applyNumberFormat="1" applyFont="1" applyFill="1" applyBorder="1"/>
    <xf numFmtId="168" fontId="13" fillId="2" borderId="8" xfId="1" applyNumberFormat="1" applyFont="1" applyFill="1" applyBorder="1" applyAlignment="1">
      <alignment horizontal="center"/>
    </xf>
    <xf numFmtId="168" fontId="9" fillId="2" borderId="0" xfId="1" applyNumberFormat="1" applyFont="1" applyFill="1" applyBorder="1"/>
    <xf numFmtId="168" fontId="9" fillId="2" borderId="8" xfId="1" applyNumberFormat="1" applyFont="1" applyFill="1" applyBorder="1" applyAlignment="1">
      <alignment horizontal="center"/>
    </xf>
    <xf numFmtId="169" fontId="7" fillId="0" borderId="0" xfId="1" applyNumberFormat="1" applyFont="1" applyFill="1" applyBorder="1" applyAlignment="1">
      <alignment horizontal="center"/>
    </xf>
    <xf numFmtId="170" fontId="9" fillId="0" borderId="0" xfId="1" applyNumberFormat="1" applyFont="1" applyFill="1" applyBorder="1"/>
    <xf numFmtId="8" fontId="9" fillId="0" borderId="8" xfId="1" applyNumberFormat="1" applyFont="1" applyFill="1" applyBorder="1"/>
    <xf numFmtId="43" fontId="9" fillId="0" borderId="8" xfId="1" applyNumberFormat="1" applyFont="1" applyFill="1" applyBorder="1"/>
    <xf numFmtId="43" fontId="9" fillId="0" borderId="0" xfId="1" applyNumberFormat="1" applyFont="1" applyFill="1"/>
    <xf numFmtId="43" fontId="9" fillId="0" borderId="9" xfId="1" applyNumberFormat="1" applyFont="1" applyFill="1" applyBorder="1"/>
    <xf numFmtId="169" fontId="14" fillId="0" borderId="0" xfId="1" applyNumberFormat="1" applyFont="1" applyFill="1" applyAlignment="1">
      <alignment horizontal="right"/>
    </xf>
    <xf numFmtId="168" fontId="14" fillId="0" borderId="0" xfId="1" applyNumberFormat="1" applyFont="1" applyFill="1" applyAlignment="1">
      <alignment horizontal="left"/>
    </xf>
    <xf numFmtId="164" fontId="9" fillId="0" borderId="8" xfId="1" applyNumberFormat="1" applyFont="1" applyFill="1" applyBorder="1"/>
    <xf numFmtId="43" fontId="7" fillId="0" borderId="8" xfId="1" applyFont="1" applyFill="1" applyBorder="1"/>
    <xf numFmtId="43" fontId="7" fillId="0" borderId="9" xfId="1" applyFont="1" applyFill="1" applyBorder="1" applyAlignment="1">
      <alignment horizontal="center"/>
    </xf>
    <xf numFmtId="43" fontId="7" fillId="0" borderId="0" xfId="1" applyFont="1" applyFill="1" applyBorder="1" applyAlignment="1">
      <alignment horizontal="center"/>
    </xf>
    <xf numFmtId="43" fontId="7" fillId="0" borderId="8" xfId="1" applyFont="1" applyFill="1" applyBorder="1" applyAlignment="1">
      <alignment horizontal="center"/>
    </xf>
    <xf numFmtId="43" fontId="9" fillId="0" borderId="0" xfId="1" applyFont="1" applyFill="1" applyBorder="1"/>
    <xf numFmtId="43" fontId="9" fillId="0" borderId="8" xfId="1" applyFont="1" applyFill="1" applyBorder="1"/>
    <xf numFmtId="168" fontId="9" fillId="0" borderId="9" xfId="1" applyNumberFormat="1" applyFont="1" applyFill="1" applyBorder="1"/>
    <xf numFmtId="168" fontId="9" fillId="0" borderId="10" xfId="1" applyNumberFormat="1" applyFont="1" applyFill="1" applyBorder="1"/>
    <xf numFmtId="168" fontId="15" fillId="0" borderId="0" xfId="1" applyNumberFormat="1" applyFont="1" applyFill="1"/>
    <xf numFmtId="168" fontId="9" fillId="0" borderId="0" xfId="1" quotePrefix="1" applyNumberFormat="1" applyFont="1" applyFill="1"/>
    <xf numFmtId="43" fontId="7" fillId="8" borderId="8" xfId="1" applyFont="1" applyFill="1" applyBorder="1"/>
    <xf numFmtId="43" fontId="9" fillId="8" borderId="9" xfId="1" applyFont="1" applyFill="1" applyBorder="1"/>
    <xf numFmtId="43" fontId="9" fillId="8" borderId="0" xfId="1" applyFont="1" applyFill="1" applyBorder="1"/>
    <xf numFmtId="43" fontId="7" fillId="8" borderId="8" xfId="1" applyFont="1" applyFill="1" applyBorder="1" applyAlignment="1">
      <alignment horizontal="center"/>
    </xf>
    <xf numFmtId="43" fontId="7" fillId="8" borderId="0" xfId="1" applyFont="1" applyFill="1" applyBorder="1" applyAlignment="1">
      <alignment horizontal="center"/>
    </xf>
    <xf numFmtId="43" fontId="7" fillId="8" borderId="0" xfId="1" applyNumberFormat="1" applyFont="1" applyFill="1" applyBorder="1" applyAlignment="1">
      <alignment horizontal="center"/>
    </xf>
    <xf numFmtId="43" fontId="7" fillId="8" borderId="8" xfId="1" applyNumberFormat="1" applyFont="1" applyFill="1" applyBorder="1" applyAlignment="1">
      <alignment horizontal="center"/>
    </xf>
    <xf numFmtId="43" fontId="9" fillId="8" borderId="8" xfId="1" applyFont="1" applyFill="1" applyBorder="1"/>
    <xf numFmtId="43" fontId="7" fillId="0" borderId="5" xfId="1" applyFont="1" applyFill="1" applyBorder="1"/>
    <xf numFmtId="43" fontId="9" fillId="0" borderId="11" xfId="1" applyFont="1" applyFill="1" applyBorder="1"/>
    <xf numFmtId="43" fontId="9" fillId="0" borderId="1" xfId="1" applyFont="1" applyFill="1" applyBorder="1"/>
    <xf numFmtId="43" fontId="7" fillId="0" borderId="5" xfId="1" applyFont="1" applyFill="1" applyBorder="1" applyAlignment="1">
      <alignment horizontal="center"/>
    </xf>
    <xf numFmtId="43" fontId="7" fillId="0" borderId="1" xfId="1" applyFont="1" applyFill="1" applyBorder="1" applyAlignment="1">
      <alignment horizontal="center"/>
    </xf>
    <xf numFmtId="43" fontId="7" fillId="0" borderId="1" xfId="1" applyNumberFormat="1" applyFont="1" applyFill="1" applyBorder="1" applyAlignment="1">
      <alignment horizontal="center"/>
    </xf>
    <xf numFmtId="43" fontId="7" fillId="0" borderId="5" xfId="1" applyNumberFormat="1" applyFont="1" applyFill="1" applyBorder="1" applyAlignment="1">
      <alignment horizontal="center"/>
    </xf>
    <xf numFmtId="43" fontId="9" fillId="0" borderId="5" xfId="1" applyFont="1" applyFill="1" applyBorder="1"/>
    <xf numFmtId="164" fontId="9" fillId="0" borderId="0" xfId="2" applyNumberFormat="1" applyFont="1" applyFill="1" applyBorder="1"/>
    <xf numFmtId="164" fontId="9" fillId="0" borderId="0" xfId="2" applyNumberFormat="1" applyFont="1" applyFill="1" applyBorder="1" applyAlignment="1">
      <alignment horizontal="center"/>
    </xf>
    <xf numFmtId="43" fontId="16" fillId="0" borderId="0" xfId="1" applyFont="1" applyFill="1" applyBorder="1" applyAlignment="1">
      <alignment horizontal="center"/>
    </xf>
    <xf numFmtId="171" fontId="9" fillId="0" borderId="0" xfId="1" applyNumberFormat="1" applyFont="1" applyFill="1" applyBorder="1"/>
    <xf numFmtId="171" fontId="9" fillId="5" borderId="12" xfId="1" applyNumberFormat="1" applyFont="1" applyFill="1" applyBorder="1"/>
    <xf numFmtId="171" fontId="9" fillId="0" borderId="0" xfId="1" applyNumberFormat="1" applyFont="1"/>
    <xf numFmtId="43" fontId="9" fillId="0" borderId="13" xfId="1" applyFont="1" applyFill="1" applyBorder="1"/>
    <xf numFmtId="43" fontId="9" fillId="5" borderId="13" xfId="1" applyFont="1" applyFill="1" applyBorder="1"/>
    <xf numFmtId="43" fontId="9" fillId="5" borderId="12" xfId="1" applyFont="1" applyFill="1" applyBorder="1"/>
    <xf numFmtId="43" fontId="9" fillId="8" borderId="0" xfId="1" applyFont="1" applyFill="1"/>
    <xf numFmtId="171" fontId="17" fillId="0" borderId="0" xfId="1" applyNumberFormat="1" applyFont="1" applyFill="1" applyBorder="1"/>
    <xf numFmtId="171" fontId="17" fillId="5" borderId="14" xfId="1" applyNumberFormat="1" applyFont="1" applyFill="1" applyBorder="1"/>
    <xf numFmtId="43" fontId="17" fillId="0" borderId="0" xfId="1" applyFont="1" applyFill="1" applyBorder="1"/>
    <xf numFmtId="169" fontId="9" fillId="0" borderId="0" xfId="1" applyNumberFormat="1" applyFont="1"/>
    <xf numFmtId="43" fontId="17" fillId="5" borderId="0" xfId="1" applyFont="1" applyFill="1" applyBorder="1"/>
    <xf numFmtId="43" fontId="17" fillId="5" borderId="14" xfId="1" applyFont="1" applyFill="1" applyBorder="1"/>
    <xf numFmtId="171" fontId="17" fillId="0" borderId="0" xfId="1" applyNumberFormat="1" applyFont="1"/>
    <xf numFmtId="171" fontId="9" fillId="5" borderId="14" xfId="1" applyNumberFormat="1" applyFont="1" applyFill="1" applyBorder="1"/>
    <xf numFmtId="171" fontId="9" fillId="5" borderId="0" xfId="1" applyNumberFormat="1" applyFont="1" applyFill="1" applyBorder="1"/>
    <xf numFmtId="171" fontId="17" fillId="5" borderId="0" xfId="1" applyNumberFormat="1" applyFont="1" applyFill="1" applyBorder="1"/>
    <xf numFmtId="171" fontId="17" fillId="0" borderId="0" xfId="1" applyNumberFormat="1" applyFont="1" applyBorder="1"/>
    <xf numFmtId="43" fontId="9" fillId="5" borderId="0" xfId="1" applyFont="1" applyFill="1" applyBorder="1"/>
    <xf numFmtId="43" fontId="9" fillId="5" borderId="14" xfId="1" applyFont="1" applyFill="1" applyBorder="1"/>
    <xf numFmtId="43" fontId="9" fillId="5" borderId="0" xfId="1" applyNumberFormat="1" applyFont="1" applyFill="1" applyBorder="1"/>
    <xf numFmtId="171" fontId="9" fillId="5" borderId="15" xfId="1" applyNumberFormat="1" applyFont="1" applyFill="1" applyBorder="1"/>
    <xf numFmtId="171" fontId="9" fillId="5" borderId="16" xfId="1" applyNumberFormat="1" applyFont="1" applyFill="1" applyBorder="1"/>
    <xf numFmtId="9" fontId="7" fillId="8" borderId="2" xfId="2" applyFont="1" applyFill="1" applyBorder="1"/>
    <xf numFmtId="10" fontId="7" fillId="8" borderId="2" xfId="2" applyNumberFormat="1" applyFont="1" applyFill="1" applyBorder="1"/>
    <xf numFmtId="164" fontId="9" fillId="0" borderId="0" xfId="2" applyNumberFormat="1" applyFont="1" applyFill="1"/>
    <xf numFmtId="164" fontId="9" fillId="0" borderId="9" xfId="2" applyNumberFormat="1" applyFont="1" applyFill="1" applyBorder="1" applyAlignment="1">
      <alignment horizontal="center"/>
    </xf>
    <xf numFmtId="164" fontId="9" fillId="0" borderId="8" xfId="2" applyNumberFormat="1" applyFont="1" applyFill="1" applyBorder="1" applyAlignment="1">
      <alignment horizontal="center"/>
    </xf>
    <xf numFmtId="164" fontId="9" fillId="9" borderId="8" xfId="2" applyNumberFormat="1" applyFont="1" applyFill="1" applyBorder="1" applyAlignment="1">
      <alignment horizontal="center"/>
    </xf>
    <xf numFmtId="164" fontId="9" fillId="0" borderId="10" xfId="2" applyNumberFormat="1" applyFont="1" applyFill="1" applyBorder="1" applyAlignment="1">
      <alignment horizontal="center"/>
    </xf>
    <xf numFmtId="164" fontId="9" fillId="2" borderId="8" xfId="2" applyNumberFormat="1" applyFont="1" applyFill="1" applyBorder="1" applyAlignment="1">
      <alignment horizontal="center"/>
    </xf>
    <xf numFmtId="164" fontId="13" fillId="2" borderId="0" xfId="2" applyNumberFormat="1" applyFont="1" applyFill="1" applyBorder="1" applyAlignment="1">
      <alignment horizontal="center"/>
    </xf>
    <xf numFmtId="164" fontId="13" fillId="2" borderId="10" xfId="2" applyNumberFormat="1" applyFont="1" applyFill="1" applyBorder="1" applyAlignment="1">
      <alignment horizontal="center"/>
    </xf>
    <xf numFmtId="164" fontId="9" fillId="2" borderId="0" xfId="2" applyNumberFormat="1" applyFont="1" applyFill="1"/>
    <xf numFmtId="164" fontId="13" fillId="2" borderId="8" xfId="2" applyNumberFormat="1" applyFont="1" applyFill="1" applyBorder="1" applyAlignment="1">
      <alignment horizontal="center"/>
    </xf>
    <xf numFmtId="164" fontId="13" fillId="0" borderId="0" xfId="2" applyNumberFormat="1" applyFont="1" applyFill="1" applyBorder="1" applyAlignment="1">
      <alignment horizontal="center"/>
    </xf>
    <xf numFmtId="164" fontId="13" fillId="0" borderId="10" xfId="2" applyNumberFormat="1" applyFont="1" applyFill="1" applyBorder="1" applyAlignment="1">
      <alignment horizontal="center"/>
    </xf>
    <xf numFmtId="164" fontId="13" fillId="0" borderId="8" xfId="2" applyNumberFormat="1" applyFont="1" applyFill="1" applyBorder="1" applyAlignment="1">
      <alignment horizontal="center"/>
    </xf>
    <xf numFmtId="164" fontId="13" fillId="0" borderId="9" xfId="2" applyNumberFormat="1" applyFont="1" applyFill="1" applyBorder="1" applyAlignment="1">
      <alignment horizontal="center"/>
    </xf>
    <xf numFmtId="164" fontId="9" fillId="0" borderId="11" xfId="2" applyNumberFormat="1" applyFont="1" applyFill="1" applyBorder="1" applyAlignment="1">
      <alignment horizontal="center"/>
    </xf>
    <xf numFmtId="164" fontId="9" fillId="0" borderId="1" xfId="2" applyNumberFormat="1" applyFont="1" applyFill="1" applyBorder="1" applyAlignment="1">
      <alignment horizontal="center"/>
    </xf>
    <xf numFmtId="164" fontId="9" fillId="0" borderId="5" xfId="2" applyNumberFormat="1" applyFont="1" applyFill="1" applyBorder="1" applyAlignment="1">
      <alignment horizontal="center"/>
    </xf>
    <xf numFmtId="43" fontId="9" fillId="2" borderId="5" xfId="1" applyFont="1" applyFill="1" applyBorder="1"/>
    <xf numFmtId="164" fontId="13" fillId="9" borderId="9" xfId="2" applyNumberFormat="1" applyFont="1" applyFill="1" applyBorder="1" applyAlignment="1">
      <alignment horizontal="right"/>
    </xf>
    <xf numFmtId="164" fontId="13" fillId="9" borderId="0" xfId="2" applyNumberFormat="1" applyFont="1" applyFill="1" applyBorder="1" applyAlignment="1">
      <alignment horizontal="right"/>
    </xf>
    <xf numFmtId="171" fontId="9" fillId="0" borderId="8" xfId="1" applyNumberFormat="1" applyFont="1" applyFill="1" applyBorder="1" applyAlignment="1">
      <alignment horizontal="center"/>
    </xf>
    <xf numFmtId="171" fontId="9" fillId="0" borderId="9" xfId="1" applyNumberFormat="1" applyFont="1" applyFill="1" applyBorder="1" applyAlignment="1">
      <alignment horizontal="center"/>
    </xf>
    <xf numFmtId="171" fontId="9" fillId="0" borderId="0" xfId="1" applyNumberFormat="1" applyFont="1" applyFill="1" applyBorder="1" applyAlignment="1">
      <alignment horizontal="center"/>
    </xf>
    <xf numFmtId="171" fontId="13" fillId="0" borderId="9" xfId="1" applyNumberFormat="1" applyFont="1" applyFill="1" applyBorder="1" applyAlignment="1">
      <alignment horizontal="center"/>
    </xf>
    <xf numFmtId="171" fontId="13" fillId="0" borderId="0" xfId="1" applyNumberFormat="1" applyFont="1" applyFill="1" applyBorder="1" applyAlignment="1">
      <alignment horizontal="center"/>
    </xf>
    <xf numFmtId="171" fontId="9" fillId="0" borderId="8" xfId="1" applyNumberFormat="1" applyFont="1" applyFill="1" applyBorder="1"/>
    <xf numFmtId="171" fontId="9" fillId="0" borderId="0" xfId="1" applyNumberFormat="1" applyFont="1" applyFill="1"/>
    <xf numFmtId="171" fontId="18" fillId="0" borderId="0" xfId="1" applyNumberFormat="1" applyFont="1" applyFill="1" applyBorder="1"/>
    <xf numFmtId="171" fontId="18" fillId="0" borderId="8" xfId="1" applyNumberFormat="1" applyFont="1" applyFill="1" applyBorder="1"/>
    <xf numFmtId="171" fontId="19" fillId="0" borderId="9" xfId="1" applyNumberFormat="1" applyFont="1" applyFill="1" applyBorder="1" applyAlignment="1">
      <alignment horizontal="center"/>
    </xf>
    <xf numFmtId="171" fontId="19" fillId="0" borderId="0" xfId="1" applyNumberFormat="1" applyFont="1" applyFill="1" applyBorder="1" applyAlignment="1">
      <alignment horizontal="center"/>
    </xf>
    <xf numFmtId="171" fontId="18" fillId="0" borderId="8" xfId="1" applyNumberFormat="1" applyFont="1" applyFill="1" applyBorder="1" applyAlignment="1">
      <alignment horizontal="center"/>
    </xf>
    <xf numFmtId="171" fontId="18" fillId="0" borderId="0" xfId="1" applyNumberFormat="1" applyFont="1" applyFill="1"/>
    <xf numFmtId="171" fontId="18" fillId="0" borderId="0" xfId="1" applyNumberFormat="1" applyFont="1" applyFill="1" applyBorder="1" applyAlignment="1">
      <alignment horizontal="center"/>
    </xf>
    <xf numFmtId="164" fontId="7" fillId="0" borderId="0" xfId="2" applyNumberFormat="1" applyFont="1" applyFill="1" applyBorder="1"/>
    <xf numFmtId="171" fontId="7" fillId="0" borderId="11" xfId="1" applyNumberFormat="1" applyFont="1" applyFill="1" applyBorder="1" applyAlignment="1">
      <alignment horizontal="center"/>
    </xf>
    <xf numFmtId="171" fontId="7" fillId="0" borderId="1" xfId="1" applyNumberFormat="1" applyFont="1" applyFill="1" applyBorder="1" applyAlignment="1">
      <alignment horizontal="center"/>
    </xf>
    <xf numFmtId="171" fontId="7" fillId="0" borderId="5" xfId="1" applyNumberFormat="1" applyFont="1" applyFill="1" applyBorder="1" applyAlignment="1">
      <alignment horizontal="center"/>
    </xf>
    <xf numFmtId="168" fontId="7" fillId="0" borderId="0" xfId="1" applyNumberFormat="1" applyFont="1" applyFill="1"/>
    <xf numFmtId="171" fontId="13" fillId="7" borderId="0" xfId="1" applyNumberFormat="1" applyFont="1" applyFill="1" applyBorder="1" applyAlignment="1">
      <alignment horizontal="center"/>
    </xf>
    <xf numFmtId="171" fontId="9" fillId="7" borderId="8" xfId="1" applyNumberFormat="1" applyFont="1" applyFill="1" applyBorder="1" applyAlignment="1">
      <alignment horizontal="center"/>
    </xf>
    <xf numFmtId="171" fontId="13" fillId="7" borderId="1" xfId="1" applyNumberFormat="1" applyFont="1" applyFill="1" applyBorder="1" applyAlignment="1">
      <alignment horizontal="center"/>
    </xf>
    <xf numFmtId="171" fontId="9" fillId="7" borderId="5" xfId="1" applyNumberFormat="1" applyFont="1" applyFill="1" applyBorder="1" applyAlignment="1">
      <alignment horizontal="center"/>
    </xf>
    <xf numFmtId="171" fontId="9" fillId="0" borderId="2" xfId="1" applyNumberFormat="1" applyFont="1" applyFill="1" applyBorder="1"/>
    <xf numFmtId="43" fontId="20" fillId="0" borderId="0" xfId="1" applyFont="1" applyFill="1" applyBorder="1"/>
    <xf numFmtId="164" fontId="20" fillId="0" borderId="0" xfId="2" applyNumberFormat="1" applyFont="1" applyFill="1" applyBorder="1"/>
    <xf numFmtId="8" fontId="9" fillId="0" borderId="0" xfId="1" applyNumberFormat="1" applyFont="1" applyFill="1"/>
    <xf numFmtId="171" fontId="7" fillId="8" borderId="17" xfId="1" applyNumberFormat="1" applyFont="1" applyFill="1" applyBorder="1"/>
    <xf numFmtId="168" fontId="7" fillId="8" borderId="18" xfId="1" applyNumberFormat="1" applyFont="1" applyFill="1" applyBorder="1" applyAlignment="1">
      <alignment horizontal="center"/>
    </xf>
    <xf numFmtId="168" fontId="7" fillId="8" borderId="19" xfId="1" applyNumberFormat="1" applyFont="1" applyFill="1" applyBorder="1" applyAlignment="1">
      <alignment horizontal="center"/>
    </xf>
    <xf numFmtId="168" fontId="7" fillId="8" borderId="17" xfId="1" applyNumberFormat="1" applyFont="1" applyFill="1" applyBorder="1"/>
    <xf numFmtId="168" fontId="7" fillId="8" borderId="20" xfId="1" applyNumberFormat="1" applyFont="1" applyFill="1" applyBorder="1" applyAlignment="1">
      <alignment horizontal="center"/>
    </xf>
    <xf numFmtId="168" fontId="7" fillId="8" borderId="21" xfId="1" applyNumberFormat="1" applyFont="1" applyFill="1" applyBorder="1" applyAlignment="1">
      <alignment horizontal="center"/>
    </xf>
    <xf numFmtId="168" fontId="9" fillId="0" borderId="22" xfId="1" applyNumberFormat="1" applyFont="1" applyFill="1" applyBorder="1"/>
    <xf numFmtId="168" fontId="7" fillId="8" borderId="22" xfId="1" applyNumberFormat="1" applyFont="1" applyFill="1" applyBorder="1" applyAlignment="1">
      <alignment horizontal="center"/>
    </xf>
    <xf numFmtId="43" fontId="9" fillId="8" borderId="21" xfId="1" applyFont="1" applyFill="1" applyBorder="1"/>
    <xf numFmtId="172" fontId="9" fillId="0" borderId="0" xfId="2" applyNumberFormat="1" applyFont="1" applyFill="1" applyBorder="1" applyAlignment="1">
      <alignment horizontal="center"/>
    </xf>
    <xf numFmtId="172" fontId="9" fillId="0" borderId="8" xfId="2" applyNumberFormat="1" applyFont="1" applyFill="1" applyBorder="1" applyAlignment="1">
      <alignment horizontal="center"/>
    </xf>
    <xf numFmtId="172" fontId="9" fillId="0" borderId="0" xfId="2" applyNumberFormat="1" applyFont="1" applyFill="1"/>
    <xf numFmtId="172" fontId="9" fillId="0" borderId="9" xfId="2" applyNumberFormat="1" applyFont="1" applyFill="1" applyBorder="1" applyAlignment="1">
      <alignment horizontal="center"/>
    </xf>
    <xf numFmtId="172" fontId="21" fillId="0" borderId="0" xfId="2" applyNumberFormat="1" applyFont="1" applyFill="1" applyBorder="1" applyAlignment="1">
      <alignment horizontal="center"/>
    </xf>
    <xf numFmtId="172" fontId="21" fillId="0" borderId="8" xfId="2" applyNumberFormat="1" applyFont="1" applyFill="1" applyBorder="1" applyAlignment="1">
      <alignment horizontal="center"/>
    </xf>
    <xf numFmtId="172" fontId="21" fillId="0" borderId="0" xfId="2" applyNumberFormat="1" applyFont="1" applyFill="1"/>
    <xf numFmtId="9" fontId="22" fillId="0" borderId="8" xfId="2" applyNumberFormat="1" applyFont="1" applyFill="1" applyBorder="1" applyAlignment="1">
      <alignment horizontal="center"/>
    </xf>
    <xf numFmtId="9" fontId="22" fillId="0" borderId="0" xfId="2" applyNumberFormat="1" applyFont="1" applyFill="1"/>
    <xf numFmtId="9" fontId="21" fillId="0" borderId="8" xfId="2" applyNumberFormat="1" applyFont="1" applyFill="1" applyBorder="1" applyAlignment="1">
      <alignment horizontal="center"/>
    </xf>
    <xf numFmtId="9" fontId="21" fillId="0" borderId="0" xfId="2" applyNumberFormat="1" applyFont="1" applyFill="1"/>
    <xf numFmtId="4" fontId="9" fillId="0" borderId="0" xfId="2" applyNumberFormat="1" applyFont="1" applyFill="1" applyBorder="1" applyAlignment="1">
      <alignment horizontal="center"/>
    </xf>
    <xf numFmtId="172" fontId="21" fillId="7" borderId="8" xfId="2" applyNumberFormat="1" applyFont="1" applyFill="1" applyBorder="1" applyAlignment="1">
      <alignment horizontal="center"/>
    </xf>
    <xf numFmtId="172" fontId="9" fillId="7" borderId="8" xfId="2" applyNumberFormat="1" applyFont="1" applyFill="1" applyBorder="1" applyAlignment="1">
      <alignment horizontal="center"/>
    </xf>
    <xf numFmtId="172" fontId="9" fillId="0" borderId="1" xfId="2" applyNumberFormat="1" applyFont="1" applyFill="1" applyBorder="1" applyAlignment="1">
      <alignment horizontal="center"/>
    </xf>
    <xf numFmtId="172" fontId="9" fillId="0" borderId="5" xfId="2" applyNumberFormat="1" applyFont="1" applyFill="1" applyBorder="1" applyAlignment="1">
      <alignment horizontal="center"/>
    </xf>
    <xf numFmtId="9" fontId="9" fillId="0" borderId="0" xfId="1" applyNumberFormat="1" applyFont="1" applyFill="1"/>
    <xf numFmtId="43" fontId="7" fillId="9" borderId="0" xfId="1" applyFont="1" applyFill="1"/>
    <xf numFmtId="0" fontId="9" fillId="9" borderId="0" xfId="0" applyFont="1" applyFill="1" applyBorder="1"/>
    <xf numFmtId="0" fontId="9" fillId="9" borderId="0" xfId="0" applyFont="1" applyFill="1"/>
    <xf numFmtId="0" fontId="7" fillId="9" borderId="0" xfId="0" applyFont="1" applyFill="1" applyAlignment="1">
      <alignment horizontal="right"/>
    </xf>
    <xf numFmtId="0" fontId="7" fillId="9" borderId="0" xfId="0" applyFont="1" applyFill="1" applyAlignment="1">
      <alignment horizontal="left"/>
    </xf>
    <xf numFmtId="0" fontId="9" fillId="0" borderId="0" xfId="0" applyFont="1"/>
    <xf numFmtId="43" fontId="9" fillId="0" borderId="0" xfId="1" applyFont="1"/>
    <xf numFmtId="43" fontId="7" fillId="9" borderId="0" xfId="0" applyNumberFormat="1" applyFont="1" applyFill="1" applyAlignment="1">
      <alignment horizontal="right"/>
    </xf>
    <xf numFmtId="168" fontId="9" fillId="0" borderId="0" xfId="0" applyNumberFormat="1" applyFont="1"/>
    <xf numFmtId="43" fontId="9" fillId="0" borderId="0" xfId="0" applyNumberFormat="1" applyFont="1"/>
    <xf numFmtId="9" fontId="9" fillId="9" borderId="0" xfId="2" applyFont="1" applyFill="1" applyAlignment="1">
      <alignment horizontal="right"/>
    </xf>
    <xf numFmtId="0" fontId="9" fillId="9" borderId="0" xfId="0" applyFont="1" applyFill="1" applyAlignment="1">
      <alignment horizontal="right"/>
    </xf>
    <xf numFmtId="168" fontId="9" fillId="9" borderId="0" xfId="0" applyNumberFormat="1" applyFont="1" applyFill="1" applyAlignment="1">
      <alignment horizontal="right"/>
    </xf>
    <xf numFmtId="43" fontId="9" fillId="9" borderId="0" xfId="0" applyNumberFormat="1" applyFont="1" applyFill="1" applyAlignment="1">
      <alignment horizontal="right"/>
    </xf>
    <xf numFmtId="9" fontId="9" fillId="9" borderId="0" xfId="0" applyNumberFormat="1" applyFont="1" applyFill="1" applyAlignment="1">
      <alignment horizontal="right"/>
    </xf>
    <xf numFmtId="4" fontId="9" fillId="9" borderId="0" xfId="0" applyNumberFormat="1" applyFont="1" applyFill="1" applyAlignment="1">
      <alignment horizontal="right"/>
    </xf>
    <xf numFmtId="0" fontId="23" fillId="0" borderId="0" xfId="0" applyFont="1" applyFill="1"/>
    <xf numFmtId="43" fontId="24" fillId="9" borderId="0" xfId="1" applyFont="1" applyFill="1"/>
    <xf numFmtId="0" fontId="24" fillId="9" borderId="0" xfId="0" applyFont="1" applyFill="1" applyBorder="1" applyAlignment="1">
      <alignment horizontal="centerContinuous"/>
    </xf>
    <xf numFmtId="0" fontId="23" fillId="9" borderId="0" xfId="0" applyFont="1" applyFill="1" applyBorder="1" applyAlignment="1">
      <alignment horizontal="centerContinuous"/>
    </xf>
    <xf numFmtId="0" fontId="24" fillId="9" borderId="0" xfId="0" applyFont="1" applyFill="1" applyBorder="1" applyAlignment="1">
      <alignment horizontal="center"/>
    </xf>
    <xf numFmtId="1" fontId="24" fillId="9" borderId="0" xfId="0" applyNumberFormat="1" applyFont="1" applyFill="1" applyBorder="1" applyAlignment="1">
      <alignment horizontal="centerContinuous"/>
    </xf>
    <xf numFmtId="168" fontId="25" fillId="9" borderId="0" xfId="0" applyNumberFormat="1" applyFont="1" applyFill="1" applyBorder="1" applyAlignment="1">
      <alignment horizontal="center"/>
    </xf>
    <xf numFmtId="0" fontId="26" fillId="9" borderId="0" xfId="0" applyNumberFormat="1" applyFont="1" applyFill="1" applyBorder="1" applyAlignment="1">
      <alignment horizontal="center"/>
    </xf>
    <xf numFmtId="4" fontId="24" fillId="9" borderId="0" xfId="0" applyNumberFormat="1" applyFont="1" applyFill="1" applyBorder="1" applyAlignment="1">
      <alignment horizontal="center"/>
    </xf>
    <xf numFmtId="43" fontId="23" fillId="0" borderId="0" xfId="1" applyFont="1"/>
    <xf numFmtId="0" fontId="23" fillId="0" borderId="0" xfId="0" applyFont="1"/>
    <xf numFmtId="0" fontId="27" fillId="6" borderId="2" xfId="1" applyNumberFormat="1" applyFont="1" applyFill="1" applyBorder="1" applyAlignment="1">
      <alignment horizontal="center"/>
    </xf>
    <xf numFmtId="43" fontId="12" fillId="6" borderId="5" xfId="1" applyFont="1" applyFill="1" applyBorder="1" applyAlignment="1">
      <alignment horizontal="left"/>
    </xf>
    <xf numFmtId="43" fontId="12" fillId="6" borderId="1" xfId="1" applyFont="1" applyFill="1" applyBorder="1" applyAlignment="1">
      <alignment horizontal="center"/>
    </xf>
    <xf numFmtId="43" fontId="12" fillId="6" borderId="6" xfId="1" applyFont="1" applyFill="1" applyBorder="1" applyAlignment="1">
      <alignment horizontal="center"/>
    </xf>
    <xf numFmtId="43" fontId="12" fillId="6" borderId="5" xfId="1" applyFont="1" applyFill="1" applyBorder="1" applyAlignment="1">
      <alignment horizontal="center"/>
    </xf>
    <xf numFmtId="43" fontId="7" fillId="7" borderId="1" xfId="1" applyFont="1" applyFill="1" applyBorder="1" applyAlignment="1">
      <alignment horizontal="center"/>
    </xf>
    <xf numFmtId="43" fontId="7" fillId="10" borderId="2" xfId="1" applyFont="1" applyFill="1" applyBorder="1"/>
    <xf numFmtId="171" fontId="7" fillId="10" borderId="3" xfId="1" applyNumberFormat="1" applyFont="1" applyFill="1" applyBorder="1"/>
    <xf numFmtId="171" fontId="7" fillId="10" borderId="2" xfId="1" applyNumberFormat="1" applyFont="1" applyFill="1" applyBorder="1"/>
    <xf numFmtId="168" fontId="9" fillId="10" borderId="0" xfId="1" applyNumberFormat="1" applyFont="1" applyFill="1"/>
    <xf numFmtId="43" fontId="9" fillId="3" borderId="0" xfId="1" applyFont="1" applyFill="1"/>
    <xf numFmtId="43" fontId="7" fillId="11" borderId="8" xfId="1" applyFont="1" applyFill="1" applyBorder="1"/>
    <xf numFmtId="43" fontId="9" fillId="11" borderId="0" xfId="1" applyFont="1" applyFill="1" applyAlignment="1">
      <alignment horizontal="right"/>
    </xf>
    <xf numFmtId="43" fontId="9" fillId="11" borderId="8" xfId="1" applyFont="1" applyFill="1" applyBorder="1" applyAlignment="1">
      <alignment horizontal="right"/>
    </xf>
    <xf numFmtId="43" fontId="14" fillId="11" borderId="8" xfId="1" applyFont="1" applyFill="1" applyBorder="1" applyAlignment="1">
      <alignment horizontal="right"/>
    </xf>
    <xf numFmtId="43" fontId="14" fillId="11" borderId="0" xfId="1" applyFont="1" applyFill="1" applyAlignment="1">
      <alignment horizontal="right"/>
    </xf>
    <xf numFmtId="168" fontId="9" fillId="11" borderId="8" xfId="1" applyNumberFormat="1" applyFont="1" applyFill="1" applyBorder="1" applyAlignment="1">
      <alignment horizontal="right"/>
    </xf>
    <xf numFmtId="168" fontId="9" fillId="11" borderId="0" xfId="1" applyNumberFormat="1" applyFont="1" applyFill="1" applyAlignment="1">
      <alignment horizontal="right"/>
    </xf>
    <xf numFmtId="9" fontId="9" fillId="11" borderId="0" xfId="1" applyNumberFormat="1" applyFont="1" applyFill="1"/>
    <xf numFmtId="43" fontId="9" fillId="11" borderId="8" xfId="1" applyFont="1" applyFill="1" applyBorder="1" applyAlignment="1">
      <alignment horizontal="left" indent="2"/>
    </xf>
    <xf numFmtId="168" fontId="9" fillId="11" borderId="0" xfId="1" applyNumberFormat="1" applyFont="1" applyFill="1" applyBorder="1" applyAlignment="1">
      <alignment horizontal="right"/>
    </xf>
    <xf numFmtId="168" fontId="13" fillId="11" borderId="0" xfId="1" applyNumberFormat="1" applyFont="1" applyFill="1" applyBorder="1" applyAlignment="1">
      <alignment horizontal="right"/>
    </xf>
    <xf numFmtId="168" fontId="9" fillId="11" borderId="0" xfId="1" applyNumberFormat="1" applyFont="1" applyFill="1"/>
    <xf numFmtId="43" fontId="4" fillId="3" borderId="0" xfId="1" applyFont="1" applyFill="1"/>
    <xf numFmtId="168" fontId="9" fillId="0" borderId="0" xfId="1" applyNumberFormat="1" applyFont="1"/>
    <xf numFmtId="168" fontId="9" fillId="7" borderId="8" xfId="1" applyNumberFormat="1" applyFont="1" applyFill="1" applyBorder="1" applyAlignment="1">
      <alignment horizontal="right"/>
    </xf>
    <xf numFmtId="43" fontId="28" fillId="11" borderId="8" xfId="1" applyFont="1" applyFill="1" applyBorder="1" applyAlignment="1">
      <alignment horizontal="left" indent="2"/>
    </xf>
    <xf numFmtId="9" fontId="28" fillId="11" borderId="8" xfId="2" applyNumberFormat="1" applyFont="1" applyFill="1" applyBorder="1" applyAlignment="1">
      <alignment horizontal="right"/>
    </xf>
    <xf numFmtId="9" fontId="28" fillId="11" borderId="0" xfId="2" applyFont="1" applyFill="1" applyAlignment="1">
      <alignment horizontal="right"/>
    </xf>
    <xf numFmtId="9" fontId="29" fillId="11" borderId="8" xfId="2" applyNumberFormat="1" applyFont="1" applyFill="1" applyBorder="1" applyAlignment="1">
      <alignment horizontal="right"/>
    </xf>
    <xf numFmtId="0" fontId="23" fillId="11" borderId="0" xfId="0" applyFont="1" applyFill="1"/>
    <xf numFmtId="43" fontId="23" fillId="3" borderId="0" xfId="1" applyFont="1" applyFill="1"/>
    <xf numFmtId="9" fontId="28" fillId="11" borderId="8" xfId="2" applyFont="1" applyFill="1" applyBorder="1" applyAlignment="1">
      <alignment horizontal="right"/>
    </xf>
    <xf numFmtId="165" fontId="28" fillId="0" borderId="0" xfId="0" applyNumberFormat="1" applyFont="1" applyFill="1"/>
    <xf numFmtId="165" fontId="30" fillId="11" borderId="0" xfId="0" applyNumberFormat="1" applyFont="1" applyFill="1" applyAlignment="1">
      <alignment horizontal="right"/>
    </xf>
    <xf numFmtId="164" fontId="30" fillId="11" borderId="0" xfId="2" applyNumberFormat="1" applyFont="1" applyFill="1" applyAlignment="1">
      <alignment horizontal="right"/>
    </xf>
    <xf numFmtId="9" fontId="30" fillId="11" borderId="8" xfId="2" applyFont="1" applyFill="1" applyBorder="1" applyAlignment="1">
      <alignment horizontal="right"/>
    </xf>
    <xf numFmtId="164" fontId="28" fillId="11" borderId="0" xfId="2" applyNumberFormat="1" applyFont="1" applyFill="1" applyAlignment="1">
      <alignment horizontal="right"/>
    </xf>
    <xf numFmtId="165" fontId="28" fillId="11" borderId="0" xfId="0" applyNumberFormat="1" applyFont="1" applyFill="1" applyAlignment="1">
      <alignment horizontal="right"/>
    </xf>
    <xf numFmtId="164" fontId="28" fillId="11" borderId="8" xfId="2" applyNumberFormat="1" applyFont="1" applyFill="1" applyBorder="1" applyAlignment="1">
      <alignment horizontal="right"/>
    </xf>
    <xf numFmtId="168" fontId="13" fillId="11" borderId="0" xfId="1" applyNumberFormat="1" applyFont="1" applyFill="1" applyAlignment="1">
      <alignment horizontal="right"/>
    </xf>
    <xf numFmtId="168" fontId="13" fillId="11" borderId="8" xfId="1" applyNumberFormat="1" applyFont="1" applyFill="1" applyBorder="1" applyAlignment="1">
      <alignment horizontal="right"/>
    </xf>
    <xf numFmtId="168" fontId="9" fillId="7" borderId="0" xfId="1" applyNumberFormat="1" applyFont="1" applyFill="1"/>
    <xf numFmtId="43" fontId="31" fillId="11" borderId="8" xfId="1" applyFont="1" applyFill="1" applyBorder="1" applyAlignment="1">
      <alignment horizontal="left" indent="2"/>
    </xf>
    <xf numFmtId="43" fontId="18" fillId="11" borderId="0" xfId="1" applyFont="1" applyFill="1" applyAlignment="1">
      <alignment horizontal="right"/>
    </xf>
    <xf numFmtId="43" fontId="18" fillId="11" borderId="8" xfId="1" applyFont="1" applyFill="1" applyBorder="1" applyAlignment="1">
      <alignment horizontal="right"/>
    </xf>
    <xf numFmtId="43" fontId="32" fillId="11" borderId="8" xfId="1" applyFont="1" applyFill="1" applyBorder="1" applyAlignment="1">
      <alignment horizontal="right"/>
    </xf>
    <xf numFmtId="43" fontId="32" fillId="11" borderId="0" xfId="1" applyFont="1" applyFill="1" applyAlignment="1">
      <alignment horizontal="right"/>
    </xf>
    <xf numFmtId="9" fontId="33" fillId="11" borderId="0" xfId="1" applyNumberFormat="1" applyFont="1" applyFill="1" applyAlignment="1">
      <alignment horizontal="right"/>
    </xf>
    <xf numFmtId="43" fontId="7" fillId="0" borderId="8" xfId="1" applyFont="1" applyBorder="1"/>
    <xf numFmtId="43" fontId="9" fillId="0" borderId="0" xfId="1" applyFont="1" applyAlignment="1">
      <alignment horizontal="right"/>
    </xf>
    <xf numFmtId="43" fontId="9" fillId="0" borderId="8" xfId="1" applyFont="1" applyBorder="1" applyAlignment="1">
      <alignment horizontal="right"/>
    </xf>
    <xf numFmtId="43" fontId="14" fillId="0" borderId="8" xfId="1" applyFont="1" applyBorder="1" applyAlignment="1">
      <alignment horizontal="right"/>
    </xf>
    <xf numFmtId="43" fontId="14" fillId="0" borderId="0" xfId="1" applyFont="1" applyAlignment="1">
      <alignment horizontal="right"/>
    </xf>
    <xf numFmtId="43" fontId="14" fillId="0" borderId="8" xfId="1" applyFont="1" applyFill="1" applyBorder="1" applyAlignment="1">
      <alignment horizontal="right"/>
    </xf>
    <xf numFmtId="43" fontId="9" fillId="0" borderId="9" xfId="1" applyFont="1" applyBorder="1" applyAlignment="1">
      <alignment horizontal="right"/>
    </xf>
    <xf numFmtId="168" fontId="7" fillId="0" borderId="0" xfId="1" applyNumberFormat="1" applyFont="1" applyFill="1" applyAlignment="1">
      <alignment horizontal="right"/>
    </xf>
    <xf numFmtId="168" fontId="9" fillId="0" borderId="8" xfId="1" applyNumberFormat="1" applyFont="1" applyFill="1" applyBorder="1" applyAlignment="1">
      <alignment horizontal="right"/>
    </xf>
    <xf numFmtId="168" fontId="7" fillId="0" borderId="8" xfId="1" applyNumberFormat="1" applyFont="1" applyFill="1" applyBorder="1" applyAlignment="1">
      <alignment horizontal="right"/>
    </xf>
    <xf numFmtId="9" fontId="9" fillId="3" borderId="0" xfId="1" applyNumberFormat="1" applyFont="1" applyFill="1"/>
    <xf numFmtId="43" fontId="28" fillId="0" borderId="8" xfId="1" applyFont="1" applyFill="1" applyBorder="1" applyAlignment="1">
      <alignment horizontal="left" indent="1"/>
    </xf>
    <xf numFmtId="168" fontId="9" fillId="0" borderId="0" xfId="1" applyNumberFormat="1" applyFont="1" applyFill="1" applyAlignment="1">
      <alignment horizontal="right"/>
    </xf>
    <xf numFmtId="9" fontId="28" fillId="0" borderId="0" xfId="1" applyNumberFormat="1" applyFont="1" applyFill="1" applyAlignment="1">
      <alignment horizontal="right"/>
    </xf>
    <xf numFmtId="9" fontId="28" fillId="0" borderId="8" xfId="2" applyNumberFormat="1" applyFont="1" applyFill="1" applyBorder="1" applyAlignment="1">
      <alignment horizontal="right"/>
    </xf>
    <xf numFmtId="43" fontId="9" fillId="11" borderId="9" xfId="1" applyFont="1" applyFill="1" applyBorder="1" applyAlignment="1">
      <alignment horizontal="right"/>
    </xf>
    <xf numFmtId="9" fontId="28" fillId="11" borderId="0" xfId="1" applyNumberFormat="1" applyFont="1" applyFill="1" applyAlignment="1">
      <alignment horizontal="right"/>
    </xf>
    <xf numFmtId="168" fontId="9" fillId="2" borderId="0" xfId="1" applyNumberFormat="1" applyFont="1" applyFill="1"/>
    <xf numFmtId="168" fontId="9" fillId="11" borderId="10" xfId="1" applyNumberFormat="1" applyFont="1" applyFill="1" applyBorder="1" applyAlignment="1">
      <alignment horizontal="right"/>
    </xf>
    <xf numFmtId="168" fontId="34" fillId="11" borderId="9" xfId="1" applyNumberFormat="1" applyFont="1" applyFill="1" applyBorder="1" applyAlignment="1">
      <alignment horizontal="right"/>
    </xf>
    <xf numFmtId="168" fontId="34" fillId="11" borderId="0" xfId="1" applyNumberFormat="1" applyFont="1" applyFill="1" applyBorder="1" applyAlignment="1">
      <alignment horizontal="right"/>
    </xf>
    <xf numFmtId="168" fontId="9" fillId="11" borderId="9" xfId="1" applyNumberFormat="1" applyFont="1" applyFill="1" applyBorder="1" applyAlignment="1">
      <alignment horizontal="right"/>
    </xf>
    <xf numFmtId="165" fontId="28" fillId="11" borderId="9" xfId="0" applyNumberFormat="1" applyFont="1" applyFill="1" applyBorder="1" applyAlignment="1">
      <alignment horizontal="right"/>
    </xf>
    <xf numFmtId="0" fontId="4" fillId="2" borderId="0" xfId="0" applyFont="1" applyFill="1"/>
    <xf numFmtId="0" fontId="4" fillId="11" borderId="0" xfId="0" applyFont="1" applyFill="1" applyAlignment="1">
      <alignment horizontal="right"/>
    </xf>
    <xf numFmtId="9" fontId="4" fillId="11" borderId="0" xfId="2" applyFont="1" applyFill="1" applyAlignment="1">
      <alignment horizontal="right"/>
    </xf>
    <xf numFmtId="9" fontId="4" fillId="11" borderId="8" xfId="2" applyFont="1" applyFill="1" applyBorder="1" applyAlignment="1">
      <alignment horizontal="right"/>
    </xf>
    <xf numFmtId="9" fontId="29" fillId="11" borderId="0" xfId="2" applyFont="1" applyFill="1" applyAlignment="1">
      <alignment horizontal="right"/>
    </xf>
    <xf numFmtId="165" fontId="35" fillId="11" borderId="0" xfId="0" applyNumberFormat="1" applyFont="1" applyFill="1" applyAlignment="1">
      <alignment horizontal="right"/>
    </xf>
    <xf numFmtId="164" fontId="29" fillId="11" borderId="8" xfId="2" applyNumberFormat="1" applyFont="1" applyFill="1" applyBorder="1" applyAlignment="1">
      <alignment horizontal="right"/>
    </xf>
    <xf numFmtId="43" fontId="7" fillId="2" borderId="8" xfId="1" applyFont="1" applyFill="1" applyBorder="1"/>
    <xf numFmtId="0" fontId="4" fillId="2" borderId="0" xfId="0" applyFont="1" applyFill="1" applyAlignment="1">
      <alignment horizontal="right"/>
    </xf>
    <xf numFmtId="9" fontId="4" fillId="2" borderId="0" xfId="2" applyFont="1" applyFill="1" applyAlignment="1">
      <alignment horizontal="right"/>
    </xf>
    <xf numFmtId="9" fontId="4" fillId="2" borderId="8" xfId="2" applyFont="1" applyFill="1" applyBorder="1" applyAlignment="1">
      <alignment horizontal="right"/>
    </xf>
    <xf numFmtId="9" fontId="28" fillId="2" borderId="0" xfId="2" applyFont="1" applyFill="1" applyAlignment="1">
      <alignment horizontal="right"/>
    </xf>
    <xf numFmtId="164" fontId="28" fillId="2" borderId="8" xfId="2" applyNumberFormat="1" applyFont="1" applyFill="1" applyBorder="1" applyAlignment="1">
      <alignment horizontal="right"/>
    </xf>
    <xf numFmtId="9" fontId="29" fillId="2" borderId="0" xfId="2" applyFont="1" applyFill="1" applyAlignment="1">
      <alignment horizontal="right"/>
    </xf>
    <xf numFmtId="165" fontId="35" fillId="2" borderId="0" xfId="0" applyNumberFormat="1" applyFont="1" applyFill="1" applyAlignment="1">
      <alignment horizontal="right"/>
    </xf>
    <xf numFmtId="165" fontId="28" fillId="2" borderId="0" xfId="0" applyNumberFormat="1" applyFont="1" applyFill="1" applyAlignment="1">
      <alignment horizontal="right"/>
    </xf>
    <xf numFmtId="164" fontId="29" fillId="2" borderId="8" xfId="2" applyNumberFormat="1" applyFont="1" applyFill="1" applyBorder="1" applyAlignment="1">
      <alignment horizontal="right"/>
    </xf>
    <xf numFmtId="165" fontId="28" fillId="2" borderId="9" xfId="0" applyNumberFormat="1" applyFont="1" applyFill="1" applyBorder="1" applyAlignment="1">
      <alignment horizontal="right"/>
    </xf>
    <xf numFmtId="43" fontId="28" fillId="2" borderId="8" xfId="1" applyFont="1" applyFill="1" applyBorder="1" applyAlignment="1">
      <alignment horizontal="left" indent="1"/>
    </xf>
    <xf numFmtId="168" fontId="9" fillId="2" borderId="0" xfId="1" applyNumberFormat="1" applyFont="1" applyFill="1" applyAlignment="1">
      <alignment horizontal="right"/>
    </xf>
    <xf numFmtId="168" fontId="9" fillId="2" borderId="8" xfId="1" applyNumberFormat="1" applyFont="1" applyFill="1" applyBorder="1" applyAlignment="1">
      <alignment horizontal="right"/>
    </xf>
    <xf numFmtId="168" fontId="34" fillId="2" borderId="9" xfId="1" applyNumberFormat="1" applyFont="1" applyFill="1" applyBorder="1" applyAlignment="1">
      <alignment horizontal="right"/>
    </xf>
    <xf numFmtId="168" fontId="9" fillId="2" borderId="0" xfId="1" applyNumberFormat="1" applyFont="1" applyFill="1" applyBorder="1" applyAlignment="1">
      <alignment horizontal="right"/>
    </xf>
    <xf numFmtId="168" fontId="34" fillId="2" borderId="0" xfId="1" applyNumberFormat="1" applyFont="1" applyFill="1" applyBorder="1" applyAlignment="1">
      <alignment horizontal="right"/>
    </xf>
    <xf numFmtId="168" fontId="13" fillId="2" borderId="0" xfId="1" applyNumberFormat="1" applyFont="1" applyFill="1" applyBorder="1" applyAlignment="1">
      <alignment horizontal="right"/>
    </xf>
    <xf numFmtId="168" fontId="9" fillId="2" borderId="9" xfId="1" applyNumberFormat="1" applyFont="1" applyFill="1" applyBorder="1" applyAlignment="1">
      <alignment horizontal="right"/>
    </xf>
    <xf numFmtId="165" fontId="30" fillId="0" borderId="0" xfId="0" applyNumberFormat="1" applyFont="1" applyFill="1" applyAlignment="1">
      <alignment horizontal="right"/>
    </xf>
    <xf numFmtId="164" fontId="30" fillId="0" borderId="0" xfId="2" applyNumberFormat="1" applyFont="1" applyFill="1" applyAlignment="1">
      <alignment horizontal="right"/>
    </xf>
    <xf numFmtId="9" fontId="30" fillId="0" borderId="8" xfId="2" applyFont="1" applyFill="1" applyBorder="1" applyAlignment="1">
      <alignment horizontal="right"/>
    </xf>
    <xf numFmtId="164" fontId="28" fillId="0" borderId="0" xfId="2" applyNumberFormat="1" applyFont="1" applyFill="1" applyAlignment="1">
      <alignment horizontal="right"/>
    </xf>
    <xf numFmtId="165" fontId="28" fillId="0" borderId="0" xfId="0" applyNumberFormat="1" applyFont="1" applyFill="1" applyAlignment="1">
      <alignment horizontal="right"/>
    </xf>
    <xf numFmtId="164" fontId="28" fillId="0" borderId="8" xfId="2" applyNumberFormat="1" applyFont="1" applyFill="1" applyBorder="1" applyAlignment="1">
      <alignment horizontal="right"/>
    </xf>
    <xf numFmtId="165" fontId="28" fillId="0" borderId="9" xfId="0" applyNumberFormat="1" applyFont="1" applyFill="1" applyBorder="1" applyAlignment="1">
      <alignment horizontal="right"/>
    </xf>
    <xf numFmtId="9" fontId="28" fillId="0" borderId="0" xfId="2" applyFont="1" applyFill="1" applyAlignment="1">
      <alignment horizontal="right"/>
    </xf>
    <xf numFmtId="43" fontId="28" fillId="0" borderId="8" xfId="1" applyFont="1" applyFill="1" applyBorder="1" applyAlignment="1">
      <alignment horizontal="left" indent="2"/>
    </xf>
    <xf numFmtId="4" fontId="28" fillId="0" borderId="0" xfId="2" applyNumberFormat="1" applyFont="1" applyFill="1" applyAlignment="1">
      <alignment horizontal="right"/>
    </xf>
    <xf numFmtId="4" fontId="28" fillId="0" borderId="8" xfId="2" applyNumberFormat="1" applyFont="1" applyFill="1" applyBorder="1" applyAlignment="1">
      <alignment horizontal="right"/>
    </xf>
    <xf numFmtId="4" fontId="9" fillId="0" borderId="0" xfId="1" applyNumberFormat="1" applyFont="1" applyFill="1"/>
    <xf numFmtId="168" fontId="7" fillId="2" borderId="0" xfId="1" applyNumberFormat="1" applyFont="1" applyFill="1" applyBorder="1" applyAlignment="1">
      <alignment horizontal="right"/>
    </xf>
    <xf numFmtId="168" fontId="21" fillId="0" borderId="0" xfId="1" applyNumberFormat="1" applyFont="1" applyFill="1"/>
    <xf numFmtId="9" fontId="33" fillId="0" borderId="8" xfId="2" applyNumberFormat="1" applyFont="1" applyFill="1" applyBorder="1" applyAlignment="1">
      <alignment horizontal="right"/>
    </xf>
    <xf numFmtId="168" fontId="7" fillId="2" borderId="8" xfId="1" applyNumberFormat="1" applyFont="1" applyFill="1" applyBorder="1" applyAlignment="1">
      <alignment horizontal="right"/>
    </xf>
    <xf numFmtId="168" fontId="21" fillId="2" borderId="0" xfId="1" applyNumberFormat="1" applyFont="1" applyFill="1"/>
    <xf numFmtId="9" fontId="33" fillId="2" borderId="8" xfId="2" applyNumberFormat="1" applyFont="1" applyFill="1" applyBorder="1" applyAlignment="1">
      <alignment horizontal="right"/>
    </xf>
    <xf numFmtId="43" fontId="9" fillId="11" borderId="0" xfId="1" applyNumberFormat="1" applyFont="1" applyFill="1" applyAlignment="1">
      <alignment horizontal="right"/>
    </xf>
    <xf numFmtId="168" fontId="36" fillId="11" borderId="0" xfId="1" applyNumberFormat="1" applyFont="1" applyFill="1" applyAlignment="1">
      <alignment horizontal="right"/>
    </xf>
    <xf numFmtId="168" fontId="36" fillId="11" borderId="8" xfId="1" applyNumberFormat="1" applyFont="1" applyFill="1" applyBorder="1" applyAlignment="1">
      <alignment horizontal="right"/>
    </xf>
    <xf numFmtId="9" fontId="30" fillId="11" borderId="0" xfId="2" applyFont="1" applyFill="1" applyAlignment="1">
      <alignment horizontal="right"/>
    </xf>
    <xf numFmtId="9" fontId="29" fillId="11" borderId="9" xfId="2" applyFont="1" applyFill="1" applyBorder="1" applyAlignment="1">
      <alignment horizontal="right"/>
    </xf>
    <xf numFmtId="9" fontId="9" fillId="11" borderId="0" xfId="2" applyFont="1" applyFill="1"/>
    <xf numFmtId="9" fontId="29" fillId="11" borderId="8" xfId="2" applyFont="1" applyFill="1" applyBorder="1" applyAlignment="1">
      <alignment horizontal="right"/>
    </xf>
    <xf numFmtId="9" fontId="28" fillId="0" borderId="0" xfId="2" applyFont="1" applyFill="1"/>
    <xf numFmtId="9" fontId="28" fillId="3" borderId="0" xfId="2" applyFont="1" applyFill="1"/>
    <xf numFmtId="168" fontId="34" fillId="11" borderId="0" xfId="1" applyNumberFormat="1" applyFont="1" applyFill="1" applyAlignment="1">
      <alignment horizontal="right"/>
    </xf>
    <xf numFmtId="168" fontId="13" fillId="11" borderId="9" xfId="1" applyNumberFormat="1" applyFont="1" applyFill="1" applyBorder="1" applyAlignment="1">
      <alignment horizontal="right"/>
    </xf>
    <xf numFmtId="9" fontId="35" fillId="11" borderId="0" xfId="2" applyFont="1" applyFill="1" applyAlignment="1">
      <alignment horizontal="right"/>
    </xf>
    <xf numFmtId="9" fontId="28" fillId="11" borderId="9" xfId="2" applyFont="1" applyFill="1" applyBorder="1" applyAlignment="1">
      <alignment horizontal="right"/>
    </xf>
    <xf numFmtId="9" fontId="37" fillId="11" borderId="0" xfId="2" applyFont="1" applyFill="1" applyAlignment="1">
      <alignment horizontal="right"/>
    </xf>
    <xf numFmtId="0" fontId="4" fillId="0" borderId="0" xfId="0" applyFont="1" applyFill="1"/>
    <xf numFmtId="0" fontId="4" fillId="12" borderId="0" xfId="0" applyFont="1" applyFill="1" applyAlignment="1">
      <alignment horizontal="right"/>
    </xf>
    <xf numFmtId="9" fontId="4" fillId="12" borderId="0" xfId="2" applyFont="1" applyFill="1" applyAlignment="1">
      <alignment horizontal="right"/>
    </xf>
    <xf numFmtId="9" fontId="4" fillId="12" borderId="8" xfId="2" applyFont="1" applyFill="1" applyBorder="1" applyAlignment="1">
      <alignment horizontal="right"/>
    </xf>
    <xf numFmtId="9" fontId="28" fillId="12" borderId="0" xfId="2" applyFont="1" applyFill="1" applyAlignment="1">
      <alignment horizontal="right"/>
    </xf>
    <xf numFmtId="164" fontId="28" fillId="12" borderId="8" xfId="2" applyNumberFormat="1" applyFont="1" applyFill="1" applyBorder="1" applyAlignment="1">
      <alignment horizontal="right"/>
    </xf>
    <xf numFmtId="0" fontId="0" fillId="2" borderId="0" xfId="0" applyFill="1"/>
    <xf numFmtId="0" fontId="0" fillId="2" borderId="9" xfId="0" applyFill="1" applyBorder="1"/>
    <xf numFmtId="168" fontId="9" fillId="13" borderId="0" xfId="1" applyNumberFormat="1" applyFont="1" applyFill="1" applyAlignment="1">
      <alignment horizontal="right"/>
    </xf>
    <xf numFmtId="168" fontId="9" fillId="13" borderId="8" xfId="1" applyNumberFormat="1" applyFont="1" applyFill="1" applyBorder="1" applyAlignment="1">
      <alignment horizontal="right"/>
    </xf>
    <xf numFmtId="0" fontId="0" fillId="3" borderId="0" xfId="0" applyFill="1"/>
    <xf numFmtId="0" fontId="0" fillId="2" borderId="8" xfId="0" applyFill="1" applyBorder="1"/>
    <xf numFmtId="164" fontId="28" fillId="2" borderId="0" xfId="2" applyNumberFormat="1" applyFont="1" applyFill="1" applyAlignment="1">
      <alignment horizontal="right"/>
    </xf>
    <xf numFmtId="168" fontId="9" fillId="0" borderId="0" xfId="1" applyNumberFormat="1" applyFont="1" applyAlignment="1">
      <alignment horizontal="right"/>
    </xf>
    <xf numFmtId="168" fontId="9" fillId="0" borderId="0" xfId="1" applyNumberFormat="1" applyFont="1" applyFill="1" applyAlignment="1">
      <alignment horizontal="center"/>
    </xf>
    <xf numFmtId="168" fontId="34" fillId="0" borderId="0" xfId="1" applyNumberFormat="1" applyFont="1" applyFill="1" applyAlignment="1">
      <alignment horizontal="right"/>
    </xf>
    <xf numFmtId="168" fontId="9" fillId="0" borderId="9" xfId="1" applyNumberFormat="1" applyFont="1" applyFill="1" applyBorder="1" applyAlignment="1">
      <alignment horizontal="right"/>
    </xf>
    <xf numFmtId="168" fontId="38" fillId="0" borderId="8" xfId="1" applyNumberFormat="1" applyFont="1" applyFill="1" applyBorder="1" applyAlignment="1">
      <alignment horizontal="right"/>
    </xf>
    <xf numFmtId="168" fontId="7" fillId="2" borderId="0" xfId="1" applyNumberFormat="1" applyFont="1" applyFill="1" applyAlignment="1">
      <alignment horizontal="right"/>
    </xf>
    <xf numFmtId="168" fontId="13" fillId="2" borderId="0" xfId="1" applyNumberFormat="1" applyFont="1" applyFill="1" applyAlignment="1">
      <alignment horizontal="right"/>
    </xf>
    <xf numFmtId="172" fontId="9" fillId="2" borderId="8" xfId="2" applyNumberFormat="1" applyFont="1" applyFill="1" applyBorder="1" applyAlignment="1">
      <alignment horizontal="right"/>
    </xf>
    <xf numFmtId="165" fontId="28" fillId="2" borderId="0" xfId="0" applyNumberFormat="1" applyFont="1" applyFill="1"/>
    <xf numFmtId="168" fontId="13" fillId="0" borderId="0" xfId="1" applyNumberFormat="1" applyFont="1" applyFill="1" applyAlignment="1">
      <alignment horizontal="right"/>
    </xf>
    <xf numFmtId="9" fontId="28" fillId="0" borderId="8" xfId="2" applyFont="1" applyFill="1" applyBorder="1" applyAlignment="1">
      <alignment horizontal="right"/>
    </xf>
    <xf numFmtId="9" fontId="29" fillId="0" borderId="0" xfId="2" applyFont="1" applyFill="1" applyAlignment="1">
      <alignment horizontal="right"/>
    </xf>
    <xf numFmtId="9" fontId="28" fillId="0" borderId="9" xfId="2" applyFont="1" applyFill="1" applyBorder="1" applyAlignment="1">
      <alignment horizontal="right"/>
    </xf>
    <xf numFmtId="168" fontId="28" fillId="0" borderId="8" xfId="2" applyNumberFormat="1" applyFont="1" applyFill="1" applyBorder="1" applyAlignment="1">
      <alignment horizontal="right"/>
    </xf>
    <xf numFmtId="9" fontId="9" fillId="0" borderId="0" xfId="2" applyFont="1" applyFill="1"/>
    <xf numFmtId="9" fontId="39" fillId="0" borderId="8" xfId="2" applyFont="1" applyFill="1" applyBorder="1" applyAlignment="1">
      <alignment horizontal="right"/>
    </xf>
    <xf numFmtId="9" fontId="29" fillId="0" borderId="8" xfId="2" applyFont="1" applyFill="1" applyBorder="1" applyAlignment="1">
      <alignment horizontal="right"/>
    </xf>
    <xf numFmtId="168" fontId="9" fillId="0" borderId="0" xfId="2" applyNumberFormat="1" applyFont="1" applyFill="1"/>
    <xf numFmtId="172" fontId="13" fillId="7" borderId="8" xfId="2" applyNumberFormat="1" applyFont="1" applyFill="1" applyBorder="1" applyAlignment="1">
      <alignment horizontal="right"/>
    </xf>
    <xf numFmtId="43" fontId="9" fillId="11" borderId="8" xfId="1" applyFont="1" applyFill="1" applyBorder="1" applyAlignment="1">
      <alignment horizontal="left" indent="3"/>
    </xf>
    <xf numFmtId="43" fontId="9" fillId="11" borderId="8" xfId="1" applyFont="1" applyFill="1" applyBorder="1" applyAlignment="1">
      <alignment horizontal="left"/>
    </xf>
    <xf numFmtId="168" fontId="9" fillId="2" borderId="0" xfId="1" applyNumberFormat="1" applyFont="1" applyFill="1" applyAlignment="1">
      <alignment horizontal="center"/>
    </xf>
    <xf numFmtId="168" fontId="9" fillId="11" borderId="8" xfId="1" applyNumberFormat="1" applyFont="1" applyFill="1" applyBorder="1" applyAlignment="1">
      <alignment horizontal="center"/>
    </xf>
    <xf numFmtId="168" fontId="9" fillId="11" borderId="0" xfId="1" applyNumberFormat="1" applyFont="1" applyFill="1" applyBorder="1" applyAlignment="1">
      <alignment horizontal="center"/>
    </xf>
    <xf numFmtId="168" fontId="9" fillId="11" borderId="0" xfId="1" applyNumberFormat="1" applyFont="1" applyFill="1" applyAlignment="1">
      <alignment horizontal="center"/>
    </xf>
    <xf numFmtId="168" fontId="14" fillId="11" borderId="8" xfId="1" applyNumberFormat="1" applyFont="1" applyFill="1" applyBorder="1" applyAlignment="1">
      <alignment horizontal="right"/>
    </xf>
    <xf numFmtId="168" fontId="38" fillId="11" borderId="0" xfId="1" applyNumberFormat="1" applyFont="1" applyFill="1" applyAlignment="1">
      <alignment horizontal="right"/>
    </xf>
    <xf numFmtId="172" fontId="9" fillId="11" borderId="8" xfId="2" applyNumberFormat="1" applyFont="1" applyFill="1" applyBorder="1" applyAlignment="1">
      <alignment horizontal="right"/>
    </xf>
    <xf numFmtId="0" fontId="9" fillId="0" borderId="0" xfId="0" applyFont="1" applyBorder="1"/>
    <xf numFmtId="172" fontId="13" fillId="11" borderId="8" xfId="2" applyNumberFormat="1" applyFont="1" applyFill="1" applyBorder="1" applyAlignment="1">
      <alignment horizontal="right"/>
    </xf>
    <xf numFmtId="43" fontId="28" fillId="11" borderId="8" xfId="1" applyFont="1" applyFill="1" applyBorder="1" applyAlignment="1">
      <alignment horizontal="left" indent="3"/>
    </xf>
    <xf numFmtId="9" fontId="13" fillId="11" borderId="0" xfId="1" applyNumberFormat="1" applyFont="1" applyFill="1" applyAlignment="1">
      <alignment horizontal="right"/>
    </xf>
    <xf numFmtId="9" fontId="40" fillId="11" borderId="8" xfId="2" applyFont="1" applyFill="1" applyBorder="1" applyAlignment="1">
      <alignment horizontal="right"/>
    </xf>
    <xf numFmtId="3" fontId="39" fillId="11" borderId="8" xfId="2" applyNumberFormat="1" applyFont="1" applyFill="1" applyBorder="1" applyAlignment="1">
      <alignment horizontal="right"/>
    </xf>
    <xf numFmtId="9" fontId="39" fillId="11" borderId="8" xfId="2" applyFont="1" applyFill="1" applyBorder="1" applyAlignment="1">
      <alignment horizontal="right"/>
    </xf>
    <xf numFmtId="9" fontId="9" fillId="11" borderId="0" xfId="1" applyNumberFormat="1" applyFont="1" applyFill="1" applyAlignment="1">
      <alignment horizontal="right"/>
    </xf>
    <xf numFmtId="43" fontId="7" fillId="11" borderId="8" xfId="1" applyFont="1" applyFill="1" applyBorder="1" applyAlignment="1">
      <alignment horizontal="left" indent="2"/>
    </xf>
    <xf numFmtId="168" fontId="7" fillId="11" borderId="0" xfId="1" applyNumberFormat="1" applyFont="1" applyFill="1" applyAlignment="1">
      <alignment horizontal="right"/>
    </xf>
    <xf numFmtId="168" fontId="7" fillId="11" borderId="8" xfId="1" applyNumberFormat="1" applyFont="1" applyFill="1" applyBorder="1" applyAlignment="1">
      <alignment horizontal="right"/>
    </xf>
    <xf numFmtId="43" fontId="7" fillId="11" borderId="8" xfId="1" applyFont="1" applyFill="1" applyBorder="1" applyAlignment="1">
      <alignment horizontal="left"/>
    </xf>
    <xf numFmtId="168" fontId="7" fillId="2" borderId="0" xfId="1" applyNumberFormat="1" applyFont="1" applyFill="1" applyAlignment="1">
      <alignment horizontal="center"/>
    </xf>
    <xf numFmtId="168" fontId="7" fillId="11" borderId="8" xfId="1" applyNumberFormat="1" applyFont="1" applyFill="1" applyBorder="1" applyAlignment="1">
      <alignment horizontal="center"/>
    </xf>
    <xf numFmtId="168" fontId="7" fillId="11" borderId="0" xfId="1" applyNumberFormat="1" applyFont="1" applyFill="1" applyBorder="1" applyAlignment="1">
      <alignment horizontal="center"/>
    </xf>
    <xf numFmtId="168" fontId="7" fillId="11" borderId="0" xfId="1" applyNumberFormat="1" applyFont="1" applyFill="1" applyAlignment="1">
      <alignment horizontal="center"/>
    </xf>
    <xf numFmtId="168" fontId="41" fillId="11" borderId="0" xfId="1" applyNumberFormat="1" applyFont="1" applyFill="1" applyAlignment="1">
      <alignment horizontal="right"/>
    </xf>
    <xf numFmtId="168" fontId="7" fillId="11" borderId="9" xfId="1" applyNumberFormat="1" applyFont="1" applyFill="1" applyBorder="1" applyAlignment="1">
      <alignment horizontal="right"/>
    </xf>
    <xf numFmtId="168" fontId="42" fillId="11" borderId="8" xfId="1" applyNumberFormat="1" applyFont="1" applyFill="1" applyBorder="1" applyAlignment="1">
      <alignment horizontal="right"/>
    </xf>
    <xf numFmtId="168" fontId="43" fillId="11" borderId="0" xfId="1" applyNumberFormat="1" applyFont="1" applyFill="1" applyAlignment="1">
      <alignment horizontal="right"/>
    </xf>
    <xf numFmtId="168" fontId="7" fillId="11" borderId="0" xfId="1" applyNumberFormat="1" applyFont="1" applyFill="1"/>
    <xf numFmtId="43" fontId="13" fillId="11" borderId="0" xfId="1" applyNumberFormat="1" applyFont="1" applyFill="1" applyAlignment="1">
      <alignment horizontal="right"/>
    </xf>
    <xf numFmtId="168" fontId="28" fillId="11" borderId="8" xfId="2" applyNumberFormat="1" applyFont="1" applyFill="1" applyBorder="1" applyAlignment="1">
      <alignment horizontal="right"/>
    </xf>
    <xf numFmtId="9" fontId="3" fillId="11" borderId="0" xfId="2" applyFont="1" applyFill="1" applyAlignment="1">
      <alignment horizontal="right"/>
    </xf>
    <xf numFmtId="9" fontId="3" fillId="11" borderId="8" xfId="2" applyFont="1" applyFill="1" applyBorder="1" applyAlignment="1">
      <alignment horizontal="right"/>
    </xf>
    <xf numFmtId="9" fontId="44" fillId="11" borderId="0" xfId="2" applyFont="1" applyFill="1" applyAlignment="1">
      <alignment horizontal="right"/>
    </xf>
    <xf numFmtId="9" fontId="44" fillId="11" borderId="8" xfId="2" applyFont="1" applyFill="1" applyBorder="1" applyAlignment="1">
      <alignment horizontal="right"/>
    </xf>
    <xf numFmtId="9" fontId="44" fillId="2" borderId="0" xfId="2" applyFont="1" applyFill="1" applyAlignment="1">
      <alignment horizontal="right"/>
    </xf>
    <xf numFmtId="9" fontId="45" fillId="11" borderId="0" xfId="2" applyFont="1" applyFill="1" applyAlignment="1">
      <alignment horizontal="right"/>
    </xf>
    <xf numFmtId="168" fontId="41" fillId="11" borderId="9" xfId="1" applyNumberFormat="1" applyFont="1" applyFill="1" applyBorder="1" applyAlignment="1">
      <alignment horizontal="right"/>
    </xf>
    <xf numFmtId="168" fontId="14" fillId="11" borderId="8" xfId="1" applyNumberFormat="1" applyFont="1" applyFill="1" applyBorder="1" applyAlignment="1">
      <alignment horizontal="center"/>
    </xf>
    <xf numFmtId="9" fontId="46" fillId="11" borderId="0" xfId="2" applyFont="1" applyFill="1" applyAlignment="1">
      <alignment horizontal="right"/>
    </xf>
    <xf numFmtId="168" fontId="40" fillId="11" borderId="8" xfId="2" applyNumberFormat="1" applyFont="1" applyFill="1" applyBorder="1" applyAlignment="1">
      <alignment horizontal="right"/>
    </xf>
    <xf numFmtId="8" fontId="13" fillId="11" borderId="0" xfId="1" applyNumberFormat="1" applyFont="1" applyFill="1" applyAlignment="1">
      <alignment horizontal="right"/>
    </xf>
    <xf numFmtId="9" fontId="39" fillId="11" borderId="8" xfId="2" applyNumberFormat="1" applyFont="1" applyFill="1" applyBorder="1" applyAlignment="1">
      <alignment horizontal="right"/>
    </xf>
    <xf numFmtId="168" fontId="47" fillId="11" borderId="0" xfId="1" applyNumberFormat="1" applyFont="1" applyFill="1" applyAlignment="1">
      <alignment horizontal="right"/>
    </xf>
    <xf numFmtId="168" fontId="34" fillId="11" borderId="0" xfId="1" applyNumberFormat="1" applyFont="1" applyFill="1" applyAlignment="1">
      <alignment horizontal="center"/>
    </xf>
    <xf numFmtId="9" fontId="21" fillId="11" borderId="0" xfId="2" applyFont="1" applyFill="1"/>
    <xf numFmtId="168" fontId="21" fillId="11" borderId="8" xfId="1" applyNumberFormat="1" applyFont="1" applyFill="1" applyBorder="1" applyAlignment="1">
      <alignment horizontal="center"/>
    </xf>
    <xf numFmtId="0" fontId="9" fillId="2" borderId="0" xfId="0" applyFont="1" applyFill="1" applyBorder="1"/>
    <xf numFmtId="9" fontId="48" fillId="11" borderId="0" xfId="2" applyFont="1" applyFill="1" applyAlignment="1">
      <alignment horizontal="right"/>
    </xf>
    <xf numFmtId="9" fontId="4" fillId="11" borderId="9" xfId="2" applyFont="1" applyFill="1" applyBorder="1" applyAlignment="1">
      <alignment horizontal="right"/>
    </xf>
    <xf numFmtId="4" fontId="9" fillId="0" borderId="0" xfId="2" applyNumberFormat="1" applyFont="1" applyFill="1"/>
    <xf numFmtId="43" fontId="7" fillId="2" borderId="2" xfId="1" applyFont="1" applyFill="1" applyBorder="1"/>
    <xf numFmtId="168" fontId="9" fillId="2" borderId="3" xfId="1" applyNumberFormat="1" applyFont="1" applyFill="1" applyBorder="1" applyAlignment="1">
      <alignment horizontal="right"/>
    </xf>
    <xf numFmtId="168" fontId="9" fillId="2" borderId="2" xfId="1" applyNumberFormat="1" applyFont="1" applyFill="1" applyBorder="1" applyAlignment="1">
      <alignment horizontal="right"/>
    </xf>
    <xf numFmtId="168" fontId="34" fillId="2" borderId="3" xfId="1" applyNumberFormat="1" applyFont="1" applyFill="1" applyBorder="1" applyAlignment="1">
      <alignment horizontal="right"/>
    </xf>
    <xf numFmtId="168" fontId="7" fillId="2" borderId="3" xfId="1" applyNumberFormat="1" applyFont="1" applyFill="1" applyBorder="1" applyAlignment="1">
      <alignment horizontal="right"/>
    </xf>
    <xf numFmtId="168" fontId="7" fillId="2" borderId="2" xfId="1" applyNumberFormat="1" applyFont="1" applyFill="1" applyBorder="1" applyAlignment="1">
      <alignment horizontal="right"/>
    </xf>
    <xf numFmtId="168" fontId="9" fillId="2" borderId="3" xfId="1" applyNumberFormat="1" applyFont="1" applyFill="1" applyBorder="1"/>
    <xf numFmtId="43" fontId="28" fillId="2" borderId="5" xfId="1" applyFont="1" applyFill="1" applyBorder="1" applyAlignment="1">
      <alignment horizontal="left" indent="1"/>
    </xf>
    <xf numFmtId="168" fontId="9" fillId="2" borderId="1" xfId="1" applyNumberFormat="1" applyFont="1" applyFill="1" applyBorder="1" applyAlignment="1">
      <alignment horizontal="right"/>
    </xf>
    <xf numFmtId="168" fontId="9" fillId="2" borderId="5" xfId="1" applyNumberFormat="1" applyFont="1" applyFill="1" applyBorder="1" applyAlignment="1">
      <alignment horizontal="right"/>
    </xf>
    <xf numFmtId="168" fontId="34" fillId="2" borderId="1" xfId="1" applyNumberFormat="1" applyFont="1" applyFill="1" applyBorder="1" applyAlignment="1">
      <alignment horizontal="right"/>
    </xf>
    <xf numFmtId="9" fontId="28" fillId="2" borderId="1" xfId="1" applyNumberFormat="1" applyFont="1" applyFill="1" applyBorder="1" applyAlignment="1">
      <alignment horizontal="right"/>
    </xf>
    <xf numFmtId="9" fontId="28" fillId="2" borderId="5" xfId="1" applyNumberFormat="1" applyFont="1" applyFill="1" applyBorder="1" applyAlignment="1">
      <alignment horizontal="right"/>
    </xf>
    <xf numFmtId="168" fontId="9" fillId="2" borderId="1" xfId="1" applyNumberFormat="1" applyFont="1" applyFill="1" applyBorder="1"/>
    <xf numFmtId="43" fontId="7" fillId="0" borderId="2" xfId="1" applyFont="1" applyBorder="1"/>
    <xf numFmtId="168" fontId="49" fillId="0" borderId="3" xfId="1" applyNumberFormat="1" applyFont="1" applyBorder="1" applyAlignment="1">
      <alignment horizontal="right"/>
    </xf>
    <xf numFmtId="168" fontId="49" fillId="0" borderId="2" xfId="1" applyNumberFormat="1" applyFont="1" applyBorder="1" applyAlignment="1">
      <alignment horizontal="right"/>
    </xf>
    <xf numFmtId="168" fontId="7" fillId="0" borderId="3" xfId="1" applyNumberFormat="1" applyFont="1" applyBorder="1" applyAlignment="1">
      <alignment horizontal="right"/>
    </xf>
    <xf numFmtId="168" fontId="7" fillId="0" borderId="2" xfId="1" applyNumberFormat="1" applyFont="1" applyBorder="1" applyAlignment="1">
      <alignment horizontal="right"/>
    </xf>
    <xf numFmtId="168" fontId="7" fillId="0" borderId="3" xfId="1" applyNumberFormat="1" applyFont="1" applyFill="1" applyBorder="1" applyAlignment="1">
      <alignment horizontal="right"/>
    </xf>
    <xf numFmtId="168" fontId="7" fillId="0" borderId="4" xfId="1" applyNumberFormat="1" applyFont="1" applyBorder="1" applyAlignment="1">
      <alignment horizontal="right"/>
    </xf>
    <xf numFmtId="168" fontId="7" fillId="0" borderId="0" xfId="1" applyNumberFormat="1" applyFont="1"/>
    <xf numFmtId="43" fontId="28" fillId="0" borderId="8" xfId="1" applyFont="1" applyBorder="1" applyAlignment="1">
      <alignment horizontal="left" indent="2"/>
    </xf>
    <xf numFmtId="168" fontId="49" fillId="0" borderId="0" xfId="1" applyNumberFormat="1" applyFont="1" applyBorder="1" applyAlignment="1">
      <alignment horizontal="right"/>
    </xf>
    <xf numFmtId="168" fontId="49" fillId="0" borderId="8" xfId="1" applyNumberFormat="1" applyFont="1" applyBorder="1" applyAlignment="1">
      <alignment horizontal="right"/>
    </xf>
    <xf numFmtId="168" fontId="7" fillId="0" borderId="0" xfId="1" applyNumberFormat="1" applyFont="1" applyBorder="1" applyAlignment="1">
      <alignment horizontal="right"/>
    </xf>
    <xf numFmtId="168" fontId="7" fillId="0" borderId="8" xfId="1" applyNumberFormat="1" applyFont="1" applyBorder="1" applyAlignment="1">
      <alignment horizontal="right"/>
    </xf>
    <xf numFmtId="168" fontId="7" fillId="0" borderId="0" xfId="1" applyNumberFormat="1" applyFont="1" applyFill="1" applyBorder="1" applyAlignment="1">
      <alignment horizontal="right"/>
    </xf>
    <xf numFmtId="9" fontId="28" fillId="0" borderId="0" xfId="2" applyFont="1" applyFill="1" applyBorder="1" applyAlignment="1">
      <alignment horizontal="right"/>
    </xf>
    <xf numFmtId="9" fontId="28" fillId="0" borderId="0" xfId="1" applyNumberFormat="1" applyFont="1" applyBorder="1" applyAlignment="1">
      <alignment horizontal="right"/>
    </xf>
    <xf numFmtId="9" fontId="28" fillId="0" borderId="8" xfId="1" applyNumberFormat="1" applyFont="1" applyBorder="1" applyAlignment="1">
      <alignment horizontal="right"/>
    </xf>
    <xf numFmtId="9" fontId="33" fillId="0" borderId="0" xfId="1" applyNumberFormat="1" applyFont="1" applyBorder="1" applyAlignment="1">
      <alignment horizontal="right"/>
    </xf>
    <xf numFmtId="9" fontId="33" fillId="0" borderId="10" xfId="1" applyNumberFormat="1" applyFont="1" applyBorder="1" applyAlignment="1">
      <alignment horizontal="right"/>
    </xf>
    <xf numFmtId="43" fontId="7" fillId="3" borderId="0" xfId="1" applyFont="1" applyFill="1"/>
    <xf numFmtId="9" fontId="4" fillId="0" borderId="0" xfId="2" applyFont="1" applyFill="1" applyBorder="1"/>
    <xf numFmtId="43" fontId="28" fillId="0" borderId="8" xfId="1" applyFont="1" applyBorder="1" applyAlignment="1">
      <alignment horizontal="left" indent="1"/>
    </xf>
    <xf numFmtId="9" fontId="51" fillId="0" borderId="0" xfId="2" applyFont="1" applyFill="1" applyBorder="1" applyAlignment="1">
      <alignment horizontal="right"/>
    </xf>
    <xf numFmtId="9" fontId="51" fillId="0" borderId="8" xfId="2" applyFont="1" applyFill="1" applyBorder="1" applyAlignment="1">
      <alignment horizontal="right"/>
    </xf>
    <xf numFmtId="9" fontId="30" fillId="0" borderId="0" xfId="2" applyFont="1" applyFill="1" applyBorder="1" applyAlignment="1">
      <alignment horizontal="right"/>
    </xf>
    <xf numFmtId="9" fontId="28" fillId="0" borderId="5" xfId="2" applyFont="1" applyFill="1" applyBorder="1" applyAlignment="1">
      <alignment horizontal="right"/>
    </xf>
    <xf numFmtId="9" fontId="28" fillId="0" borderId="1" xfId="2" applyNumberFormat="1" applyFont="1" applyFill="1" applyBorder="1" applyAlignment="1">
      <alignment horizontal="right"/>
    </xf>
    <xf numFmtId="9" fontId="28" fillId="0" borderId="6" xfId="2" applyNumberFormat="1" applyFont="1" applyFill="1" applyBorder="1" applyAlignment="1">
      <alignment horizontal="right"/>
    </xf>
    <xf numFmtId="9" fontId="28" fillId="0" borderId="10" xfId="2" applyFont="1" applyFill="1" applyBorder="1" applyAlignment="1">
      <alignment horizontal="right"/>
    </xf>
    <xf numFmtId="9" fontId="21" fillId="0" borderId="0" xfId="2" applyFont="1" applyFill="1"/>
    <xf numFmtId="9" fontId="33" fillId="0" borderId="8" xfId="2" applyFont="1" applyFill="1" applyBorder="1" applyAlignment="1">
      <alignment horizontal="right"/>
    </xf>
    <xf numFmtId="9" fontId="4" fillId="3" borderId="0" xfId="2" applyFont="1" applyFill="1" applyBorder="1"/>
    <xf numFmtId="9" fontId="33" fillId="0" borderId="6" xfId="2" applyNumberFormat="1" applyFont="1" applyFill="1" applyBorder="1" applyAlignment="1">
      <alignment horizontal="right"/>
    </xf>
    <xf numFmtId="168" fontId="7" fillId="0" borderId="0" xfId="1" applyNumberFormat="1" applyFont="1" applyFill="1" applyBorder="1"/>
    <xf numFmtId="43" fontId="7" fillId="0" borderId="2" xfId="1" applyFont="1" applyFill="1" applyBorder="1"/>
    <xf numFmtId="168" fontId="7" fillId="0" borderId="2" xfId="1" applyNumberFormat="1" applyFont="1" applyFill="1" applyBorder="1" applyAlignment="1">
      <alignment horizontal="right"/>
    </xf>
    <xf numFmtId="168" fontId="7" fillId="0" borderId="0" xfId="1" applyNumberFormat="1" applyFont="1" applyBorder="1"/>
    <xf numFmtId="43" fontId="28" fillId="0" borderId="5" xfId="1" applyFont="1" applyFill="1" applyBorder="1" applyAlignment="1">
      <alignment horizontal="left" indent="1"/>
    </xf>
    <xf numFmtId="9" fontId="4" fillId="0" borderId="1" xfId="2" applyFont="1" applyFill="1" applyBorder="1" applyAlignment="1">
      <alignment horizontal="right"/>
    </xf>
    <xf numFmtId="9" fontId="4" fillId="0" borderId="5" xfId="2" applyFont="1" applyFill="1" applyBorder="1" applyAlignment="1">
      <alignment horizontal="right"/>
    </xf>
    <xf numFmtId="9" fontId="28" fillId="0" borderId="1" xfId="2" applyFont="1" applyFill="1" applyBorder="1" applyAlignment="1">
      <alignment horizontal="right"/>
    </xf>
    <xf numFmtId="9" fontId="28" fillId="0" borderId="11" xfId="2" applyFont="1" applyFill="1" applyBorder="1" applyAlignment="1">
      <alignment horizontal="right"/>
    </xf>
    <xf numFmtId="9" fontId="4" fillId="3" borderId="0" xfId="2" applyFont="1" applyFill="1"/>
    <xf numFmtId="9" fontId="4" fillId="0" borderId="0" xfId="2" applyFont="1" applyBorder="1"/>
    <xf numFmtId="43" fontId="16" fillId="0" borderId="0" xfId="1" applyFont="1" applyFill="1" applyBorder="1" applyAlignment="1">
      <alignment horizontal="left" indent="1"/>
    </xf>
    <xf numFmtId="0" fontId="9" fillId="0" borderId="0" xfId="0" applyFont="1" applyFill="1" applyBorder="1" applyAlignment="1">
      <alignment horizontal="right"/>
    </xf>
    <xf numFmtId="9" fontId="16" fillId="0" borderId="0" xfId="2" applyFont="1" applyFill="1" applyBorder="1" applyAlignment="1">
      <alignment horizontal="right"/>
    </xf>
    <xf numFmtId="168" fontId="9" fillId="0" borderId="0" xfId="0" applyNumberFormat="1" applyFont="1" applyFill="1" applyBorder="1" applyAlignment="1">
      <alignment horizontal="right"/>
    </xf>
    <xf numFmtId="168" fontId="9" fillId="0" borderId="0" xfId="0" applyNumberFormat="1" applyFont="1" applyFill="1" applyBorder="1"/>
    <xf numFmtId="43" fontId="9" fillId="0" borderId="0" xfId="0" applyNumberFormat="1" applyFont="1" applyFill="1" applyBorder="1"/>
    <xf numFmtId="43" fontId="9" fillId="3" borderId="0" xfId="1" applyFont="1" applyFill="1" applyBorder="1"/>
    <xf numFmtId="168" fontId="9" fillId="10" borderId="7" xfId="1" applyNumberFormat="1" applyFont="1" applyFill="1" applyBorder="1"/>
    <xf numFmtId="168" fontId="9" fillId="10" borderId="3" xfId="1" applyNumberFormat="1" applyFont="1" applyFill="1" applyBorder="1"/>
    <xf numFmtId="168" fontId="9" fillId="10" borderId="4" xfId="1" applyNumberFormat="1" applyFont="1" applyFill="1" applyBorder="1"/>
    <xf numFmtId="9" fontId="7" fillId="10" borderId="2" xfId="1" applyNumberFormat="1" applyFont="1" applyFill="1" applyBorder="1"/>
    <xf numFmtId="0" fontId="3" fillId="0" borderId="0" xfId="0" applyFont="1" applyFill="1" applyAlignment="1">
      <alignment horizontal="right"/>
    </xf>
    <xf numFmtId="43" fontId="7" fillId="0" borderId="8" xfId="1" applyFont="1" applyBorder="1" applyAlignment="1">
      <alignment horizontal="left"/>
    </xf>
    <xf numFmtId="168" fontId="7" fillId="0" borderId="0" xfId="1" applyNumberFormat="1" applyFont="1" applyAlignment="1">
      <alignment horizontal="right"/>
    </xf>
    <xf numFmtId="168" fontId="7" fillId="0" borderId="0" xfId="1" applyNumberFormat="1" applyFont="1" applyFill="1" applyAlignment="1">
      <alignment horizontal="center"/>
    </xf>
    <xf numFmtId="168" fontId="50" fillId="0" borderId="0" xfId="1" applyNumberFormat="1" applyFont="1" applyFill="1" applyBorder="1" applyAlignment="1">
      <alignment horizontal="right"/>
    </xf>
    <xf numFmtId="168" fontId="50" fillId="0" borderId="0" xfId="1" applyNumberFormat="1" applyFont="1" applyFill="1" applyAlignment="1">
      <alignment horizontal="right"/>
    </xf>
    <xf numFmtId="168" fontId="7" fillId="0" borderId="9" xfId="1" applyNumberFormat="1" applyFont="1" applyFill="1" applyBorder="1" applyAlignment="1">
      <alignment horizontal="right"/>
    </xf>
    <xf numFmtId="168" fontId="7" fillId="0" borderId="10" xfId="1" applyNumberFormat="1" applyFont="1" applyFill="1" applyBorder="1" applyAlignment="1">
      <alignment horizontal="right"/>
    </xf>
    <xf numFmtId="168" fontId="7" fillId="0" borderId="10" xfId="1" applyNumberFormat="1" applyFont="1" applyFill="1" applyBorder="1" applyAlignment="1">
      <alignment horizontal="center"/>
    </xf>
    <xf numFmtId="43" fontId="28" fillId="0" borderId="8" xfId="1" applyFont="1" applyBorder="1" applyAlignment="1">
      <alignment horizontal="left" indent="3"/>
    </xf>
    <xf numFmtId="9" fontId="28" fillId="2" borderId="0" xfId="2" applyFont="1" applyFill="1" applyBorder="1" applyAlignment="1">
      <alignment horizontal="right"/>
    </xf>
    <xf numFmtId="9" fontId="33" fillId="2" borderId="9" xfId="2" applyFont="1" applyFill="1" applyBorder="1" applyAlignment="1">
      <alignment horizontal="right"/>
    </xf>
    <xf numFmtId="9" fontId="33" fillId="2" borderId="0" xfId="2" applyFont="1" applyFill="1" applyBorder="1" applyAlignment="1">
      <alignment horizontal="right"/>
    </xf>
    <xf numFmtId="9" fontId="33" fillId="2" borderId="10" xfId="2" applyFont="1" applyFill="1" applyBorder="1" applyAlignment="1">
      <alignment horizontal="right"/>
    </xf>
    <xf numFmtId="9" fontId="33" fillId="0" borderId="0" xfId="2" applyFont="1" applyFill="1" applyBorder="1" applyAlignment="1">
      <alignment horizontal="right"/>
    </xf>
    <xf numFmtId="9" fontId="33" fillId="0" borderId="9" xfId="2" applyFont="1" applyFill="1" applyBorder="1" applyAlignment="1">
      <alignment horizontal="right"/>
    </xf>
    <xf numFmtId="9" fontId="33" fillId="0" borderId="10" xfId="2" applyFont="1" applyFill="1" applyBorder="1" applyAlignment="1">
      <alignment horizontal="right"/>
    </xf>
    <xf numFmtId="9" fontId="28" fillId="2" borderId="8" xfId="1" applyNumberFormat="1" applyFont="1" applyFill="1" applyBorder="1" applyAlignment="1">
      <alignment horizontal="right"/>
    </xf>
    <xf numFmtId="9" fontId="4" fillId="0" borderId="0" xfId="2" applyFont="1" applyFill="1" applyAlignment="1">
      <alignment horizontal="right"/>
    </xf>
    <xf numFmtId="43" fontId="28" fillId="0" borderId="5" xfId="1" applyFont="1" applyBorder="1" applyAlignment="1">
      <alignment horizontal="left" indent="2"/>
    </xf>
    <xf numFmtId="9" fontId="4" fillId="0" borderId="1" xfId="2" applyFont="1" applyBorder="1" applyAlignment="1">
      <alignment horizontal="right"/>
    </xf>
    <xf numFmtId="9" fontId="4" fillId="0" borderId="5" xfId="2" applyFont="1" applyBorder="1" applyAlignment="1">
      <alignment horizontal="right"/>
    </xf>
    <xf numFmtId="9" fontId="28" fillId="0" borderId="5" xfId="1" applyNumberFormat="1" applyFont="1" applyBorder="1" applyAlignment="1">
      <alignment horizontal="right"/>
    </xf>
    <xf numFmtId="9" fontId="28" fillId="0" borderId="6" xfId="2" applyFont="1" applyFill="1" applyBorder="1" applyAlignment="1">
      <alignment horizontal="right"/>
    </xf>
    <xf numFmtId="9" fontId="21" fillId="2" borderId="1" xfId="2" applyFont="1" applyFill="1" applyBorder="1"/>
    <xf numFmtId="9" fontId="33" fillId="2" borderId="5" xfId="2" applyFont="1" applyFill="1" applyBorder="1" applyAlignment="1">
      <alignment horizontal="right"/>
    </xf>
    <xf numFmtId="9" fontId="4" fillId="3" borderId="0" xfId="2" applyFont="1" applyFill="1" applyAlignment="1">
      <alignment horizontal="right"/>
    </xf>
    <xf numFmtId="9" fontId="4" fillId="0" borderId="0" xfId="2" applyFont="1" applyAlignment="1">
      <alignment horizontal="right"/>
    </xf>
    <xf numFmtId="9" fontId="9" fillId="0" borderId="1" xfId="2" applyFont="1" applyFill="1" applyBorder="1"/>
    <xf numFmtId="9" fontId="33" fillId="0" borderId="5" xfId="2" applyFont="1" applyFill="1" applyBorder="1" applyAlignment="1">
      <alignment horizontal="right"/>
    </xf>
    <xf numFmtId="9" fontId="21" fillId="0" borderId="1" xfId="2" applyFont="1" applyFill="1" applyBorder="1"/>
    <xf numFmtId="9" fontId="3" fillId="0" borderId="0" xfId="2" applyFont="1" applyFill="1" applyAlignment="1">
      <alignment horizontal="right"/>
    </xf>
    <xf numFmtId="9" fontId="3" fillId="0" borderId="0" xfId="2" applyFont="1" applyAlignment="1">
      <alignment horizontal="right"/>
    </xf>
    <xf numFmtId="9" fontId="3" fillId="0" borderId="8" xfId="2" applyFont="1" applyBorder="1" applyAlignment="1">
      <alignment horizontal="right"/>
    </xf>
    <xf numFmtId="9" fontId="3" fillId="0" borderId="8" xfId="2" applyFont="1" applyFill="1" applyBorder="1" applyAlignment="1">
      <alignment horizontal="right"/>
    </xf>
    <xf numFmtId="9" fontId="44" fillId="0" borderId="0" xfId="2" applyFont="1" applyFill="1" applyAlignment="1">
      <alignment horizontal="right"/>
    </xf>
    <xf numFmtId="9" fontId="44" fillId="0" borderId="8" xfId="2" applyFont="1" applyFill="1" applyBorder="1" applyAlignment="1">
      <alignment horizontal="right"/>
    </xf>
    <xf numFmtId="168" fontId="7" fillId="2" borderId="0" xfId="1" applyNumberFormat="1" applyFont="1" applyFill="1" applyBorder="1" applyAlignment="1">
      <alignment horizontal="center"/>
    </xf>
    <xf numFmtId="168" fontId="41" fillId="0" borderId="0" xfId="1" applyNumberFormat="1" applyFont="1" applyFill="1" applyAlignment="1">
      <alignment horizontal="right"/>
    </xf>
    <xf numFmtId="168" fontId="41" fillId="0" borderId="9" xfId="1" applyNumberFormat="1" applyFont="1" applyFill="1" applyBorder="1" applyAlignment="1">
      <alignment horizontal="right"/>
    </xf>
    <xf numFmtId="168" fontId="41" fillId="0" borderId="0" xfId="1" applyNumberFormat="1" applyFont="1" applyFill="1" applyBorder="1" applyAlignment="1">
      <alignment horizontal="right"/>
    </xf>
    <xf numFmtId="168" fontId="41" fillId="0" borderId="10" xfId="1" applyNumberFormat="1" applyFont="1" applyFill="1" applyBorder="1" applyAlignment="1">
      <alignment horizontal="right"/>
    </xf>
    <xf numFmtId="168" fontId="7" fillId="2" borderId="10" xfId="1" applyNumberFormat="1" applyFont="1" applyFill="1" applyBorder="1" applyAlignment="1">
      <alignment horizontal="center"/>
    </xf>
    <xf numFmtId="168" fontId="7" fillId="2" borderId="0" xfId="1" applyNumberFormat="1" applyFont="1" applyFill="1"/>
    <xf numFmtId="168" fontId="7" fillId="2" borderId="8" xfId="1" applyNumberFormat="1" applyFont="1" applyFill="1" applyBorder="1" applyAlignment="1">
      <alignment horizontal="center"/>
    </xf>
    <xf numFmtId="9" fontId="3" fillId="3" borderId="0" xfId="2" applyFont="1" applyFill="1" applyAlignment="1">
      <alignment horizontal="right"/>
    </xf>
    <xf numFmtId="9" fontId="45" fillId="0" borderId="0" xfId="2" applyFont="1" applyFill="1" applyAlignment="1">
      <alignment horizontal="right"/>
    </xf>
    <xf numFmtId="9" fontId="4" fillId="0" borderId="8" xfId="2" applyFont="1" applyBorder="1" applyAlignment="1">
      <alignment horizontal="right"/>
    </xf>
    <xf numFmtId="9" fontId="4" fillId="0" borderId="8" xfId="2" applyFont="1" applyFill="1" applyBorder="1" applyAlignment="1">
      <alignment horizontal="right"/>
    </xf>
    <xf numFmtId="9" fontId="21" fillId="2" borderId="0" xfId="2" applyFont="1" applyFill="1"/>
    <xf numFmtId="9" fontId="33" fillId="2" borderId="8" xfId="2" applyFont="1" applyFill="1" applyBorder="1" applyAlignment="1">
      <alignment horizontal="right"/>
    </xf>
    <xf numFmtId="43" fontId="7" fillId="0" borderId="2" xfId="1" applyFont="1" applyFill="1" applyBorder="1" applyAlignment="1">
      <alignment horizontal="left"/>
    </xf>
    <xf numFmtId="0" fontId="0" fillId="0" borderId="11" xfId="0" applyBorder="1"/>
    <xf numFmtId="0" fontId="0" fillId="0" borderId="5" xfId="0" applyBorder="1"/>
    <xf numFmtId="43" fontId="28" fillId="0" borderId="0" xfId="1" applyFont="1" applyFill="1" applyBorder="1" applyAlignment="1">
      <alignment horizontal="left" indent="1"/>
    </xf>
    <xf numFmtId="9" fontId="4" fillId="0" borderId="0" xfId="2" applyFont="1" applyFill="1" applyBorder="1" applyAlignment="1">
      <alignment horizontal="right"/>
    </xf>
    <xf numFmtId="168" fontId="28" fillId="0" borderId="0" xfId="2" applyNumberFormat="1" applyFont="1" applyFill="1" applyBorder="1" applyAlignment="1">
      <alignment horizontal="right"/>
    </xf>
    <xf numFmtId="4" fontId="28" fillId="0" borderId="0" xfId="2" applyNumberFormat="1" applyFont="1" applyFill="1" applyBorder="1" applyAlignment="1">
      <alignment horizontal="right"/>
    </xf>
    <xf numFmtId="173" fontId="28" fillId="0" borderId="0" xfId="2" applyNumberFormat="1" applyFont="1" applyFill="1" applyBorder="1" applyAlignment="1">
      <alignment horizontal="right"/>
    </xf>
    <xf numFmtId="43" fontId="23" fillId="0" borderId="0" xfId="0" applyNumberFormat="1" applyFont="1"/>
    <xf numFmtId="171" fontId="7" fillId="0" borderId="8" xfId="1" applyNumberFormat="1" applyFont="1" applyBorder="1" applyAlignment="1">
      <alignment horizontal="left"/>
    </xf>
    <xf numFmtId="168" fontId="24" fillId="0" borderId="8" xfId="0" applyNumberFormat="1" applyFont="1" applyBorder="1"/>
    <xf numFmtId="168" fontId="24" fillId="0" borderId="0" xfId="0" applyNumberFormat="1" applyFont="1"/>
    <xf numFmtId="43" fontId="7" fillId="0" borderId="8" xfId="1" applyFont="1" applyBorder="1" applyAlignment="1">
      <alignment horizontal="left" indent="1"/>
    </xf>
    <xf numFmtId="168" fontId="23" fillId="0" borderId="8" xfId="0" applyNumberFormat="1" applyFont="1" applyBorder="1"/>
    <xf numFmtId="168" fontId="23" fillId="0" borderId="0" xfId="0" applyNumberFormat="1" applyFont="1"/>
    <xf numFmtId="43" fontId="16" fillId="0" borderId="8" xfId="1" applyFont="1" applyBorder="1" applyAlignment="1">
      <alignment horizontal="left" indent="1"/>
    </xf>
    <xf numFmtId="164" fontId="23" fillId="0" borderId="8" xfId="0" applyNumberFormat="1" applyFont="1" applyBorder="1"/>
    <xf numFmtId="164" fontId="23" fillId="0" borderId="0" xfId="0" applyNumberFormat="1" applyFont="1"/>
    <xf numFmtId="164" fontId="52" fillId="0" borderId="0" xfId="0" applyNumberFormat="1" applyFont="1"/>
    <xf numFmtId="164" fontId="52" fillId="0" borderId="8" xfId="0" applyNumberFormat="1" applyFont="1" applyBorder="1"/>
    <xf numFmtId="0" fontId="23" fillId="0" borderId="8" xfId="0" applyFont="1" applyBorder="1"/>
    <xf numFmtId="43" fontId="9" fillId="0" borderId="8" xfId="1" applyFont="1" applyBorder="1" applyAlignment="1">
      <alignment horizontal="left" indent="1"/>
    </xf>
    <xf numFmtId="43" fontId="24" fillId="0" borderId="8" xfId="0" applyNumberFormat="1" applyFont="1" applyBorder="1"/>
    <xf numFmtId="43" fontId="24" fillId="0" borderId="0" xfId="0" applyNumberFormat="1" applyFont="1"/>
    <xf numFmtId="43" fontId="16" fillId="0" borderId="5" xfId="1" applyFont="1" applyBorder="1" applyAlignment="1">
      <alignment horizontal="left" indent="1"/>
    </xf>
    <xf numFmtId="164" fontId="24" fillId="0" borderId="5" xfId="0" applyNumberFormat="1" applyFont="1" applyBorder="1"/>
    <xf numFmtId="164" fontId="24" fillId="0" borderId="1" xfId="0" applyNumberFormat="1" applyFont="1" applyBorder="1"/>
    <xf numFmtId="1" fontId="23" fillId="0" borderId="0" xfId="0" applyNumberFormat="1" applyFont="1"/>
    <xf numFmtId="43" fontId="24" fillId="0" borderId="0" xfId="1" applyFont="1"/>
    <xf numFmtId="0" fontId="24" fillId="0" borderId="0" xfId="0" applyFont="1" applyAlignment="1">
      <alignment horizontal="right"/>
    </xf>
    <xf numFmtId="43" fontId="24" fillId="0" borderId="0" xfId="0" applyNumberFormat="1" applyFont="1" applyAlignment="1">
      <alignment horizontal="right"/>
    </xf>
    <xf numFmtId="43" fontId="7" fillId="2" borderId="0" xfId="1" applyFont="1" applyFill="1"/>
    <xf numFmtId="43" fontId="9" fillId="2" borderId="0" xfId="1" applyFont="1" applyFill="1"/>
    <xf numFmtId="43" fontId="12" fillId="6" borderId="7" xfId="1" applyFont="1" applyFill="1" applyBorder="1" applyAlignment="1">
      <alignment horizontal="left"/>
    </xf>
    <xf numFmtId="43" fontId="12" fillId="6" borderId="11" xfId="1" applyFont="1" applyFill="1" applyBorder="1" applyAlignment="1">
      <alignment horizontal="left"/>
    </xf>
    <xf numFmtId="0" fontId="7" fillId="3" borderId="7" xfId="0" applyFont="1" applyFill="1" applyBorder="1"/>
    <xf numFmtId="0" fontId="9" fillId="3" borderId="2" xfId="0" applyFont="1" applyFill="1" applyBorder="1"/>
    <xf numFmtId="0" fontId="9" fillId="3" borderId="3" xfId="0" applyFont="1" applyFill="1" applyBorder="1"/>
    <xf numFmtId="0" fontId="9" fillId="2" borderId="0" xfId="0" applyFont="1" applyFill="1"/>
    <xf numFmtId="0" fontId="9" fillId="2" borderId="9" xfId="0" applyFont="1" applyFill="1" applyBorder="1"/>
    <xf numFmtId="9" fontId="21" fillId="2" borderId="8" xfId="0" applyNumberFormat="1" applyFont="1" applyFill="1" applyBorder="1" applyAlignment="1">
      <alignment horizontal="center"/>
    </xf>
    <xf numFmtId="169" fontId="9" fillId="2" borderId="0" xfId="1" applyNumberFormat="1" applyFont="1" applyFill="1" applyBorder="1" applyAlignment="1">
      <alignment horizontal="right"/>
    </xf>
    <xf numFmtId="169" fontId="9" fillId="2" borderId="8" xfId="1" applyNumberFormat="1" applyFont="1" applyFill="1" applyBorder="1" applyAlignment="1">
      <alignment horizontal="right"/>
    </xf>
    <xf numFmtId="0" fontId="9" fillId="2" borderId="9" xfId="0" applyFont="1" applyFill="1" applyBorder="1" applyAlignment="1">
      <alignment horizontal="left" indent="1"/>
    </xf>
    <xf numFmtId="0" fontId="21" fillId="2" borderId="8" xfId="0" applyFont="1" applyFill="1" applyBorder="1" applyAlignment="1">
      <alignment horizontal="center"/>
    </xf>
    <xf numFmtId="9" fontId="21" fillId="2" borderId="8" xfId="1" applyNumberFormat="1" applyFont="1" applyFill="1" applyBorder="1" applyAlignment="1">
      <alignment horizontal="right"/>
    </xf>
    <xf numFmtId="9" fontId="9" fillId="2" borderId="0" xfId="0" applyNumberFormat="1" applyFont="1" applyFill="1" applyBorder="1"/>
    <xf numFmtId="9" fontId="9" fillId="2" borderId="8" xfId="1" applyNumberFormat="1" applyFont="1" applyFill="1" applyBorder="1" applyAlignment="1">
      <alignment horizontal="right"/>
    </xf>
    <xf numFmtId="0" fontId="50" fillId="2" borderId="8" xfId="0" applyFont="1" applyFill="1" applyBorder="1" applyAlignment="1">
      <alignment horizontal="center"/>
    </xf>
    <xf numFmtId="164" fontId="9" fillId="2" borderId="8" xfId="1" applyNumberFormat="1" applyFont="1" applyFill="1" applyBorder="1" applyAlignment="1">
      <alignment horizontal="right"/>
    </xf>
    <xf numFmtId="164" fontId="9" fillId="2" borderId="0" xfId="1" applyNumberFormat="1" applyFont="1" applyFill="1" applyBorder="1"/>
    <xf numFmtId="0" fontId="7" fillId="2" borderId="0" xfId="0" applyFont="1" applyFill="1" applyBorder="1"/>
    <xf numFmtId="8" fontId="7" fillId="2" borderId="8" xfId="1" applyNumberFormat="1" applyFont="1" applyFill="1" applyBorder="1" applyAlignment="1">
      <alignment horizontal="right"/>
    </xf>
    <xf numFmtId="0" fontId="28" fillId="2" borderId="9" xfId="0" applyFont="1" applyFill="1" applyBorder="1"/>
    <xf numFmtId="8" fontId="7" fillId="2" borderId="0" xfId="1" applyNumberFormat="1" applyFont="1" applyFill="1" applyBorder="1" applyAlignment="1">
      <alignment horizontal="right"/>
    </xf>
    <xf numFmtId="9" fontId="9" fillId="2" borderId="8" xfId="0" applyNumberFormat="1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2" borderId="8" xfId="0" applyFont="1" applyFill="1" applyBorder="1"/>
    <xf numFmtId="0" fontId="7" fillId="2" borderId="9" xfId="0" applyFont="1" applyFill="1" applyBorder="1"/>
    <xf numFmtId="9" fontId="7" fillId="2" borderId="8" xfId="0" applyNumberFormat="1" applyFont="1" applyFill="1" applyBorder="1" applyAlignment="1">
      <alignment horizontal="center"/>
    </xf>
    <xf numFmtId="9" fontId="7" fillId="2" borderId="0" xfId="0" applyNumberFormat="1" applyFont="1" applyFill="1" applyBorder="1"/>
    <xf numFmtId="9" fontId="7" fillId="2" borderId="8" xfId="0" applyNumberFormat="1" applyFont="1" applyFill="1" applyBorder="1"/>
    <xf numFmtId="0" fontId="7" fillId="3" borderId="9" xfId="0" applyFont="1" applyFill="1" applyBorder="1"/>
    <xf numFmtId="0" fontId="9" fillId="3" borderId="8" xfId="0" applyFont="1" applyFill="1" applyBorder="1"/>
    <xf numFmtId="0" fontId="9" fillId="3" borderId="0" xfId="0" applyFont="1" applyFill="1" applyBorder="1"/>
    <xf numFmtId="0" fontId="21" fillId="2" borderId="8" xfId="0" applyFont="1" applyFill="1" applyBorder="1"/>
    <xf numFmtId="9" fontId="7" fillId="2" borderId="8" xfId="1" applyNumberFormat="1" applyFont="1" applyFill="1" applyBorder="1" applyAlignment="1">
      <alignment horizontal="right"/>
    </xf>
    <xf numFmtId="0" fontId="9" fillId="2" borderId="5" xfId="0" applyFont="1" applyFill="1" applyBorder="1"/>
    <xf numFmtId="0" fontId="9" fillId="2" borderId="3" xfId="0" applyFont="1" applyFill="1" applyBorder="1"/>
    <xf numFmtId="14" fontId="9" fillId="2" borderId="0" xfId="0" applyNumberFormat="1" applyFont="1" applyFill="1"/>
    <xf numFmtId="0" fontId="53" fillId="2" borderId="0" xfId="0" applyFont="1" applyFill="1" applyAlignment="1">
      <alignment wrapText="1"/>
    </xf>
    <xf numFmtId="14" fontId="0" fillId="2" borderId="0" xfId="0" applyNumberFormat="1" applyFill="1"/>
    <xf numFmtId="43" fontId="18" fillId="11" borderId="8" xfId="1" applyFont="1" applyFill="1" applyBorder="1" applyAlignment="1">
      <alignment horizontal="left" indent="2"/>
    </xf>
    <xf numFmtId="168" fontId="18" fillId="11" borderId="0" xfId="1" applyNumberFormat="1" applyFont="1" applyFill="1" applyAlignment="1">
      <alignment horizontal="right"/>
    </xf>
    <xf numFmtId="168" fontId="18" fillId="11" borderId="8" xfId="1" applyNumberFormat="1" applyFont="1" applyFill="1" applyBorder="1" applyAlignment="1">
      <alignment horizontal="right"/>
    </xf>
    <xf numFmtId="9" fontId="18" fillId="11" borderId="0" xfId="1" applyNumberFormat="1" applyFont="1" applyFill="1"/>
    <xf numFmtId="168" fontId="18" fillId="11" borderId="0" xfId="1" applyNumberFormat="1" applyFont="1" applyFill="1"/>
    <xf numFmtId="0" fontId="54" fillId="11" borderId="0" xfId="0" applyFont="1" applyFill="1" applyAlignment="1">
      <alignment horizontal="right"/>
    </xf>
    <xf numFmtId="9" fontId="54" fillId="11" borderId="0" xfId="2" applyFont="1" applyFill="1" applyAlignment="1">
      <alignment horizontal="right"/>
    </xf>
    <xf numFmtId="9" fontId="54" fillId="11" borderId="8" xfId="2" applyFont="1" applyFill="1" applyBorder="1" applyAlignment="1">
      <alignment horizontal="right"/>
    </xf>
    <xf numFmtId="9" fontId="31" fillId="11" borderId="0" xfId="2" applyFont="1" applyFill="1" applyAlignment="1">
      <alignment horizontal="right"/>
    </xf>
    <xf numFmtId="164" fontId="31" fillId="11" borderId="8" xfId="2" applyNumberFormat="1" applyFont="1" applyFill="1" applyBorder="1" applyAlignment="1">
      <alignment horizontal="right"/>
    </xf>
    <xf numFmtId="9" fontId="55" fillId="11" borderId="0" xfId="2" applyFont="1" applyFill="1" applyAlignment="1">
      <alignment horizontal="right"/>
    </xf>
    <xf numFmtId="165" fontId="56" fillId="11" borderId="0" xfId="0" applyNumberFormat="1" applyFont="1" applyFill="1" applyAlignment="1">
      <alignment horizontal="right"/>
    </xf>
    <xf numFmtId="165" fontId="31" fillId="11" borderId="0" xfId="0" applyNumberFormat="1" applyFont="1" applyFill="1" applyAlignment="1">
      <alignment horizontal="right"/>
    </xf>
    <xf numFmtId="165" fontId="31" fillId="11" borderId="9" xfId="0" applyNumberFormat="1" applyFont="1" applyFill="1" applyBorder="1" applyAlignment="1">
      <alignment horizontal="right"/>
    </xf>
    <xf numFmtId="164" fontId="55" fillId="11" borderId="8" xfId="2" applyNumberFormat="1" applyFont="1" applyFill="1" applyBorder="1" applyAlignment="1">
      <alignment horizontal="right"/>
    </xf>
    <xf numFmtId="168" fontId="19" fillId="11" borderId="0" xfId="1" applyNumberFormat="1" applyFont="1" applyFill="1" applyBorder="1" applyAlignment="1">
      <alignment horizontal="right"/>
    </xf>
    <xf numFmtId="165" fontId="57" fillId="11" borderId="0" xfId="0" applyNumberFormat="1" applyFont="1" applyFill="1" applyAlignment="1">
      <alignment horizontal="right"/>
    </xf>
    <xf numFmtId="164" fontId="57" fillId="11" borderId="0" xfId="2" applyNumberFormat="1" applyFont="1" applyFill="1" applyAlignment="1">
      <alignment horizontal="right"/>
    </xf>
    <xf numFmtId="9" fontId="57" fillId="11" borderId="8" xfId="2" applyFont="1" applyFill="1" applyBorder="1" applyAlignment="1">
      <alignment horizontal="right"/>
    </xf>
    <xf numFmtId="164" fontId="31" fillId="11" borderId="0" xfId="2" applyNumberFormat="1" applyFont="1" applyFill="1" applyAlignment="1">
      <alignment horizontal="right"/>
    </xf>
    <xf numFmtId="9" fontId="28" fillId="2" borderId="8" xfId="2" applyNumberFormat="1" applyFont="1" applyFill="1" applyBorder="1" applyAlignment="1">
      <alignment horizontal="right"/>
    </xf>
    <xf numFmtId="168" fontId="9" fillId="7" borderId="0" xfId="1" applyNumberFormat="1" applyFont="1" applyFill="1" applyAlignment="1">
      <alignment horizontal="right"/>
    </xf>
    <xf numFmtId="172" fontId="9" fillId="0" borderId="8" xfId="2" applyNumberFormat="1" applyFont="1" applyFill="1" applyBorder="1" applyAlignment="1">
      <alignment horizontal="right"/>
    </xf>
    <xf numFmtId="9" fontId="28" fillId="2" borderId="8" xfId="2" applyFont="1" applyFill="1" applyBorder="1" applyAlignment="1">
      <alignment horizontal="right"/>
    </xf>
    <xf numFmtId="168" fontId="28" fillId="2" borderId="8" xfId="2" applyNumberFormat="1" applyFont="1" applyFill="1" applyBorder="1" applyAlignment="1">
      <alignment horizontal="right"/>
    </xf>
    <xf numFmtId="9" fontId="9" fillId="2" borderId="0" xfId="2" applyFont="1" applyFill="1"/>
    <xf numFmtId="168" fontId="18" fillId="2" borderId="0" xfId="1" applyNumberFormat="1" applyFont="1" applyFill="1" applyAlignment="1">
      <alignment horizontal="right"/>
    </xf>
    <xf numFmtId="168" fontId="18" fillId="2" borderId="0" xfId="1" applyNumberFormat="1" applyFont="1" applyFill="1" applyAlignment="1">
      <alignment horizontal="center"/>
    </xf>
    <xf numFmtId="168" fontId="18" fillId="11" borderId="8" xfId="1" applyNumberFormat="1" applyFont="1" applyFill="1" applyBorder="1" applyAlignment="1">
      <alignment horizontal="center"/>
    </xf>
    <xf numFmtId="168" fontId="18" fillId="11" borderId="0" xfId="1" applyNumberFormat="1" applyFont="1" applyFill="1" applyBorder="1" applyAlignment="1">
      <alignment horizontal="center"/>
    </xf>
    <xf numFmtId="168" fontId="18" fillId="11" borderId="0" xfId="1" applyNumberFormat="1" applyFont="1" applyFill="1" applyAlignment="1">
      <alignment horizontal="center"/>
    </xf>
    <xf numFmtId="168" fontId="58" fillId="11" borderId="0" xfId="1" applyNumberFormat="1" applyFont="1" applyFill="1" applyAlignment="1">
      <alignment horizontal="right"/>
    </xf>
    <xf numFmtId="168" fontId="18" fillId="11" borderId="9" xfId="1" applyNumberFormat="1" applyFont="1" applyFill="1" applyBorder="1" applyAlignment="1">
      <alignment horizontal="right"/>
    </xf>
    <xf numFmtId="168" fontId="19" fillId="11" borderId="0" xfId="1" applyNumberFormat="1" applyFont="1" applyFill="1" applyAlignment="1">
      <alignment horizontal="right"/>
    </xf>
    <xf numFmtId="168" fontId="32" fillId="11" borderId="8" xfId="1" applyNumberFormat="1" applyFont="1" applyFill="1" applyBorder="1" applyAlignment="1">
      <alignment horizontal="center"/>
    </xf>
    <xf numFmtId="168" fontId="59" fillId="11" borderId="0" xfId="1" applyNumberFormat="1" applyFont="1" applyFill="1" applyAlignment="1">
      <alignment horizontal="right"/>
    </xf>
    <xf numFmtId="172" fontId="19" fillId="11" borderId="8" xfId="2" applyNumberFormat="1" applyFont="1" applyFill="1" applyBorder="1" applyAlignment="1">
      <alignment horizontal="right"/>
    </xf>
    <xf numFmtId="168" fontId="50" fillId="0" borderId="0" xfId="1" applyNumberFormat="1" applyFont="1" applyBorder="1" applyAlignment="1">
      <alignment horizontal="right"/>
    </xf>
    <xf numFmtId="9" fontId="33" fillId="0" borderId="1" xfId="2" applyNumberFormat="1" applyFont="1" applyFill="1" applyBorder="1" applyAlignment="1">
      <alignment horizontal="right"/>
    </xf>
    <xf numFmtId="43" fontId="7" fillId="10" borderId="8" xfId="1" applyFont="1" applyFill="1" applyBorder="1"/>
    <xf numFmtId="43" fontId="9" fillId="10" borderId="0" xfId="1" applyFont="1" applyFill="1" applyAlignment="1">
      <alignment horizontal="right"/>
    </xf>
    <xf numFmtId="43" fontId="9" fillId="10" borderId="8" xfId="1" applyFont="1" applyFill="1" applyBorder="1" applyAlignment="1">
      <alignment horizontal="right"/>
    </xf>
    <xf numFmtId="43" fontId="14" fillId="10" borderId="8" xfId="1" applyFont="1" applyFill="1" applyBorder="1" applyAlignment="1">
      <alignment horizontal="right"/>
    </xf>
    <xf numFmtId="43" fontId="14" fillId="10" borderId="0" xfId="1" applyFont="1" applyFill="1" applyAlignment="1">
      <alignment horizontal="right"/>
    </xf>
    <xf numFmtId="43" fontId="9" fillId="10" borderId="9" xfId="1" applyFont="1" applyFill="1" applyBorder="1" applyAlignment="1">
      <alignment horizontal="right"/>
    </xf>
    <xf numFmtId="168" fontId="7" fillId="10" borderId="0" xfId="1" applyNumberFormat="1" applyFont="1" applyFill="1" applyAlignment="1">
      <alignment horizontal="right"/>
    </xf>
    <xf numFmtId="168" fontId="9" fillId="10" borderId="8" xfId="1" applyNumberFormat="1" applyFont="1" applyFill="1" applyBorder="1" applyAlignment="1">
      <alignment horizontal="right"/>
    </xf>
    <xf numFmtId="168" fontId="7" fillId="10" borderId="8" xfId="1" applyNumberFormat="1" applyFont="1" applyFill="1" applyBorder="1" applyAlignment="1">
      <alignment horizontal="right"/>
    </xf>
    <xf numFmtId="9" fontId="9" fillId="10" borderId="0" xfId="1" applyNumberFormat="1" applyFont="1" applyFill="1"/>
    <xf numFmtId="43" fontId="9" fillId="10" borderId="8" xfId="1" applyFont="1" applyFill="1" applyBorder="1"/>
    <xf numFmtId="0" fontId="4" fillId="10" borderId="0" xfId="0" applyFont="1" applyFill="1" applyAlignment="1">
      <alignment horizontal="right"/>
    </xf>
    <xf numFmtId="9" fontId="4" fillId="10" borderId="0" xfId="2" applyFont="1" applyFill="1" applyAlignment="1">
      <alignment horizontal="right"/>
    </xf>
    <xf numFmtId="9" fontId="4" fillId="10" borderId="8" xfId="2" applyFont="1" applyFill="1" applyBorder="1" applyAlignment="1">
      <alignment horizontal="right"/>
    </xf>
    <xf numFmtId="9" fontId="28" fillId="10" borderId="0" xfId="2" applyFont="1" applyFill="1" applyAlignment="1">
      <alignment horizontal="right"/>
    </xf>
    <xf numFmtId="164" fontId="28" fillId="10" borderId="8" xfId="2" applyNumberFormat="1" applyFont="1" applyFill="1" applyBorder="1" applyAlignment="1">
      <alignment horizontal="right"/>
    </xf>
    <xf numFmtId="9" fontId="29" fillId="10" borderId="0" xfId="2" applyFont="1" applyFill="1" applyAlignment="1">
      <alignment horizontal="right"/>
    </xf>
    <xf numFmtId="165" fontId="35" fillId="10" borderId="0" xfId="0" applyNumberFormat="1" applyFont="1" applyFill="1" applyAlignment="1">
      <alignment horizontal="right"/>
    </xf>
    <xf numFmtId="165" fontId="28" fillId="10" borderId="0" xfId="0" applyNumberFormat="1" applyFont="1" applyFill="1" applyAlignment="1">
      <alignment horizontal="right"/>
    </xf>
    <xf numFmtId="164" fontId="29" fillId="10" borderId="8" xfId="2" applyNumberFormat="1" applyFont="1" applyFill="1" applyBorder="1" applyAlignment="1">
      <alignment horizontal="right"/>
    </xf>
    <xf numFmtId="165" fontId="28" fillId="10" borderId="9" xfId="0" applyNumberFormat="1" applyFont="1" applyFill="1" applyBorder="1" applyAlignment="1">
      <alignment horizontal="right"/>
    </xf>
    <xf numFmtId="168" fontId="9" fillId="10" borderId="0" xfId="1" applyNumberFormat="1" applyFont="1" applyFill="1" applyAlignment="1">
      <alignment horizontal="right"/>
    </xf>
    <xf numFmtId="165" fontId="30" fillId="10" borderId="0" xfId="0" applyNumberFormat="1" applyFont="1" applyFill="1" applyAlignment="1">
      <alignment horizontal="right"/>
    </xf>
    <xf numFmtId="164" fontId="30" fillId="10" borderId="0" xfId="2" applyNumberFormat="1" applyFont="1" applyFill="1" applyAlignment="1">
      <alignment horizontal="right"/>
    </xf>
    <xf numFmtId="9" fontId="30" fillId="10" borderId="8" xfId="2" applyFont="1" applyFill="1" applyBorder="1" applyAlignment="1">
      <alignment horizontal="right"/>
    </xf>
    <xf numFmtId="164" fontId="28" fillId="10" borderId="0" xfId="2" applyNumberFormat="1" applyFont="1" applyFill="1" applyAlignment="1">
      <alignment horizontal="right"/>
    </xf>
    <xf numFmtId="168" fontId="13" fillId="10" borderId="0" xfId="1" applyNumberFormat="1" applyFont="1" applyFill="1" applyBorder="1" applyAlignment="1">
      <alignment horizontal="right"/>
    </xf>
    <xf numFmtId="165" fontId="44" fillId="0" borderId="0" xfId="0" applyNumberFormat="1" applyFont="1" applyFill="1"/>
    <xf numFmtId="9" fontId="21" fillId="0" borderId="8" xfId="1" applyNumberFormat="1" applyFont="1" applyFill="1" applyBorder="1" applyAlignment="1">
      <alignment horizontal="right"/>
    </xf>
    <xf numFmtId="9" fontId="21" fillId="0" borderId="0" xfId="1" applyNumberFormat="1" applyFont="1" applyFill="1"/>
    <xf numFmtId="0" fontId="0" fillId="2" borderId="0" xfId="0" applyFill="1" applyBorder="1"/>
    <xf numFmtId="168" fontId="50" fillId="0" borderId="8" xfId="1" applyNumberFormat="1" applyFont="1" applyFill="1" applyBorder="1" applyAlignment="1">
      <alignment horizontal="right"/>
    </xf>
    <xf numFmtId="168" fontId="49" fillId="10" borderId="3" xfId="1" applyNumberFormat="1" applyFont="1" applyFill="1" applyBorder="1" applyAlignment="1">
      <alignment horizontal="right"/>
    </xf>
    <xf numFmtId="168" fontId="49" fillId="10" borderId="2" xfId="1" applyNumberFormat="1" applyFont="1" applyFill="1" applyBorder="1" applyAlignment="1">
      <alignment horizontal="right"/>
    </xf>
    <xf numFmtId="168" fontId="7" fillId="10" borderId="3" xfId="1" applyNumberFormat="1" applyFont="1" applyFill="1" applyBorder="1" applyAlignment="1">
      <alignment horizontal="right"/>
    </xf>
    <xf numFmtId="168" fontId="7" fillId="10" borderId="2" xfId="1" applyNumberFormat="1" applyFont="1" applyFill="1" applyBorder="1" applyAlignment="1">
      <alignment horizontal="right"/>
    </xf>
    <xf numFmtId="43" fontId="7" fillId="10" borderId="8" xfId="1" applyFont="1" applyFill="1" applyBorder="1" applyAlignment="1">
      <alignment horizontal="left"/>
    </xf>
    <xf numFmtId="0" fontId="23" fillId="10" borderId="0" xfId="0" applyFont="1" applyFill="1"/>
    <xf numFmtId="168" fontId="7" fillId="10" borderId="8" xfId="1" applyNumberFormat="1" applyFont="1" applyFill="1" applyBorder="1" applyAlignment="1">
      <alignment horizontal="center"/>
    </xf>
    <xf numFmtId="168" fontId="41" fillId="10" borderId="0" xfId="1" applyNumberFormat="1" applyFont="1" applyFill="1" applyAlignment="1">
      <alignment horizontal="right"/>
    </xf>
    <xf numFmtId="168" fontId="7" fillId="10" borderId="0" xfId="1" applyNumberFormat="1" applyFont="1" applyFill="1"/>
    <xf numFmtId="43" fontId="9" fillId="0" borderId="8" xfId="1" applyFont="1" applyBorder="1" applyAlignment="1">
      <alignment horizontal="left"/>
    </xf>
    <xf numFmtId="168" fontId="9" fillId="0" borderId="8" xfId="1" applyNumberFormat="1" applyFont="1" applyBorder="1" applyAlignment="1">
      <alignment horizontal="right"/>
    </xf>
    <xf numFmtId="168" fontId="9" fillId="0" borderId="0" xfId="1" applyNumberFormat="1" applyFont="1" applyFill="1" applyBorder="1" applyAlignment="1">
      <alignment horizontal="right"/>
    </xf>
    <xf numFmtId="168" fontId="21" fillId="0" borderId="0" xfId="1" applyNumberFormat="1" applyFont="1" applyFill="1" applyBorder="1" applyAlignment="1">
      <alignment horizontal="right"/>
    </xf>
    <xf numFmtId="168" fontId="21" fillId="0" borderId="0" xfId="1" applyNumberFormat="1" applyFont="1" applyFill="1" applyAlignment="1">
      <alignment horizontal="right"/>
    </xf>
    <xf numFmtId="9" fontId="9" fillId="0" borderId="8" xfId="1" applyNumberFormat="1" applyFont="1" applyFill="1" applyBorder="1" applyAlignment="1">
      <alignment horizontal="center"/>
    </xf>
    <xf numFmtId="9" fontId="21" fillId="0" borderId="8" xfId="1" applyNumberFormat="1" applyFont="1" applyFill="1" applyBorder="1" applyAlignment="1">
      <alignment horizontal="center"/>
    </xf>
    <xf numFmtId="9" fontId="4" fillId="0" borderId="0" xfId="2" applyFont="1" applyBorder="1" applyAlignment="1">
      <alignment horizontal="right"/>
    </xf>
    <xf numFmtId="43" fontId="7" fillId="0" borderId="5" xfId="1" applyFont="1" applyBorder="1"/>
    <xf numFmtId="9" fontId="29" fillId="0" borderId="1" xfId="2" applyFont="1" applyFill="1" applyBorder="1" applyAlignment="1">
      <alignment horizontal="right"/>
    </xf>
    <xf numFmtId="168" fontId="21" fillId="0" borderId="1" xfId="1" applyNumberFormat="1" applyFont="1" applyFill="1" applyBorder="1" applyAlignment="1">
      <alignment horizontal="right"/>
    </xf>
    <xf numFmtId="168" fontId="9" fillId="0" borderId="5" xfId="1" applyNumberFormat="1" applyFont="1" applyFill="1" applyBorder="1" applyAlignment="1">
      <alignment horizontal="center"/>
    </xf>
    <xf numFmtId="168" fontId="9" fillId="0" borderId="1" xfId="1" applyNumberFormat="1" applyFont="1" applyFill="1" applyBorder="1" applyAlignment="1">
      <alignment horizontal="right"/>
    </xf>
    <xf numFmtId="168" fontId="34" fillId="0" borderId="0" xfId="1" applyNumberFormat="1" applyFont="1" applyFill="1" applyBorder="1" applyAlignment="1">
      <alignment horizontal="right"/>
    </xf>
    <xf numFmtId="9" fontId="9" fillId="0" borderId="0" xfId="1" applyNumberFormat="1" applyFont="1" applyFill="1" applyBorder="1"/>
    <xf numFmtId="0" fontId="23" fillId="0" borderId="0" xfId="0" applyFont="1" applyFill="1" applyBorder="1"/>
    <xf numFmtId="43" fontId="7" fillId="0" borderId="10" xfId="1" applyFont="1" applyBorder="1"/>
    <xf numFmtId="168" fontId="9" fillId="0" borderId="3" xfId="1" applyNumberFormat="1" applyFont="1" applyFill="1" applyBorder="1" applyAlignment="1">
      <alignment horizontal="center"/>
    </xf>
    <xf numFmtId="168" fontId="34" fillId="0" borderId="3" xfId="1" applyNumberFormat="1" applyFont="1" applyFill="1" applyBorder="1" applyAlignment="1">
      <alignment horizontal="right"/>
    </xf>
    <xf numFmtId="168" fontId="9" fillId="0" borderId="3" xfId="1" applyNumberFormat="1" applyFont="1" applyFill="1" applyBorder="1" applyAlignment="1">
      <alignment horizontal="right"/>
    </xf>
    <xf numFmtId="168" fontId="9" fillId="0" borderId="3" xfId="1" applyNumberFormat="1" applyFont="1" applyFill="1" applyBorder="1"/>
    <xf numFmtId="0" fontId="23" fillId="0" borderId="0" xfId="0" applyFont="1" applyBorder="1"/>
    <xf numFmtId="1" fontId="23" fillId="0" borderId="0" xfId="0" applyNumberFormat="1" applyFont="1" applyFill="1"/>
    <xf numFmtId="43" fontId="26" fillId="14" borderId="24" xfId="1" applyFont="1" applyFill="1" applyBorder="1"/>
    <xf numFmtId="0" fontId="60" fillId="14" borderId="25" xfId="0" applyFont="1" applyFill="1" applyBorder="1"/>
    <xf numFmtId="0" fontId="60" fillId="14" borderId="26" xfId="0" applyFont="1" applyFill="1" applyBorder="1"/>
    <xf numFmtId="43" fontId="23" fillId="0" borderId="27" xfId="1" applyFont="1" applyBorder="1"/>
    <xf numFmtId="43" fontId="7" fillId="2" borderId="0" xfId="1" applyFont="1" applyFill="1" applyBorder="1" applyAlignment="1">
      <alignment horizontal="center"/>
    </xf>
    <xf numFmtId="0" fontId="23" fillId="2" borderId="0" xfId="0" applyFont="1" applyFill="1" applyBorder="1"/>
    <xf numFmtId="0" fontId="23" fillId="0" borderId="28" xfId="0" applyFont="1" applyBorder="1"/>
    <xf numFmtId="43" fontId="20" fillId="2" borderId="0" xfId="1" applyFont="1" applyFill="1" applyBorder="1" applyAlignment="1">
      <alignment horizontal="center"/>
    </xf>
    <xf numFmtId="0" fontId="61" fillId="2" borderId="0" xfId="0" applyFont="1" applyFill="1" applyBorder="1"/>
    <xf numFmtId="43" fontId="7" fillId="0" borderId="27" xfId="1" applyFont="1" applyBorder="1"/>
    <xf numFmtId="171" fontId="9" fillId="0" borderId="0" xfId="0" applyNumberFormat="1" applyFont="1" applyBorder="1"/>
    <xf numFmtId="174" fontId="21" fillId="0" borderId="0" xfId="1" applyNumberFormat="1" applyFont="1" applyBorder="1"/>
    <xf numFmtId="171" fontId="18" fillId="0" borderId="0" xfId="0" applyNumberFormat="1" applyFont="1" applyBorder="1"/>
    <xf numFmtId="0" fontId="7" fillId="0" borderId="0" xfId="0" applyFont="1" applyBorder="1"/>
    <xf numFmtId="171" fontId="7" fillId="0" borderId="0" xfId="0" applyNumberFormat="1" applyFont="1" applyBorder="1"/>
    <xf numFmtId="174" fontId="62" fillId="0" borderId="0" xfId="1" applyNumberFormat="1" applyFont="1" applyBorder="1"/>
    <xf numFmtId="43" fontId="9" fillId="0" borderId="27" xfId="1" applyFont="1" applyBorder="1"/>
    <xf numFmtId="43" fontId="7" fillId="0" borderId="29" xfId="1" applyFont="1" applyBorder="1"/>
    <xf numFmtId="0" fontId="9" fillId="0" borderId="30" xfId="0" applyFont="1" applyBorder="1"/>
    <xf numFmtId="6" fontId="63" fillId="14" borderId="30" xfId="0" applyNumberFormat="1" applyFont="1" applyFill="1" applyBorder="1"/>
    <xf numFmtId="0" fontId="23" fillId="0" borderId="30" xfId="0" applyFont="1" applyBorder="1"/>
    <xf numFmtId="0" fontId="23" fillId="0" borderId="30" xfId="0" applyFont="1" applyFill="1" applyBorder="1"/>
    <xf numFmtId="0" fontId="23" fillId="0" borderId="31" xfId="0" applyFont="1" applyBorder="1"/>
    <xf numFmtId="165" fontId="42" fillId="0" borderId="0" xfId="0" applyNumberFormat="1" applyFont="1" applyFill="1"/>
    <xf numFmtId="171" fontId="9" fillId="0" borderId="0" xfId="0" applyNumberFormat="1" applyFont="1" applyFill="1"/>
    <xf numFmtId="171" fontId="12" fillId="15" borderId="2" xfId="1" applyNumberFormat="1" applyFont="1" applyFill="1" applyBorder="1"/>
    <xf numFmtId="171" fontId="10" fillId="15" borderId="8" xfId="1" applyNumberFormat="1" applyFont="1" applyFill="1" applyBorder="1"/>
    <xf numFmtId="171" fontId="10" fillId="15" borderId="0" xfId="1" applyNumberFormat="1" applyFont="1" applyFill="1"/>
    <xf numFmtId="171" fontId="7" fillId="8" borderId="2" xfId="1" applyNumberFormat="1" applyFont="1" applyFill="1" applyBorder="1"/>
    <xf numFmtId="171" fontId="7" fillId="8" borderId="3" xfId="1" applyNumberFormat="1" applyFont="1" applyFill="1" applyBorder="1"/>
    <xf numFmtId="171" fontId="9" fillId="8" borderId="0" xfId="1" applyNumberFormat="1" applyFont="1" applyFill="1"/>
    <xf numFmtId="171" fontId="9" fillId="0" borderId="8" xfId="1" applyNumberFormat="1" applyFont="1" applyBorder="1"/>
    <xf numFmtId="171" fontId="18" fillId="0" borderId="8" xfId="1" applyNumberFormat="1" applyFont="1" applyBorder="1"/>
    <xf numFmtId="171" fontId="18" fillId="0" borderId="0" xfId="1" applyNumberFormat="1" applyFont="1"/>
    <xf numFmtId="171" fontId="7" fillId="0" borderId="8" xfId="1" applyNumberFormat="1" applyFont="1" applyBorder="1"/>
    <xf numFmtId="171" fontId="7" fillId="0" borderId="0" xfId="1" applyNumberFormat="1" applyFont="1"/>
    <xf numFmtId="171" fontId="9" fillId="7" borderId="0" xfId="1" applyNumberFormat="1" applyFont="1" applyFill="1"/>
    <xf numFmtId="171" fontId="7" fillId="0" borderId="21" xfId="1" applyNumberFormat="1" applyFont="1" applyBorder="1"/>
    <xf numFmtId="171" fontId="7" fillId="0" borderId="22" xfId="1" applyNumberFormat="1" applyFont="1" applyBorder="1"/>
    <xf numFmtId="43" fontId="7" fillId="0" borderId="22" xfId="1" applyNumberFormat="1" applyFont="1" applyBorder="1"/>
    <xf numFmtId="171" fontId="64" fillId="0" borderId="0" xfId="1" applyNumberFormat="1" applyFont="1"/>
    <xf numFmtId="43" fontId="9" fillId="0" borderId="0" xfId="1" applyNumberFormat="1" applyFont="1"/>
    <xf numFmtId="171" fontId="9" fillId="0" borderId="10" xfId="1" applyNumberFormat="1" applyFont="1" applyFill="1" applyBorder="1"/>
    <xf numFmtId="171" fontId="9" fillId="0" borderId="10" xfId="1" applyNumberFormat="1" applyFont="1" applyBorder="1"/>
    <xf numFmtId="171" fontId="13" fillId="0" borderId="0" xfId="1" applyNumberFormat="1" applyFont="1" applyFill="1"/>
    <xf numFmtId="171" fontId="13" fillId="0" borderId="0" xfId="1" applyNumberFormat="1" applyFont="1"/>
    <xf numFmtId="171" fontId="13" fillId="0" borderId="8" xfId="1" applyNumberFormat="1" applyFont="1" applyBorder="1"/>
    <xf numFmtId="171" fontId="9" fillId="2" borderId="0" xfId="1" applyNumberFormat="1" applyFont="1" applyFill="1"/>
    <xf numFmtId="171" fontId="13" fillId="2" borderId="0" xfId="1" applyNumberFormat="1" applyFont="1" applyFill="1"/>
    <xf numFmtId="171" fontId="9" fillId="2" borderId="8" xfId="1" applyNumberFormat="1" applyFont="1" applyFill="1" applyBorder="1"/>
    <xf numFmtId="171" fontId="13" fillId="2" borderId="0" xfId="1" applyNumberFormat="1" applyFont="1" applyFill="1" applyBorder="1"/>
    <xf numFmtId="171" fontId="21" fillId="2" borderId="8" xfId="1" applyNumberFormat="1" applyFont="1" applyFill="1" applyBorder="1"/>
    <xf numFmtId="171" fontId="7" fillId="0" borderId="22" xfId="1" applyNumberFormat="1" applyFont="1" applyFill="1" applyBorder="1"/>
    <xf numFmtId="171" fontId="7" fillId="0" borderId="21" xfId="1" applyNumberFormat="1" applyFont="1" applyFill="1" applyBorder="1"/>
    <xf numFmtId="168" fontId="7" fillId="0" borderId="22" xfId="1" applyNumberFormat="1" applyFont="1" applyBorder="1"/>
    <xf numFmtId="169" fontId="7" fillId="8" borderId="3" xfId="1" applyNumberFormat="1" applyFont="1" applyFill="1" applyBorder="1"/>
    <xf numFmtId="171" fontId="21" fillId="0" borderId="8" xfId="1" applyNumberFormat="1" applyFont="1" applyBorder="1"/>
    <xf numFmtId="171" fontId="7" fillId="2" borderId="22" xfId="1" applyNumberFormat="1" applyFont="1" applyFill="1" applyBorder="1"/>
    <xf numFmtId="171" fontId="13" fillId="2" borderId="8" xfId="1" applyNumberFormat="1" applyFont="1" applyFill="1" applyBorder="1"/>
    <xf numFmtId="171" fontId="7" fillId="0" borderId="3" xfId="1" applyNumberFormat="1" applyFont="1" applyBorder="1"/>
    <xf numFmtId="171" fontId="9" fillId="0" borderId="32" xfId="1" applyNumberFormat="1" applyFont="1" applyFill="1" applyBorder="1"/>
    <xf numFmtId="171" fontId="9" fillId="0" borderId="22" xfId="1" applyNumberFormat="1" applyFont="1" applyFill="1" applyBorder="1"/>
    <xf numFmtId="171" fontId="13" fillId="0" borderId="23" xfId="1" applyNumberFormat="1" applyFont="1" applyFill="1" applyBorder="1"/>
    <xf numFmtId="171" fontId="13" fillId="0" borderId="32" xfId="1" applyNumberFormat="1" applyFont="1" applyFill="1" applyBorder="1"/>
    <xf numFmtId="171" fontId="13" fillId="0" borderId="22" xfId="1" applyNumberFormat="1" applyFont="1" applyFill="1" applyBorder="1"/>
    <xf numFmtId="169" fontId="7" fillId="0" borderId="22" xfId="1" applyNumberFormat="1" applyFont="1" applyBorder="1"/>
    <xf numFmtId="171" fontId="7" fillId="0" borderId="1" xfId="1" applyNumberFormat="1" applyFont="1" applyBorder="1"/>
    <xf numFmtId="171" fontId="9" fillId="0" borderId="2" xfId="1" applyNumberFormat="1" applyFont="1" applyBorder="1"/>
    <xf numFmtId="171" fontId="65" fillId="0" borderId="2" xfId="1" applyNumberFormat="1" applyFont="1" applyBorder="1"/>
    <xf numFmtId="171" fontId="9" fillId="0" borderId="7" xfId="1" applyNumberFormat="1" applyFont="1" applyBorder="1"/>
    <xf numFmtId="171" fontId="9" fillId="0" borderId="3" xfId="1" applyNumberFormat="1" applyFont="1" applyBorder="1"/>
    <xf numFmtId="171" fontId="9" fillId="0" borderId="3" xfId="1" applyNumberFormat="1" applyFont="1" applyFill="1" applyBorder="1"/>
    <xf numFmtId="171" fontId="9" fillId="0" borderId="5" xfId="1" applyNumberFormat="1" applyFont="1" applyBorder="1"/>
    <xf numFmtId="171" fontId="9" fillId="0" borderId="11" xfId="1" applyNumberFormat="1" applyFont="1" applyBorder="1"/>
    <xf numFmtId="171" fontId="9" fillId="0" borderId="1" xfId="1" applyNumberFormat="1" applyFont="1" applyBorder="1"/>
    <xf numFmtId="171" fontId="9" fillId="0" borderId="1" xfId="1" applyNumberFormat="1" applyFont="1" applyFill="1" applyBorder="1"/>
    <xf numFmtId="168" fontId="64" fillId="0" borderId="0" xfId="1" applyNumberFormat="1" applyFont="1"/>
    <xf numFmtId="170" fontId="64" fillId="0" borderId="0" xfId="1" applyNumberFormat="1" applyFont="1"/>
    <xf numFmtId="43" fontId="64" fillId="0" borderId="0" xfId="1" applyNumberFormat="1" applyFont="1" applyFill="1"/>
    <xf numFmtId="168" fontId="64" fillId="0" borderId="0" xfId="1" applyNumberFormat="1" applyFont="1" applyFill="1"/>
    <xf numFmtId="171" fontId="9" fillId="8" borderId="33" xfId="1" applyNumberFormat="1" applyFont="1" applyFill="1" applyBorder="1"/>
    <xf numFmtId="171" fontId="9" fillId="8" borderId="34" xfId="1" applyNumberFormat="1" applyFont="1" applyFill="1" applyBorder="1"/>
    <xf numFmtId="171" fontId="9" fillId="8" borderId="35" xfId="1" applyNumberFormat="1" applyFont="1" applyFill="1" applyBorder="1"/>
    <xf numFmtId="171" fontId="9" fillId="8" borderId="36" xfId="1" applyNumberFormat="1" applyFont="1" applyFill="1" applyBorder="1"/>
    <xf numFmtId="171" fontId="18" fillId="8" borderId="37" xfId="1" applyNumberFormat="1" applyFont="1" applyFill="1" applyBorder="1"/>
    <xf numFmtId="171" fontId="18" fillId="8" borderId="38" xfId="1" applyNumberFormat="1" applyFont="1" applyFill="1" applyBorder="1"/>
    <xf numFmtId="171" fontId="18" fillId="8" borderId="0" xfId="1" applyNumberFormat="1" applyFont="1" applyFill="1" applyBorder="1"/>
    <xf numFmtId="171" fontId="18" fillId="8" borderId="39" xfId="1" applyNumberFormat="1" applyFont="1" applyFill="1" applyBorder="1"/>
    <xf numFmtId="171" fontId="18" fillId="8" borderId="0" xfId="1" applyNumberFormat="1" applyFont="1" applyFill="1"/>
    <xf numFmtId="171" fontId="7" fillId="8" borderId="40" xfId="1" applyNumberFormat="1" applyFont="1" applyFill="1" applyBorder="1"/>
    <xf numFmtId="171" fontId="7" fillId="8" borderId="41" xfId="1" applyNumberFormat="1" applyFont="1" applyFill="1" applyBorder="1"/>
    <xf numFmtId="171" fontId="7" fillId="8" borderId="42" xfId="1" applyNumberFormat="1" applyFont="1" applyFill="1" applyBorder="1"/>
    <xf numFmtId="171" fontId="7" fillId="8" borderId="43" xfId="1" applyNumberFormat="1" applyFont="1" applyFill="1" applyBorder="1"/>
    <xf numFmtId="171" fontId="7" fillId="8" borderId="0" xfId="1" applyNumberFormat="1" applyFont="1" applyFill="1"/>
    <xf numFmtId="171" fontId="7" fillId="8" borderId="7" xfId="1" applyNumberFormat="1" applyFont="1" applyFill="1" applyBorder="1"/>
    <xf numFmtId="171" fontId="7" fillId="8" borderId="4" xfId="1" applyNumberFormat="1" applyFont="1" applyFill="1" applyBorder="1"/>
    <xf numFmtId="171" fontId="9" fillId="0" borderId="0" xfId="1" applyNumberFormat="1" applyFont="1" applyBorder="1"/>
    <xf numFmtId="171" fontId="9" fillId="8" borderId="0" xfId="1" applyNumberFormat="1" applyFont="1" applyFill="1" applyBorder="1"/>
    <xf numFmtId="171" fontId="7" fillId="8" borderId="9" xfId="1" applyNumberFormat="1" applyFont="1" applyFill="1" applyBorder="1"/>
    <xf numFmtId="171" fontId="7" fillId="8" borderId="0" xfId="1" applyNumberFormat="1" applyFont="1" applyFill="1" applyBorder="1"/>
    <xf numFmtId="171" fontId="7" fillId="0" borderId="0" xfId="1" applyNumberFormat="1" applyFont="1" applyBorder="1"/>
    <xf numFmtId="171" fontId="7" fillId="8" borderId="10" xfId="1" applyNumberFormat="1" applyFont="1" applyFill="1" applyBorder="1"/>
    <xf numFmtId="171" fontId="9" fillId="8" borderId="9" xfId="1" applyNumberFormat="1" applyFont="1" applyFill="1" applyBorder="1"/>
    <xf numFmtId="171" fontId="9" fillId="8" borderId="10" xfId="1" applyNumberFormat="1" applyFont="1" applyFill="1" applyBorder="1"/>
    <xf numFmtId="175" fontId="7" fillId="8" borderId="0" xfId="1" applyNumberFormat="1" applyFont="1" applyFill="1" applyBorder="1"/>
    <xf numFmtId="175" fontId="7" fillId="8" borderId="10" xfId="1" applyNumberFormat="1" applyFont="1" applyFill="1" applyBorder="1"/>
    <xf numFmtId="171" fontId="7" fillId="8" borderId="44" xfId="1" applyNumberFormat="1" applyFont="1" applyFill="1" applyBorder="1"/>
    <xf numFmtId="171" fontId="7" fillId="0" borderId="45" xfId="1" applyNumberFormat="1" applyFont="1" applyBorder="1"/>
    <xf numFmtId="175" fontId="7" fillId="8" borderId="45" xfId="1" applyNumberFormat="1" applyFont="1" applyFill="1" applyBorder="1"/>
    <xf numFmtId="175" fontId="7" fillId="8" borderId="46" xfId="1" applyNumberFormat="1" applyFont="1" applyFill="1" applyBorder="1"/>
    <xf numFmtId="171" fontId="7" fillId="8" borderId="33" xfId="1" applyNumberFormat="1" applyFont="1" applyFill="1" applyBorder="1"/>
    <xf numFmtId="171" fontId="9" fillId="8" borderId="37" xfId="1" applyNumberFormat="1" applyFont="1" applyFill="1" applyBorder="1"/>
    <xf numFmtId="171" fontId="9" fillId="8" borderId="38" xfId="1" applyNumberFormat="1" applyFont="1" applyFill="1" applyBorder="1"/>
    <xf numFmtId="171" fontId="9" fillId="8" borderId="39" xfId="1" applyNumberFormat="1" applyFont="1" applyFill="1" applyBorder="1"/>
    <xf numFmtId="171" fontId="9" fillId="8" borderId="40" xfId="1" applyNumberFormat="1" applyFont="1" applyFill="1" applyBorder="1"/>
    <xf numFmtId="171" fontId="9" fillId="8" borderId="41" xfId="1" applyNumberFormat="1" applyFont="1" applyFill="1" applyBorder="1"/>
    <xf numFmtId="171" fontId="9" fillId="8" borderId="42" xfId="1" applyNumberFormat="1" applyFont="1" applyFill="1" applyBorder="1"/>
    <xf numFmtId="171" fontId="9" fillId="8" borderId="43" xfId="1" applyNumberFormat="1" applyFont="1" applyFill="1" applyBorder="1"/>
    <xf numFmtId="171" fontId="7" fillId="5" borderId="12" xfId="1" applyNumberFormat="1" applyFont="1" applyFill="1" applyBorder="1"/>
    <xf numFmtId="171" fontId="9" fillId="5" borderId="47" xfId="1" applyNumberFormat="1" applyFont="1" applyFill="1" applyBorder="1"/>
    <xf numFmtId="171" fontId="9" fillId="5" borderId="13" xfId="1" applyNumberFormat="1" applyFont="1" applyFill="1" applyBorder="1"/>
    <xf numFmtId="171" fontId="9" fillId="5" borderId="48" xfId="1" applyNumberFormat="1" applyFont="1" applyFill="1" applyBorder="1"/>
    <xf numFmtId="171" fontId="9" fillId="5" borderId="49" xfId="1" applyNumberFormat="1" applyFont="1" applyFill="1" applyBorder="1"/>
    <xf numFmtId="171" fontId="9" fillId="5" borderId="50" xfId="1" applyNumberFormat="1" applyFont="1" applyFill="1" applyBorder="1"/>
    <xf numFmtId="171" fontId="9" fillId="5" borderId="51" xfId="1" applyNumberFormat="1" applyFont="1" applyFill="1" applyBorder="1"/>
    <xf numFmtId="171" fontId="13" fillId="5" borderId="0" xfId="1" applyNumberFormat="1" applyFont="1" applyFill="1" applyBorder="1"/>
    <xf numFmtId="171" fontId="9" fillId="5" borderId="52" xfId="1" applyNumberFormat="1" applyFont="1" applyFill="1" applyBorder="1"/>
    <xf numFmtId="171" fontId="13" fillId="5" borderId="53" xfId="1" applyNumberFormat="1" applyFont="1" applyFill="1" applyBorder="1"/>
    <xf numFmtId="171" fontId="13" fillId="5" borderId="54" xfId="1" applyNumberFormat="1" applyFont="1" applyFill="1" applyBorder="1"/>
    <xf numFmtId="171" fontId="9" fillId="5" borderId="55" xfId="1" applyNumberFormat="1" applyFont="1" applyFill="1" applyBorder="1"/>
    <xf numFmtId="171" fontId="13" fillId="5" borderId="14" xfId="1" applyNumberFormat="1" applyFont="1" applyFill="1" applyBorder="1"/>
    <xf numFmtId="171" fontId="13" fillId="5" borderId="55" xfId="1" applyNumberFormat="1" applyFont="1" applyFill="1" applyBorder="1"/>
    <xf numFmtId="171" fontId="66" fillId="5" borderId="0" xfId="1" applyNumberFormat="1" applyFont="1" applyFill="1" applyBorder="1"/>
    <xf numFmtId="171" fontId="9" fillId="5" borderId="53" xfId="1" applyNumberFormat="1" applyFont="1" applyFill="1" applyBorder="1"/>
    <xf numFmtId="171" fontId="9" fillId="5" borderId="54" xfId="1" applyNumberFormat="1" applyFont="1" applyFill="1" applyBorder="1"/>
    <xf numFmtId="10" fontId="66" fillId="5" borderId="0" xfId="2" applyNumberFormat="1" applyFont="1" applyFill="1" applyBorder="1"/>
    <xf numFmtId="10" fontId="13" fillId="5" borderId="0" xfId="2" applyNumberFormat="1" applyFont="1" applyFill="1" applyBorder="1"/>
    <xf numFmtId="10" fontId="9" fillId="5" borderId="14" xfId="2" applyNumberFormat="1" applyFont="1" applyFill="1" applyBorder="1"/>
    <xf numFmtId="10" fontId="13" fillId="5" borderId="55" xfId="2" applyNumberFormat="1" applyFont="1" applyFill="1" applyBorder="1"/>
    <xf numFmtId="10" fontId="13" fillId="5" borderId="53" xfId="2" applyNumberFormat="1" applyFont="1" applyFill="1" applyBorder="1"/>
    <xf numFmtId="10" fontId="13" fillId="5" borderId="54" xfId="2" applyNumberFormat="1" applyFont="1" applyFill="1" applyBorder="1"/>
    <xf numFmtId="10" fontId="13" fillId="5" borderId="14" xfId="2" applyNumberFormat="1" applyFont="1" applyFill="1" applyBorder="1"/>
    <xf numFmtId="10" fontId="9" fillId="5" borderId="0" xfId="2" applyNumberFormat="1" applyFont="1" applyFill="1" applyBorder="1"/>
    <xf numFmtId="171" fontId="9" fillId="5" borderId="56" xfId="1" applyNumberFormat="1" applyFont="1" applyFill="1" applyBorder="1"/>
    <xf numFmtId="171" fontId="9" fillId="5" borderId="57" xfId="1" applyNumberFormat="1" applyFont="1" applyFill="1" applyBorder="1"/>
    <xf numFmtId="171" fontId="66" fillId="5" borderId="16" xfId="1" applyNumberFormat="1" applyFont="1" applyFill="1" applyBorder="1"/>
    <xf numFmtId="171" fontId="9" fillId="5" borderId="58" xfId="1" applyNumberFormat="1" applyFont="1" applyFill="1" applyBorder="1"/>
    <xf numFmtId="171" fontId="9" fillId="5" borderId="59" xfId="1" applyNumberFormat="1" applyFont="1" applyFill="1" applyBorder="1"/>
    <xf numFmtId="171" fontId="9" fillId="5" borderId="60" xfId="1" applyNumberFormat="1" applyFont="1" applyFill="1" applyBorder="1"/>
    <xf numFmtId="171" fontId="7" fillId="8" borderId="34" xfId="1" applyNumberFormat="1" applyFont="1" applyFill="1" applyBorder="1"/>
    <xf numFmtId="171" fontId="7" fillId="8" borderId="35" xfId="1" applyNumberFormat="1" applyFont="1" applyFill="1" applyBorder="1"/>
    <xf numFmtId="171" fontId="7" fillId="8" borderId="36" xfId="1" applyNumberFormat="1" applyFont="1" applyFill="1" applyBorder="1"/>
    <xf numFmtId="9" fontId="13" fillId="8" borderId="0" xfId="2" applyFont="1" applyFill="1" applyBorder="1"/>
    <xf numFmtId="9" fontId="13" fillId="8" borderId="38" xfId="2" applyFont="1" applyFill="1" applyBorder="1"/>
    <xf numFmtId="175" fontId="13" fillId="8" borderId="0" xfId="1" applyNumberFormat="1" applyFont="1" applyFill="1" applyBorder="1"/>
    <xf numFmtId="175" fontId="13" fillId="8" borderId="38" xfId="1" applyNumberFormat="1" applyFont="1" applyFill="1" applyBorder="1"/>
    <xf numFmtId="175" fontId="9" fillId="8" borderId="43" xfId="1" applyNumberFormat="1" applyFont="1" applyFill="1" applyBorder="1"/>
    <xf numFmtId="3" fontId="9" fillId="8" borderId="0" xfId="2" applyNumberFormat="1" applyFont="1" applyFill="1" applyBorder="1"/>
    <xf numFmtId="3" fontId="9" fillId="8" borderId="38" xfId="1" applyNumberFormat="1" applyFont="1" applyFill="1" applyBorder="1"/>
    <xf numFmtId="3" fontId="9" fillId="8" borderId="38" xfId="2" applyNumberFormat="1" applyFont="1" applyFill="1" applyBorder="1"/>
    <xf numFmtId="3" fontId="13" fillId="8" borderId="0" xfId="2" applyNumberFormat="1" applyFont="1" applyFill="1" applyBorder="1"/>
    <xf numFmtId="168" fontId="9" fillId="8" borderId="42" xfId="1" applyNumberFormat="1" applyFont="1" applyFill="1" applyBorder="1"/>
    <xf numFmtId="176" fontId="9" fillId="8" borderId="42" xfId="1" applyNumberFormat="1" applyFont="1" applyFill="1" applyBorder="1"/>
    <xf numFmtId="168" fontId="9" fillId="8" borderId="41" xfId="1" applyNumberFormat="1" applyFont="1" applyFill="1" applyBorder="1"/>
    <xf numFmtId="171" fontId="9" fillId="0" borderId="0" xfId="1" quotePrefix="1" applyNumberFormat="1" applyFont="1"/>
    <xf numFmtId="168" fontId="9" fillId="8" borderId="0" xfId="1" applyNumberFormat="1" applyFont="1" applyFill="1" applyBorder="1"/>
    <xf numFmtId="10" fontId="0" fillId="0" borderId="0" xfId="2" applyNumberFormat="1" applyFont="1"/>
    <xf numFmtId="171" fontId="12" fillId="6" borderId="61" xfId="4" applyNumberFormat="1" applyFont="1" applyFill="1" applyBorder="1" applyAlignment="1">
      <alignment horizontal="left"/>
    </xf>
    <xf numFmtId="0" fontId="12" fillId="6" borderId="0" xfId="4" quotePrefix="1" applyNumberFormat="1" applyFont="1" applyFill="1" applyBorder="1" applyAlignment="1">
      <alignment horizontal="right"/>
    </xf>
    <xf numFmtId="171" fontId="12" fillId="6" borderId="0" xfId="4" applyNumberFormat="1" applyFont="1" applyFill="1" applyBorder="1" applyAlignment="1">
      <alignment horizontal="left"/>
    </xf>
    <xf numFmtId="171" fontId="2" fillId="0" borderId="0" xfId="4" applyNumberFormat="1" applyFont="1"/>
    <xf numFmtId="171" fontId="53" fillId="11" borderId="61" xfId="4" applyNumberFormat="1" applyFont="1" applyFill="1" applyBorder="1"/>
    <xf numFmtId="171" fontId="53" fillId="11" borderId="62" xfId="4" applyNumberFormat="1" applyFont="1" applyFill="1" applyBorder="1"/>
    <xf numFmtId="171" fontId="53" fillId="11" borderId="63" xfId="4" applyNumberFormat="1" applyFont="1" applyFill="1" applyBorder="1"/>
    <xf numFmtId="171" fontId="2" fillId="2" borderId="64" xfId="4" applyNumberFormat="1" applyFont="1" applyFill="1" applyBorder="1" applyAlignment="1">
      <alignment horizontal="left" indent="1"/>
    </xf>
    <xf numFmtId="171" fontId="2" fillId="0" borderId="10" xfId="4" applyNumberFormat="1" applyFont="1" applyBorder="1" applyAlignment="1">
      <alignment horizontal="left" indent="1"/>
    </xf>
    <xf numFmtId="171" fontId="2" fillId="2" borderId="0" xfId="4" applyNumberFormat="1" applyFont="1" applyFill="1" applyBorder="1"/>
    <xf numFmtId="171" fontId="2" fillId="2" borderId="10" xfId="4" applyNumberFormat="1" applyFont="1" applyFill="1" applyBorder="1"/>
    <xf numFmtId="171" fontId="28" fillId="2" borderId="64" xfId="4" applyNumberFormat="1" applyFont="1" applyFill="1" applyBorder="1" applyAlignment="1">
      <alignment horizontal="left" indent="2"/>
    </xf>
    <xf numFmtId="171" fontId="2" fillId="2" borderId="10" xfId="4" applyNumberFormat="1" applyFont="1" applyFill="1" applyBorder="1" applyAlignment="1">
      <alignment horizontal="left" indent="1"/>
    </xf>
    <xf numFmtId="9" fontId="28" fillId="2" borderId="0" xfId="4" applyNumberFormat="1" applyFont="1" applyFill="1" applyBorder="1"/>
    <xf numFmtId="9" fontId="68" fillId="2" borderId="0" xfId="4" applyNumberFormat="1" applyFont="1" applyFill="1" applyBorder="1"/>
    <xf numFmtId="9" fontId="68" fillId="16" borderId="0" xfId="4" applyNumberFormat="1" applyFont="1" applyFill="1" applyBorder="1"/>
    <xf numFmtId="171" fontId="2" fillId="2" borderId="0" xfId="4" applyNumberFormat="1" applyFont="1" applyFill="1"/>
    <xf numFmtId="171" fontId="53" fillId="2" borderId="0" xfId="4" applyNumberFormat="1" applyFont="1" applyFill="1" applyBorder="1"/>
    <xf numFmtId="171" fontId="53" fillId="2" borderId="64" xfId="4" applyNumberFormat="1" applyFont="1" applyFill="1" applyBorder="1" applyAlignment="1">
      <alignment horizontal="left" indent="1"/>
    </xf>
    <xf numFmtId="171" fontId="2" fillId="0" borderId="0" xfId="4" applyNumberFormat="1" applyFont="1" applyFill="1"/>
    <xf numFmtId="171" fontId="53" fillId="0" borderId="61" xfId="4" applyNumberFormat="1" applyFont="1" applyBorder="1"/>
    <xf numFmtId="171" fontId="53" fillId="0" borderId="63" xfId="4" applyNumberFormat="1" applyFont="1" applyBorder="1"/>
    <xf numFmtId="171" fontId="53" fillId="0" borderId="62" xfId="4" applyNumberFormat="1" applyFont="1" applyBorder="1"/>
    <xf numFmtId="171" fontId="28" fillId="0" borderId="11" xfId="4" applyNumberFormat="1" applyFont="1" applyBorder="1"/>
    <xf numFmtId="171" fontId="28" fillId="0" borderId="46" xfId="4" applyNumberFormat="1" applyFont="1" applyBorder="1"/>
    <xf numFmtId="9" fontId="28" fillId="0" borderId="45" xfId="5" applyFont="1" applyBorder="1"/>
    <xf numFmtId="9" fontId="28" fillId="0" borderId="46" xfId="5" applyFont="1" applyBorder="1"/>
    <xf numFmtId="171" fontId="0" fillId="0" borderId="0" xfId="4" applyNumberFormat="1" applyFont="1" applyFill="1"/>
    <xf numFmtId="171" fontId="0" fillId="0" borderId="0" xfId="4" applyNumberFormat="1" applyFont="1" applyBorder="1"/>
    <xf numFmtId="171" fontId="0" fillId="0" borderId="0" xfId="4" applyNumberFormat="1" applyFont="1"/>
    <xf numFmtId="171" fontId="0" fillId="11" borderId="62" xfId="4" applyNumberFormat="1" applyFont="1" applyFill="1" applyBorder="1"/>
    <xf numFmtId="171" fontId="0" fillId="11" borderId="63" xfId="4" applyNumberFormat="1" applyFont="1" applyFill="1" applyBorder="1"/>
    <xf numFmtId="171" fontId="0" fillId="0" borderId="64" xfId="4" applyNumberFormat="1" applyFont="1" applyBorder="1"/>
    <xf numFmtId="171" fontId="0" fillId="0" borderId="10" xfId="4" applyNumberFormat="1" applyFont="1" applyBorder="1"/>
    <xf numFmtId="171" fontId="53" fillId="0" borderId="11" xfId="4" applyNumberFormat="1" applyFont="1" applyBorder="1"/>
    <xf numFmtId="171" fontId="0" fillId="0" borderId="45" xfId="4" applyNumberFormat="1" applyFont="1" applyBorder="1"/>
    <xf numFmtId="171" fontId="0" fillId="0" borderId="46" xfId="4" applyNumberFormat="1" applyFont="1" applyBorder="1"/>
    <xf numFmtId="171" fontId="2" fillId="0" borderId="64" xfId="4" applyNumberFormat="1" applyFont="1" applyBorder="1"/>
    <xf numFmtId="171" fontId="2" fillId="0" borderId="10" xfId="4" applyNumberFormat="1" applyFont="1" applyBorder="1"/>
    <xf numFmtId="9" fontId="2" fillId="0" borderId="0" xfId="5" applyFont="1" applyBorder="1"/>
    <xf numFmtId="9" fontId="2" fillId="0" borderId="0" xfId="5" applyNumberFormat="1" applyFont="1" applyBorder="1"/>
    <xf numFmtId="9" fontId="69" fillId="0" borderId="0" xfId="5" applyFont="1" applyBorder="1"/>
    <xf numFmtId="9" fontId="69" fillId="0" borderId="10" xfId="5" applyFont="1" applyBorder="1"/>
    <xf numFmtId="9" fontId="69" fillId="0" borderId="0" xfId="5" applyNumberFormat="1" applyFont="1" applyBorder="1"/>
    <xf numFmtId="9" fontId="69" fillId="0" borderId="10" xfId="5" applyNumberFormat="1" applyFont="1" applyBorder="1"/>
    <xf numFmtId="9" fontId="2" fillId="0" borderId="10" xfId="5" applyFont="1" applyBorder="1"/>
    <xf numFmtId="171" fontId="2" fillId="0" borderId="11" xfId="4" applyNumberFormat="1" applyFont="1" applyBorder="1"/>
    <xf numFmtId="171" fontId="2" fillId="0" borderId="46" xfId="4" applyNumberFormat="1" applyFont="1" applyBorder="1"/>
    <xf numFmtId="9" fontId="2" fillId="0" borderId="45" xfId="5" applyFont="1" applyBorder="1"/>
    <xf numFmtId="9" fontId="2" fillId="0" borderId="46" xfId="5" applyFont="1" applyBorder="1"/>
    <xf numFmtId="171" fontId="2" fillId="0" borderId="0" xfId="4" applyNumberFormat="1" applyFont="1" applyBorder="1"/>
    <xf numFmtId="171" fontId="70" fillId="0" borderId="64" xfId="4" applyNumberFormat="1" applyFont="1" applyBorder="1"/>
    <xf numFmtId="171" fontId="70" fillId="0" borderId="10" xfId="4" applyNumberFormat="1" applyFont="1" applyBorder="1"/>
    <xf numFmtId="171" fontId="70" fillId="0" borderId="0" xfId="4" applyNumberFormat="1" applyFont="1" applyBorder="1"/>
    <xf numFmtId="171" fontId="53" fillId="0" borderId="64" xfId="4" applyNumberFormat="1" applyFont="1" applyBorder="1"/>
    <xf numFmtId="171" fontId="53" fillId="0" borderId="10" xfId="4" applyNumberFormat="1" applyFont="1" applyBorder="1"/>
    <xf numFmtId="171" fontId="53" fillId="0" borderId="0" xfId="4" applyNumberFormat="1" applyFont="1" applyBorder="1"/>
    <xf numFmtId="171" fontId="28" fillId="0" borderId="64" xfId="4" applyNumberFormat="1" applyFont="1" applyBorder="1"/>
    <xf numFmtId="171" fontId="28" fillId="0" borderId="10" xfId="4" applyNumberFormat="1" applyFont="1" applyBorder="1"/>
    <xf numFmtId="9" fontId="28" fillId="0" borderId="0" xfId="5" applyFont="1" applyBorder="1"/>
    <xf numFmtId="9" fontId="71" fillId="0" borderId="0" xfId="5" applyFont="1" applyBorder="1"/>
    <xf numFmtId="9" fontId="71" fillId="0" borderId="10" xfId="5" applyFont="1" applyBorder="1"/>
    <xf numFmtId="171" fontId="2" fillId="2" borderId="64" xfId="4" applyNumberFormat="1" applyFont="1" applyFill="1" applyBorder="1"/>
    <xf numFmtId="171" fontId="2" fillId="0" borderId="0" xfId="4" applyNumberFormat="1" applyFont="1" applyFill="1" applyBorder="1"/>
    <xf numFmtId="171" fontId="72" fillId="0" borderId="0" xfId="4" applyNumberFormat="1" applyFont="1" applyFill="1" applyBorder="1"/>
    <xf numFmtId="171" fontId="72" fillId="0" borderId="0" xfId="4" applyNumberFormat="1" applyFont="1" applyBorder="1"/>
    <xf numFmtId="171" fontId="53" fillId="0" borderId="65" xfId="4" applyNumberFormat="1" applyFont="1" applyBorder="1"/>
    <xf numFmtId="171" fontId="2" fillId="0" borderId="66" xfId="4" applyNumberFormat="1" applyFont="1" applyBorder="1"/>
    <xf numFmtId="171" fontId="53" fillId="0" borderId="67" xfId="4" applyNumberFormat="1" applyFont="1" applyFill="1" applyBorder="1"/>
    <xf numFmtId="171" fontId="2" fillId="0" borderId="62" xfId="4" applyNumberFormat="1" applyFont="1" applyBorder="1"/>
    <xf numFmtId="171" fontId="53" fillId="0" borderId="62" xfId="4" applyNumberFormat="1" applyFont="1" applyFill="1" applyBorder="1"/>
    <xf numFmtId="171" fontId="2" fillId="0" borderId="63" xfId="4" applyNumberFormat="1" applyFont="1" applyBorder="1"/>
    <xf numFmtId="171" fontId="2" fillId="0" borderId="61" xfId="4" applyNumberFormat="1" applyFont="1" applyBorder="1"/>
    <xf numFmtId="171" fontId="2" fillId="0" borderId="62" xfId="4" applyNumberFormat="1" applyFont="1" applyFill="1" applyBorder="1"/>
    <xf numFmtId="171" fontId="72" fillId="0" borderId="62" xfId="4" applyNumberFormat="1" applyFont="1" applyFill="1" applyBorder="1"/>
    <xf numFmtId="171" fontId="2" fillId="0" borderId="45" xfId="4" applyNumberFormat="1" applyFont="1" applyBorder="1"/>
    <xf numFmtId="171" fontId="2" fillId="0" borderId="45" xfId="4" applyNumberFormat="1" applyFont="1" applyFill="1" applyBorder="1"/>
    <xf numFmtId="43" fontId="2" fillId="0" borderId="0" xfId="4" applyNumberFormat="1" applyFont="1" applyBorder="1"/>
    <xf numFmtId="43" fontId="2" fillId="0" borderId="10" xfId="4" applyNumberFormat="1" applyFont="1" applyBorder="1"/>
    <xf numFmtId="171" fontId="53" fillId="0" borderId="66" xfId="4" applyNumberFormat="1" applyFont="1" applyBorder="1"/>
    <xf numFmtId="171" fontId="53" fillId="0" borderId="67" xfId="4" applyNumberFormat="1" applyFont="1" applyBorder="1"/>
    <xf numFmtId="164" fontId="69" fillId="0" borderId="10" xfId="5" applyNumberFormat="1" applyFont="1" applyBorder="1" applyAlignment="1">
      <alignment horizontal="right"/>
    </xf>
    <xf numFmtId="9" fontId="69" fillId="0" borderId="10" xfId="5" applyFont="1" applyBorder="1" applyAlignment="1">
      <alignment horizontal="right"/>
    </xf>
    <xf numFmtId="171" fontId="53" fillId="2" borderId="64" xfId="4" applyNumberFormat="1" applyFont="1" applyFill="1" applyBorder="1"/>
    <xf numFmtId="171" fontId="53" fillId="2" borderId="11" xfId="4" applyNumberFormat="1" applyFont="1" applyFill="1" applyBorder="1"/>
    <xf numFmtId="9" fontId="17" fillId="2" borderId="68" xfId="7" applyFont="1" applyFill="1" applyBorder="1"/>
    <xf numFmtId="9" fontId="2" fillId="0" borderId="0" xfId="5" applyFont="1"/>
    <xf numFmtId="9" fontId="69" fillId="0" borderId="0" xfId="5" applyFont="1" applyBorder="1" applyAlignment="1">
      <alignment horizontal="right"/>
    </xf>
    <xf numFmtId="43" fontId="2" fillId="0" borderId="0" xfId="4" applyNumberFormat="1" applyFont="1"/>
    <xf numFmtId="171" fontId="73" fillId="14" borderId="11" xfId="4" applyNumberFormat="1" applyFont="1" applyFill="1" applyBorder="1"/>
    <xf numFmtId="43" fontId="73" fillId="14" borderId="46" xfId="4" applyFont="1" applyFill="1" applyBorder="1"/>
    <xf numFmtId="171" fontId="53" fillId="16" borderId="69" xfId="4" applyNumberFormat="1" applyFont="1" applyFill="1" applyBorder="1"/>
    <xf numFmtId="171" fontId="2" fillId="16" borderId="70" xfId="4" applyNumberFormat="1" applyFont="1" applyFill="1" applyBorder="1"/>
    <xf numFmtId="171" fontId="2" fillId="16" borderId="71" xfId="4" applyNumberFormat="1" applyFont="1" applyFill="1" applyBorder="1"/>
    <xf numFmtId="171" fontId="2" fillId="16" borderId="27" xfId="4" applyNumberFormat="1" applyFont="1" applyFill="1" applyBorder="1"/>
    <xf numFmtId="171" fontId="2" fillId="16" borderId="0" xfId="4" applyNumberFormat="1" applyFont="1" applyFill="1" applyBorder="1"/>
    <xf numFmtId="171" fontId="2" fillId="16" borderId="28" xfId="4" applyNumberFormat="1" applyFont="1" applyFill="1" applyBorder="1"/>
    <xf numFmtId="171" fontId="70" fillId="16" borderId="27" xfId="4" applyNumberFormat="1" applyFont="1" applyFill="1" applyBorder="1"/>
    <xf numFmtId="171" fontId="70" fillId="16" borderId="0" xfId="4" applyNumberFormat="1" applyFont="1" applyFill="1" applyBorder="1"/>
    <xf numFmtId="171" fontId="70" fillId="16" borderId="28" xfId="4" applyNumberFormat="1" applyFont="1" applyFill="1" applyBorder="1"/>
    <xf numFmtId="8" fontId="2" fillId="16" borderId="28" xfId="4" applyNumberFormat="1" applyFont="1" applyFill="1" applyBorder="1"/>
    <xf numFmtId="171" fontId="53" fillId="16" borderId="29" xfId="4" applyNumberFormat="1" applyFont="1" applyFill="1" applyBorder="1"/>
    <xf numFmtId="171" fontId="2" fillId="16" borderId="30" xfId="4" applyNumberFormat="1" applyFont="1" applyFill="1" applyBorder="1"/>
    <xf numFmtId="164" fontId="53" fillId="16" borderId="72" xfId="4" applyNumberFormat="1" applyFont="1" applyFill="1" applyBorder="1"/>
    <xf numFmtId="171" fontId="9" fillId="10" borderId="0" xfId="1" applyNumberFormat="1" applyFont="1" applyFill="1" applyBorder="1"/>
    <xf numFmtId="171" fontId="9" fillId="10" borderId="38" xfId="1" applyNumberFormat="1" applyFont="1" applyFill="1" applyBorder="1"/>
    <xf numFmtId="175" fontId="17" fillId="2" borderId="55" xfId="6" applyNumberFormat="1" applyFont="1" applyFill="1" applyBorder="1"/>
    <xf numFmtId="43" fontId="20" fillId="2" borderId="0" xfId="1" applyFont="1" applyFill="1" applyBorder="1" applyAlignment="1">
      <alignment horizontal="center"/>
    </xf>
    <xf numFmtId="43" fontId="20" fillId="2" borderId="28" xfId="1" applyFont="1" applyFill="1" applyBorder="1" applyAlignment="1">
      <alignment horizontal="center"/>
    </xf>
    <xf numFmtId="43" fontId="12" fillId="6" borderId="2" xfId="1" applyFont="1" applyFill="1" applyBorder="1" applyAlignment="1">
      <alignment horizontal="center" wrapText="1"/>
    </xf>
    <xf numFmtId="43" fontId="12" fillId="6" borderId="5" xfId="1" applyFont="1" applyFill="1" applyBorder="1" applyAlignment="1">
      <alignment horizontal="center" wrapText="1"/>
    </xf>
    <xf numFmtId="0" fontId="1" fillId="36" borderId="0" xfId="446" applyFill="1"/>
    <xf numFmtId="0" fontId="1" fillId="0" borderId="24" xfId="446" applyFill="1" applyBorder="1"/>
    <xf numFmtId="0" fontId="1" fillId="0" borderId="25" xfId="446" applyFill="1" applyBorder="1"/>
    <xf numFmtId="0" fontId="1" fillId="0" borderId="26" xfId="446" applyFill="1" applyBorder="1"/>
    <xf numFmtId="0" fontId="1" fillId="0" borderId="27" xfId="446" applyFill="1" applyBorder="1"/>
    <xf numFmtId="0" fontId="1" fillId="0" borderId="0" xfId="446" applyFill="1" applyBorder="1"/>
    <xf numFmtId="0" fontId="1" fillId="0" borderId="28" xfId="446" applyFill="1" applyBorder="1"/>
    <xf numFmtId="0" fontId="173" fillId="0" borderId="0" xfId="446" applyFont="1" applyFill="1" applyBorder="1" applyAlignment="1">
      <alignment horizontal="center" vertical="center" wrapText="1"/>
    </xf>
    <xf numFmtId="0" fontId="173" fillId="0" borderId="0" xfId="446" applyFont="1" applyFill="1" applyBorder="1" applyAlignment="1">
      <alignment horizontal="center" vertical="center" wrapText="1"/>
    </xf>
    <xf numFmtId="0" fontId="173" fillId="37" borderId="0" xfId="446" applyFont="1" applyFill="1" applyBorder="1" applyAlignment="1">
      <alignment horizontal="center"/>
    </xf>
    <xf numFmtId="0" fontId="173" fillId="0" borderId="0" xfId="446" applyFont="1" applyFill="1" applyBorder="1" applyAlignment="1">
      <alignment horizontal="center"/>
    </xf>
    <xf numFmtId="0" fontId="175" fillId="0" borderId="0" xfId="447" applyFont="1" applyFill="1" applyBorder="1" applyAlignment="1"/>
    <xf numFmtId="0" fontId="174" fillId="0" borderId="0" xfId="447" applyFill="1" applyBorder="1"/>
    <xf numFmtId="0" fontId="176" fillId="0" borderId="0" xfId="447" applyFont="1" applyFill="1" applyBorder="1"/>
    <xf numFmtId="0" fontId="176" fillId="0" borderId="0" xfId="447" applyFont="1" applyFill="1" applyBorder="1" applyAlignment="1"/>
    <xf numFmtId="0" fontId="177" fillId="0" borderId="0" xfId="447" applyFont="1" applyFill="1" applyBorder="1" applyAlignment="1">
      <alignment wrapText="1"/>
    </xf>
    <xf numFmtId="0" fontId="172" fillId="0" borderId="27" xfId="446" applyFont="1" applyFill="1" applyBorder="1" applyAlignment="1">
      <alignment wrapText="1"/>
    </xf>
    <xf numFmtId="0" fontId="172" fillId="0" borderId="0" xfId="446" applyFont="1" applyFill="1" applyBorder="1" applyAlignment="1">
      <alignment wrapText="1"/>
    </xf>
    <xf numFmtId="0" fontId="174" fillId="0" borderId="0" xfId="447" applyFill="1" applyBorder="1" applyAlignment="1">
      <alignment wrapText="1"/>
    </xf>
    <xf numFmtId="0" fontId="1" fillId="0" borderId="29" xfId="446" applyFill="1" applyBorder="1"/>
    <xf numFmtId="0" fontId="1" fillId="0" borderId="30" xfId="446" applyFill="1" applyBorder="1"/>
    <xf numFmtId="0" fontId="1" fillId="0" borderId="31" xfId="446" applyFill="1" applyBorder="1"/>
  </cellXfs>
  <cellStyles count="448">
    <cellStyle name="_6.9.2003 Revised Sales Forecasts to CSFB" xfId="16"/>
    <cellStyle name="_BMY_model" xfId="17"/>
    <cellStyle name="_BMY_model_client_101008" xfId="18"/>
    <cellStyle name="_CEPH Catalysts" xfId="19"/>
    <cellStyle name="_Cialis Income Statement and Cash Flow" xfId="20"/>
    <cellStyle name="_Doryx by Dose" xfId="21"/>
    <cellStyle name="_IMS Data" xfId="22"/>
    <cellStyle name="_LLY_model" xfId="23"/>
    <cellStyle name="_PFE_model_client_010609" xfId="24"/>
    <cellStyle name="******************************************" xfId="15"/>
    <cellStyle name="$" xfId="8"/>
    <cellStyle name="$m" xfId="9"/>
    <cellStyle name="$q" xfId="10"/>
    <cellStyle name="$q*" xfId="11"/>
    <cellStyle name="$qA" xfId="12"/>
    <cellStyle name="$qRange" xfId="13"/>
    <cellStyle name="$sign" xfId="14"/>
    <cellStyle name="0.0 x" xfId="28"/>
    <cellStyle name="000" xfId="29"/>
    <cellStyle name="1,comma" xfId="30"/>
    <cellStyle name="a" xfId="31"/>
    <cellStyle name="AFE" xfId="32"/>
    <cellStyle name="Arial 10" xfId="33"/>
    <cellStyle name="Arial 12" xfId="34"/>
    <cellStyle name="ArialNormal" xfId="35"/>
    <cellStyle name="BalanceSheet" xfId="36"/>
    <cellStyle name="BLACK" xfId="37"/>
    <cellStyle name="BlackStrike" xfId="38"/>
    <cellStyle name="BlackText" xfId="39"/>
    <cellStyle name="Blank" xfId="40"/>
    <cellStyle name="Blue" xfId="41"/>
    <cellStyle name="blue$00" xfId="42"/>
    <cellStyle name="BoldText" xfId="43"/>
    <cellStyle name="Border Heavy" xfId="44"/>
    <cellStyle name="Border Thin" xfId="45"/>
    <cellStyle name="BRACKET" xfId="46"/>
    <cellStyle name="British Pound" xfId="47"/>
    <cellStyle name="Calc Currency (0)" xfId="48"/>
    <cellStyle name="Calc Currency (2)" xfId="49"/>
    <cellStyle name="Calc Percent (0)" xfId="50"/>
    <cellStyle name="Calc Percent (1)" xfId="51"/>
    <cellStyle name="Calc Percent (2)" xfId="52"/>
    <cellStyle name="Calc Units (0)" xfId="53"/>
    <cellStyle name="Calc Units (1)" xfId="54"/>
    <cellStyle name="Calc Units (2)" xfId="55"/>
    <cellStyle name="Case" xfId="56"/>
    <cellStyle name="Cash Flow Statement" xfId="57"/>
    <cellStyle name="CashFlow" xfId="58"/>
    <cellStyle name="Changeable" xfId="59"/>
    <cellStyle name="Colhead_left" xfId="60"/>
    <cellStyle name="ColHeading" xfId="61"/>
    <cellStyle name="colheadleft" xfId="62"/>
    <cellStyle name="colheadright" xfId="63"/>
    <cellStyle name="Comma" xfId="1" builtinId="3"/>
    <cellStyle name="Comma  - Style1" xfId="64"/>
    <cellStyle name="Comma  - Style2" xfId="65"/>
    <cellStyle name="Comma  - Style3" xfId="66"/>
    <cellStyle name="Comma  - Style4" xfId="67"/>
    <cellStyle name="Comma  - Style5" xfId="68"/>
    <cellStyle name="Comma  - Style6" xfId="69"/>
    <cellStyle name="Comma  - Style7" xfId="70"/>
    <cellStyle name="Comma  - Style8" xfId="71"/>
    <cellStyle name="comma (1)" xfId="72"/>
    <cellStyle name="Comma [00]" xfId="73"/>
    <cellStyle name="Comma [1]" xfId="74"/>
    <cellStyle name="Comma 0" xfId="75"/>
    <cellStyle name="Comma 2" xfId="76"/>
    <cellStyle name="Comma 23 2 2 2" xfId="77"/>
    <cellStyle name="Comma 3" xfId="6"/>
    <cellStyle name="Comma 3 2" xfId="78"/>
    <cellStyle name="Comma 4" xfId="79"/>
    <cellStyle name="Comma 5" xfId="80"/>
    <cellStyle name="Comma 5 2" xfId="81"/>
    <cellStyle name="Comma 6" xfId="4"/>
    <cellStyle name="Comma, 1 dec" xfId="84"/>
    <cellStyle name="Comma(1)" xfId="82"/>
    <cellStyle name="Comma(xxx)" xfId="83"/>
    <cellStyle name="Comma0" xfId="85"/>
    <cellStyle name="Company" xfId="86"/>
    <cellStyle name="CurRatio" xfId="87"/>
    <cellStyle name="Currency ($)" xfId="88"/>
    <cellStyle name="Currency (£)" xfId="89"/>
    <cellStyle name="Currency (1)" xfId="90"/>
    <cellStyle name="Currency [00]" xfId="91"/>
    <cellStyle name="Currency [1]" xfId="92"/>
    <cellStyle name="Currency [2]" xfId="93"/>
    <cellStyle name="Currency 0" xfId="94"/>
    <cellStyle name="Currency 2" xfId="95"/>
    <cellStyle name="Currency 3" xfId="96"/>
    <cellStyle name="Currency 4" xfId="97"/>
    <cellStyle name="Currency Per Share" xfId="98"/>
    <cellStyle name="Currency0" xfId="99"/>
    <cellStyle name="Currency1" xfId="100"/>
    <cellStyle name="Currency2" xfId="101"/>
    <cellStyle name="Currsmall" xfId="102"/>
    <cellStyle name="CustomStyle1" xfId="103"/>
    <cellStyle name="CustomStyle14_BMETnew" xfId="104"/>
    <cellStyle name="CustomStyle15_BMETnew" xfId="105"/>
    <cellStyle name="CustomStyle16_BMETnew" xfId="106"/>
    <cellStyle name="CustomStyle17_BMETnew" xfId="107"/>
    <cellStyle name="CustomStyle18_BMETnew" xfId="108"/>
    <cellStyle name="CustomStyle21_BMETnew" xfId="109"/>
    <cellStyle name="CustomStyle25" xfId="110"/>
    <cellStyle name="CustomStyle27_BMETnew" xfId="111"/>
    <cellStyle name="CustomStyle31_BMETnew" xfId="112"/>
    <cellStyle name="CustomStyle9_BMETnew" xfId="113"/>
    <cellStyle name="d_yield" xfId="114"/>
    <cellStyle name="Date" xfId="115"/>
    <cellStyle name="Date [d-mmm-yy]" xfId="116"/>
    <cellStyle name="Date [mm-d-yy]" xfId="117"/>
    <cellStyle name="Date [mm-d-yyyy]" xfId="118"/>
    <cellStyle name="Date [mmm-d-yyyy]" xfId="119"/>
    <cellStyle name="Date [mmm-yy]" xfId="120"/>
    <cellStyle name="Date Aligned" xfId="121"/>
    <cellStyle name="Date Day" xfId="122"/>
    <cellStyle name="Date Short" xfId="123"/>
    <cellStyle name="Date Year" xfId="124"/>
    <cellStyle name="Date_dcf(grasso)v5" xfId="125"/>
    <cellStyle name="Date1" xfId="126"/>
    <cellStyle name="Dates" xfId="127"/>
    <cellStyle name="DateYear" xfId="128"/>
    <cellStyle name="Day-Mon-Yr" xfId="129"/>
    <cellStyle name="Decimal Number" xfId="130"/>
    <cellStyle name="Decimal1" xfId="131"/>
    <cellStyle name="Decimal2" xfId="132"/>
    <cellStyle name="Dezimal [0]_ALTGGV" xfId="133"/>
    <cellStyle name="Dezimal_ALTGGV" xfId="134"/>
    <cellStyle name="Dollar" xfId="135"/>
    <cellStyle name="Dollar (Canadian)" xfId="136"/>
    <cellStyle name="Dollar Whole" xfId="137"/>
    <cellStyle name="Dollar_BVF model" xfId="138"/>
    <cellStyle name="Dollar1" xfId="139"/>
    <cellStyle name="Dollar1Blue" xfId="140"/>
    <cellStyle name="Dollar2" xfId="141"/>
    <cellStyle name="dollars" xfId="142"/>
    <cellStyle name="DollarWhole" xfId="143"/>
    <cellStyle name="Dotted Line" xfId="144"/>
    <cellStyle name="Double Accounting" xfId="145"/>
    <cellStyle name="Download" xfId="146"/>
    <cellStyle name="Driver" xfId="147"/>
    <cellStyle name="Driver Lable" xfId="148"/>
    <cellStyle name="Driver_BellStat" xfId="149"/>
    <cellStyle name="Enter Currency (0)" xfId="150"/>
    <cellStyle name="Enter Currency (2)" xfId="151"/>
    <cellStyle name="Enter Units (0)" xfId="152"/>
    <cellStyle name="Enter Units (1)" xfId="153"/>
    <cellStyle name="Enter Units (2)" xfId="154"/>
    <cellStyle name="eps" xfId="155"/>
    <cellStyle name="EPS Input" xfId="156"/>
    <cellStyle name="eps_AOL Model Master" xfId="160"/>
    <cellStyle name="eps$" xfId="157"/>
    <cellStyle name="eps$A" xfId="158"/>
    <cellStyle name="eps$E" xfId="159"/>
    <cellStyle name="epsA" xfId="161"/>
    <cellStyle name="epsE" xfId="162"/>
    <cellStyle name="ept-95" xfId="163"/>
    <cellStyle name="Euro" xfId="164"/>
    <cellStyle name="ÊÝ [0.00]_COMPANY" xfId="25"/>
    <cellStyle name="ÊÝ_COMPANY" xfId="26"/>
    <cellStyle name="Fixed" xfId="165"/>
    <cellStyle name="Fixed [0]" xfId="166"/>
    <cellStyle name="Fixlong" xfId="167"/>
    <cellStyle name="Footnote" xfId="168"/>
    <cellStyle name="Formula" xfId="169"/>
    <cellStyle name="fy_eps$" xfId="170"/>
    <cellStyle name="g_rate" xfId="171"/>
    <cellStyle name="General" xfId="172"/>
    <cellStyle name="GPSBlankCell" xfId="173"/>
    <cellStyle name="GPSCalculatedCell" xfId="174"/>
    <cellStyle name="GPSCoverPageAnalyst" xfId="175"/>
    <cellStyle name="GPSCoverPageCompanyName" xfId="176"/>
    <cellStyle name="GPSCoverPageCompanySubTitle" xfId="177"/>
    <cellStyle name="GPSCoverPageDate" xfId="178"/>
    <cellStyle name="GPSCoverPageDisclaimer" xfId="179"/>
    <cellStyle name="GPSCoverPageEntity" xfId="180"/>
    <cellStyle name="GPSCoverPageUnderline" xfId="181"/>
    <cellStyle name="GPSDataItemTitle" xfId="182"/>
    <cellStyle name="GPSDivisionTitle" xfId="183"/>
    <cellStyle name="GPSFYTitle" xfId="184"/>
    <cellStyle name="GPSHeaderSubTitle" xfId="185"/>
    <cellStyle name="GPSHeaderTitle" xfId="186"/>
    <cellStyle name="GPSHidden" xfId="187"/>
    <cellStyle name="GPSInterimTitle" xfId="188"/>
    <cellStyle name="GPSPrice" xfId="189"/>
    <cellStyle name="GPSSectionHeader" xfId="190"/>
    <cellStyle name="Grey" xfId="191"/>
    <cellStyle name="Growth" xfId="192"/>
    <cellStyle name="GrowthRate" xfId="193"/>
    <cellStyle name="GrpStyle5" xfId="194"/>
    <cellStyle name="haeding 2" xfId="195"/>
    <cellStyle name="Hard" xfId="196"/>
    <cellStyle name="hard no." xfId="197"/>
    <cellStyle name="Hard Percent" xfId="198"/>
    <cellStyle name="head1" xfId="199"/>
    <cellStyle name="head2" xfId="200"/>
    <cellStyle name="Header" xfId="201"/>
    <cellStyle name="Header1" xfId="202"/>
    <cellStyle name="Header2" xfId="203"/>
    <cellStyle name="Heading" xfId="204"/>
    <cellStyle name="Heading 5" xfId="205"/>
    <cellStyle name="Heading Left" xfId="206"/>
    <cellStyle name="Heading Right" xfId="207"/>
    <cellStyle name="Heading2" xfId="208"/>
    <cellStyle name="HeadingS" xfId="209"/>
    <cellStyle name="Hidden" xfId="210"/>
    <cellStyle name="Hyperlink" xfId="447" builtinId="8"/>
    <cellStyle name="IncomeStatement" xfId="211"/>
    <cellStyle name="input cell" xfId="212"/>
    <cellStyle name="Input Currency" xfId="213"/>
    <cellStyle name="Input Date" xfId="214"/>
    <cellStyle name="Input Fixed [0]" xfId="215"/>
    <cellStyle name="Input Normal" xfId="216"/>
    <cellStyle name="Input Percent" xfId="217"/>
    <cellStyle name="Input Percent [2]" xfId="218"/>
    <cellStyle name="Input Titles" xfId="219"/>
    <cellStyle name="Input%" xfId="220"/>
    <cellStyle name="Input0" xfId="221"/>
    <cellStyle name="Input0dec" xfId="222"/>
    <cellStyle name="Input1" xfId="223"/>
    <cellStyle name="Input2" xfId="224"/>
    <cellStyle name="Input2dec" xfId="225"/>
    <cellStyle name="Inputs" xfId="226"/>
    <cellStyle name="Integer" xfId="227"/>
    <cellStyle name="Item" xfId="228"/>
    <cellStyle name="ItemTypeClass" xfId="229"/>
    <cellStyle name="Jason" xfId="230"/>
    <cellStyle name="KP_Normal" xfId="231"/>
    <cellStyle name="Lable8Left" xfId="232"/>
    <cellStyle name="Large Page Heading" xfId="233"/>
    <cellStyle name="Link Currency (0)" xfId="234"/>
    <cellStyle name="Link Currency (2)" xfId="235"/>
    <cellStyle name="Link Units (0)" xfId="236"/>
    <cellStyle name="Link Units (1)" xfId="237"/>
    <cellStyle name="Link Units (2)" xfId="238"/>
    <cellStyle name="lots" xfId="239"/>
    <cellStyle name="m" xfId="240"/>
    <cellStyle name="m$" xfId="241"/>
    <cellStyle name="Margins" xfId="242"/>
    <cellStyle name="mm" xfId="243"/>
    <cellStyle name="Mon-Yr" xfId="244"/>
    <cellStyle name="Multiple" xfId="245"/>
    <cellStyle name="Multiple Without" xfId="246"/>
    <cellStyle name="Multiple_Doryx by Dose" xfId="247"/>
    <cellStyle name="NA is zero" xfId="248"/>
    <cellStyle name="Name" xfId="249"/>
    <cellStyle name="New" xfId="250"/>
    <cellStyle name="NewAcct" xfId="251"/>
    <cellStyle name="Norm" xfId="252"/>
    <cellStyle name="Normal" xfId="0" builtinId="0"/>
    <cellStyle name="Normal - Style1" xfId="253"/>
    <cellStyle name="Normal [0]" xfId="254"/>
    <cellStyle name="Normal [1]" xfId="255"/>
    <cellStyle name="Normal [2]" xfId="256"/>
    <cellStyle name="Normal [3]" xfId="257"/>
    <cellStyle name="Normal 2" xfId="258"/>
    <cellStyle name="Normal 2 2" xfId="259"/>
    <cellStyle name="Normal 3" xfId="260"/>
    <cellStyle name="Normal 4" xfId="261"/>
    <cellStyle name="Normal 5" xfId="262"/>
    <cellStyle name="Normal 5 2" xfId="263"/>
    <cellStyle name="Normal 6" xfId="3"/>
    <cellStyle name="Normal 6 2" xfId="264"/>
    <cellStyle name="Normal 7" xfId="446"/>
    <cellStyle name="Normal Bold" xfId="265"/>
    <cellStyle name="Normal Pct" xfId="266"/>
    <cellStyle name="NormalBlue" xfId="267"/>
    <cellStyle name="NormalBold" xfId="268"/>
    <cellStyle name="NormalE" xfId="269"/>
    <cellStyle name="NormalHelv" xfId="270"/>
    <cellStyle name="Notes" xfId="271"/>
    <cellStyle name="NPPESalesPct" xfId="272"/>
    <cellStyle name="Num0Un" xfId="273"/>
    <cellStyle name="Num1" xfId="274"/>
    <cellStyle name="Num1Blue" xfId="275"/>
    <cellStyle name="Num2" xfId="276"/>
    <cellStyle name="Num2Un" xfId="277"/>
    <cellStyle name="Number" xfId="278"/>
    <cellStyle name="NWI%S" xfId="279"/>
    <cellStyle name="Œ…‹æØ‚è [0.00]_GE 3 MINIMUM" xfId="280"/>
    <cellStyle name="Œ…‹æØ‚è_GE 3 MINIMUM" xfId="281"/>
    <cellStyle name="Output Amounts" xfId="282"/>
    <cellStyle name="Output Column Headings" xfId="283"/>
    <cellStyle name="Output Line Items" xfId="284"/>
    <cellStyle name="Output Report Heading" xfId="285"/>
    <cellStyle name="Output Report Title" xfId="286"/>
    <cellStyle name="OutputPlain" xfId="287"/>
    <cellStyle name="Page Heading" xfId="288"/>
    <cellStyle name="Page Heading Large" xfId="289"/>
    <cellStyle name="Page Heading Small" xfId="290"/>
    <cellStyle name="Page Number" xfId="291"/>
    <cellStyle name="Palatino" xfId="292"/>
    <cellStyle name="pc1" xfId="293"/>
    <cellStyle name="pcent" xfId="294"/>
    <cellStyle name="pct_sub" xfId="295"/>
    <cellStyle name="pe" xfId="296"/>
    <cellStyle name="PEG" xfId="297"/>
    <cellStyle name="Perc1" xfId="298"/>
    <cellStyle name="Percent" xfId="2" builtinId="5"/>
    <cellStyle name="Percent (.xx)" xfId="300"/>
    <cellStyle name="Percent ()" xfId="299"/>
    <cellStyle name="Percent (1)" xfId="301"/>
    <cellStyle name="Percent [0]" xfId="302"/>
    <cellStyle name="Percent [00]" xfId="303"/>
    <cellStyle name="Percent [1]" xfId="304"/>
    <cellStyle name="Percent [2]" xfId="305"/>
    <cellStyle name="Percent 2" xfId="306"/>
    <cellStyle name="Percent 2 2" xfId="7"/>
    <cellStyle name="Percent 2 3" xfId="307"/>
    <cellStyle name="Percent 3" xfId="5"/>
    <cellStyle name="Percent 4" xfId="308"/>
    <cellStyle name="Percent 5" xfId="309"/>
    <cellStyle name="Percent 5 2" xfId="310"/>
    <cellStyle name="Percent Decimal" xfId="311"/>
    <cellStyle name="Percent Hard" xfId="312"/>
    <cellStyle name="Percent(.x)" xfId="313"/>
    <cellStyle name="Percent(1)" xfId="314"/>
    <cellStyle name="Percent0" xfId="315"/>
    <cellStyle name="Percent1" xfId="316"/>
    <cellStyle name="Percent1Blue" xfId="317"/>
    <cellStyle name="Percent2" xfId="318"/>
    <cellStyle name="Percent2Blue" xfId="319"/>
    <cellStyle name="PercentChange" xfId="320"/>
    <cellStyle name="PercentPresentation" xfId="321"/>
    <cellStyle name="PercentSales" xfId="322"/>
    <cellStyle name="Perlong" xfId="323"/>
    <cellStyle name="PlainDollar" xfId="324"/>
    <cellStyle name="POPS" xfId="325"/>
    <cellStyle name="Preffered" xfId="326"/>
    <cellStyle name="PrePop Currency (0)" xfId="327"/>
    <cellStyle name="PrePop Currency (2)" xfId="328"/>
    <cellStyle name="PrePop Units (0)" xfId="329"/>
    <cellStyle name="PrePop Units (1)" xfId="330"/>
    <cellStyle name="PrePop Units (2)" xfId="331"/>
    <cellStyle name="PresentationZero" xfId="332"/>
    <cellStyle name="Price" xfId="333"/>
    <cellStyle name="PriceUn" xfId="334"/>
    <cellStyle name="Private" xfId="335"/>
    <cellStyle name="Private1" xfId="336"/>
    <cellStyle name="PSChar" xfId="337"/>
    <cellStyle name="PSDate" xfId="338"/>
    <cellStyle name="PSDec" xfId="339"/>
    <cellStyle name="PSHeading" xfId="340"/>
    <cellStyle name="PSInt" xfId="341"/>
    <cellStyle name="PSSpacer" xfId="342"/>
    <cellStyle name="q" xfId="343"/>
    <cellStyle name="QEPS-h" xfId="344"/>
    <cellStyle name="QEPS-H1" xfId="345"/>
    <cellStyle name="qRange" xfId="346"/>
    <cellStyle name="range" xfId="347"/>
    <cellStyle name="RatioX" xfId="348"/>
    <cellStyle name="Red font" xfId="349"/>
    <cellStyle name="Ref Numbers" xfId="350"/>
    <cellStyle name="Right" xfId="351"/>
    <cellStyle name="ScotchRule" xfId="352"/>
    <cellStyle name="ScripFactor" xfId="353"/>
    <cellStyle name="SectionHeading" xfId="354"/>
    <cellStyle name="Shaded" xfId="355"/>
    <cellStyle name="Shares" xfId="356"/>
    <cellStyle name="Single Accounting" xfId="357"/>
    <cellStyle name="Small Page Heading" xfId="358"/>
    <cellStyle name="Source Line" xfId="359"/>
    <cellStyle name="Special9" xfId="360"/>
    <cellStyle name="SSComma0" xfId="361"/>
    <cellStyle name="SSComma2" xfId="362"/>
    <cellStyle name="SSDecs3" xfId="363"/>
    <cellStyle name="SSDflt" xfId="364"/>
    <cellStyle name="SSDfltPct" xfId="365"/>
    <cellStyle name="SSDfltPct0" xfId="366"/>
    <cellStyle name="SSFixed2" xfId="367"/>
    <cellStyle name="Standaard_KPN" xfId="368"/>
    <cellStyle name="Standard_ALTGGV" xfId="369"/>
    <cellStyle name="Strange" xfId="370"/>
    <cellStyle name="Style 1" xfId="371"/>
    <cellStyle name="Style 1 2" xfId="372"/>
    <cellStyle name="STYLE1" xfId="373"/>
    <cellStyle name="Subhead" xfId="374"/>
    <cellStyle name="Subscribers" xfId="375"/>
    <cellStyle name="Subtitle" xfId="376"/>
    <cellStyle name="Subtotal_left" xfId="377"/>
    <cellStyle name="Summary" xfId="378"/>
    <cellStyle name="Table" xfId="379"/>
    <cellStyle name="Table Col Head" xfId="380"/>
    <cellStyle name="Table Head" xfId="381"/>
    <cellStyle name="Table Head Aligned" xfId="382"/>
    <cellStyle name="Table Head Blue" xfId="383"/>
    <cellStyle name="Table Head Green" xfId="384"/>
    <cellStyle name="Table Heading" xfId="385"/>
    <cellStyle name="Table Sub Head" xfId="386"/>
    <cellStyle name="Table Title" xfId="387"/>
    <cellStyle name="Table Unites" xfId="388"/>
    <cellStyle name="Table Units" xfId="389"/>
    <cellStyle name="TableBase" xfId="390"/>
    <cellStyle name="TableFootnotes" xfId="391"/>
    <cellStyle name="TableHead" xfId="392"/>
    <cellStyle name="tcn" xfId="393"/>
    <cellStyle name="Terms" xfId="394"/>
    <cellStyle name="Test [green]" xfId="395"/>
    <cellStyle name="Text" xfId="396"/>
    <cellStyle name="Text (centered)" xfId="397"/>
    <cellStyle name="Text 8" xfId="398"/>
    <cellStyle name="Text Indent A" xfId="399"/>
    <cellStyle name="Text Indent B" xfId="400"/>
    <cellStyle name="Text Indent C" xfId="401"/>
    <cellStyle name="TFCF" xfId="402"/>
    <cellStyle name="Time" xfId="403"/>
    <cellStyle name="Time Strip" xfId="404"/>
    <cellStyle name="Times 10" xfId="405"/>
    <cellStyle name="Times 12" xfId="406"/>
    <cellStyle name="TIMES 9" xfId="407"/>
    <cellStyle name="Title II" xfId="408"/>
    <cellStyle name="Title Line" xfId="409"/>
    <cellStyle name="Title1" xfId="410"/>
    <cellStyle name="Title10" xfId="411"/>
    <cellStyle name="Title2" xfId="412"/>
    <cellStyle name="Title8" xfId="413"/>
    <cellStyle name="Title8Left" xfId="414"/>
    <cellStyle name="TitleCenter" xfId="415"/>
    <cellStyle name="TitleII" xfId="416"/>
    <cellStyle name="TitleLeft" xfId="417"/>
    <cellStyle name="Titles" xfId="418"/>
    <cellStyle name="tn" xfId="419"/>
    <cellStyle name="tom" xfId="420"/>
    <cellStyle name="Top Row" xfId="421"/>
    <cellStyle name="topline" xfId="422"/>
    <cellStyle name="Total Row" xfId="423"/>
    <cellStyle name="TransVal" xfId="424"/>
    <cellStyle name="UnderLine" xfId="425"/>
    <cellStyle name="Unhidden" xfId="426"/>
    <cellStyle name="Units" xfId="427"/>
    <cellStyle name="Upload Only" xfId="428"/>
    <cellStyle name="v" xfId="429"/>
    <cellStyle name="Valuation" xfId="430"/>
    <cellStyle name="Valuation Bold" xfId="431"/>
    <cellStyle name="W_GTParent" xfId="27"/>
    <cellStyle name="Währung [0]_ALTGGV" xfId="432"/>
    <cellStyle name="Währung_ALTGGV" xfId="433"/>
    <cellStyle name="White" xfId="434"/>
    <cellStyle name="WhitePattern" xfId="435"/>
    <cellStyle name="WhitePattern1" xfId="436"/>
    <cellStyle name="WhiteText" xfId="437"/>
    <cellStyle name="WholeNumber" xfId="438"/>
    <cellStyle name="Year" xfId="439"/>
    <cellStyle name="Yen" xfId="440"/>
    <cellStyle name="桁区切り [0.00]_Hoshino" xfId="441"/>
    <cellStyle name="桁区切り_Hoshino" xfId="442"/>
    <cellStyle name="標準_3G" xfId="443"/>
    <cellStyle name="通貨 [0.00]_Hoshino" xfId="444"/>
    <cellStyle name="通貨_Hoshino" xfId="445"/>
  </cellStyles>
  <dxfs count="886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4" Type="http://schemas.openxmlformats.org/officeDocument/2006/relationships/externalLink" Target="externalLinks/externalLink6.xml"/><Relationship Id="rId15" Type="http://schemas.openxmlformats.org/officeDocument/2006/relationships/externalLink" Target="externalLinks/externalLink7.xml"/><Relationship Id="rId16" Type="http://schemas.openxmlformats.org/officeDocument/2006/relationships/externalLink" Target="externalLinks/externalLink8.xml"/><Relationship Id="rId17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0.xml"/><Relationship Id="rId19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42.xml"/><Relationship Id="rId51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45.xml"/><Relationship Id="rId54" Type="http://schemas.openxmlformats.org/officeDocument/2006/relationships/theme" Target="theme/theme1.xml"/><Relationship Id="rId55" Type="http://schemas.openxmlformats.org/officeDocument/2006/relationships/styles" Target="styles.xml"/><Relationship Id="rId56" Type="http://schemas.openxmlformats.org/officeDocument/2006/relationships/sharedStrings" Target="sharedStrings.xml"/><Relationship Id="rId57" Type="http://schemas.openxmlformats.org/officeDocument/2006/relationships/calcChain" Target="calcChain.xml"/><Relationship Id="rId40" Type="http://schemas.openxmlformats.org/officeDocument/2006/relationships/externalLink" Target="externalLinks/externalLink32.xml"/><Relationship Id="rId41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35.xml"/><Relationship Id="rId44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0.xml"/><Relationship Id="rId49" Type="http://schemas.openxmlformats.org/officeDocument/2006/relationships/externalLink" Target="externalLinks/externalLink4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externalLink" Target="externalLinks/externalLink1.xml"/><Relationship Id="rId30" Type="http://schemas.openxmlformats.org/officeDocument/2006/relationships/externalLink" Target="externalLinks/externalLink22.xml"/><Relationship Id="rId31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25.xml"/><Relationship Id="rId34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0.xml"/><Relationship Id="rId39" Type="http://schemas.openxmlformats.org/officeDocument/2006/relationships/externalLink" Target="externalLinks/externalLink31.xml"/><Relationship Id="rId20" Type="http://schemas.openxmlformats.org/officeDocument/2006/relationships/externalLink" Target="externalLinks/externalLink12.xml"/><Relationship Id="rId21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0.xml"/><Relationship Id="rId29" Type="http://schemas.openxmlformats.org/officeDocument/2006/relationships/externalLink" Target="externalLinks/externalLink21.xml"/><Relationship Id="rId10" Type="http://schemas.openxmlformats.org/officeDocument/2006/relationships/externalLink" Target="externalLinks/externalLink2.xml"/><Relationship Id="rId11" Type="http://schemas.openxmlformats.org/officeDocument/2006/relationships/externalLink" Target="externalLinks/externalLink3.xml"/><Relationship Id="rId12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2514601</xdr:colOff>
      <xdr:row>1</xdr:row>
      <xdr:rowOff>177801</xdr:rowOff>
    </xdr:from>
    <xdr:to>
      <xdr:col>5</xdr:col>
      <xdr:colOff>2692401</xdr:colOff>
      <xdr:row>11</xdr:row>
      <xdr:rowOff>12701</xdr:rowOff>
    </xdr:to>
    <xdr:pic>
      <xdr:nvPicPr>
        <xdr:cNvPr id="2" name="Picture 1" descr="mage result for Wallstreetoasis log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4" b="23783"/>
        <a:stretch/>
      </xdr:blipFill>
      <xdr:spPr bwMode="auto">
        <a:xfrm>
          <a:off x="3352801" y="393701"/>
          <a:ext cx="57531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No%20Valu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merib$/NYC/Ikenson/FAC%20Models/TLB/TLB%20Mode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NYC/Ikenson/FAC%20Models/TLB/TLB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lexandra/WIP/idph-exhibi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nts%20and%20Settings/webberd/My%20Documents/Models-Marketing/HGSI%20MOD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NYC/webberd/Companies/GILD/Models/gild%20model%2008-05-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DOCUME~1/sald/LOCALS~1/Temp/IGT_VD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TEMP/inpres99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Documents%20and%20Settings/jgreff/Local%20Settings/Temporary%20Internet%20Files/OLKB4C/IGT_CURR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JGreff/New%20Shared%20Drive/Gaming%20Industry/ASCA/Model/ASCA%20Mod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USERS/AACC%20Research/Greff/New%20Shared%20Drive/Gaming%20Industry/AZR/Model/AZ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NN_EQUITY/VOL1/DOCUME~1/palmern/LOCALS~1/Temp/COAST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Models/Client%20Models%20(Current%20only)/Research/PHARMA/BIOTECH%20COMPANIES/LiDco/Trash/Research/PHARMA/PERSONAL%20FOLDERS/WOODS/Templates/Valuation%20Models/One%20Page%20DCF%20Model%20(Revised%2001-01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esktop%20Model%20Folder/2000%20LRP-NEUPOGE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WINNT/Profiles/dk146624/Temporary%20Internet%20Files/OLK6C/FRX%20Old%20Models/FRX_income_JPM%20curren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Home/Book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CONSUMER/GAMING/IN_PRES/inpres99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NYC/Ikenson/FAC%20Models/TLB/TLB%20Mode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Model/LLY-external0929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HLTHCARE/Major%20Pharma/SGP/Model/SGP-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earch/RS%20Biotech%20and%20Life%20Science%20Group/Client%20Models/CELG_Clien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Models/Client%20Models%20(Current%20only)/Research/PHARMA/BIOTECH%20COMPANIES/LiDco/Trash/TEMPLATE/Excel/LINKT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AG%20files/Schering%20Plough/RelativePE%20SG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WINNT/Profiles/user/Personal/Woods%20Custom%20Sheet%2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BMY/Model/OLD%20Models/BMY-model1222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HLTHCARE/Major%20Pharma/MRK/Models/MRK-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USERS/AACC%20Research/Greff/New%20Shared%20Drive/Lodging%20Industry/FS/Model/F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HLTHCARE/Major%20Pharma/FRX/FRX%20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Nyp17w2/sys2/GAMING/IN_PRES/INPRES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agfiles/excelfiles/PEs%20monthly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HLTHCARE/Major%20Pharma/CEPH/Provigil.Nuvigil%20Market%20Mode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Model/MRK-external0328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Valuations/VALUATIONS%20ACTIV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HLTHCARE/Major%20Pharma/PFE/Model/PFE_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earch/RS%20Life%20Sciences/Specialty%20Pharma/Companies/BVF/BVF_pubmodel_JPM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~1/pantginj/LOCALS~1/Temp/C.Program%20Files.Notes.Data/~962021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balsheet/2001%20Fiscal%20Year/0009/Closing/StmtOpResultsP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fgpny-fsvr02/FulcrumResearch/JGreff/New%20Shared%20Drive/Gaming%20Industry/STN/Model/STN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Model/MRK-external09130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HLTHCARE/Major%20Pharma/FX%20bloomber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HLTHCARE/Major%20Pharma/Category%20Models/Cholesterol/Value%20of%20Rx/Lipitor%20EPS%20and%20DivPO%20Model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Sammy/WINDOWS/DESKTOP/New%20IL-1ra%20Revenue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sch-nyc-19b4/GameLodg/DANDERS/COMPANY/HET/HET_VDF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HLTHCARE/Major%20Pharma/PFE/Model/PFE_model_WY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LLY/Model/LLY-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No Value"/>
      <sheetName val="#REF"/>
      <sheetName val="PFE"/>
      <sheetName val="PHA"/>
      <sheetName val="TEMPLATE"/>
      <sheetName val="__FDSCACHE__"/>
      <sheetName val="AGN-model"/>
      <sheetName val="EXT 1999 All Goals"/>
      <sheetName val="Inputs"/>
      <sheetName val="Zetia JV"/>
      <sheetName val="REPORTER"/>
      <sheetName val="quarterly income"/>
      <sheetName val="Qtr. Product Sales"/>
      <sheetName val="BSCF"/>
      <sheetName val="Quarterly Product Sales"/>
      <sheetName val="Annual Product Sales"/>
      <sheetName val="QTRTEMP"/>
      <sheetName val="Forecast"/>
      <sheetName val="WACC"/>
      <sheetName val="Perform Analysis"/>
      <sheetName val="PF IS"/>
      <sheetName val="Salesforce Size"/>
      <sheetName val="Price Graphs"/>
      <sheetName val="ROIIC Template"/>
      <sheetName val="Zetia Vytorin JV"/>
      <sheetName val="CFROI Results"/>
      <sheetName val="tab"/>
      <sheetName val="Summary Page_VDF"/>
      <sheetName val="Charts_VDF"/>
      <sheetName val="Forecasts_VDF"/>
      <sheetName val="Income Statement_VDF"/>
      <sheetName val="WACC_VDF"/>
      <sheetName val="Invested capital_VDF"/>
      <sheetName val="NOPAT_VDF"/>
      <sheetName val="DCF_VDF"/>
      <sheetName val="PV of Op Leases_VDF"/>
      <sheetName val="Intro"/>
      <sheetName val="Qtr. Sales"/>
      <sheetName val="Sales foreca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Comps"/>
      <sheetName val="Comps - Divisional"/>
      <sheetName val="Revenue"/>
      <sheetName val="Sales Productivity"/>
      <sheetName val="Division Model"/>
      <sheetName val="Guidance"/>
      <sheetName val="Balance Sheet"/>
      <sheetName val="Cash Flow"/>
      <sheetName val="PE Valuation"/>
      <sheetName val="PE Valuation - Report"/>
      <sheetName val="Monthly Sales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Comps"/>
      <sheetName val="Comps - Divisional"/>
      <sheetName val="Revenue"/>
      <sheetName val="Sales Productivity"/>
      <sheetName val="Division Model"/>
      <sheetName val="Guidance"/>
      <sheetName val="Balance Sheet"/>
      <sheetName val="Cash Flow"/>
      <sheetName val="PE Valuation"/>
      <sheetName val="PE Valuation - Report"/>
      <sheetName val="Monthly Sales Analysis"/>
      <sheetName val="__FDSCACHE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um"/>
      <sheetName val="Comps (2)"/>
      <sheetName val="comp"/>
      <sheetName val="pipeline"/>
      <sheetName val="zevalin"/>
      <sheetName val="Sheet1"/>
      <sheetName val="r-trial"/>
      <sheetName val="Sheet3"/>
      <sheetName val="z-trial"/>
      <sheetName val="table (3)"/>
      <sheetName val="#REF"/>
      <sheetName val="DATA"/>
      <sheetName val="Sales"/>
      <sheetName val="EPS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odel"/>
      <sheetName val="Delta"/>
      <sheetName val="Quarterly Model"/>
      <sheetName val="Op expenses"/>
      <sheetName val="Products"/>
      <sheetName val="Calendar"/>
      <sheetName val="Cash Flow"/>
      <sheetName val="Competition"/>
      <sheetName val="Balance Sheet"/>
      <sheetName val="Shares"/>
      <sheetName val="Tax"/>
      <sheetName val="Revenue Summary"/>
      <sheetName val="Therapeutics"/>
      <sheetName val="Repifermin"/>
      <sheetName val="Albugranin"/>
      <sheetName val="BLyS"/>
      <sheetName val="Albumin Fusion"/>
      <sheetName val="Sheet1"/>
      <sheetName val="Gene Consortium"/>
      <sheetName val="unused"/>
      <sheetName val="Valuation"/>
      <sheetName val="Collaborations"/>
      <sheetName val="Strategic"/>
      <sheetName val="Holders-Analysts"/>
      <sheetName val="Management"/>
      <sheetName val="Consensus"/>
      <sheetName val="Financial History"/>
      <sheetName val="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odel"/>
      <sheetName val="Rev-Exp Summary"/>
      <sheetName val="Tax"/>
      <sheetName val="Delta"/>
      <sheetName val="Balance Sheet"/>
      <sheetName val="Cash Flow"/>
      <sheetName val="Shares"/>
      <sheetName val="AmBisome"/>
      <sheetName val="Viread"/>
      <sheetName val="Hepsera"/>
      <sheetName val="Tamiflu"/>
      <sheetName val="Collab rsch"/>
      <sheetName val="Competition"/>
      <sheetName val="Valuation"/>
      <sheetName val="Products"/>
      <sheetName val="Managemen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_VDF"/>
      <sheetName val="Summary Page_VDF"/>
      <sheetName val="Invested capital_VDF"/>
      <sheetName val="NOPAT_VDF"/>
      <sheetName val="WACC_VDF"/>
      <sheetName val="DCF_VDF"/>
      <sheetName val="PV of Op Leases_VDF"/>
      <sheetName val="Sales"/>
    </sheetNames>
    <sheetDataSet>
      <sheetData sheetId="0" refreshError="1">
        <row r="44">
          <cell r="R44">
            <v>0.10503724816205434</v>
          </cell>
        </row>
      </sheetData>
      <sheetData sheetId="1"/>
      <sheetData sheetId="2" refreshError="1">
        <row r="1">
          <cell r="P1" t="str">
            <v>Invested Capital</v>
          </cell>
        </row>
        <row r="2">
          <cell r="O2" t="str">
            <v>P-2</v>
          </cell>
          <cell r="P2" t="str">
            <v>P-1</v>
          </cell>
          <cell r="Q2" t="str">
            <v>Present (P)</v>
          </cell>
          <cell r="R2" t="str">
            <v>Present (P)</v>
          </cell>
        </row>
        <row r="3">
          <cell r="O3">
            <v>1995</v>
          </cell>
          <cell r="P3">
            <v>1996</v>
          </cell>
          <cell r="Q3">
            <v>1997</v>
          </cell>
          <cell r="R3">
            <v>1998</v>
          </cell>
        </row>
        <row r="4">
          <cell r="O4">
            <v>289.42599999999999</v>
          </cell>
          <cell r="P4">
            <v>230.75800000000001</v>
          </cell>
          <cell r="Q4">
            <v>166.71499999999997</v>
          </cell>
          <cell r="R4">
            <v>194.767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11.498149999999999</v>
          </cell>
          <cell r="K5">
            <v>114.35785</v>
          </cell>
          <cell r="L5">
            <v>129.38685000000001</v>
          </cell>
          <cell r="M5">
            <v>193.4385</v>
          </cell>
          <cell r="N5">
            <v>169.32695000000001</v>
          </cell>
          <cell r="O5">
            <v>258.38670000000002</v>
          </cell>
          <cell r="P5">
            <v>194.08539999999999</v>
          </cell>
          <cell r="Q5">
            <v>129.51649999999998</v>
          </cell>
          <cell r="R5">
            <v>194.767</v>
          </cell>
        </row>
        <row r="6">
          <cell r="O6">
            <v>31.039299999999997</v>
          </cell>
          <cell r="P6">
            <v>36.672600000000003</v>
          </cell>
          <cell r="Q6">
            <v>37.198500000000003</v>
          </cell>
          <cell r="R6">
            <v>0</v>
          </cell>
        </row>
        <row r="7">
          <cell r="O7">
            <v>193.46699999999998</v>
          </cell>
          <cell r="P7">
            <v>220.36799999999999</v>
          </cell>
          <cell r="Q7">
            <v>248.46899999999999</v>
          </cell>
          <cell r="R7">
            <v>252.54299999999998</v>
          </cell>
        </row>
        <row r="8">
          <cell r="O8">
            <v>73.825000000000003</v>
          </cell>
          <cell r="P8">
            <v>100.343</v>
          </cell>
          <cell r="Q8">
            <v>92.444000000000003</v>
          </cell>
          <cell r="R8">
            <v>133.154</v>
          </cell>
        </row>
        <row r="9">
          <cell r="A9">
            <v>0.05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O10">
            <v>25.335999999999999</v>
          </cell>
          <cell r="P10">
            <v>19.353999999999999</v>
          </cell>
          <cell r="Q10">
            <v>18.228999999999999</v>
          </cell>
          <cell r="R10">
            <v>16.516999999999999</v>
          </cell>
        </row>
        <row r="11"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O14">
            <v>5.117</v>
          </cell>
          <cell r="P14">
            <v>17.425999999999998</v>
          </cell>
          <cell r="Q14">
            <v>10.601000000000001</v>
          </cell>
          <cell r="R14">
            <v>32.345999999999997</v>
          </cell>
        </row>
        <row r="15">
          <cell r="O15">
            <v>328.78430000000003</v>
          </cell>
          <cell r="P15">
            <v>394.16359999999997</v>
          </cell>
          <cell r="Q15">
            <v>406.94150000000002</v>
          </cell>
          <cell r="R15">
            <v>434.56</v>
          </cell>
        </row>
        <row r="17">
          <cell r="O17">
            <v>28.861999999999998</v>
          </cell>
          <cell r="P17">
            <v>33.145000000000003</v>
          </cell>
          <cell r="Q17">
            <v>46.238</v>
          </cell>
          <cell r="R17">
            <v>57.277000000000001</v>
          </cell>
        </row>
        <row r="18">
          <cell r="O18">
            <v>36.4</v>
          </cell>
          <cell r="P18">
            <v>52.689</v>
          </cell>
          <cell r="Q18">
            <v>50.451000000000001</v>
          </cell>
          <cell r="R18">
            <v>62.292999999999999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O22">
            <v>25.071999999999999</v>
          </cell>
          <cell r="P22">
            <v>33.488999999999997</v>
          </cell>
          <cell r="Q22">
            <v>42.484999999999999</v>
          </cell>
          <cell r="R22">
            <v>50.658999999999999</v>
          </cell>
        </row>
        <row r="23"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O24">
            <v>90.334000000000003</v>
          </cell>
          <cell r="P24">
            <v>119.32300000000001</v>
          </cell>
          <cell r="Q24">
            <v>139.17399999999998</v>
          </cell>
          <cell r="R24">
            <v>170.22899999999998</v>
          </cell>
        </row>
        <row r="26">
          <cell r="O26">
            <v>238.45030000000003</v>
          </cell>
          <cell r="P26">
            <v>274.84059999999999</v>
          </cell>
          <cell r="Q26">
            <v>267.76750000000004</v>
          </cell>
          <cell r="R26">
            <v>264.33100000000002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7.91</v>
          </cell>
          <cell r="K28">
            <v>9.3610000000000007</v>
          </cell>
          <cell r="L28">
            <v>11.807</v>
          </cell>
          <cell r="M28">
            <v>16.523</v>
          </cell>
          <cell r="N28">
            <v>23.344999999999999</v>
          </cell>
          <cell r="O28">
            <v>28.491</v>
          </cell>
          <cell r="P28">
            <v>25.701000000000001</v>
          </cell>
          <cell r="Q28">
            <v>31.074000000000002</v>
          </cell>
          <cell r="R28">
            <v>0</v>
          </cell>
          <cell r="S28">
            <v>45</v>
          </cell>
          <cell r="T28">
            <v>46</v>
          </cell>
        </row>
        <row r="29">
          <cell r="O29">
            <v>23.344999999999999</v>
          </cell>
          <cell r="P29">
            <v>28.491</v>
          </cell>
          <cell r="Q29">
            <v>25.701000000000001</v>
          </cell>
          <cell r="R29">
            <v>31.074000000000002</v>
          </cell>
          <cell r="S29">
            <v>0</v>
          </cell>
        </row>
        <row r="30">
          <cell r="O30">
            <v>28.491</v>
          </cell>
          <cell r="P30">
            <v>25.701000000000001</v>
          </cell>
          <cell r="Q30">
            <v>31.074000000000002</v>
          </cell>
          <cell r="R30">
            <v>0</v>
          </cell>
          <cell r="S30">
            <v>45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7.91</v>
          </cell>
          <cell r="L31">
            <v>9.3610000000000007</v>
          </cell>
          <cell r="M31">
            <v>11.807</v>
          </cell>
          <cell r="N31">
            <v>16.523</v>
          </cell>
          <cell r="O31">
            <v>23.344999999999999</v>
          </cell>
          <cell r="P31">
            <v>28.491</v>
          </cell>
          <cell r="Q31">
            <v>25.701000000000001</v>
          </cell>
          <cell r="R31">
            <v>31.074000000000002</v>
          </cell>
          <cell r="S31">
            <v>0</v>
          </cell>
          <cell r="T31">
            <v>45</v>
          </cell>
        </row>
        <row r="32"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O33">
            <v>119.298</v>
          </cell>
          <cell r="P33">
            <v>177.80199999999999</v>
          </cell>
          <cell r="Q33">
            <v>178.476</v>
          </cell>
          <cell r="R33">
            <v>168.75299999999999</v>
          </cell>
        </row>
        <row r="34">
          <cell r="A34">
            <v>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O35">
            <v>11.046287899978912</v>
          </cell>
          <cell r="P35">
            <v>13.11518086653772</v>
          </cell>
          <cell r="Q35">
            <v>11.01234948567379</v>
          </cell>
          <cell r="R35">
            <v>11.01234948567379</v>
          </cell>
        </row>
        <row r="36"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O40">
            <v>1.2809040366577829</v>
          </cell>
          <cell r="P40">
            <v>1.7884200803230161</v>
          </cell>
          <cell r="Q40">
            <v>1.7884200803230161</v>
          </cell>
          <cell r="R40">
            <v>1.7884200803230161</v>
          </cell>
        </row>
        <row r="41">
          <cell r="O41">
            <v>34.854999999999997</v>
          </cell>
          <cell r="P41">
            <v>69.98</v>
          </cell>
          <cell r="Q41">
            <v>118.78700000000001</v>
          </cell>
          <cell r="R41">
            <v>297.15499999999997</v>
          </cell>
        </row>
        <row r="42">
          <cell r="O42">
            <v>43.511000000000003</v>
          </cell>
          <cell r="P42">
            <v>46.472999999999999</v>
          </cell>
          <cell r="Q42">
            <v>32.524000000000001</v>
          </cell>
          <cell r="R42">
            <v>37.75</v>
          </cell>
        </row>
        <row r="43">
          <cell r="O43">
            <v>209.99119193663668</v>
          </cell>
          <cell r="P43">
            <v>309.15860094686076</v>
          </cell>
          <cell r="Q43">
            <v>342.58776956599684</v>
          </cell>
          <cell r="R43">
            <v>516.45876956599682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50">
          <cell r="O50">
            <v>448.44149193663668</v>
          </cell>
          <cell r="P50">
            <v>583.99920094686081</v>
          </cell>
          <cell r="Q50">
            <v>610.35526956599688</v>
          </cell>
          <cell r="R50">
            <v>780.78976956599683</v>
          </cell>
        </row>
        <row r="53"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O54">
            <v>7.3849999999999998</v>
          </cell>
          <cell r="P54">
            <v>8.1189999999999998</v>
          </cell>
          <cell r="Q54">
            <v>25.414000000000001</v>
          </cell>
          <cell r="R54">
            <v>30.311</v>
          </cell>
        </row>
        <row r="55"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O57">
            <v>107.54300000000001</v>
          </cell>
          <cell r="P57">
            <v>107.155</v>
          </cell>
          <cell r="Q57">
            <v>140.71299999999999</v>
          </cell>
          <cell r="R57">
            <v>322.51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O59">
            <v>11.046287899978912</v>
          </cell>
          <cell r="P59">
            <v>13.11518086653772</v>
          </cell>
          <cell r="Q59">
            <v>11.01234948567379</v>
          </cell>
          <cell r="R59">
            <v>11.01234948567379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52.584850144986802</v>
          </cell>
          <cell r="K61">
            <v>125.5285019754366</v>
          </cell>
          <cell r="L61">
            <v>133.92281883761169</v>
          </cell>
          <cell r="M61">
            <v>78.249975073504416</v>
          </cell>
          <cell r="N61">
            <v>130.30650233819992</v>
          </cell>
          <cell r="O61">
            <v>125.97428789997892</v>
          </cell>
          <cell r="P61">
            <v>128.38918086653771</v>
          </cell>
          <cell r="Q61">
            <v>177.13934948567379</v>
          </cell>
          <cell r="R61">
            <v>363.83334948567375</v>
          </cell>
        </row>
        <row r="63"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O68">
            <v>1.2809040366577829</v>
          </cell>
          <cell r="P68">
            <v>1.7884200803230161</v>
          </cell>
          <cell r="Q68">
            <v>1.7884200803230161</v>
          </cell>
          <cell r="R68">
            <v>1.7884200803230161</v>
          </cell>
        </row>
        <row r="69"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O70">
            <v>1.2809040366577829</v>
          </cell>
          <cell r="P70">
            <v>1.7884200803230161</v>
          </cell>
          <cell r="Q70">
            <v>1.7884200803230161</v>
          </cell>
          <cell r="R70">
            <v>1.7884200803230161</v>
          </cell>
        </row>
        <row r="72">
          <cell r="O72">
            <v>212.346</v>
          </cell>
          <cell r="P72">
            <v>296.39</v>
          </cell>
          <cell r="Q72">
            <v>389.904</v>
          </cell>
          <cell r="R72">
            <v>479.30199999999996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6">
          <cell r="O76">
            <v>186.863</v>
          </cell>
          <cell r="P76">
            <v>271.68299999999999</v>
          </cell>
          <cell r="Q76">
            <v>348.80700000000002</v>
          </cell>
          <cell r="R76">
            <v>410.64300000000003</v>
          </cell>
        </row>
        <row r="78">
          <cell r="O78">
            <v>554.09</v>
          </cell>
          <cell r="P78">
            <v>623.20000000000005</v>
          </cell>
          <cell r="Q78">
            <v>519.84699999999998</v>
          </cell>
          <cell r="R78">
            <v>541.27599999999995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O80">
            <v>258.38670000000002</v>
          </cell>
          <cell r="P80">
            <v>194.08539999999999</v>
          </cell>
          <cell r="Q80">
            <v>129.51649999999998</v>
          </cell>
          <cell r="R80">
            <v>194.767</v>
          </cell>
        </row>
        <row r="81"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3">
          <cell r="O83">
            <v>296.98420403665784</v>
          </cell>
          <cell r="P83">
            <v>430.90302008032307</v>
          </cell>
          <cell r="Q83">
            <v>392.11892008032305</v>
          </cell>
          <cell r="R83">
            <v>348.29742008032298</v>
          </cell>
        </row>
        <row r="84">
          <cell r="O84">
            <v>128.85048800000001</v>
          </cell>
          <cell r="P84">
            <v>125.57583199999999</v>
          </cell>
          <cell r="Q84">
            <v>113.71</v>
          </cell>
          <cell r="R84">
            <v>114.703</v>
          </cell>
        </row>
        <row r="85">
          <cell r="O85">
            <v>2.3048744994792556</v>
          </cell>
          <cell r="P85">
            <v>3.4314168038346988</v>
          </cell>
          <cell r="Q85">
            <v>3.4484119257789381</v>
          </cell>
          <cell r="R85">
            <v>3.036515349034663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154.82770014498681</v>
          </cell>
          <cell r="K87">
            <v>162.85368954940719</v>
          </cell>
          <cell r="L87">
            <v>264.6086572894306</v>
          </cell>
          <cell r="M87">
            <v>305.53416352532327</v>
          </cell>
          <cell r="N87">
            <v>509.37245637485768</v>
          </cell>
          <cell r="O87">
            <v>448.44149193663674</v>
          </cell>
          <cell r="P87">
            <v>583.99920094686081</v>
          </cell>
          <cell r="Q87">
            <v>610.35526956599688</v>
          </cell>
          <cell r="R87">
            <v>780.78976956599672</v>
          </cell>
        </row>
        <row r="88">
          <cell r="O88">
            <v>-0.11961966862491794</v>
          </cell>
          <cell r="P88">
            <v>0.30228627691163312</v>
          </cell>
          <cell r="Q88">
            <v>4.5130316234001586E-2</v>
          </cell>
          <cell r="R88">
            <v>4.5130316234001586E-2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154.82770014498681</v>
          </cell>
          <cell r="K89">
            <v>158.840694847197</v>
          </cell>
          <cell r="L89">
            <v>213.73117341941889</v>
          </cell>
          <cell r="M89">
            <v>285.0714104073769</v>
          </cell>
          <cell r="N89">
            <v>407.45330995009044</v>
          </cell>
          <cell r="O89">
            <v>478.90697415574721</v>
          </cell>
          <cell r="P89">
            <v>516.2203464417488</v>
          </cell>
          <cell r="Q89">
            <v>597.17723525642884</v>
          </cell>
          <cell r="R89">
            <v>597.17723525642884</v>
          </cell>
        </row>
        <row r="95">
          <cell r="O95">
            <v>3.0711455215573751</v>
          </cell>
          <cell r="P95">
            <v>3.5446591032657944</v>
          </cell>
          <cell r="Q95">
            <v>3.1736829644417996</v>
          </cell>
          <cell r="R95">
            <v>3.1736829644417996</v>
          </cell>
        </row>
        <row r="96">
          <cell r="O96">
            <v>6.9815952990131294</v>
          </cell>
          <cell r="P96">
            <v>8.4223508336778288</v>
          </cell>
          <cell r="Q96">
            <v>7.7180515283706885</v>
          </cell>
          <cell r="R96">
            <v>7.7180515283706885</v>
          </cell>
        </row>
        <row r="97">
          <cell r="C97" t="str">
            <v>--</v>
          </cell>
          <cell r="D97" t="str">
            <v xml:space="preserve">--  </v>
          </cell>
          <cell r="E97" t="str">
            <v xml:space="preserve">--  </v>
          </cell>
          <cell r="F97" t="str">
            <v xml:space="preserve">--  </v>
          </cell>
          <cell r="G97" t="str">
            <v xml:space="preserve">--  </v>
          </cell>
          <cell r="H97" t="str">
            <v xml:space="preserve">--  </v>
          </cell>
          <cell r="I97" t="str">
            <v xml:space="preserve">--  </v>
          </cell>
          <cell r="J97">
            <v>5.1859063965809922</v>
          </cell>
          <cell r="K97">
            <v>3.105422908353503</v>
          </cell>
          <cell r="L97">
            <v>3.9681745729381546</v>
          </cell>
          <cell r="M97">
            <v>3.0231657673892665</v>
          </cell>
          <cell r="N97">
            <v>2.6941392890636089</v>
          </cell>
          <cell r="O97">
            <v>2.2474561909483</v>
          </cell>
          <cell r="P97">
            <v>2.8578414306585214</v>
          </cell>
          <cell r="Q97">
            <v>2.7422001256523814</v>
          </cell>
          <cell r="R97">
            <v>2.7422001256523814</v>
          </cell>
        </row>
        <row r="98">
          <cell r="O98">
            <v>5.7336048729351665</v>
          </cell>
          <cell r="P98">
            <v>4.9374082800403905</v>
          </cell>
          <cell r="Q98">
            <v>4.1763454381129339</v>
          </cell>
          <cell r="R98">
            <v>4.1763454381129339</v>
          </cell>
        </row>
        <row r="99">
          <cell r="C99" t="str">
            <v>--</v>
          </cell>
          <cell r="D99" t="str">
            <v xml:space="preserve">--  </v>
          </cell>
          <cell r="E99" t="str">
            <v xml:space="preserve">--  </v>
          </cell>
          <cell r="F99" t="str">
            <v xml:space="preserve">--  </v>
          </cell>
          <cell r="G99" t="str">
            <v xml:space="preserve">--  </v>
          </cell>
          <cell r="H99" t="str">
            <v xml:space="preserve">--  </v>
          </cell>
          <cell r="I99" t="str">
            <v xml:space="preserve">--  </v>
          </cell>
          <cell r="J99">
            <v>5.7026695765341016</v>
          </cell>
          <cell r="K99">
            <v>2.8803849061066158</v>
          </cell>
          <cell r="L99">
            <v>3.532689050340057</v>
          </cell>
          <cell r="M99">
            <v>3.7655253558228621</v>
          </cell>
          <cell r="N99">
            <v>4.2923201511023992</v>
          </cell>
          <cell r="O99">
            <v>3.0623992850233517</v>
          </cell>
          <cell r="P99">
            <v>2.8255891076300372</v>
          </cell>
          <cell r="Q99">
            <v>2.2830046584365999</v>
          </cell>
          <cell r="R99">
            <v>2.2830046584365999</v>
          </cell>
        </row>
        <row r="100">
          <cell r="O100">
            <v>22.854523699953976</v>
          </cell>
          <cell r="P100">
            <v>13.992502503934753</v>
          </cell>
          <cell r="Q100">
            <v>7.8824158883703195</v>
          </cell>
          <cell r="R100">
            <v>7.8824158883703195</v>
          </cell>
        </row>
        <row r="101">
          <cell r="B101" t="str">
            <v xml:space="preserve"> Total other assets turns</v>
          </cell>
          <cell r="C101" t="str">
            <v>--</v>
          </cell>
          <cell r="D101" t="str">
            <v xml:space="preserve">--  </v>
          </cell>
          <cell r="E101" t="str">
            <v xml:space="preserve">--  </v>
          </cell>
          <cell r="F101" t="str">
            <v xml:space="preserve">--  </v>
          </cell>
          <cell r="G101" t="str">
            <v xml:space="preserve">--  </v>
          </cell>
          <cell r="H101" t="str">
            <v xml:space="preserve">--  </v>
          </cell>
          <cell r="I101" t="str">
            <v xml:space="preserve">--  </v>
          </cell>
          <cell r="J101" t="str">
            <v xml:space="preserve">--  </v>
          </cell>
          <cell r="K101" t="str">
            <v xml:space="preserve">--  </v>
          </cell>
          <cell r="L101" t="str">
            <v xml:space="preserve">--  </v>
          </cell>
          <cell r="M101" t="str">
            <v xml:space="preserve">--  </v>
          </cell>
          <cell r="N101" t="str">
            <v xml:space="preserve">--  </v>
          </cell>
          <cell r="O101" t="str">
            <v xml:space="preserve">--  </v>
          </cell>
          <cell r="P101" t="str">
            <v xml:space="preserve">--  </v>
          </cell>
          <cell r="Q101" t="str">
            <v xml:space="preserve">--  </v>
          </cell>
          <cell r="R101" t="str">
            <v xml:space="preserve">--  </v>
          </cell>
        </row>
        <row r="102">
          <cell r="C102" t="str">
            <v>--</v>
          </cell>
          <cell r="D102" t="str">
            <v xml:space="preserve">--  </v>
          </cell>
          <cell r="E102" t="str">
            <v xml:space="preserve">--  </v>
          </cell>
          <cell r="F102" t="str">
            <v xml:space="preserve">--  </v>
          </cell>
          <cell r="G102" t="str">
            <v xml:space="preserve">--  </v>
          </cell>
          <cell r="H102" t="str">
            <v xml:space="preserve">--  </v>
          </cell>
          <cell r="I102" t="str">
            <v xml:space="preserve">--  </v>
          </cell>
          <cell r="J102">
            <v>1.3580063503049324</v>
          </cell>
          <cell r="K102">
            <v>1.4943462708239887</v>
          </cell>
          <cell r="L102">
            <v>1.8689037897908622</v>
          </cell>
          <cell r="M102">
            <v>1.6768780822913059</v>
          </cell>
          <cell r="N102">
            <v>1.6553086783921716</v>
          </cell>
          <cell r="O102">
            <v>1.2962559192092946</v>
          </cell>
          <cell r="P102">
            <v>1.4208118782136456</v>
          </cell>
          <cell r="Q102">
            <v>1.2458110525270412</v>
          </cell>
          <cell r="R102">
            <v>1.2458110525270412</v>
          </cell>
        </row>
        <row r="105">
          <cell r="O105">
            <v>0.14454281322540216</v>
          </cell>
          <cell r="P105">
            <v>0.14910713359772479</v>
          </cell>
          <cell r="Q105">
            <v>0.16677526277977231</v>
          </cell>
          <cell r="R105">
            <v>0.16677526277977231</v>
          </cell>
        </row>
        <row r="106">
          <cell r="O106">
            <v>1.2962559192092946</v>
          </cell>
          <cell r="P106">
            <v>1.4208118782136456</v>
          </cell>
          <cell r="Q106">
            <v>1.2458110525270412</v>
          </cell>
          <cell r="R106">
            <v>1.2458110525270412</v>
          </cell>
        </row>
        <row r="107">
          <cell r="O107">
            <v>0.18736447722259106</v>
          </cell>
          <cell r="P107">
            <v>0.21185318654203633</v>
          </cell>
          <cell r="Q107">
            <v>0.20777046565914201</v>
          </cell>
          <cell r="R107">
            <v>0.20777046565914201</v>
          </cell>
        </row>
        <row r="108">
          <cell r="O108">
            <v>-0.13247454235994119</v>
          </cell>
          <cell r="P108">
            <v>2.4488709319445273E-2</v>
          </cell>
          <cell r="Q108">
            <v>-4.0827208828943251E-3</v>
          </cell>
          <cell r="R108">
            <v>-4.0827208828943251E-3</v>
          </cell>
        </row>
        <row r="109">
          <cell r="O109">
            <v>-0.19912506017263171</v>
          </cell>
          <cell r="P109" t="str">
            <v>NM</v>
          </cell>
          <cell r="Q109">
            <v>0.10853581848037203</v>
          </cell>
          <cell r="R109">
            <v>0.10853581848037203</v>
          </cell>
        </row>
        <row r="112">
          <cell r="O112">
            <v>-0.41419130953081551</v>
          </cell>
          <cell r="P112">
            <v>0.13070091877849621</v>
          </cell>
          <cell r="Q112">
            <v>-1.9271463174731274E-2</v>
          </cell>
          <cell r="R112">
            <v>0</v>
          </cell>
        </row>
        <row r="113">
          <cell r="O113">
            <v>8.2461520926468301E-2</v>
          </cell>
          <cell r="P113">
            <v>3.5112844228815332E-2</v>
          </cell>
          <cell r="Q113">
            <v>-7.2915051566889932E-2</v>
          </cell>
          <cell r="R113">
            <v>-8.4389232650254442E-2</v>
          </cell>
        </row>
        <row r="114">
          <cell r="O114" t="str">
            <v xml:space="preserve">  --</v>
          </cell>
          <cell r="P114" t="str">
            <v xml:space="preserve">  --</v>
          </cell>
          <cell r="Q114" t="str">
            <v xml:space="preserve">  --</v>
          </cell>
          <cell r="R114" t="str">
            <v xml:space="preserve">  --</v>
          </cell>
        </row>
        <row r="118">
          <cell r="O118">
            <v>1995</v>
          </cell>
          <cell r="P118">
            <v>1996</v>
          </cell>
          <cell r="Q118">
            <v>1997</v>
          </cell>
        </row>
        <row r="119">
          <cell r="O119">
            <v>3.0711455215573751</v>
          </cell>
          <cell r="P119">
            <v>3.5446591032657944</v>
          </cell>
          <cell r="Q119">
            <v>3.1736829644417996</v>
          </cell>
        </row>
        <row r="120">
          <cell r="O120">
            <v>118.84816184643338</v>
          </cell>
          <cell r="P120">
            <v>102.97182024181541</v>
          </cell>
          <cell r="Q120">
            <v>115.00833702971894</v>
          </cell>
        </row>
        <row r="121">
          <cell r="O121">
            <v>2.6906289538054939</v>
          </cell>
          <cell r="P121">
            <v>3.1828234807771807</v>
          </cell>
          <cell r="Q121">
            <v>2.7593976772292739</v>
          </cell>
        </row>
        <row r="122">
          <cell r="O122">
            <v>135.65601436190667</v>
          </cell>
          <cell r="P122">
            <v>114.67805305711595</v>
          </cell>
          <cell r="Q122">
            <v>132.27524362001293</v>
          </cell>
        </row>
        <row r="123">
          <cell r="O123">
            <v>9.6174626145682591</v>
          </cell>
          <cell r="P123">
            <v>8.9400551550631366</v>
          </cell>
          <cell r="Q123">
            <v>6.7013844273962935</v>
          </cell>
        </row>
        <row r="124">
          <cell r="O124">
            <v>37.95179816421728</v>
          </cell>
          <cell r="P124">
            <v>40.827488608197775</v>
          </cell>
          <cell r="Q124">
            <v>54.466357504849846</v>
          </cell>
        </row>
        <row r="125">
          <cell r="O125">
            <v>216.55237804412278</v>
          </cell>
          <cell r="P125">
            <v>176.8223846907336</v>
          </cell>
          <cell r="Q125">
            <v>192.81722314488204</v>
          </cell>
        </row>
      </sheetData>
      <sheetData sheetId="3" refreshError="1">
        <row r="1">
          <cell r="O1">
            <v>-2.7708421259500061E-2</v>
          </cell>
          <cell r="P1">
            <v>-2.1327912392358324E-2</v>
          </cell>
          <cell r="Q1">
            <v>-1.5210290737529737E-2</v>
          </cell>
        </row>
        <row r="2">
          <cell r="P2" t="str">
            <v>NOPAT Statement</v>
          </cell>
        </row>
        <row r="3">
          <cell r="O3" t="str">
            <v>P-2</v>
          </cell>
          <cell r="P3" t="str">
            <v>P-1</v>
          </cell>
          <cell r="Q3" t="str">
            <v>Present (P)</v>
          </cell>
        </row>
        <row r="4">
          <cell r="O4">
            <v>1995</v>
          </cell>
          <cell r="P4">
            <v>1996</v>
          </cell>
          <cell r="Q4">
            <v>1997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210.25700000000001</v>
          </cell>
          <cell r="K5">
            <v>237.363</v>
          </cell>
          <cell r="L5">
            <v>399.44299999999998</v>
          </cell>
          <cell r="M5">
            <v>478.03</v>
          </cell>
          <cell r="N5">
            <v>674.46100000000001</v>
          </cell>
          <cell r="O5">
            <v>620.78599999999994</v>
          </cell>
          <cell r="P5">
            <v>733.452</v>
          </cell>
          <cell r="Q5">
            <v>743.97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210.25700000000001</v>
          </cell>
          <cell r="K8">
            <v>237.363</v>
          </cell>
          <cell r="L8">
            <v>399.44299999999998</v>
          </cell>
          <cell r="M8">
            <v>478.03</v>
          </cell>
          <cell r="N8">
            <v>674.46100000000001</v>
          </cell>
          <cell r="O8">
            <v>620.78599999999994</v>
          </cell>
          <cell r="P8">
            <v>733.452</v>
          </cell>
          <cell r="Q8">
            <v>743.97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90.438999999999993</v>
          </cell>
          <cell r="K9">
            <v>91.069000000000003</v>
          </cell>
          <cell r="L9">
            <v>126.80500000000001</v>
          </cell>
          <cell r="M9">
            <v>170.83199999999999</v>
          </cell>
          <cell r="N9">
            <v>278.57299999999998</v>
          </cell>
          <cell r="O9">
            <v>239.244</v>
          </cell>
          <cell r="P9">
            <v>277.173</v>
          </cell>
          <cell r="Q9">
            <v>265.988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119.81800000000001</v>
          </cell>
          <cell r="K10">
            <v>146.29399999999998</v>
          </cell>
          <cell r="L10">
            <v>272.63799999999998</v>
          </cell>
          <cell r="M10">
            <v>307.19799999999998</v>
          </cell>
          <cell r="N10">
            <v>395.88800000000003</v>
          </cell>
          <cell r="O10">
            <v>381.54199999999992</v>
          </cell>
          <cell r="P10">
            <v>456.279</v>
          </cell>
          <cell r="Q10">
            <v>477.98200000000003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45.177</v>
          </cell>
          <cell r="K12">
            <v>50.475000000000001</v>
          </cell>
          <cell r="L12">
            <v>66.191999999999993</v>
          </cell>
          <cell r="M12">
            <v>57.526000000000003</v>
          </cell>
          <cell r="N12">
            <v>83.870999999999995</v>
          </cell>
          <cell r="O12">
            <v>88.551000000000002</v>
          </cell>
          <cell r="P12">
            <v>108.46899999999999</v>
          </cell>
          <cell r="Q12">
            <v>98.38</v>
          </cell>
        </row>
        <row r="13">
          <cell r="O13">
            <v>28.491</v>
          </cell>
          <cell r="P13">
            <v>25.701000000000001</v>
          </cell>
          <cell r="Q13">
            <v>31.074000000000002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36.667000000000002</v>
          </cell>
          <cell r="K14">
            <v>41.838999999999999</v>
          </cell>
          <cell r="L14">
            <v>89.331000000000003</v>
          </cell>
          <cell r="M14">
            <v>82.911000000000001</v>
          </cell>
          <cell r="N14">
            <v>90.765999999999991</v>
          </cell>
          <cell r="O14">
            <v>125.15899999999999</v>
          </cell>
          <cell r="P14">
            <v>152.27599999999998</v>
          </cell>
          <cell r="Q14">
            <v>157.09100000000001</v>
          </cell>
        </row>
        <row r="15">
          <cell r="O15">
            <v>481.44499999999999</v>
          </cell>
          <cell r="P15">
            <v>563.61900000000003</v>
          </cell>
          <cell r="Q15">
            <v>552.53300000000002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30.064000000000021</v>
          </cell>
          <cell r="K17">
            <v>44.619</v>
          </cell>
          <cell r="L17">
            <v>105.30799999999994</v>
          </cell>
          <cell r="M17">
            <v>150.23799999999994</v>
          </cell>
          <cell r="N17">
            <v>197.90600000000006</v>
          </cell>
          <cell r="O17">
            <v>139.34099999999995</v>
          </cell>
          <cell r="P17">
            <v>169.83299999999997</v>
          </cell>
          <cell r="Q17">
            <v>191.43700000000001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O19">
            <v>139.34099999999995</v>
          </cell>
          <cell r="P19">
            <v>169.83299999999997</v>
          </cell>
          <cell r="Q19">
            <v>191.43700000000001</v>
          </cell>
        </row>
        <row r="21"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1.1316410427298416</v>
          </cell>
          <cell r="K23">
            <v>1.1286849690759182</v>
          </cell>
          <cell r="L23">
            <v>1.8672821040415268</v>
          </cell>
          <cell r="M23">
            <v>1.5781964092550558</v>
          </cell>
          <cell r="N23">
            <v>1.3678098471102524</v>
          </cell>
          <cell r="O23">
            <v>0.86381971377835087</v>
          </cell>
          <cell r="P23">
            <v>1.0479029512363638</v>
          </cell>
          <cell r="Q23">
            <v>0.78297804843140639</v>
          </cell>
        </row>
        <row r="24">
          <cell r="O24">
            <v>0.86381971377835087</v>
          </cell>
          <cell r="P24">
            <v>1.0479029512363638</v>
          </cell>
          <cell r="Q24">
            <v>0.78297804843140639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31.195641042729864</v>
          </cell>
          <cell r="K26">
            <v>45.74768496907592</v>
          </cell>
          <cell r="L26">
            <v>107.17528210404146</v>
          </cell>
          <cell r="M26">
            <v>151.81619640925499</v>
          </cell>
          <cell r="N26">
            <v>199.27380984711033</v>
          </cell>
          <cell r="O26">
            <v>140.20481971377831</v>
          </cell>
          <cell r="P26">
            <v>170.88090295123632</v>
          </cell>
          <cell r="Q26">
            <v>192.21997804843141</v>
          </cell>
        </row>
        <row r="28">
          <cell r="O28">
            <v>0</v>
          </cell>
          <cell r="P28">
            <v>0</v>
          </cell>
          <cell r="Q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31.195641042729864</v>
          </cell>
          <cell r="K32">
            <v>45.74768496907592</v>
          </cell>
          <cell r="L32">
            <v>107.17528210404146</v>
          </cell>
          <cell r="M32">
            <v>151.81619640925499</v>
          </cell>
          <cell r="N32">
            <v>199.27380984711033</v>
          </cell>
          <cell r="O32">
            <v>140.20481971377831</v>
          </cell>
          <cell r="P32">
            <v>170.88090295123632</v>
          </cell>
          <cell r="Q32">
            <v>192.21997804843141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11.965</v>
          </cell>
          <cell r="K34">
            <v>18.606999999999999</v>
          </cell>
          <cell r="L34">
            <v>42.295999999999999</v>
          </cell>
          <cell r="M34">
            <v>68.566000000000003</v>
          </cell>
          <cell r="N34">
            <v>74.313000000000002</v>
          </cell>
          <cell r="O34">
            <v>52.116</v>
          </cell>
          <cell r="P34">
            <v>66.385999999999996</v>
          </cell>
          <cell r="Q34">
            <v>75.378</v>
          </cell>
        </row>
        <row r="35">
          <cell r="O35">
            <v>4.2401581056063664</v>
          </cell>
          <cell r="P35">
            <v>0.38628535327516383</v>
          </cell>
          <cell r="Q35">
            <v>-3.499737171075838</v>
          </cell>
        </row>
        <row r="36">
          <cell r="O36">
            <v>-6.1924740681384902</v>
          </cell>
          <cell r="P36">
            <v>-5.6315580440665283</v>
          </cell>
          <cell r="Q36">
            <v>-4.0116517248677246</v>
          </cell>
        </row>
        <row r="37">
          <cell r="O37">
            <v>0.31098082536592347</v>
          </cell>
          <cell r="P37">
            <v>0.37725029050925019</v>
          </cell>
          <cell r="Q37">
            <v>0.27757469410776042</v>
          </cell>
        </row>
        <row r="38">
          <cell r="O38">
            <v>0</v>
          </cell>
          <cell r="P38">
            <v>0</v>
          </cell>
          <cell r="Q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11.675921079712916</v>
          </cell>
          <cell r="K39">
            <v>17.429964457677489</v>
          </cell>
          <cell r="L39">
            <v>42.333635897203401</v>
          </cell>
          <cell r="M39">
            <v>59.774837622869477</v>
          </cell>
          <cell r="N39">
            <v>68.954342667015766</v>
          </cell>
          <cell r="O39">
            <v>50.474664862833805</v>
          </cell>
          <cell r="P39">
            <v>61.517977599717888</v>
          </cell>
          <cell r="Q39">
            <v>68.144185798164202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19.519719963016946</v>
          </cell>
          <cell r="K41">
            <v>28.317720511398431</v>
          </cell>
          <cell r="L41">
            <v>64.84164620683805</v>
          </cell>
          <cell r="M41">
            <v>92.041358786385501</v>
          </cell>
          <cell r="N41">
            <v>130.31946718009456</v>
          </cell>
          <cell r="O41">
            <v>89.730154850944501</v>
          </cell>
          <cell r="P41">
            <v>109.36292535151844</v>
          </cell>
          <cell r="Q41">
            <v>124.07579225026721</v>
          </cell>
        </row>
        <row r="43">
          <cell r="O43">
            <v>92.647999999999954</v>
          </cell>
          <cell r="P43">
            <v>118.01699999999997</v>
          </cell>
          <cell r="Q43">
            <v>137.24700000000001</v>
          </cell>
        </row>
        <row r="44">
          <cell r="O44">
            <v>0</v>
          </cell>
          <cell r="P44">
            <v>0</v>
          </cell>
          <cell r="Q44">
            <v>0</v>
          </cell>
        </row>
        <row r="45">
          <cell r="O45">
            <v>0.86381971377835087</v>
          </cell>
          <cell r="P45">
            <v>1.0479029512363638</v>
          </cell>
          <cell r="Q45">
            <v>0.78297804843140639</v>
          </cell>
        </row>
        <row r="46">
          <cell r="O46">
            <v>93.511819713778308</v>
          </cell>
          <cell r="P46">
            <v>119.06490295123633</v>
          </cell>
          <cell r="Q46">
            <v>138.02997804843142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-0.95399999999999996</v>
          </cell>
          <cell r="L48">
            <v>0.219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</row>
        <row r="50">
          <cell r="O50">
            <v>-8.3000000000000004E-2</v>
          </cell>
          <cell r="P50">
            <v>0.79300000000000004</v>
          </cell>
          <cell r="Q50">
            <v>2.4E-2</v>
          </cell>
        </row>
        <row r="51">
          <cell r="O51">
            <v>0</v>
          </cell>
          <cell r="P51">
            <v>0</v>
          </cell>
          <cell r="Q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</row>
        <row r="53">
          <cell r="O53">
            <v>0</v>
          </cell>
          <cell r="P53">
            <v>0</v>
          </cell>
          <cell r="Q53">
            <v>0</v>
          </cell>
        </row>
        <row r="54">
          <cell r="O54">
            <v>0</v>
          </cell>
          <cell r="P54">
            <v>0</v>
          </cell>
          <cell r="Q54">
            <v>0</v>
          </cell>
        </row>
        <row r="55">
          <cell r="O55">
            <v>-8.3000000000000004E-2</v>
          </cell>
          <cell r="P55">
            <v>0.79300000000000004</v>
          </cell>
          <cell r="Q55">
            <v>2.4E-2</v>
          </cell>
        </row>
        <row r="57">
          <cell r="O57">
            <v>93.42881971377831</v>
          </cell>
          <cell r="P57">
            <v>119.85790295123634</v>
          </cell>
          <cell r="Q57">
            <v>138.05397804843142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1.829</v>
          </cell>
          <cell r="K58">
            <v>0.76300000000000001</v>
          </cell>
          <cell r="L58">
            <v>-0.434</v>
          </cell>
          <cell r="M58">
            <v>0</v>
          </cell>
          <cell r="N58">
            <v>0.93500000000000005</v>
          </cell>
          <cell r="O58">
            <v>-12.032999999999999</v>
          </cell>
          <cell r="P58">
            <v>-4.3109999999999999</v>
          </cell>
          <cell r="Q58">
            <v>12.885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0.124</v>
          </cell>
          <cell r="K59">
            <v>-1.091</v>
          </cell>
          <cell r="L59">
            <v>3.1920000000000002</v>
          </cell>
          <cell r="M59">
            <v>-0.28199999999999997</v>
          </cell>
          <cell r="N59">
            <v>1.0209999999999999</v>
          </cell>
          <cell r="O59">
            <v>-0.17199999999999999</v>
          </cell>
          <cell r="P59">
            <v>-4.0309999999999997</v>
          </cell>
          <cell r="Q59">
            <v>2.9889999999999999</v>
          </cell>
        </row>
        <row r="60">
          <cell r="O60">
            <v>0</v>
          </cell>
          <cell r="P60">
            <v>0</v>
          </cell>
          <cell r="Q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-0.19900000000000073</v>
          </cell>
          <cell r="K63">
            <v>-3.5200000000000014</v>
          </cell>
          <cell r="L63">
            <v>-6.2280000000000015</v>
          </cell>
          <cell r="M63">
            <v>-13.534000000000001</v>
          </cell>
          <cell r="N63">
            <v>-17.736999999999998</v>
          </cell>
          <cell r="O63">
            <v>-17.201000000000004</v>
          </cell>
          <cell r="P63">
            <v>-15.642999999999997</v>
          </cell>
          <cell r="Q63">
            <v>-11.315999999999999</v>
          </cell>
        </row>
        <row r="64">
          <cell r="O64">
            <v>4.2401581056063664</v>
          </cell>
          <cell r="P64">
            <v>0.38628535327516383</v>
          </cell>
          <cell r="Q64">
            <v>-3.499737171075838</v>
          </cell>
        </row>
        <row r="65">
          <cell r="O65">
            <v>0.31098082536592347</v>
          </cell>
          <cell r="P65">
            <v>0.37725029050925019</v>
          </cell>
          <cell r="Q65">
            <v>0.27757469410776042</v>
          </cell>
        </row>
        <row r="66">
          <cell r="O66">
            <v>-6.1924740681384902</v>
          </cell>
          <cell r="P66">
            <v>-5.6315580440665283</v>
          </cell>
          <cell r="Q66">
            <v>-4.0116517248677246</v>
          </cell>
        </row>
        <row r="67">
          <cell r="O67">
            <v>-15.559664862833802</v>
          </cell>
          <cell r="P67">
            <v>-10.774977599717884</v>
          </cell>
          <cell r="Q67">
            <v>-4.0821857981641969</v>
          </cell>
        </row>
        <row r="69">
          <cell r="O69">
            <v>89.730154850944515</v>
          </cell>
          <cell r="P69">
            <v>109.36292535151844</v>
          </cell>
          <cell r="Q69">
            <v>124.07579225026721</v>
          </cell>
        </row>
        <row r="71">
          <cell r="O71" t="str">
            <v>P-2</v>
          </cell>
          <cell r="P71" t="str">
            <v>P-1</v>
          </cell>
          <cell r="Q71" t="str">
            <v>Present (P)</v>
          </cell>
        </row>
        <row r="72">
          <cell r="O72">
            <v>1995</v>
          </cell>
          <cell r="P72">
            <v>1996</v>
          </cell>
          <cell r="Q72">
            <v>1997</v>
          </cell>
        </row>
        <row r="73">
          <cell r="O73">
            <v>620.78599999999994</v>
          </cell>
          <cell r="P73">
            <v>733.452</v>
          </cell>
          <cell r="Q73">
            <v>743.97</v>
          </cell>
        </row>
        <row r="74">
          <cell r="O74">
            <v>0</v>
          </cell>
          <cell r="P74">
            <v>0</v>
          </cell>
          <cell r="Q74">
            <v>0</v>
          </cell>
        </row>
        <row r="75">
          <cell r="O75">
            <v>0</v>
          </cell>
          <cell r="P75">
            <v>0</v>
          </cell>
          <cell r="Q75">
            <v>0</v>
          </cell>
        </row>
        <row r="76">
          <cell r="O76">
            <v>620.78599999999994</v>
          </cell>
          <cell r="P76">
            <v>733.452</v>
          </cell>
          <cell r="Q76">
            <v>743.97</v>
          </cell>
        </row>
        <row r="77">
          <cell r="O77">
            <v>239.244</v>
          </cell>
          <cell r="P77">
            <v>277.173</v>
          </cell>
          <cell r="Q77">
            <v>265.988</v>
          </cell>
        </row>
        <row r="78">
          <cell r="O78">
            <v>381.54199999999992</v>
          </cell>
          <cell r="P78">
            <v>456.279</v>
          </cell>
          <cell r="Q78">
            <v>477.98200000000003</v>
          </cell>
        </row>
        <row r="79">
          <cell r="O79">
            <v>88.551000000000002</v>
          </cell>
          <cell r="P79">
            <v>108.46899999999999</v>
          </cell>
          <cell r="Q79">
            <v>98.38</v>
          </cell>
        </row>
        <row r="80">
          <cell r="O80">
            <v>28.491</v>
          </cell>
          <cell r="P80">
            <v>25.701000000000001</v>
          </cell>
          <cell r="Q80">
            <v>31.074000000000002</v>
          </cell>
        </row>
        <row r="81">
          <cell r="O81">
            <v>125.15899999999999</v>
          </cell>
          <cell r="P81">
            <v>152.27599999999998</v>
          </cell>
          <cell r="Q81">
            <v>157.09100000000001</v>
          </cell>
        </row>
        <row r="82">
          <cell r="O82">
            <v>481.44499999999999</v>
          </cell>
          <cell r="P82">
            <v>563.61900000000003</v>
          </cell>
          <cell r="Q82">
            <v>552.53300000000002</v>
          </cell>
        </row>
        <row r="84">
          <cell r="O84">
            <v>139.34099999999995</v>
          </cell>
          <cell r="P84">
            <v>169.83299999999997</v>
          </cell>
          <cell r="Q84">
            <v>191.43700000000001</v>
          </cell>
        </row>
        <row r="85">
          <cell r="O85">
            <v>0</v>
          </cell>
          <cell r="P85">
            <v>0</v>
          </cell>
          <cell r="Q85">
            <v>0</v>
          </cell>
        </row>
        <row r="86">
          <cell r="O86">
            <v>-17.201000000000004</v>
          </cell>
          <cell r="P86">
            <v>-15.642999999999997</v>
          </cell>
          <cell r="Q86">
            <v>-11.315999999999999</v>
          </cell>
        </row>
        <row r="87">
          <cell r="O87">
            <v>-8.3000000000000004E-2</v>
          </cell>
          <cell r="P87">
            <v>0.79300000000000004</v>
          </cell>
          <cell r="Q87">
            <v>2.4E-2</v>
          </cell>
        </row>
        <row r="88">
          <cell r="O88">
            <v>-12.032999999999999</v>
          </cell>
          <cell r="P88">
            <v>-4.3109999999999999</v>
          </cell>
          <cell r="Q88">
            <v>12.885</v>
          </cell>
        </row>
        <row r="89">
          <cell r="O89">
            <v>-0.17199999999999999</v>
          </cell>
          <cell r="P89">
            <v>-4.0309999999999997</v>
          </cell>
          <cell r="Q89">
            <v>2.9889999999999999</v>
          </cell>
        </row>
        <row r="90">
          <cell r="O90">
            <v>144.76399999999995</v>
          </cell>
          <cell r="P90">
            <v>184.40299999999996</v>
          </cell>
          <cell r="Q90">
            <v>212.625</v>
          </cell>
        </row>
        <row r="91">
          <cell r="O91">
            <v>52.116</v>
          </cell>
          <cell r="P91">
            <v>66.385999999999996</v>
          </cell>
          <cell r="Q91">
            <v>75.378</v>
          </cell>
        </row>
        <row r="92">
          <cell r="O92">
            <v>0</v>
          </cell>
          <cell r="P92">
            <v>0</v>
          </cell>
          <cell r="Q92">
            <v>0</v>
          </cell>
        </row>
        <row r="93">
          <cell r="O93">
            <v>0</v>
          </cell>
          <cell r="P93">
            <v>0</v>
          </cell>
          <cell r="Q93">
            <v>0</v>
          </cell>
        </row>
        <row r="94">
          <cell r="O94">
            <v>92.647999999999954</v>
          </cell>
          <cell r="P94">
            <v>118.01699999999997</v>
          </cell>
          <cell r="Q94">
            <v>137.24700000000001</v>
          </cell>
        </row>
        <row r="95">
          <cell r="O95">
            <v>1047.3320000000001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0.1707688760435318</v>
          </cell>
          <cell r="K96">
            <v>0.25729629478696092</v>
          </cell>
          <cell r="L96">
            <v>0.47829325734821787</v>
          </cell>
          <cell r="M96">
            <v>0.87127266133343562</v>
          </cell>
          <cell r="N96">
            <v>1.0337816741608672</v>
          </cell>
          <cell r="O96">
            <v>0.70672952232748987</v>
          </cell>
          <cell r="P96">
            <v>0.92085674157303343</v>
          </cell>
          <cell r="Q96">
            <v>1.1285831757256806</v>
          </cell>
        </row>
        <row r="97">
          <cell r="O97">
            <v>0.36000663148296552</v>
          </cell>
          <cell r="P97">
            <v>0.360004989072846</v>
          </cell>
          <cell r="Q97">
            <v>0.3545114638447972</v>
          </cell>
        </row>
        <row r="98">
          <cell r="O98">
            <v>0.36000663148296547</v>
          </cell>
          <cell r="P98">
            <v>0.36000498907284595</v>
          </cell>
          <cell r="Q98">
            <v>0.3545114638447972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9.3640000000000008</v>
          </cell>
          <cell r="K100">
            <v>11.952</v>
          </cell>
          <cell r="L100">
            <v>16.826000000000001</v>
          </cell>
          <cell r="M100">
            <v>20.196000000000002</v>
          </cell>
          <cell r="N100">
            <v>20.074000000000002</v>
          </cell>
          <cell r="O100">
            <v>27.896000000000001</v>
          </cell>
          <cell r="P100">
            <v>30.501999999999999</v>
          </cell>
          <cell r="Q100">
            <v>35.024000000000001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30.064000000000021</v>
          </cell>
          <cell r="K101">
            <v>44.619</v>
          </cell>
          <cell r="L101">
            <v>105.30799999999994</v>
          </cell>
          <cell r="M101">
            <v>150.23799999999994</v>
          </cell>
          <cell r="N101">
            <v>197.90600000000006</v>
          </cell>
          <cell r="O101">
            <v>139.34099999999995</v>
          </cell>
          <cell r="P101">
            <v>169.83299999999997</v>
          </cell>
          <cell r="Q101">
            <v>191.43700000000001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39.428000000000026</v>
          </cell>
          <cell r="K102">
            <v>56.570999999999998</v>
          </cell>
          <cell r="L102">
            <v>122.13399999999993</v>
          </cell>
          <cell r="M102">
            <v>170.43399999999994</v>
          </cell>
          <cell r="N102">
            <v>217.98000000000008</v>
          </cell>
          <cell r="O102">
            <v>167.23699999999997</v>
          </cell>
          <cell r="P102">
            <v>200.33499999999998</v>
          </cell>
          <cell r="Q102">
            <v>226.46100000000001</v>
          </cell>
        </row>
        <row r="103">
          <cell r="O103">
            <v>211.34800000000001</v>
          </cell>
          <cell r="P103">
            <v>246.67099999999999</v>
          </cell>
          <cell r="Q103">
            <v>230.964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9.3640000000000008</v>
          </cell>
          <cell r="K104">
            <v>11.952</v>
          </cell>
          <cell r="L104">
            <v>16.826000000000001</v>
          </cell>
          <cell r="M104">
            <v>20.196000000000002</v>
          </cell>
          <cell r="N104">
            <v>20.074000000000002</v>
          </cell>
          <cell r="O104">
            <v>27.896000000000001</v>
          </cell>
          <cell r="P104">
            <v>30.501999999999999</v>
          </cell>
          <cell r="Q104">
            <v>35.024000000000001</v>
          </cell>
        </row>
        <row r="105">
          <cell r="O105">
            <v>0</v>
          </cell>
          <cell r="P105">
            <v>0</v>
          </cell>
          <cell r="Q105">
            <v>0</v>
          </cell>
        </row>
        <row r="108">
          <cell r="O108">
            <v>0.61461115424639079</v>
          </cell>
          <cell r="P108">
            <v>0.62209796960128272</v>
          </cell>
          <cell r="Q108">
            <v>0.64247483097436731</v>
          </cell>
        </row>
        <row r="109">
          <cell r="C109" t="str">
            <v xml:space="preserve">--  </v>
          </cell>
          <cell r="D109" t="str">
            <v xml:space="preserve">--  </v>
          </cell>
          <cell r="E109" t="str">
            <v xml:space="preserve">--  </v>
          </cell>
          <cell r="F109" t="str">
            <v xml:space="preserve">--  </v>
          </cell>
          <cell r="G109" t="str">
            <v xml:space="preserve">--  </v>
          </cell>
          <cell r="H109" t="str">
            <v xml:space="preserve">--  </v>
          </cell>
          <cell r="I109" t="str">
            <v xml:space="preserve">--  </v>
          </cell>
          <cell r="J109">
            <v>0.18752288865531241</v>
          </cell>
          <cell r="K109">
            <v>0.23833116366072218</v>
          </cell>
          <cell r="L109">
            <v>0.30576077187483552</v>
          </cell>
          <cell r="M109">
            <v>0.35653410873794522</v>
          </cell>
          <cell r="N109">
            <v>0.32319140765737392</v>
          </cell>
          <cell r="O109">
            <v>0.26939557270943609</v>
          </cell>
          <cell r="P109">
            <v>0.27313989190840027</v>
          </cell>
          <cell r="Q109">
            <v>0.30439533852171458</v>
          </cell>
        </row>
        <row r="110">
          <cell r="O110">
            <v>0.22445899230974919</v>
          </cell>
          <cell r="P110">
            <v>0.23155298506241714</v>
          </cell>
          <cell r="Q110">
            <v>0.25731817143164376</v>
          </cell>
        </row>
        <row r="111">
          <cell r="C111" t="str">
            <v xml:space="preserve">--  </v>
          </cell>
          <cell r="D111" t="str">
            <v xml:space="preserve">--  </v>
          </cell>
          <cell r="E111" t="str">
            <v xml:space="preserve">--  </v>
          </cell>
          <cell r="F111" t="str">
            <v xml:space="preserve">--  </v>
          </cell>
          <cell r="G111" t="str">
            <v xml:space="preserve">--  </v>
          </cell>
          <cell r="H111" t="str">
            <v xml:space="preserve">--  </v>
          </cell>
          <cell r="I111" t="str">
            <v xml:space="preserve">--  </v>
          </cell>
          <cell r="J111">
            <v>0.14298691601230884</v>
          </cell>
          <cell r="K111">
            <v>0.18797790725597502</v>
          </cell>
          <cell r="L111">
            <v>0.26363711468219481</v>
          </cell>
          <cell r="M111">
            <v>0.31428571428571417</v>
          </cell>
          <cell r="N111">
            <v>0.29342838207101679</v>
          </cell>
          <cell r="O111">
            <v>0.22445899230974919</v>
          </cell>
          <cell r="P111">
            <v>0.23155298506241714</v>
          </cell>
          <cell r="Q111">
            <v>0.25731817143164376</v>
          </cell>
        </row>
        <row r="112">
          <cell r="C112" t="str">
            <v xml:space="preserve">--  </v>
          </cell>
          <cell r="D112" t="str">
            <v xml:space="preserve">--  </v>
          </cell>
          <cell r="E112" t="str">
            <v xml:space="preserve">--  </v>
          </cell>
          <cell r="F112" t="str">
            <v xml:space="preserve">--  </v>
          </cell>
          <cell r="G112" t="str">
            <v xml:space="preserve">--  </v>
          </cell>
          <cell r="H112" t="str">
            <v xml:space="preserve">--  </v>
          </cell>
          <cell r="I112" t="str">
            <v xml:space="preserve">--  </v>
          </cell>
          <cell r="J112">
            <v>9.2837432109356383E-2</v>
          </cell>
          <cell r="K112">
            <v>0.11930132544414433</v>
          </cell>
          <cell r="L112">
            <v>0.16233016026526451</v>
          </cell>
          <cell r="M112">
            <v>0.19254305961212792</v>
          </cell>
          <cell r="N112">
            <v>0.19322016718549265</v>
          </cell>
          <cell r="O112">
            <v>0.14454281322540216</v>
          </cell>
          <cell r="P112">
            <v>0.14910713359772479</v>
          </cell>
          <cell r="Q112">
            <v>0.16677526277977231</v>
          </cell>
        </row>
        <row r="113">
          <cell r="C113" t="str">
            <v xml:space="preserve">--  </v>
          </cell>
          <cell r="D113" t="str">
            <v xml:space="preserve">--  </v>
          </cell>
          <cell r="E113" t="str">
            <v xml:space="preserve">--  </v>
          </cell>
          <cell r="F113" t="str">
            <v xml:space="preserve">--  </v>
          </cell>
          <cell r="G113" t="str">
            <v xml:space="preserve">--  </v>
          </cell>
          <cell r="H113" t="str">
            <v xml:space="preserve">--  </v>
          </cell>
          <cell r="I113" t="str">
            <v xml:space="preserve">--  </v>
          </cell>
          <cell r="J113">
            <v>9.5135952667449938E-2</v>
          </cell>
          <cell r="K113">
            <v>0.12735767579614349</v>
          </cell>
          <cell r="L113">
            <v>0.16218584378747405</v>
          </cell>
          <cell r="M113">
            <v>0.24899064912243993</v>
          </cell>
          <cell r="N113">
            <v>0.20823590985987336</v>
          </cell>
          <cell r="O113">
            <v>0.14924305638335911</v>
          </cell>
          <cell r="P113">
            <v>0.1609062351728538</v>
          </cell>
          <cell r="Q113">
            <v>0.18447921287148678</v>
          </cell>
        </row>
        <row r="114">
          <cell r="O114">
            <v>0.14264335858089586</v>
          </cell>
          <cell r="P114">
            <v>0.14788834170470597</v>
          </cell>
          <cell r="Q114">
            <v>0.13223651491323574</v>
          </cell>
        </row>
        <row r="115">
          <cell r="O115">
            <v>4.4936580399686857E-2</v>
          </cell>
          <cell r="P115">
            <v>4.1586906845983103E-2</v>
          </cell>
          <cell r="Q115">
            <v>4.7077167090070836E-2</v>
          </cell>
        </row>
        <row r="119">
          <cell r="O119">
            <v>0.14454281322540216</v>
          </cell>
          <cell r="P119">
            <v>0.14910713359772479</v>
          </cell>
          <cell r="Q119">
            <v>0.16677526277977231</v>
          </cell>
        </row>
        <row r="120">
          <cell r="O120">
            <v>1.2962559192092946</v>
          </cell>
          <cell r="P120">
            <v>1.4208118782136456</v>
          </cell>
          <cell r="Q120">
            <v>1.2458110525270412</v>
          </cell>
        </row>
        <row r="121">
          <cell r="O121">
            <v>0.18736447722259106</v>
          </cell>
          <cell r="P121">
            <v>0.21185318654203633</v>
          </cell>
          <cell r="Q121">
            <v>0.20777046565914201</v>
          </cell>
        </row>
        <row r="122">
          <cell r="O122">
            <v>-0.19912506017263171</v>
          </cell>
          <cell r="P122" t="str">
            <v>NM</v>
          </cell>
          <cell r="Q122">
            <v>0.10853581848037203</v>
          </cell>
        </row>
        <row r="123">
          <cell r="O123">
            <v>-0.13247454235994119</v>
          </cell>
          <cell r="P123">
            <v>2.4488709319445273E-2</v>
          </cell>
          <cell r="Q123">
            <v>-4.0827208828943251E-3</v>
          </cell>
        </row>
        <row r="124">
          <cell r="O124">
            <v>35.148817399196133</v>
          </cell>
          <cell r="P124">
            <v>52.05540505659944</v>
          </cell>
          <cell r="Q124">
            <v>61.349938793908187</v>
          </cell>
        </row>
        <row r="125">
          <cell r="O125">
            <v>-49.385930025780965</v>
          </cell>
          <cell r="P125">
            <v>16.906587657403307</v>
          </cell>
          <cell r="Q125">
            <v>9.2945337373087469</v>
          </cell>
        </row>
        <row r="128">
          <cell r="O128">
            <v>3.0711455215573751</v>
          </cell>
          <cell r="P128">
            <v>3.5446591032657944</v>
          </cell>
          <cell r="Q128">
            <v>3.1736829644417996</v>
          </cell>
        </row>
        <row r="129">
          <cell r="O129">
            <v>6.9815952990131294</v>
          </cell>
          <cell r="P129">
            <v>8.4223508336778288</v>
          </cell>
          <cell r="Q129">
            <v>7.7180515283706885</v>
          </cell>
        </row>
        <row r="130">
          <cell r="O130">
            <v>2.2474561909483</v>
          </cell>
          <cell r="P130">
            <v>2.8578414306585214</v>
          </cell>
          <cell r="Q130">
            <v>2.7422001256523814</v>
          </cell>
        </row>
        <row r="131">
          <cell r="O131">
            <v>5.7336048729351665</v>
          </cell>
          <cell r="P131">
            <v>4.9374082800403905</v>
          </cell>
          <cell r="Q131">
            <v>4.1763454381129339</v>
          </cell>
        </row>
        <row r="132">
          <cell r="O132">
            <v>3.0623992850233517</v>
          </cell>
          <cell r="P132">
            <v>2.8255891076300372</v>
          </cell>
          <cell r="Q132">
            <v>2.2830046584365999</v>
          </cell>
        </row>
        <row r="133">
          <cell r="O133">
            <v>22.854523699953976</v>
          </cell>
          <cell r="P133">
            <v>13.992502503934753</v>
          </cell>
          <cell r="Q133">
            <v>7.8824158883703195</v>
          </cell>
        </row>
        <row r="134">
          <cell r="O134" t="str">
            <v xml:space="preserve">--  </v>
          </cell>
          <cell r="P134" t="str">
            <v xml:space="preserve">--  </v>
          </cell>
          <cell r="Q134" t="str">
            <v xml:space="preserve">--  </v>
          </cell>
        </row>
        <row r="135">
          <cell r="O135">
            <v>1.2962559192092946</v>
          </cell>
          <cell r="P135">
            <v>1.4208118782136456</v>
          </cell>
          <cell r="Q135">
            <v>1.2458110525270412</v>
          </cell>
        </row>
        <row r="138">
          <cell r="O138">
            <v>-7.9582066272178925E-2</v>
          </cell>
          <cell r="P138">
            <v>0.18148927327613712</v>
          </cell>
          <cell r="Q138">
            <v>1.4340406734183053E-2</v>
          </cell>
        </row>
        <row r="139">
          <cell r="O139" t="str">
            <v xml:space="preserve">--  </v>
          </cell>
          <cell r="P139" t="str">
            <v xml:space="preserve">--  </v>
          </cell>
          <cell r="Q139" t="str">
            <v xml:space="preserve">--  </v>
          </cell>
        </row>
        <row r="140">
          <cell r="O140">
            <v>-7.9582066272178925E-2</v>
          </cell>
          <cell r="P140">
            <v>0.18148927327613712</v>
          </cell>
          <cell r="Q140">
            <v>1.4340406734183053E-2</v>
          </cell>
        </row>
        <row r="141">
          <cell r="O141">
            <v>-0.34033478821192398</v>
          </cell>
          <cell r="P141">
            <v>0.27382134530696861</v>
          </cell>
          <cell r="Q141">
            <v>0.16294262690968295</v>
          </cell>
        </row>
        <row r="142">
          <cell r="O142">
            <v>-0.23278741168914621</v>
          </cell>
          <cell r="P142">
            <v>0.19791074941550027</v>
          </cell>
          <cell r="Q142">
            <v>0.13041156063593498</v>
          </cell>
        </row>
        <row r="143">
          <cell r="O143">
            <v>-0.2959233171303553</v>
          </cell>
          <cell r="P143">
            <v>0.21883006437444852</v>
          </cell>
          <cell r="Q143">
            <v>0.12720731542162034</v>
          </cell>
        </row>
        <row r="144">
          <cell r="O144">
            <v>-0.31146008503133144</v>
          </cell>
          <cell r="P144">
            <v>0.21879791172975208</v>
          </cell>
          <cell r="Q144">
            <v>0.13453249217189572</v>
          </cell>
        </row>
        <row r="145">
          <cell r="O145">
            <v>0.22043264082244596</v>
          </cell>
          <cell r="P145">
            <v>-9.7925660734968903E-2</v>
          </cell>
          <cell r="Q145">
            <v>0.20905801330687526</v>
          </cell>
        </row>
        <row r="146">
          <cell r="O146">
            <v>0.38965826442163987</v>
          </cell>
          <cell r="P146">
            <v>9.3418411241755026E-2</v>
          </cell>
          <cell r="Q146">
            <v>0.14825257360173111</v>
          </cell>
        </row>
        <row r="147">
          <cell r="O147">
            <v>0</v>
          </cell>
          <cell r="P147">
            <v>0</v>
          </cell>
          <cell r="Q147">
            <v>0</v>
          </cell>
        </row>
        <row r="148">
          <cell r="O148">
            <v>0</v>
          </cell>
          <cell r="P148">
            <v>0</v>
          </cell>
          <cell r="Q148">
            <v>0</v>
          </cell>
        </row>
        <row r="149">
          <cell r="O149">
            <v>0</v>
          </cell>
          <cell r="P149">
            <v>0</v>
          </cell>
          <cell r="Q149">
            <v>0</v>
          </cell>
        </row>
        <row r="150">
          <cell r="O150">
            <v>-0.31636481861496474</v>
          </cell>
          <cell r="P150">
            <v>0.30298326655486685</v>
          </cell>
          <cell r="Q150">
            <v>0.22557953346554535</v>
          </cell>
        </row>
        <row r="151">
          <cell r="M151">
            <v>7.0056216364446547E-2</v>
          </cell>
          <cell r="N151">
            <v>6.0063907998109872E-2</v>
          </cell>
          <cell r="O151">
            <v>-2.656637983787483E-2</v>
          </cell>
          <cell r="P151">
            <v>-2.5414385702598359E-2</v>
          </cell>
          <cell r="Q151">
            <v>-9.4491366778282612E-2</v>
          </cell>
        </row>
        <row r="152">
          <cell r="O152">
            <v>0.42539276040384127</v>
          </cell>
          <cell r="P152">
            <v>-0.2027046637136953</v>
          </cell>
          <cell r="Q152">
            <v>-0.27753317328109983</v>
          </cell>
        </row>
        <row r="153">
          <cell r="M153" t="str">
            <v>--</v>
          </cell>
          <cell r="N153">
            <v>0.66525934629111383</v>
          </cell>
          <cell r="O153">
            <v>-3.3246341206957512E-2</v>
          </cell>
          <cell r="P153">
            <v>1.9169729051980614E-2</v>
          </cell>
          <cell r="Q153">
            <v>0.37970620491622681</v>
          </cell>
        </row>
        <row r="154">
          <cell r="O154">
            <v>0.22677772636125246</v>
          </cell>
          <cell r="P154">
            <v>0.49040218612214781</v>
          </cell>
          <cell r="Q154">
            <v>3.7907335125589511E-3</v>
          </cell>
        </row>
        <row r="155">
          <cell r="O155">
            <v>0.79019003595274739</v>
          </cell>
          <cell r="P155">
            <v>1.0077463778510978</v>
          </cell>
          <cell r="Q155">
            <v>0.69744212632180624</v>
          </cell>
        </row>
        <row r="159">
          <cell r="P159" t="str">
            <v>5 year CAGR</v>
          </cell>
        </row>
        <row r="160">
          <cell r="P160" t="str">
            <v>Sales</v>
          </cell>
          <cell r="Q160">
            <v>0.13934536568832079</v>
          </cell>
        </row>
        <row r="161">
          <cell r="P161" t="str">
            <v>EBITDA</v>
          </cell>
          <cell r="Q161">
            <v>-1</v>
          </cell>
        </row>
        <row r="162">
          <cell r="P162" t="str">
            <v>NOPAT</v>
          </cell>
          <cell r="Q162">
            <v>0.16530121417236776</v>
          </cell>
        </row>
      </sheetData>
      <sheetData sheetId="4" refreshError="1">
        <row r="11">
          <cell r="D11">
            <v>0.10299999999999999</v>
          </cell>
        </row>
        <row r="21">
          <cell r="J21">
            <v>9.9223839999999994E-2</v>
          </cell>
        </row>
        <row r="23">
          <cell r="U23">
            <v>0.11101367989451319</v>
          </cell>
        </row>
      </sheetData>
      <sheetData sheetId="5" refreshError="1">
        <row r="1">
          <cell r="F1" t="str">
            <v>Discounted Cash Flow</v>
          </cell>
        </row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L2">
            <v>9</v>
          </cell>
          <cell r="M2">
            <v>10</v>
          </cell>
          <cell r="Q2">
            <v>14</v>
          </cell>
          <cell r="R2">
            <v>15</v>
          </cell>
          <cell r="AA2">
            <v>24</v>
          </cell>
          <cell r="AB2">
            <v>25</v>
          </cell>
        </row>
        <row r="3">
          <cell r="C3" t="str">
            <v>Present(P)</v>
          </cell>
          <cell r="D3" t="str">
            <v>Estimated Year 1</v>
          </cell>
          <cell r="E3" t="str">
            <v>EY 2</v>
          </cell>
          <cell r="F3" t="str">
            <v>EY 3</v>
          </cell>
          <cell r="G3" t="str">
            <v>EY 4</v>
          </cell>
          <cell r="H3" t="str">
            <v>EY 5</v>
          </cell>
          <cell r="L3" t="str">
            <v>EY 9</v>
          </cell>
          <cell r="M3" t="str">
            <v>EY 10</v>
          </cell>
          <cell r="Q3" t="str">
            <v>EY 14</v>
          </cell>
          <cell r="R3" t="str">
            <v>EY 15</v>
          </cell>
          <cell r="AA3" t="str">
            <v>EY 24</v>
          </cell>
          <cell r="AB3" t="str">
            <v>EY 25</v>
          </cell>
        </row>
        <row r="4">
          <cell r="C4">
            <v>1997</v>
          </cell>
          <cell r="D4" t="str">
            <v>1998E</v>
          </cell>
          <cell r="E4" t="str">
            <v>1999E</v>
          </cell>
          <cell r="F4" t="str">
            <v>2000E</v>
          </cell>
          <cell r="G4" t="str">
            <v>2001E</v>
          </cell>
          <cell r="H4" t="str">
            <v>2002E</v>
          </cell>
          <cell r="L4" t="str">
            <v>2006E</v>
          </cell>
          <cell r="M4" t="str">
            <v>2007E</v>
          </cell>
          <cell r="Q4" t="str">
            <v>2011E</v>
          </cell>
          <cell r="R4" t="str">
            <v>2012E</v>
          </cell>
          <cell r="AA4" t="str">
            <v>2021E</v>
          </cell>
          <cell r="AB4" t="str">
            <v>2022E</v>
          </cell>
        </row>
        <row r="6">
          <cell r="C6">
            <v>743.97</v>
          </cell>
          <cell r="D6">
            <v>824.12199999999996</v>
          </cell>
          <cell r="E6">
            <v>986.22612499999991</v>
          </cell>
          <cell r="F6">
            <v>1036.076</v>
          </cell>
          <cell r="G6">
            <v>1139.6836000000001</v>
          </cell>
          <cell r="H6">
            <v>1253.6519600000001</v>
          </cell>
          <cell r="I6">
            <v>1366.4806364000003</v>
          </cell>
          <cell r="J6">
            <v>1489.4638936760005</v>
          </cell>
          <cell r="K6">
            <v>1623.5156441068407</v>
          </cell>
          <cell r="L6">
            <v>1769.6320520764564</v>
          </cell>
          <cell r="M6">
            <v>1928.8989367633376</v>
          </cell>
          <cell r="N6">
            <v>2092.8553463882213</v>
          </cell>
          <cell r="O6">
            <v>2270.7480508312201</v>
          </cell>
          <cell r="P6">
            <v>2463.7616351518736</v>
          </cell>
          <cell r="Q6">
            <v>2673.1813741397827</v>
          </cell>
          <cell r="R6">
            <v>2900.4017909416643</v>
          </cell>
          <cell r="S6">
            <v>3146.9359431717057</v>
          </cell>
          <cell r="T6">
            <v>3414.4254983413007</v>
          </cell>
          <cell r="U6">
            <v>3704.6516657003112</v>
          </cell>
          <cell r="V6">
            <v>4019.5470572848376</v>
          </cell>
          <cell r="W6">
            <v>4361.2085571540483</v>
          </cell>
          <cell r="X6">
            <v>4731.9112845121426</v>
          </cell>
          <cell r="Y6">
            <v>5134.1237436956744</v>
          </cell>
          <cell r="Z6">
            <v>5570.5242619098062</v>
          </cell>
          <cell r="AA6">
            <v>6044.0188241721398</v>
          </cell>
          <cell r="AB6">
            <v>6557.7604242267716</v>
          </cell>
          <cell r="AC6">
            <v>7115.1700602860474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C9">
            <v>743.97</v>
          </cell>
          <cell r="D9">
            <v>824.12199999999996</v>
          </cell>
          <cell r="E9">
            <v>986.22612499999991</v>
          </cell>
          <cell r="F9">
            <v>1036.076</v>
          </cell>
          <cell r="G9">
            <v>1139.6836000000001</v>
          </cell>
          <cell r="H9">
            <v>1253.6519600000001</v>
          </cell>
          <cell r="I9">
            <v>1366.4806364000003</v>
          </cell>
          <cell r="J9">
            <v>1489.4638936760005</v>
          </cell>
          <cell r="K9">
            <v>1623.5156441068407</v>
          </cell>
          <cell r="L9">
            <v>1769.6320520764564</v>
          </cell>
          <cell r="M9">
            <v>1928.8989367633376</v>
          </cell>
          <cell r="N9">
            <v>2092.8553463882213</v>
          </cell>
          <cell r="O9">
            <v>2270.7480508312201</v>
          </cell>
          <cell r="P9">
            <v>2463.7616351518736</v>
          </cell>
          <cell r="Q9">
            <v>2673.1813741397827</v>
          </cell>
          <cell r="R9">
            <v>2900.4017909416643</v>
          </cell>
          <cell r="S9">
            <v>3146.9359431717057</v>
          </cell>
          <cell r="T9">
            <v>3414.4254983413007</v>
          </cell>
          <cell r="U9">
            <v>3704.6516657003112</v>
          </cell>
          <cell r="V9">
            <v>4019.5470572848376</v>
          </cell>
          <cell r="W9">
            <v>4361.2085571540483</v>
          </cell>
          <cell r="X9">
            <v>4731.9112845121426</v>
          </cell>
          <cell r="Y9">
            <v>5134.1237436956744</v>
          </cell>
          <cell r="Z9">
            <v>5570.5242619098062</v>
          </cell>
          <cell r="AA9">
            <v>6044.0188241721398</v>
          </cell>
          <cell r="AB9">
            <v>6557.7604242267716</v>
          </cell>
          <cell r="AC9">
            <v>7115.1700602860474</v>
          </cell>
        </row>
        <row r="10">
          <cell r="C10">
            <v>1.4340406734183053E-2</v>
          </cell>
          <cell r="D10">
            <v>0.10773552697017343</v>
          </cell>
          <cell r="E10">
            <v>0.19669918410138301</v>
          </cell>
          <cell r="F10">
            <v>5.0546090532736718E-2</v>
          </cell>
          <cell r="G10">
            <v>0.10000000000000005</v>
          </cell>
          <cell r="H10">
            <v>0.10000000000000006</v>
          </cell>
          <cell r="L10">
            <v>9.0000000000000024E-2</v>
          </cell>
          <cell r="M10">
            <v>9.000000000000008E-2</v>
          </cell>
          <cell r="Q10">
            <v>8.4999999999999937E-2</v>
          </cell>
          <cell r="R10">
            <v>8.500000000000002E-2</v>
          </cell>
          <cell r="AA10">
            <v>8.500000000000002E-2</v>
          </cell>
          <cell r="AB10">
            <v>8.4999999999999992E-2</v>
          </cell>
        </row>
        <row r="12">
          <cell r="C12">
            <v>124.07579225026721</v>
          </cell>
          <cell r="D12">
            <v>140.71417600000007</v>
          </cell>
          <cell r="E12">
            <v>167.29526399999992</v>
          </cell>
          <cell r="F12">
            <v>184.77678399999996</v>
          </cell>
          <cell r="G12">
            <v>207.992257</v>
          </cell>
          <cell r="H12">
            <v>228.79148270000002</v>
          </cell>
          <cell r="I12">
            <v>250.74919677940005</v>
          </cell>
          <cell r="J12">
            <v>273.31662448954609</v>
          </cell>
          <cell r="K12">
            <v>297.91512069360527</v>
          </cell>
          <cell r="L12">
            <v>324.72748155602972</v>
          </cell>
          <cell r="M12">
            <v>353.95295489607241</v>
          </cell>
          <cell r="N12">
            <v>386.13181140862685</v>
          </cell>
          <cell r="O12">
            <v>418.95301537836008</v>
          </cell>
          <cell r="P12">
            <v>454.56402168552069</v>
          </cell>
          <cell r="Q12">
            <v>493.20196352878992</v>
          </cell>
          <cell r="R12">
            <v>535.12413042873709</v>
          </cell>
          <cell r="S12">
            <v>580.60968151517966</v>
          </cell>
          <cell r="T12">
            <v>629.96150444396994</v>
          </cell>
          <cell r="U12">
            <v>683.5082323217074</v>
          </cell>
          <cell r="V12">
            <v>741.60643206905252</v>
          </cell>
          <cell r="W12">
            <v>804.64297879492187</v>
          </cell>
          <cell r="X12">
            <v>873.03763199249033</v>
          </cell>
          <cell r="Y12">
            <v>947.24583071185191</v>
          </cell>
          <cell r="Z12">
            <v>1027.7617263223592</v>
          </cell>
          <cell r="AA12">
            <v>1115.1214730597599</v>
          </cell>
          <cell r="AB12">
            <v>1209.9067982698393</v>
          </cell>
          <cell r="AC12">
            <v>1312.7488761227758</v>
          </cell>
        </row>
        <row r="13">
          <cell r="C13">
            <v>0.13453249217189572</v>
          </cell>
          <cell r="D13">
            <v>0.13409854934613177</v>
          </cell>
          <cell r="E13">
            <v>0.18890128028038794</v>
          </cell>
          <cell r="F13">
            <v>0.10449500829862138</v>
          </cell>
          <cell r="G13">
            <v>0.12564063784116969</v>
          </cell>
          <cell r="H13">
            <v>0.1000000000000001</v>
          </cell>
          <cell r="L13">
            <v>8.9999999999999886E-2</v>
          </cell>
          <cell r="M13">
            <v>9.0000000000000066E-2</v>
          </cell>
          <cell r="Q13">
            <v>8.4999999999999937E-2</v>
          </cell>
          <cell r="R13">
            <v>8.5000000000000062E-2</v>
          </cell>
          <cell r="AA13">
            <v>8.5000000000000117E-2</v>
          </cell>
          <cell r="AB13">
            <v>8.4999999999999881E-2</v>
          </cell>
        </row>
        <row r="15">
          <cell r="C15">
            <v>226.46100000000001</v>
          </cell>
          <cell r="D15">
            <v>255.86590000000012</v>
          </cell>
          <cell r="E15">
            <v>303.39884999999987</v>
          </cell>
          <cell r="F15">
            <v>332.88720689290761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8">
          <cell r="C18">
            <v>-7.073099999999954</v>
          </cell>
          <cell r="D18">
            <v>106.83340909090902</v>
          </cell>
          <cell r="E18">
            <v>-12.017774899732672</v>
          </cell>
          <cell r="F18">
            <v>6.127186093521118</v>
          </cell>
          <cell r="G18">
            <v>31.178662171442852</v>
          </cell>
          <cell r="H18">
            <v>39.988898245614052</v>
          </cell>
          <cell r="L18">
            <v>50.384968265384714</v>
          </cell>
          <cell r="M18">
            <v>54.919615409269454</v>
          </cell>
          <cell r="Q18">
            <v>70.989742029799686</v>
          </cell>
          <cell r="R18">
            <v>77.023870102332808</v>
          </cell>
          <cell r="AA18">
            <v>157.83152075411112</v>
          </cell>
          <cell r="AB18">
            <v>171.24720001821061</v>
          </cell>
        </row>
        <row r="19">
          <cell r="C19">
            <v>36.037403354323679</v>
          </cell>
          <cell r="D19">
            <v>63.653333242775744</v>
          </cell>
          <cell r="E19">
            <v>-21.748828885783702</v>
          </cell>
          <cell r="F19">
            <v>26.974071739223881</v>
          </cell>
          <cell r="G19">
            <v>37.418539564442426</v>
          </cell>
          <cell r="H19">
            <v>44.693474509803934</v>
          </cell>
          <cell r="L19">
            <v>56.634266654889757</v>
          </cell>
          <cell r="M19">
            <v>61.731350653829963</v>
          </cell>
          <cell r="Q19">
            <v>79.931198086988161</v>
          </cell>
          <cell r="R19">
            <v>86.725349924382272</v>
          </cell>
          <cell r="AA19">
            <v>176.67707547102009</v>
          </cell>
          <cell r="AB19">
            <v>191.69462688605654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0</v>
          </cell>
          <cell r="M20">
            <v>0</v>
          </cell>
          <cell r="Q20">
            <v>0</v>
          </cell>
          <cell r="R20">
            <v>0</v>
          </cell>
          <cell r="AA20">
            <v>0</v>
          </cell>
          <cell r="AB20">
            <v>0</v>
          </cell>
        </row>
        <row r="21">
          <cell r="C21">
            <v>28.964303354323725</v>
          </cell>
          <cell r="D21">
            <v>170.48674233368476</v>
          </cell>
          <cell r="E21">
            <v>-33.766603785516374</v>
          </cell>
          <cell r="F21">
            <v>33.101257832744999</v>
          </cell>
          <cell r="G21">
            <v>68.597201735885278</v>
          </cell>
          <cell r="H21">
            <v>84.682372755417987</v>
          </cell>
          <cell r="L21">
            <v>107.01923492027447</v>
          </cell>
          <cell r="M21">
            <v>116.65096606309942</v>
          </cell>
          <cell r="Q21">
            <v>150.92094011678785</v>
          </cell>
          <cell r="R21">
            <v>163.74922002671508</v>
          </cell>
          <cell r="AA21">
            <v>334.50859622513121</v>
          </cell>
          <cell r="AB21">
            <v>362.94182690426715</v>
          </cell>
        </row>
        <row r="23">
          <cell r="C23">
            <v>95.111488895943495</v>
          </cell>
          <cell r="D23">
            <v>-29.772566333684694</v>
          </cell>
          <cell r="E23">
            <v>201.06186778551628</v>
          </cell>
          <cell r="F23">
            <v>151.67552616725496</v>
          </cell>
          <cell r="G23">
            <v>139.39505526411472</v>
          </cell>
          <cell r="H23">
            <v>144.10910994458203</v>
          </cell>
          <cell r="L23">
            <v>217.70824663575524</v>
          </cell>
          <cell r="M23">
            <v>237.301988832973</v>
          </cell>
          <cell r="Q23">
            <v>342.28102341200207</v>
          </cell>
          <cell r="R23">
            <v>371.37491040202201</v>
          </cell>
          <cell r="AA23">
            <v>780.61287683462865</v>
          </cell>
          <cell r="AB23">
            <v>846.96497136557218</v>
          </cell>
        </row>
        <row r="26">
          <cell r="C26">
            <v>95.111488895943495</v>
          </cell>
          <cell r="D26">
            <v>-27.110483822860175</v>
          </cell>
          <cell r="E26">
            <v>166.71385960288541</v>
          </cell>
          <cell r="F26">
            <v>114.51925134303266</v>
          </cell>
          <cell r="G26">
            <v>95.836590561668046</v>
          </cell>
          <cell r="H26">
            <v>90.218669741823248</v>
          </cell>
          <cell r="L26">
            <v>93.705234134323447</v>
          </cell>
          <cell r="M26">
            <v>93.006080972383216</v>
          </cell>
          <cell r="Q26">
            <v>92.23096979682542</v>
          </cell>
          <cell r="R26">
            <v>91.122895234556694</v>
          </cell>
          <cell r="AA26">
            <v>82.440312829339362</v>
          </cell>
          <cell r="AB26">
            <v>81.449864460934506</v>
          </cell>
        </row>
        <row r="27">
          <cell r="C27">
            <v>95.111488895943495</v>
          </cell>
          <cell r="D27">
            <v>-27.110483822860175</v>
          </cell>
          <cell r="E27">
            <v>139.60337578002523</v>
          </cell>
          <cell r="F27">
            <v>254.1226271230579</v>
          </cell>
          <cell r="G27">
            <v>349.95921768472596</v>
          </cell>
          <cell r="H27">
            <v>440.1778874265492</v>
          </cell>
          <cell r="L27">
            <v>826.82879452942257</v>
          </cell>
          <cell r="M27">
            <v>919.83487550180575</v>
          </cell>
          <cell r="Q27">
            <v>1303.6397516819061</v>
          </cell>
          <cell r="R27">
            <v>1394.7626469164627</v>
          </cell>
          <cell r="AA27">
            <v>2183.0567229801832</v>
          </cell>
          <cell r="AB27">
            <v>2264.5065874411175</v>
          </cell>
        </row>
        <row r="29">
          <cell r="C29">
            <v>1339.6597727208389</v>
          </cell>
          <cell r="D29">
            <v>1703.7246328282909</v>
          </cell>
          <cell r="E29">
            <v>1881.7553524742486</v>
          </cell>
          <cell r="F29">
            <v>2118.1802952201483</v>
          </cell>
          <cell r="G29">
            <v>2329.9983247421633</v>
          </cell>
          <cell r="H29">
            <v>2553.6143283468705</v>
          </cell>
          <cell r="L29">
            <v>3604.6350249269449</v>
          </cell>
          <cell r="M29">
            <v>3932.3425115936689</v>
          </cell>
          <cell r="Q29">
            <v>5449.6710835296508</v>
          </cell>
          <cell r="R29">
            <v>5912.8931256296701</v>
          </cell>
          <cell r="AA29">
            <v>12321.616083756775</v>
          </cell>
          <cell r="AB29">
            <v>13368.953450876103</v>
          </cell>
        </row>
        <row r="30">
          <cell r="C30">
            <v>1339.6597727208389</v>
          </cell>
          <cell r="D30">
            <v>1551.387897812549</v>
          </cell>
          <cell r="E30">
            <v>1560.2893830371988</v>
          </cell>
          <cell r="F30">
            <v>1599.2851829680612</v>
          </cell>
          <cell r="G30">
            <v>1601.9154699181954</v>
          </cell>
          <cell r="H30">
            <v>1598.6753913455539</v>
          </cell>
          <cell r="L30">
            <v>1551.4945997644543</v>
          </cell>
          <cell r="M30">
            <v>1541.2081788402074</v>
          </cell>
          <cell r="Q30">
            <v>1468.4671796795599</v>
          </cell>
          <cell r="R30">
            <v>1450.8248288410743</v>
          </cell>
          <cell r="AA30">
            <v>1301.2825110277072</v>
          </cell>
          <cell r="AB30">
            <v>1285.6487379906102</v>
          </cell>
        </row>
        <row r="32">
          <cell r="C32">
            <v>1434.7712616167823</v>
          </cell>
          <cell r="D32">
            <v>1524.2774139896887</v>
          </cell>
          <cell r="E32">
            <v>1699.8927588172241</v>
          </cell>
          <cell r="F32">
            <v>1853.4078100911192</v>
          </cell>
          <cell r="G32">
            <v>1951.8746876029213</v>
          </cell>
          <cell r="H32">
            <v>2038.8532787721031</v>
          </cell>
          <cell r="L32">
            <v>2378.3233942938768</v>
          </cell>
          <cell r="M32">
            <v>2461.0430543420134</v>
          </cell>
          <cell r="Q32">
            <v>2772.1069313614662</v>
          </cell>
          <cell r="R32">
            <v>2845.587475757537</v>
          </cell>
          <cell r="AA32">
            <v>3484.3392340078904</v>
          </cell>
          <cell r="AB32">
            <v>3550.1553254317278</v>
          </cell>
        </row>
        <row r="33">
          <cell r="C33">
            <v>129.51649999999998</v>
          </cell>
          <cell r="D33">
            <v>129.51649999999998</v>
          </cell>
          <cell r="E33">
            <v>129.51649999999998</v>
          </cell>
          <cell r="F33">
            <v>129.51649999999998</v>
          </cell>
          <cell r="G33">
            <v>129.51649999999998</v>
          </cell>
          <cell r="H33">
            <v>129.51649999999998</v>
          </cell>
          <cell r="I33">
            <v>129.51649999999998</v>
          </cell>
          <cell r="J33">
            <v>129.51649999999998</v>
          </cell>
          <cell r="K33">
            <v>129.51649999999998</v>
          </cell>
          <cell r="L33">
            <v>129.51649999999998</v>
          </cell>
          <cell r="M33">
            <v>129.51649999999998</v>
          </cell>
          <cell r="N33">
            <v>129.51649999999998</v>
          </cell>
          <cell r="O33">
            <v>129.51649999999998</v>
          </cell>
          <cell r="P33">
            <v>129.51649999999998</v>
          </cell>
          <cell r="Q33">
            <v>129.51649999999998</v>
          </cell>
          <cell r="R33">
            <v>129.51649999999998</v>
          </cell>
          <cell r="S33">
            <v>129.51649999999998</v>
          </cell>
          <cell r="T33">
            <v>129.51649999999998</v>
          </cell>
          <cell r="U33">
            <v>129.51649999999998</v>
          </cell>
          <cell r="V33">
            <v>129.51649999999998</v>
          </cell>
          <cell r="W33">
            <v>129.51649999999998</v>
          </cell>
          <cell r="X33">
            <v>129.51649999999998</v>
          </cell>
          <cell r="Y33">
            <v>129.51649999999998</v>
          </cell>
          <cell r="Z33">
            <v>129.51649999999998</v>
          </cell>
          <cell r="AA33">
            <v>129.51649999999998</v>
          </cell>
          <cell r="AB33">
            <v>129.51649999999998</v>
          </cell>
        </row>
        <row r="34">
          <cell r="C34">
            <v>348.80700000000002</v>
          </cell>
          <cell r="D34">
            <v>348.80700000000002</v>
          </cell>
          <cell r="E34">
            <v>348.80700000000002</v>
          </cell>
          <cell r="F34">
            <v>348.80700000000002</v>
          </cell>
          <cell r="G34">
            <v>348.80700000000002</v>
          </cell>
          <cell r="H34">
            <v>348.80700000000002</v>
          </cell>
          <cell r="L34">
            <v>348.80700000000002</v>
          </cell>
          <cell r="M34">
            <v>348.80700000000002</v>
          </cell>
          <cell r="Q34">
            <v>348.80700000000002</v>
          </cell>
          <cell r="R34">
            <v>348.80700000000002</v>
          </cell>
          <cell r="AA34">
            <v>348.80700000000002</v>
          </cell>
          <cell r="AB34">
            <v>348.80700000000002</v>
          </cell>
        </row>
        <row r="35">
          <cell r="C35">
            <v>177.13934948567379</v>
          </cell>
          <cell r="D35">
            <v>177.13934948567379</v>
          </cell>
          <cell r="E35">
            <v>177.13934948567379</v>
          </cell>
          <cell r="F35">
            <v>177.13934948567379</v>
          </cell>
          <cell r="G35">
            <v>177.13934948567379</v>
          </cell>
          <cell r="H35">
            <v>177.13934948567379</v>
          </cell>
          <cell r="I35">
            <v>177.13934948567379</v>
          </cell>
          <cell r="J35">
            <v>177.13934948567379</v>
          </cell>
          <cell r="K35">
            <v>177.13934948567379</v>
          </cell>
          <cell r="L35">
            <v>177.13934948567379</v>
          </cell>
          <cell r="M35">
            <v>177.13934948567379</v>
          </cell>
          <cell r="N35">
            <v>177.13934948567379</v>
          </cell>
          <cell r="O35">
            <v>177.13934948567379</v>
          </cell>
          <cell r="P35">
            <v>177.13934948567379</v>
          </cell>
          <cell r="Q35">
            <v>177.13934948567379</v>
          </cell>
          <cell r="R35">
            <v>177.13934948567379</v>
          </cell>
          <cell r="S35">
            <v>177.13934948567379</v>
          </cell>
          <cell r="T35">
            <v>177.13934948567379</v>
          </cell>
          <cell r="U35">
            <v>177.13934948567379</v>
          </cell>
          <cell r="V35">
            <v>177.13934948567379</v>
          </cell>
          <cell r="W35">
            <v>177.13934948567379</v>
          </cell>
          <cell r="X35">
            <v>177.13934948567379</v>
          </cell>
          <cell r="Y35">
            <v>177.13934948567379</v>
          </cell>
          <cell r="Z35">
            <v>177.13934948567379</v>
          </cell>
          <cell r="AA35">
            <v>177.13934948567379</v>
          </cell>
          <cell r="AB35">
            <v>177.13934948567379</v>
          </cell>
        </row>
        <row r="36">
          <cell r="C36">
            <v>1735.9554121311085</v>
          </cell>
          <cell r="D36">
            <v>1825.4615645040149</v>
          </cell>
          <cell r="E36">
            <v>2001.0769093315503</v>
          </cell>
          <cell r="F36">
            <v>2154.5919606054454</v>
          </cell>
          <cell r="G36">
            <v>2253.0588381172474</v>
          </cell>
          <cell r="H36">
            <v>2340.037429286429</v>
          </cell>
          <cell r="L36">
            <v>2679.5075448082034</v>
          </cell>
          <cell r="M36">
            <v>2762.22720485634</v>
          </cell>
          <cell r="Q36">
            <v>3073.2910818757928</v>
          </cell>
          <cell r="R36">
            <v>3146.7716262718632</v>
          </cell>
          <cell r="AA36">
            <v>3785.5233845222165</v>
          </cell>
          <cell r="AB36">
            <v>3851.3394759460543</v>
          </cell>
        </row>
        <row r="37">
          <cell r="C37">
            <v>121.61</v>
          </cell>
          <cell r="D37">
            <v>121.61</v>
          </cell>
          <cell r="E37">
            <v>121.61</v>
          </cell>
          <cell r="F37">
            <v>121.61</v>
          </cell>
          <cell r="G37">
            <v>121.61</v>
          </cell>
          <cell r="H37">
            <v>121.61</v>
          </cell>
          <cell r="I37">
            <v>121.61</v>
          </cell>
          <cell r="J37">
            <v>121.61</v>
          </cell>
          <cell r="K37">
            <v>121.61</v>
          </cell>
          <cell r="L37">
            <v>121.61</v>
          </cell>
          <cell r="M37">
            <v>121.61</v>
          </cell>
          <cell r="N37">
            <v>121.61</v>
          </cell>
          <cell r="O37">
            <v>121.61</v>
          </cell>
          <cell r="P37">
            <v>121.61</v>
          </cell>
          <cell r="Q37">
            <v>121.61</v>
          </cell>
          <cell r="R37">
            <v>121.61</v>
          </cell>
          <cell r="S37">
            <v>121.61</v>
          </cell>
          <cell r="T37">
            <v>121.61</v>
          </cell>
          <cell r="U37">
            <v>121.61</v>
          </cell>
          <cell r="V37">
            <v>121.61</v>
          </cell>
          <cell r="W37">
            <v>121.61</v>
          </cell>
          <cell r="X37">
            <v>121.61</v>
          </cell>
          <cell r="Y37">
            <v>121.61</v>
          </cell>
          <cell r="Z37">
            <v>121.61</v>
          </cell>
          <cell r="AA37">
            <v>121.61</v>
          </cell>
          <cell r="AB37">
            <v>121.61</v>
          </cell>
        </row>
        <row r="39">
          <cell r="C39">
            <v>14.274775200486049</v>
          </cell>
          <cell r="D39">
            <v>15.01078500537797</v>
          </cell>
          <cell r="E39">
            <v>16.454871386658581</v>
          </cell>
          <cell r="F39">
            <v>17.717226877768649</v>
          </cell>
          <cell r="G39">
            <v>18.526920796951298</v>
          </cell>
          <cell r="H39">
            <v>19.242146445904357</v>
          </cell>
          <cell r="L39">
            <v>22.033611913561412</v>
          </cell>
          <cell r="M39">
            <v>22.713816337935533</v>
          </cell>
          <cell r="Q39">
            <v>25.27169707981081</v>
          </cell>
          <cell r="R39">
            <v>25.875928182483868</v>
          </cell>
          <cell r="AA39">
            <v>31.128388985463502</v>
          </cell>
          <cell r="AB39">
            <v>31.66959523021178</v>
          </cell>
        </row>
        <row r="41">
          <cell r="D41">
            <v>1</v>
          </cell>
          <cell r="E41">
            <v>2</v>
          </cell>
          <cell r="F41">
            <v>3</v>
          </cell>
          <cell r="G41">
            <v>4</v>
          </cell>
          <cell r="H41">
            <v>5</v>
          </cell>
          <cell r="L41">
            <v>9</v>
          </cell>
          <cell r="M41">
            <v>10</v>
          </cell>
          <cell r="Q41">
            <v>14</v>
          </cell>
          <cell r="R41">
            <v>15</v>
          </cell>
          <cell r="AA41">
            <v>24</v>
          </cell>
          <cell r="AB41">
            <v>25</v>
          </cell>
        </row>
        <row r="44">
          <cell r="C44">
            <v>0.20777046565914201</v>
          </cell>
          <cell r="D44">
            <v>0.20238677541661504</v>
          </cell>
          <cell r="E44">
            <v>0.21926456951973783</v>
          </cell>
          <cell r="F44">
            <v>0.24248893242941005</v>
          </cell>
          <cell r="G44">
            <v>0.25598255385438418</v>
          </cell>
          <cell r="H44">
            <v>0.2573105158730159</v>
          </cell>
          <cell r="L44">
            <v>0.26132648168197536</v>
          </cell>
          <cell r="M44">
            <v>0.26132648168197536</v>
          </cell>
          <cell r="Q44">
            <v>0.26645149245056376</v>
          </cell>
          <cell r="R44">
            <v>0.26645149245056382</v>
          </cell>
          <cell r="AA44">
            <v>0.27180519809504516</v>
          </cell>
          <cell r="AB44">
            <v>0.27180519809504505</v>
          </cell>
        </row>
        <row r="45">
          <cell r="C45">
            <v>-4.0827208828943251E-3</v>
          </cell>
          <cell r="D45">
            <v>-5.3836902425269673E-3</v>
          </cell>
          <cell r="E45">
            <v>1.687779410312279E-2</v>
          </cell>
          <cell r="F45">
            <v>2.3224362909672225E-2</v>
          </cell>
          <cell r="G45">
            <v>1.3493621424974123E-2</v>
          </cell>
          <cell r="H45">
            <v>1.3279620186317231E-3</v>
          </cell>
          <cell r="L45">
            <v>0</v>
          </cell>
          <cell r="M45">
            <v>0</v>
          </cell>
          <cell r="Q45">
            <v>0</v>
          </cell>
          <cell r="R45">
            <v>5.5511151231257827E-17</v>
          </cell>
          <cell r="AA45">
            <v>1.1102230246251565E-16</v>
          </cell>
          <cell r="AB45">
            <v>-1.1102230246251565E-16</v>
          </cell>
        </row>
        <row r="46">
          <cell r="C46">
            <v>-6.1829084895955393E-2</v>
          </cell>
          <cell r="D46">
            <v>0.15368187724306701</v>
          </cell>
          <cell r="E46">
            <v>0.35810203393451906</v>
          </cell>
          <cell r="F46">
            <v>0.36159252694519584</v>
          </cell>
          <cell r="G46">
            <v>1.009698442423538</v>
          </cell>
          <cell r="H46">
            <v>0.33110398489307596</v>
          </cell>
          <cell r="L46">
            <v>0.25053777372262781</v>
          </cell>
          <cell r="M46">
            <v>0.25053777372262753</v>
          </cell>
          <cell r="Q46">
            <v>0.25601445242369825</v>
          </cell>
          <cell r="R46">
            <v>0.25601445242369841</v>
          </cell>
          <cell r="AA46">
            <v>0.26115845070422544</v>
          </cell>
          <cell r="AB46">
            <v>0.26115845070422533</v>
          </cell>
        </row>
        <row r="47">
          <cell r="C47">
            <v>0.10853581848037203</v>
          </cell>
          <cell r="D47">
            <v>0.63129232171039351</v>
          </cell>
          <cell r="E47">
            <v>0.15650977265727781</v>
          </cell>
          <cell r="F47" t="str">
            <v>NM</v>
          </cell>
          <cell r="G47">
            <v>0.71539516648795098</v>
          </cell>
          <cell r="H47">
            <v>0.30320807807994471</v>
          </cell>
          <cell r="L47">
            <v>0.27308617335766328</v>
          </cell>
          <cell r="M47">
            <v>0.27308617335766477</v>
          </cell>
          <cell r="Q47">
            <v>0.27777568087971244</v>
          </cell>
          <cell r="R47">
            <v>0.27777568087971344</v>
          </cell>
          <cell r="AA47">
            <v>0.28335691901408538</v>
          </cell>
          <cell r="AB47">
            <v>0.28335691901408389</v>
          </cell>
        </row>
        <row r="48">
          <cell r="C48">
            <v>61.349938793908187</v>
          </cell>
          <cell r="D48">
            <v>72.442594245545621</v>
          </cell>
          <cell r="E48">
            <v>92.374977416740577</v>
          </cell>
          <cell r="F48">
            <v>109.95298984975616</v>
          </cell>
          <cell r="G48">
            <v>128.2072947141919</v>
          </cell>
          <cell r="H48">
            <v>141.48096540775839</v>
          </cell>
          <cell r="L48">
            <v>202.71061528864507</v>
          </cell>
          <cell r="M48">
            <v>220.95457066462313</v>
          </cell>
          <cell r="Q48">
            <v>311.44507318816932</v>
          </cell>
          <cell r="R48">
            <v>337.91790440916373</v>
          </cell>
          <cell r="AA48">
            <v>712.26655978505141</v>
          </cell>
          <cell r="AB48">
            <v>772.80921736678056</v>
          </cell>
        </row>
        <row r="49">
          <cell r="C49">
            <v>62.734123253970353</v>
          </cell>
          <cell r="D49">
            <v>73.558096371292422</v>
          </cell>
          <cell r="E49">
            <v>75.19319582759212</v>
          </cell>
          <cell r="F49">
            <v>84.220526411633742</v>
          </cell>
          <cell r="G49">
            <v>90.460304531138291</v>
          </cell>
          <cell r="H49">
            <v>91.176203780957096</v>
          </cell>
          <cell r="L49">
            <v>89.511549370596072</v>
          </cell>
          <cell r="M49">
            <v>88.843686114602249</v>
          </cell>
          <cell r="Q49">
            <v>85.918551897477101</v>
          </cell>
          <cell r="R49">
            <v>84.886315524008666</v>
          </cell>
          <cell r="AA49">
            <v>76.956741586014019</v>
          </cell>
          <cell r="AB49">
            <v>76.032173537619897</v>
          </cell>
        </row>
        <row r="50">
          <cell r="C50">
            <v>62.734123253970353</v>
          </cell>
          <cell r="D50">
            <v>73.558096371292422</v>
          </cell>
          <cell r="E50">
            <v>148.75129219888453</v>
          </cell>
          <cell r="F50">
            <v>232.97181861051826</v>
          </cell>
          <cell r="G50">
            <v>323.43212314165658</v>
          </cell>
          <cell r="H50">
            <v>414.60832692261368</v>
          </cell>
          <cell r="L50">
            <v>775.96756330674907</v>
          </cell>
          <cell r="M50">
            <v>864.81124942135136</v>
          </cell>
          <cell r="Q50">
            <v>1214.0100885673551</v>
          </cell>
          <cell r="R50">
            <v>1298.8964040913638</v>
          </cell>
          <cell r="AA50">
            <v>2025.2665681676237</v>
          </cell>
          <cell r="AB50">
            <v>2101.2987417052436</v>
          </cell>
        </row>
        <row r="51">
          <cell r="C51">
            <v>62.734123253970353</v>
          </cell>
          <cell r="D51">
            <v>80.781048317079694</v>
          </cell>
          <cell r="E51">
            <v>90.685228174011385</v>
          </cell>
          <cell r="F51">
            <v>111.54624665946982</v>
          </cell>
          <cell r="G51">
            <v>131.57520604004253</v>
          </cell>
          <cell r="H51">
            <v>145.6386090883413</v>
          </cell>
          <cell r="L51">
            <v>207.964930103987</v>
          </cell>
          <cell r="M51">
            <v>226.68177381334584</v>
          </cell>
          <cell r="Q51">
            <v>318.85482651140796</v>
          </cell>
          <cell r="R51">
            <v>345.95748676487773</v>
          </cell>
          <cell r="AA51">
            <v>728.68990157322901</v>
          </cell>
          <cell r="AB51">
            <v>790.62854320695328</v>
          </cell>
        </row>
        <row r="52">
          <cell r="C52">
            <v>645.3408699431576</v>
          </cell>
          <cell r="D52">
            <v>610.35526956599688</v>
          </cell>
          <cell r="E52">
            <v>610.35526956599688</v>
          </cell>
          <cell r="F52">
            <v>610.35526956599688</v>
          </cell>
          <cell r="G52">
            <v>610.35526956599688</v>
          </cell>
          <cell r="H52">
            <v>610.35526956599688</v>
          </cell>
          <cell r="L52">
            <v>610.35526956599688</v>
          </cell>
          <cell r="M52">
            <v>610.35526956599688</v>
          </cell>
          <cell r="Q52">
            <v>610.35526956599688</v>
          </cell>
          <cell r="R52">
            <v>610.35526956599688</v>
          </cell>
          <cell r="AA52">
            <v>610.35526956599688</v>
          </cell>
          <cell r="AB52">
            <v>610.35526956599688</v>
          </cell>
        </row>
        <row r="54">
          <cell r="C54">
            <v>729.30450315484188</v>
          </cell>
          <cell r="D54">
            <v>923.53276105722512</v>
          </cell>
          <cell r="E54">
            <v>1135.9800844886993</v>
          </cell>
          <cell r="F54">
            <v>1339.9537694018541</v>
          </cell>
          <cell r="G54">
            <v>1483.1745971879836</v>
          </cell>
          <cell r="H54">
            <v>1622.1082280372727</v>
          </cell>
          <cell r="L54">
            <v>2308.5131797813983</v>
          </cell>
          <cell r="M54">
            <v>2519.5697003850228</v>
          </cell>
          <cell r="Q54">
            <v>3523.2096714506506</v>
          </cell>
          <cell r="R54">
            <v>3822.6824935239551</v>
          </cell>
          <cell r="AA54">
            <v>8051.7122378242193</v>
          </cell>
          <cell r="AB54">
            <v>8736.1077780392789</v>
          </cell>
        </row>
        <row r="55">
          <cell r="C55">
            <v>729.30450315484188</v>
          </cell>
          <cell r="D55">
            <v>840.95605658944976</v>
          </cell>
          <cell r="E55">
            <v>941.91716411959737</v>
          </cell>
          <cell r="F55">
            <v>1011.7024571054575</v>
          </cell>
          <cell r="G55">
            <v>1019.7090300861214</v>
          </cell>
          <cell r="H55">
            <v>1015.5114174743458</v>
          </cell>
          <cell r="L55">
            <v>993.62229661198432</v>
          </cell>
          <cell r="M55">
            <v>987.49827054551838</v>
          </cell>
          <cell r="Q55">
            <v>949.36330841896699</v>
          </cell>
          <cell r="R55">
            <v>937.95753729102955</v>
          </cell>
          <cell r="AA55">
            <v>850.33913146512236</v>
          </cell>
          <cell r="AB55">
            <v>840.12304935134011</v>
          </cell>
        </row>
        <row r="56">
          <cell r="C56">
            <v>792.03862640881221</v>
          </cell>
          <cell r="D56">
            <v>914.51415296074219</v>
          </cell>
          <cell r="E56">
            <v>1090.668456318482</v>
          </cell>
          <cell r="F56">
            <v>1244.6742757159757</v>
          </cell>
          <cell r="G56">
            <v>1343.141153227778</v>
          </cell>
          <cell r="H56">
            <v>1430.1197443969595</v>
          </cell>
          <cell r="L56">
            <v>1769.5898599187335</v>
          </cell>
          <cell r="M56">
            <v>1852.3095199668696</v>
          </cell>
          <cell r="Q56">
            <v>2163.3733969863219</v>
          </cell>
          <cell r="R56">
            <v>2236.8539413823933</v>
          </cell>
          <cell r="AA56">
            <v>2875.6056996327461</v>
          </cell>
          <cell r="AB56">
            <v>2941.421791056584</v>
          </cell>
        </row>
        <row r="58">
          <cell r="C58">
            <v>1437.3794963519699</v>
          </cell>
          <cell r="D58">
            <v>1524.8694225267391</v>
          </cell>
          <cell r="E58">
            <v>1701.0237258844788</v>
          </cell>
          <cell r="F58">
            <v>1855.0295452819726</v>
          </cell>
          <cell r="G58">
            <v>1953.4964227937749</v>
          </cell>
          <cell r="H58">
            <v>2040.4750139629564</v>
          </cell>
          <cell r="L58">
            <v>2379.9451294847304</v>
          </cell>
          <cell r="M58">
            <v>2462.6647895328665</v>
          </cell>
          <cell r="Q58">
            <v>2773.7286665523188</v>
          </cell>
          <cell r="R58">
            <v>2847.2092109483901</v>
          </cell>
          <cell r="AA58">
            <v>3485.960969198743</v>
          </cell>
          <cell r="AB58">
            <v>3551.7770606225808</v>
          </cell>
        </row>
        <row r="59">
          <cell r="C59">
            <v>129.51649999999998</v>
          </cell>
          <cell r="D59">
            <v>129.51649999999998</v>
          </cell>
          <cell r="E59">
            <v>129.51649999999998</v>
          </cell>
          <cell r="F59">
            <v>129.51649999999998</v>
          </cell>
          <cell r="G59">
            <v>129.51649999999998</v>
          </cell>
          <cell r="H59">
            <v>129.51649999999998</v>
          </cell>
          <cell r="L59">
            <v>129.51649999999998</v>
          </cell>
          <cell r="M59">
            <v>129.51649999999998</v>
          </cell>
          <cell r="Q59">
            <v>129.51649999999998</v>
          </cell>
          <cell r="R59">
            <v>129.51649999999998</v>
          </cell>
          <cell r="AA59">
            <v>129.51649999999998</v>
          </cell>
          <cell r="AB59">
            <v>129.51649999999998</v>
          </cell>
        </row>
        <row r="60">
          <cell r="C60">
            <v>177.13934948567379</v>
          </cell>
          <cell r="D60">
            <v>177.13934948567379</v>
          </cell>
          <cell r="E60">
            <v>177.13934948567379</v>
          </cell>
          <cell r="F60">
            <v>177.13934948567379</v>
          </cell>
          <cell r="G60">
            <v>177.13934948567379</v>
          </cell>
          <cell r="H60">
            <v>177.13934948567379</v>
          </cell>
          <cell r="L60">
            <v>177.13934948567379</v>
          </cell>
          <cell r="M60">
            <v>177.13934948567379</v>
          </cell>
          <cell r="Q60">
            <v>177.13934948567379</v>
          </cell>
          <cell r="R60">
            <v>177.13934948567379</v>
          </cell>
          <cell r="AA60">
            <v>177.13934948567379</v>
          </cell>
          <cell r="AB60">
            <v>177.13934948567379</v>
          </cell>
        </row>
        <row r="61">
          <cell r="C61">
            <v>1738.563646866296</v>
          </cell>
          <cell r="D61">
            <v>1826.0535730410652</v>
          </cell>
          <cell r="E61">
            <v>2002.207876398805</v>
          </cell>
          <cell r="F61">
            <v>2156.2136957962985</v>
          </cell>
          <cell r="G61">
            <v>2254.680573308101</v>
          </cell>
          <cell r="H61">
            <v>2341.6591644772825</v>
          </cell>
          <cell r="L61">
            <v>2681.129279999057</v>
          </cell>
          <cell r="M61">
            <v>2763.8489400471926</v>
          </cell>
          <cell r="Q61">
            <v>3074.9128170666454</v>
          </cell>
          <cell r="R61">
            <v>3148.3933614627167</v>
          </cell>
          <cell r="AA61">
            <v>3787.1451197130691</v>
          </cell>
          <cell r="AB61">
            <v>3852.961211136907</v>
          </cell>
        </row>
        <row r="62">
          <cell r="C62">
            <v>121.61</v>
          </cell>
          <cell r="D62">
            <v>121.61</v>
          </cell>
          <cell r="E62">
            <v>121.61</v>
          </cell>
          <cell r="F62">
            <v>121.61</v>
          </cell>
          <cell r="G62">
            <v>121.61</v>
          </cell>
          <cell r="H62">
            <v>121.61</v>
          </cell>
          <cell r="L62">
            <v>121.61</v>
          </cell>
          <cell r="M62">
            <v>121.61</v>
          </cell>
          <cell r="Q62">
            <v>121.61</v>
          </cell>
          <cell r="R62">
            <v>121.61</v>
          </cell>
          <cell r="AA62">
            <v>121.61</v>
          </cell>
          <cell r="AB62">
            <v>121.61</v>
          </cell>
        </row>
        <row r="64">
          <cell r="C64">
            <v>14.296222735517606</v>
          </cell>
          <cell r="D64">
            <v>15.015653096300182</v>
          </cell>
          <cell r="E64">
            <v>16.464171337873569</v>
          </cell>
          <cell r="F64">
            <v>17.730562419178508</v>
          </cell>
          <cell r="G64">
            <v>18.540256338361164</v>
          </cell>
          <cell r="H64">
            <v>19.255481987314223</v>
          </cell>
          <cell r="L64">
            <v>22.046947454971278</v>
          </cell>
          <cell r="M64">
            <v>22.727151879345389</v>
          </cell>
          <cell r="Q64">
            <v>25.285032621220669</v>
          </cell>
          <cell r="R64">
            <v>25.88926372389373</v>
          </cell>
          <cell r="AA64">
            <v>31.141724526873357</v>
          </cell>
          <cell r="AB64">
            <v>31.682930771621635</v>
          </cell>
        </row>
        <row r="65">
          <cell r="C65">
            <v>9.2945337373087469</v>
          </cell>
          <cell r="D65">
            <v>11.092655451637434</v>
          </cell>
          <cell r="E65">
            <v>19.932383171194957</v>
          </cell>
          <cell r="F65">
            <v>17.578012433015587</v>
          </cell>
          <cell r="G65">
            <v>18.254304864435738</v>
          </cell>
          <cell r="H65">
            <v>13.273670693566487</v>
          </cell>
          <cell r="L65">
            <v>16.737573739429394</v>
          </cell>
          <cell r="M65">
            <v>18.243955375978061</v>
          </cell>
          <cell r="Q65">
            <v>24.398922784326601</v>
          </cell>
          <cell r="R65">
            <v>26.472831220994408</v>
          </cell>
          <cell r="AA65">
            <v>55.799684407124005</v>
          </cell>
          <cell r="AB65">
            <v>60.542657581729145</v>
          </cell>
        </row>
        <row r="68">
          <cell r="C68">
            <v>1.4340406734183053E-2</v>
          </cell>
          <cell r="D68">
            <v>0.10773552697017343</v>
          </cell>
          <cell r="E68">
            <v>0.19669918410138301</v>
          </cell>
          <cell r="F68">
            <v>5.0546090532736718E-2</v>
          </cell>
          <cell r="G68">
            <v>0.10000000000000005</v>
          </cell>
          <cell r="H68">
            <v>0.10000000000000006</v>
          </cell>
          <cell r="L68">
            <v>9.0000000000000024E-2</v>
          </cell>
          <cell r="M68">
            <v>9.000000000000008E-2</v>
          </cell>
          <cell r="Q68">
            <v>8.4999999999999937E-2</v>
          </cell>
          <cell r="R68">
            <v>8.500000000000002E-2</v>
          </cell>
          <cell r="AA68">
            <v>8.500000000000002E-2</v>
          </cell>
          <cell r="AB68">
            <v>8.4999999999999992E-2</v>
          </cell>
        </row>
        <row r="69">
          <cell r="C69">
            <v>0.16677526277977231</v>
          </cell>
          <cell r="D69">
            <v>0.17074435095774665</v>
          </cell>
          <cell r="E69">
            <v>0.16963175052780105</v>
          </cell>
          <cell r="F69">
            <v>0.17834288604310877</v>
          </cell>
          <cell r="G69">
            <v>0.1825</v>
          </cell>
          <cell r="H69">
            <v>0.1825</v>
          </cell>
          <cell r="L69">
            <v>0.1835</v>
          </cell>
          <cell r="M69">
            <v>0.18349999999999997</v>
          </cell>
          <cell r="Q69">
            <v>0.1845</v>
          </cell>
          <cell r="R69">
            <v>0.1845</v>
          </cell>
          <cell r="AA69">
            <v>0.1845</v>
          </cell>
          <cell r="AB69">
            <v>0.1845</v>
          </cell>
        </row>
        <row r="70">
          <cell r="C70">
            <v>-0.67247575584711294</v>
          </cell>
          <cell r="D70">
            <v>1.3328851318857808</v>
          </cell>
          <cell r="E70">
            <v>-7.4136144899043591E-2</v>
          </cell>
          <cell r="F70">
            <v>0.12291276745470484</v>
          </cell>
          <cell r="G70">
            <v>0.30093026159705311</v>
          </cell>
          <cell r="H70">
            <v>0.35087719298245607</v>
          </cell>
          <cell r="L70">
            <v>0.34482758620689652</v>
          </cell>
          <cell r="M70">
            <v>0.34482758620689702</v>
          </cell>
          <cell r="Q70">
            <v>0.33898305084745756</v>
          </cell>
          <cell r="R70">
            <v>0.33898305084745795</v>
          </cell>
          <cell r="AA70">
            <v>0.33333333333333315</v>
          </cell>
          <cell r="AB70">
            <v>0.33333333333333331</v>
          </cell>
        </row>
        <row r="71">
          <cell r="C71">
            <v>3.4262600641113878</v>
          </cell>
          <cell r="D71">
            <v>0.79415776577971608</v>
          </cell>
          <cell r="E71">
            <v>-0.13416579550818777</v>
          </cell>
          <cell r="F71">
            <v>0.54110610586734309</v>
          </cell>
          <cell r="G71">
            <v>0.3611563202356044</v>
          </cell>
          <cell r="H71">
            <v>0.39215686274509787</v>
          </cell>
          <cell r="L71">
            <v>0.38759689922480589</v>
          </cell>
          <cell r="M71">
            <v>0.38759689922480645</v>
          </cell>
          <cell r="Q71">
            <v>0.38167938931297685</v>
          </cell>
          <cell r="R71">
            <v>0.38167938931297707</v>
          </cell>
          <cell r="AA71">
            <v>0.37313432835820914</v>
          </cell>
          <cell r="AB71">
            <v>0.37313432835820876</v>
          </cell>
        </row>
        <row r="74">
          <cell r="C74">
            <v>267.76750000000004</v>
          </cell>
          <cell r="D74">
            <v>374.60090909090906</v>
          </cell>
          <cell r="E74">
            <v>362.58313419117638</v>
          </cell>
          <cell r="F74">
            <v>368.7103202846975</v>
          </cell>
          <cell r="G74">
            <v>399.88898245614035</v>
          </cell>
          <cell r="H74">
            <v>439.87788070175441</v>
          </cell>
          <cell r="L74">
            <v>610.21794899188149</v>
          </cell>
          <cell r="M74">
            <v>665.13756440115094</v>
          </cell>
          <cell r="Q74">
            <v>906.16317767450255</v>
          </cell>
          <cell r="R74">
            <v>983.18704777683536</v>
          </cell>
          <cell r="AA74">
            <v>2014.6729413907133</v>
          </cell>
          <cell r="AB74">
            <v>2185.9201414089239</v>
          </cell>
        </row>
        <row r="75">
          <cell r="C75">
            <v>342.58776956599684</v>
          </cell>
          <cell r="D75">
            <v>405.59096268015668</v>
          </cell>
          <cell r="E75">
            <v>383.19213379437298</v>
          </cell>
          <cell r="F75">
            <v>409.51620553359686</v>
          </cell>
          <cell r="G75">
            <v>446.93474509803929</v>
          </cell>
          <cell r="H75">
            <v>491.62821960784322</v>
          </cell>
          <cell r="L75">
            <v>685.90389615366519</v>
          </cell>
          <cell r="M75">
            <v>747.63524680749515</v>
          </cell>
          <cell r="Q75">
            <v>1020.2982344044972</v>
          </cell>
          <cell r="R75">
            <v>1107.0235843288795</v>
          </cell>
          <cell r="AA75">
            <v>2255.2309045418433</v>
          </cell>
          <cell r="AB75">
            <v>2446.9255314278998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L76">
            <v>0</v>
          </cell>
          <cell r="M76">
            <v>0</v>
          </cell>
          <cell r="Q76">
            <v>0</v>
          </cell>
          <cell r="R76">
            <v>0</v>
          </cell>
          <cell r="AA76">
            <v>0</v>
          </cell>
          <cell r="AB76">
            <v>0</v>
          </cell>
        </row>
        <row r="77">
          <cell r="C77">
            <v>610.35526956599688</v>
          </cell>
          <cell r="D77">
            <v>780.19187177106573</v>
          </cell>
          <cell r="E77">
            <v>745.77526798554936</v>
          </cell>
          <cell r="F77">
            <v>778.22652581829436</v>
          </cell>
          <cell r="G77">
            <v>846.82372755417964</v>
          </cell>
          <cell r="H77">
            <v>931.50610030959763</v>
          </cell>
          <cell r="I77">
            <v>1000.8438769676559</v>
          </cell>
          <cell r="J77">
            <v>1090.9198258947449</v>
          </cell>
          <cell r="K77">
            <v>1189.1026102252722</v>
          </cell>
          <cell r="L77">
            <v>1296.1218451455466</v>
          </cell>
          <cell r="M77">
            <v>1412.7728112086461</v>
          </cell>
          <cell r="N77">
            <v>1508.2422408309471</v>
          </cell>
          <cell r="O77">
            <v>1636.4428313015778</v>
          </cell>
          <cell r="P77">
            <v>1775.540471962212</v>
          </cell>
          <cell r="Q77">
            <v>1926.4614120789997</v>
          </cell>
          <cell r="R77">
            <v>2090.2106321057149</v>
          </cell>
          <cell r="S77">
            <v>2223.2084772655835</v>
          </cell>
          <cell r="T77">
            <v>2412.1811978331575</v>
          </cell>
          <cell r="U77">
            <v>2617.2165996489757</v>
          </cell>
          <cell r="V77">
            <v>2839.6800106191386</v>
          </cell>
          <cell r="W77">
            <v>3081.0528115217653</v>
          </cell>
          <cell r="X77">
            <v>3342.9423005011158</v>
          </cell>
          <cell r="Y77">
            <v>3627.0923960437103</v>
          </cell>
          <cell r="Z77">
            <v>3935.3952497074251</v>
          </cell>
          <cell r="AA77">
            <v>4269.9038459325566</v>
          </cell>
          <cell r="AB77">
            <v>4632.8456728368237</v>
          </cell>
        </row>
        <row r="78">
          <cell r="C78">
            <v>597.17723525642884</v>
          </cell>
          <cell r="D78">
            <v>695.27357066853131</v>
          </cell>
          <cell r="E78">
            <v>762.98356987830755</v>
          </cell>
          <cell r="F78">
            <v>762.00089690192181</v>
          </cell>
          <cell r="G78">
            <v>812.52512668623694</v>
          </cell>
          <cell r="H78">
            <v>889.16491393188858</v>
          </cell>
          <cell r="I78">
            <v>966.1749886386267</v>
          </cell>
          <cell r="J78">
            <v>1045.8818514312004</v>
          </cell>
          <cell r="K78">
            <v>1140.0112180600086</v>
          </cell>
          <cell r="L78">
            <v>1242.6122276854094</v>
          </cell>
          <cell r="M78">
            <v>1354.4473281770963</v>
          </cell>
          <cell r="N78">
            <v>1460.5075260197966</v>
          </cell>
          <cell r="O78">
            <v>1572.3425360662625</v>
          </cell>
          <cell r="P78">
            <v>1705.9916516318949</v>
          </cell>
          <cell r="Q78">
            <v>1851.0009420206059</v>
          </cell>
          <cell r="R78">
            <v>2008.3360220923573</v>
          </cell>
          <cell r="S78">
            <v>2156.709554685649</v>
          </cell>
          <cell r="T78">
            <v>2317.6948375493703</v>
          </cell>
          <cell r="U78">
            <v>2514.6988987410668</v>
          </cell>
          <cell r="V78">
            <v>2728.4483051340571</v>
          </cell>
          <cell r="W78">
            <v>2960.3664110704522</v>
          </cell>
          <cell r="X78">
            <v>3211.9975560114408</v>
          </cell>
          <cell r="Y78">
            <v>3485.0173482724131</v>
          </cell>
          <cell r="Z78">
            <v>3781.2438228755677</v>
          </cell>
          <cell r="AA78">
            <v>4102.6495478199904</v>
          </cell>
          <cell r="AB78">
            <v>4451.3747593846902</v>
          </cell>
        </row>
        <row r="79">
          <cell r="C79">
            <v>4.5130316234001586E-2</v>
          </cell>
          <cell r="D79">
            <v>0.27825859900551686</v>
          </cell>
          <cell r="E79">
            <v>-4.4112999674540763E-2</v>
          </cell>
          <cell r="F79">
            <v>4.3513454020003513E-2</v>
          </cell>
          <cell r="G79">
            <v>8.8145545622151947E-2</v>
          </cell>
          <cell r="H79">
            <v>0.10000000000000003</v>
          </cell>
          <cell r="L79">
            <v>8.9999999999999886E-2</v>
          </cell>
          <cell r="M79">
            <v>9.000000000000026E-2</v>
          </cell>
          <cell r="Q79">
            <v>8.499999999999984E-2</v>
          </cell>
          <cell r="R79">
            <v>8.5000000000000117E-2</v>
          </cell>
          <cell r="AA79">
            <v>8.5000000000000075E-2</v>
          </cell>
          <cell r="AB79">
            <v>8.4999999999999964E-2</v>
          </cell>
        </row>
        <row r="80">
          <cell r="C80">
            <v>2.7422001256523814</v>
          </cell>
          <cell r="D80">
            <v>2.5658858322946223</v>
          </cell>
          <cell r="E80">
            <v>2.675657819746426</v>
          </cell>
          <cell r="F80">
            <v>2.8335437536291561</v>
          </cell>
          <cell r="G80">
            <v>2.9656118498569266</v>
          </cell>
          <cell r="H80">
            <v>2.9857142857142862</v>
          </cell>
          <cell r="L80">
            <v>3.0248803827751196</v>
          </cell>
          <cell r="M80">
            <v>3.0248803827751196</v>
          </cell>
          <cell r="Q80">
            <v>3.0702637889688251</v>
          </cell>
          <cell r="R80">
            <v>3.0702637889688251</v>
          </cell>
          <cell r="AA80">
            <v>3.122302158273381</v>
          </cell>
          <cell r="AB80">
            <v>3.1223021582733814</v>
          </cell>
        </row>
        <row r="81">
          <cell r="C81">
            <v>2.2830046584365999</v>
          </cell>
          <cell r="D81">
            <v>2.2030083574438222</v>
          </cell>
          <cell r="E81">
            <v>2.5006269262309067</v>
          </cell>
          <cell r="F81">
            <v>2.6140156438327589</v>
          </cell>
          <cell r="G81">
            <v>2.6614100881305078</v>
          </cell>
          <cell r="H81">
            <v>2.6714285714285713</v>
          </cell>
          <cell r="L81">
            <v>2.6911004784688997</v>
          </cell>
          <cell r="M81">
            <v>2.6911004784688997</v>
          </cell>
          <cell r="Q81">
            <v>2.7268105515587528</v>
          </cell>
          <cell r="R81">
            <v>2.7268105515587528</v>
          </cell>
          <cell r="AA81">
            <v>2.7892565947242205</v>
          </cell>
          <cell r="AB81">
            <v>2.7892565947242205</v>
          </cell>
        </row>
        <row r="82">
          <cell r="C82" t="str">
            <v xml:space="preserve">--  </v>
          </cell>
          <cell r="D82" t="str">
            <v xml:space="preserve">--  </v>
          </cell>
          <cell r="E82" t="str">
            <v xml:space="preserve">--  </v>
          </cell>
          <cell r="F82" t="str">
            <v xml:space="preserve">--  </v>
          </cell>
          <cell r="G82" t="str">
            <v xml:space="preserve">--  </v>
          </cell>
          <cell r="H82" t="str">
            <v xml:space="preserve">--  </v>
          </cell>
          <cell r="L82" t="str">
            <v xml:space="preserve">--  </v>
          </cell>
          <cell r="M82" t="str">
            <v xml:space="preserve">--  </v>
          </cell>
          <cell r="Q82" t="str">
            <v xml:space="preserve">--  </v>
          </cell>
          <cell r="R82" t="str">
            <v xml:space="preserve">--  </v>
          </cell>
          <cell r="AA82" t="str">
            <v xml:space="preserve">--  </v>
          </cell>
          <cell r="AB82" t="str">
            <v xml:space="preserve">--  </v>
          </cell>
        </row>
        <row r="83">
          <cell r="C83">
            <v>1.2458110525270412</v>
          </cell>
          <cell r="D83">
            <v>1.1853204763810827</v>
          </cell>
          <cell r="E83">
            <v>1.2925915628265738</v>
          </cell>
          <cell r="F83">
            <v>1.359678189635195</v>
          </cell>
          <cell r="G83">
            <v>1.4026441307089546</v>
          </cell>
          <cell r="H83">
            <v>1.409920634920635</v>
          </cell>
          <cell r="I83">
            <v>1.414320027395263</v>
          </cell>
          <cell r="J83">
            <v>1.4241225159780675</v>
          </cell>
          <cell r="K83">
            <v>1.4241225159780675</v>
          </cell>
          <cell r="L83">
            <v>1.4241225159780675</v>
          </cell>
          <cell r="M83">
            <v>1.4241225159780675</v>
          </cell>
          <cell r="N83">
            <v>1.4329644381167355</v>
          </cell>
          <cell r="O83">
            <v>1.4441815308973649</v>
          </cell>
          <cell r="P83">
            <v>1.4441815308973647</v>
          </cell>
          <cell r="Q83">
            <v>1.4441815308973647</v>
          </cell>
          <cell r="R83">
            <v>1.4441815308973647</v>
          </cell>
          <cell r="S83">
            <v>1.459137572017845</v>
          </cell>
          <cell r="T83">
            <v>1.4731989056642012</v>
          </cell>
          <cell r="U83">
            <v>1.473198905664201</v>
          </cell>
          <cell r="V83">
            <v>1.4731989056642012</v>
          </cell>
          <cell r="W83">
            <v>1.473198905664201</v>
          </cell>
          <cell r="X83">
            <v>1.473198905664201</v>
          </cell>
          <cell r="Y83">
            <v>1.473198905664201</v>
          </cell>
          <cell r="Z83">
            <v>1.473198905664201</v>
          </cell>
          <cell r="AA83">
            <v>1.4731989056642012</v>
          </cell>
          <cell r="AB83">
            <v>1.473198905664201</v>
          </cell>
        </row>
        <row r="85">
          <cell r="C85">
            <v>2.7784178438384042</v>
          </cell>
          <cell r="D85">
            <v>2.2000000000000002</v>
          </cell>
          <cell r="E85">
            <v>2.72</v>
          </cell>
          <cell r="F85">
            <v>2.81</v>
          </cell>
          <cell r="G85">
            <v>2.85</v>
          </cell>
          <cell r="H85">
            <v>2.85</v>
          </cell>
          <cell r="L85">
            <v>2.9</v>
          </cell>
          <cell r="M85">
            <v>2.9</v>
          </cell>
          <cell r="Q85">
            <v>2.95</v>
          </cell>
          <cell r="R85">
            <v>2.95</v>
          </cell>
          <cell r="AA85">
            <v>3</v>
          </cell>
          <cell r="AB85">
            <v>3</v>
          </cell>
        </row>
        <row r="86">
          <cell r="C86">
            <v>2.171618680207088</v>
          </cell>
          <cell r="D86">
            <v>2.031904247950147</v>
          </cell>
          <cell r="E86">
            <v>2.5737118224071494</v>
          </cell>
          <cell r="F86">
            <v>2.5299999999999998</v>
          </cell>
          <cell r="G86">
            <v>2.5499999999999998</v>
          </cell>
          <cell r="H86">
            <v>2.5499999999999998</v>
          </cell>
          <cell r="L86">
            <v>2.58</v>
          </cell>
          <cell r="M86">
            <v>2.58</v>
          </cell>
          <cell r="Q86">
            <v>2.62</v>
          </cell>
          <cell r="R86">
            <v>2.62</v>
          </cell>
          <cell r="AA86">
            <v>2.6799999999999997</v>
          </cell>
          <cell r="AB86">
            <v>2.68</v>
          </cell>
        </row>
        <row r="87">
          <cell r="C87" t="e">
            <v>#DIV/0!</v>
          </cell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L87" t="e">
            <v>#DIV/0!</v>
          </cell>
          <cell r="M87" t="e">
            <v>#DIV/0!</v>
          </cell>
          <cell r="Q87" t="e">
            <v>#DIV/0!</v>
          </cell>
          <cell r="R87" t="e">
            <v>#DIV/0!</v>
          </cell>
          <cell r="AA87" t="e">
            <v>#DIV/0!</v>
          </cell>
          <cell r="AB87" t="e">
            <v>#DIV/0!</v>
          </cell>
        </row>
        <row r="88">
          <cell r="C88">
            <v>1.2189130447403396</v>
          </cell>
          <cell r="D88">
            <v>1.0563068263313371</v>
          </cell>
          <cell r="E88">
            <v>1.3224173116707723</v>
          </cell>
          <cell r="F88">
            <v>1.3313295880149814</v>
          </cell>
          <cell r="G88">
            <v>1.3458333333333332</v>
          </cell>
          <cell r="H88">
            <v>1.3458333333333334</v>
          </cell>
          <cell r="L88">
            <v>1.3653284671532848</v>
          </cell>
          <cell r="M88">
            <v>1.3653284671532846</v>
          </cell>
          <cell r="Q88">
            <v>1.3876122082585278</v>
          </cell>
          <cell r="R88">
            <v>1.3876122082585278</v>
          </cell>
          <cell r="AA88">
            <v>1.4154929577464788</v>
          </cell>
          <cell r="AB88">
            <v>1.415492957746479</v>
          </cell>
        </row>
        <row r="91">
          <cell r="C91" t="str">
            <v>N/A</v>
          </cell>
          <cell r="D91" t="str">
            <v>N/A</v>
          </cell>
          <cell r="E91" t="str">
            <v>NM</v>
          </cell>
          <cell r="F91" t="str">
            <v>NM</v>
          </cell>
          <cell r="G91" t="str">
            <v>NM</v>
          </cell>
          <cell r="H91" t="str">
            <v>NM</v>
          </cell>
          <cell r="L91">
            <v>4.5507069415421526</v>
          </cell>
          <cell r="M91">
            <v>0.26730599187098908</v>
          </cell>
          <cell r="Q91">
            <v>0.10853581848037203</v>
          </cell>
        </row>
        <row r="92">
          <cell r="C92">
            <v>-6.1829084895955393E-2</v>
          </cell>
          <cell r="D92">
            <v>0.15368187724306701</v>
          </cell>
          <cell r="E92">
            <v>0.35810203393451906</v>
          </cell>
          <cell r="F92">
            <v>0.36159252694519584</v>
          </cell>
          <cell r="G92">
            <v>1.009698442423538</v>
          </cell>
          <cell r="H92">
            <v>0.33110398489307596</v>
          </cell>
          <cell r="L92">
            <v>0.25053777372262781</v>
          </cell>
          <cell r="M92">
            <v>0.25053777372262753</v>
          </cell>
          <cell r="Q92">
            <v>0.25601445242369825</v>
          </cell>
          <cell r="R92">
            <v>0.25601445242369841</v>
          </cell>
          <cell r="AA92">
            <v>0.26115845070422544</v>
          </cell>
          <cell r="AB92">
            <v>0.26115845070422533</v>
          </cell>
        </row>
        <row r="93">
          <cell r="C93">
            <v>0.10853581848037203</v>
          </cell>
          <cell r="D93">
            <v>0.63129232171039351</v>
          </cell>
          <cell r="E93">
            <v>0.15650977265727781</v>
          </cell>
          <cell r="F93" t="str">
            <v>NM</v>
          </cell>
          <cell r="G93">
            <v>0.71539516648795098</v>
          </cell>
          <cell r="H93">
            <v>0.30320807807994471</v>
          </cell>
          <cell r="L93">
            <v>0.27308617335766328</v>
          </cell>
          <cell r="M93">
            <v>0.27308617335766477</v>
          </cell>
          <cell r="Q93">
            <v>0.27777568087971244</v>
          </cell>
          <cell r="R93">
            <v>0.27777568087971344</v>
          </cell>
          <cell r="AA93">
            <v>0.28335691901408538</v>
          </cell>
          <cell r="AB93">
            <v>0.28335691901408389</v>
          </cell>
        </row>
        <row r="96">
          <cell r="C96">
            <v>0.20777046565914201</v>
          </cell>
          <cell r="D96">
            <v>0.20238677541661504</v>
          </cell>
          <cell r="E96">
            <v>0.21065670933585751</v>
          </cell>
          <cell r="F96">
            <v>0.22077378551320964</v>
          </cell>
          <cell r="G96">
            <v>0.22909373891340909</v>
          </cell>
          <cell r="H96">
            <v>0.23447799035778649</v>
          </cell>
          <cell r="L96">
            <v>0.24586336807130496</v>
          </cell>
          <cell r="M96">
            <v>0.24736758330535419</v>
          </cell>
          <cell r="Q96">
            <v>0.25253549970996664</v>
          </cell>
          <cell r="R96">
            <v>0.25344018965752974</v>
          </cell>
          <cell r="AA96">
            <v>0.26007301327195681</v>
          </cell>
          <cell r="AB96">
            <v>0.2605324288632152</v>
          </cell>
        </row>
        <row r="97">
          <cell r="C97">
            <v>0.16677526277977231</v>
          </cell>
          <cell r="D97">
            <v>0.17074435095774665</v>
          </cell>
          <cell r="E97">
            <v>0.1701871415404107</v>
          </cell>
          <cell r="F97">
            <v>0.17286341671277256</v>
          </cell>
          <cell r="G97">
            <v>0.17522377672372652</v>
          </cell>
          <cell r="H97">
            <v>0.17665543485325244</v>
          </cell>
          <cell r="L97">
            <v>0.17966536563684621</v>
          </cell>
          <cell r="M97">
            <v>0.18004519514714024</v>
          </cell>
          <cell r="Q97">
            <v>0.1813069055962124</v>
          </cell>
          <cell r="R97">
            <v>0.18151804861694679</v>
          </cell>
          <cell r="AA97">
            <v>0.18263059025411099</v>
          </cell>
          <cell r="AB97">
            <v>0.18270500168453541</v>
          </cell>
        </row>
        <row r="98">
          <cell r="C98">
            <v>1.2458110525270412</v>
          </cell>
          <cell r="D98">
            <v>1.1853204763810827</v>
          </cell>
          <cell r="E98">
            <v>1.2377945092040774</v>
          </cell>
          <cell r="F98">
            <v>1.277157363376916</v>
          </cell>
          <cell r="G98">
            <v>1.307435230520221</v>
          </cell>
          <cell r="H98">
            <v>1.3273182936747308</v>
          </cell>
          <cell r="L98">
            <v>1.3684516612303752</v>
          </cell>
          <cell r="M98">
            <v>1.3739193823150646</v>
          </cell>
          <cell r="Q98">
            <v>1.3928620031295833</v>
          </cell>
          <cell r="R98">
            <v>1.3962258386346944</v>
          </cell>
          <cell r="AA98">
            <v>1.4240386175727346</v>
          </cell>
          <cell r="AB98">
            <v>1.4259731614411917</v>
          </cell>
        </row>
        <row r="99">
          <cell r="C99" t="str">
            <v>N/A</v>
          </cell>
          <cell r="D99">
            <v>0.10773552697017341</v>
          </cell>
          <cell r="E99">
            <v>0.15135841566617403</v>
          </cell>
          <cell r="F99">
            <v>0.1167228350190157</v>
          </cell>
          <cell r="G99">
            <v>0.1125184418801124</v>
          </cell>
          <cell r="H99">
            <v>0.11000340787175555</v>
          </cell>
          <cell r="L99">
            <v>0.10106807970812381</v>
          </cell>
          <cell r="M99">
            <v>9.9956233029393493E-2</v>
          </cell>
          <cell r="Q99">
            <v>9.5662109669395923E-2</v>
          </cell>
          <cell r="R99">
            <v>9.494805403153439E-2</v>
          </cell>
          <cell r="AA99">
            <v>9.1206889672184488E-2</v>
          </cell>
          <cell r="AB99">
            <v>9.0957933692161541E-2</v>
          </cell>
        </row>
        <row r="100">
          <cell r="C100" t="str">
            <v>N/A</v>
          </cell>
          <cell r="D100">
            <v>0.13409854934613175</v>
          </cell>
          <cell r="E100">
            <v>0.16117665205676035</v>
          </cell>
          <cell r="F100">
            <v>0.14196672382392261</v>
          </cell>
          <cell r="G100">
            <v>0.13786313628337865</v>
          </cell>
          <cell r="H100">
            <v>0.13018765491023743</v>
          </cell>
          <cell r="L100">
            <v>0.11282218833267743</v>
          </cell>
          <cell r="M100">
            <v>0.11051862971536375</v>
          </cell>
          <cell r="Q100">
            <v>0.10359529069061701</v>
          </cell>
          <cell r="R100">
            <v>0.10234574955660625</v>
          </cell>
          <cell r="AA100">
            <v>9.5808832766655749E-2</v>
          </cell>
          <cell r="AB100">
            <v>9.5374419138029021E-2</v>
          </cell>
        </row>
        <row r="101">
          <cell r="C101" t="str">
            <v>N/A</v>
          </cell>
          <cell r="D101">
            <v>0.27825859900551686</v>
          </cell>
          <cell r="E101">
            <v>0.1053826386566814</v>
          </cell>
          <cell r="F101">
            <v>8.4362384047034222E-2</v>
          </cell>
          <cell r="G101">
            <v>8.5306939563037698E-2</v>
          </cell>
          <cell r="H101">
            <v>8.8229766338703719E-2</v>
          </cell>
          <cell r="L101">
            <v>8.7277367585568699E-2</v>
          </cell>
          <cell r="M101">
            <v>8.7549324516335236E-2</v>
          </cell>
          <cell r="Q101">
            <v>8.5564278415949824E-2</v>
          </cell>
          <cell r="R101">
            <v>8.5526650726534648E-2</v>
          </cell>
          <cell r="AA101">
            <v>8.4429878490707821E-2</v>
          </cell>
          <cell r="AB101">
            <v>8.4452677598197523E-2</v>
          </cell>
        </row>
        <row r="102">
          <cell r="C102" t="str">
            <v>N/A</v>
          </cell>
          <cell r="D102">
            <v>-1.3130280755698958</v>
          </cell>
          <cell r="E102">
            <v>0.45394629864256619</v>
          </cell>
          <cell r="F102">
            <v>0.16831739604215645</v>
          </cell>
          <cell r="G102">
            <v>0.10028095829730344</v>
          </cell>
          <cell r="H102">
            <v>8.6655021187935777E-2</v>
          </cell>
          <cell r="L102">
            <v>9.6377744329680715E-2</v>
          </cell>
          <cell r="M102">
            <v>9.5738294219591458E-2</v>
          </cell>
          <cell r="Q102">
            <v>9.5784085419657439E-2</v>
          </cell>
          <cell r="R102">
            <v>9.5061823449473337E-2</v>
          </cell>
          <cell r="AA102">
            <v>9.1671017412337408E-2</v>
          </cell>
          <cell r="AB102">
            <v>9.1403390879928548E-2</v>
          </cell>
        </row>
        <row r="105">
          <cell r="C105" t="str">
            <v>N/A</v>
          </cell>
          <cell r="D105">
            <v>-2.5911720539526506E-2</v>
          </cell>
          <cell r="E105">
            <v>8.3393759638591414E-2</v>
          </cell>
          <cell r="F105">
            <v>0.1059193601617503</v>
          </cell>
          <cell r="G105">
            <v>5.5646339359847641E-2</v>
          </cell>
          <cell r="H105">
            <v>5.1877051722326595E-3</v>
          </cell>
          <cell r="L105">
            <v>0</v>
          </cell>
          <cell r="M105">
            <v>0</v>
          </cell>
          <cell r="Q105">
            <v>0</v>
          </cell>
          <cell r="R105">
            <v>2.2204460492503131E-16</v>
          </cell>
          <cell r="AA105">
            <v>4.4408920985006262E-16</v>
          </cell>
          <cell r="AB105">
            <v>-4.4408920985006262E-16</v>
          </cell>
        </row>
        <row r="106">
          <cell r="C106" t="str">
            <v>N/A</v>
          </cell>
          <cell r="D106" t="str">
            <v>N/A</v>
          </cell>
          <cell r="E106" t="str">
            <v>N/A</v>
          </cell>
          <cell r="F106" t="str">
            <v>N/A</v>
          </cell>
          <cell r="G106" t="str">
            <v>N/A</v>
          </cell>
          <cell r="H106">
            <v>4.369774340623378E-2</v>
          </cell>
          <cell r="L106">
            <v>4.1407935192749878E-3</v>
          </cell>
          <cell r="M106">
            <v>3.1021868025773447E-3</v>
          </cell>
          <cell r="Q106">
            <v>3.8918931599705164E-3</v>
          </cell>
          <cell r="R106">
            <v>3.8918931599705164E-3</v>
          </cell>
          <cell r="AA106">
            <v>0</v>
          </cell>
          <cell r="AB106">
            <v>0</v>
          </cell>
        </row>
        <row r="107">
          <cell r="C107" t="str">
            <v>N/A</v>
          </cell>
          <cell r="D107" t="str">
            <v>N/A</v>
          </cell>
          <cell r="E107" t="str">
            <v>N/A</v>
          </cell>
          <cell r="F107" t="str">
            <v>N/A</v>
          </cell>
          <cell r="G107" t="str">
            <v>N/A</v>
          </cell>
          <cell r="H107" t="str">
            <v>N/A</v>
          </cell>
          <cell r="L107" t="str">
            <v>N/A</v>
          </cell>
          <cell r="M107">
            <v>2.3198655575596527E-2</v>
          </cell>
          <cell r="Q107">
            <v>4.0163356266769146E-3</v>
          </cell>
          <cell r="R107">
            <v>3.4969622984146742E-3</v>
          </cell>
          <cell r="AA107">
            <v>1.9913216800651057E-3</v>
          </cell>
          <cell r="AB107">
            <v>1.9913216800651057E-3</v>
          </cell>
        </row>
      </sheetData>
      <sheetData sheetId="6" refreshError="1">
        <row r="19">
          <cell r="AD19" t="str">
            <v>PV of Operating Leases</v>
          </cell>
          <cell r="AF19" t="str">
            <v>PV of Operating Leases</v>
          </cell>
        </row>
        <row r="21">
          <cell r="AD21">
            <v>5.7746087600703762</v>
          </cell>
          <cell r="AF21">
            <v>4.0182989450098034</v>
          </cell>
        </row>
        <row r="22">
          <cell r="AD22">
            <v>3.6126374258895892</v>
          </cell>
          <cell r="AF22">
            <v>2.4623989286568593</v>
          </cell>
        </row>
        <row r="23">
          <cell r="AD23">
            <v>2.0033951912320549</v>
          </cell>
          <cell r="AF23">
            <v>2.123166343711079</v>
          </cell>
        </row>
        <row r="24">
          <cell r="AD24">
            <v>1.0191287786580068</v>
          </cell>
          <cell r="AF24">
            <v>1.6608487362452289</v>
          </cell>
        </row>
        <row r="25">
          <cell r="AD25">
            <v>0.70541071068769456</v>
          </cell>
          <cell r="AF25">
            <v>0.74763653205081704</v>
          </cell>
        </row>
        <row r="26">
          <cell r="AD26">
            <v>0</v>
          </cell>
          <cell r="AF26">
            <v>0</v>
          </cell>
        </row>
        <row r="27">
          <cell r="AD27">
            <v>0</v>
          </cell>
          <cell r="AF27">
            <v>0</v>
          </cell>
        </row>
        <row r="28">
          <cell r="AD28">
            <v>0</v>
          </cell>
          <cell r="AF28">
            <v>0</v>
          </cell>
        </row>
        <row r="29">
          <cell r="AD29">
            <v>0</v>
          </cell>
          <cell r="AF29">
            <v>0</v>
          </cell>
        </row>
        <row r="30">
          <cell r="AD30">
            <v>0</v>
          </cell>
          <cell r="AF30">
            <v>0</v>
          </cell>
        </row>
        <row r="31">
          <cell r="AD31">
            <v>0</v>
          </cell>
          <cell r="AF31">
            <v>0</v>
          </cell>
        </row>
        <row r="32">
          <cell r="AD32">
            <v>0</v>
          </cell>
          <cell r="AF32">
            <v>0</v>
          </cell>
        </row>
        <row r="33">
          <cell r="AD33">
            <v>0</v>
          </cell>
          <cell r="AF33">
            <v>0</v>
          </cell>
        </row>
        <row r="34">
          <cell r="AD34">
            <v>0</v>
          </cell>
          <cell r="AF34">
            <v>0</v>
          </cell>
        </row>
        <row r="35">
          <cell r="AD35">
            <v>0</v>
          </cell>
          <cell r="AF35">
            <v>0</v>
          </cell>
        </row>
        <row r="36">
          <cell r="AD36">
            <v>0</v>
          </cell>
          <cell r="AF36">
            <v>0</v>
          </cell>
        </row>
        <row r="37">
          <cell r="AD37">
            <v>0</v>
          </cell>
          <cell r="AF37">
            <v>0</v>
          </cell>
        </row>
        <row r="38">
          <cell r="AD38">
            <v>0</v>
          </cell>
          <cell r="AF38">
            <v>0</v>
          </cell>
        </row>
        <row r="39">
          <cell r="AD39">
            <v>0</v>
          </cell>
          <cell r="AF39">
            <v>0</v>
          </cell>
        </row>
        <row r="40">
          <cell r="AD40">
            <v>0</v>
          </cell>
          <cell r="AF40">
            <v>0</v>
          </cell>
        </row>
        <row r="41">
          <cell r="AD41">
            <v>0</v>
          </cell>
          <cell r="AF41">
            <v>0</v>
          </cell>
        </row>
        <row r="42">
          <cell r="AD42">
            <v>0</v>
          </cell>
          <cell r="AF42">
            <v>0</v>
          </cell>
        </row>
        <row r="43">
          <cell r="AD43">
            <v>0</v>
          </cell>
          <cell r="AF43">
            <v>0</v>
          </cell>
        </row>
        <row r="44">
          <cell r="AD44">
            <v>0</v>
          </cell>
          <cell r="AF44">
            <v>0</v>
          </cell>
        </row>
        <row r="45">
          <cell r="AD45">
            <v>0</v>
          </cell>
          <cell r="AF45">
            <v>0</v>
          </cell>
        </row>
        <row r="46">
          <cell r="AD46">
            <v>0</v>
          </cell>
          <cell r="AF46">
            <v>0</v>
          </cell>
        </row>
        <row r="47">
          <cell r="AD47">
            <v>0</v>
          </cell>
          <cell r="AF47">
            <v>0</v>
          </cell>
        </row>
        <row r="48">
          <cell r="AD48">
            <v>0</v>
          </cell>
          <cell r="AF48">
            <v>0</v>
          </cell>
        </row>
        <row r="49">
          <cell r="AD49">
            <v>0</v>
          </cell>
          <cell r="AF49">
            <v>0</v>
          </cell>
        </row>
        <row r="50">
          <cell r="AD50">
            <v>0</v>
          </cell>
          <cell r="AF50">
            <v>0</v>
          </cell>
        </row>
        <row r="51">
          <cell r="AD51">
            <v>0</v>
          </cell>
          <cell r="AF51">
            <v>0</v>
          </cell>
        </row>
        <row r="52">
          <cell r="AD52">
            <v>0</v>
          </cell>
          <cell r="AF52">
            <v>0</v>
          </cell>
        </row>
        <row r="53">
          <cell r="AD53">
            <v>0</v>
          </cell>
          <cell r="AF53">
            <v>0</v>
          </cell>
        </row>
        <row r="54">
          <cell r="AD54">
            <v>0</v>
          </cell>
          <cell r="AF54">
            <v>0</v>
          </cell>
        </row>
        <row r="55">
          <cell r="AD55">
            <v>0</v>
          </cell>
          <cell r="AF55">
            <v>0</v>
          </cell>
        </row>
        <row r="56">
          <cell r="AD56">
            <v>0</v>
          </cell>
          <cell r="AF56">
            <v>0</v>
          </cell>
        </row>
        <row r="57">
          <cell r="AD57">
            <v>0</v>
          </cell>
          <cell r="AF57">
            <v>0</v>
          </cell>
        </row>
        <row r="58">
          <cell r="AD58">
            <v>0</v>
          </cell>
          <cell r="AF58">
            <v>0</v>
          </cell>
        </row>
        <row r="59">
          <cell r="AD59">
            <v>0</v>
          </cell>
          <cell r="AF59">
            <v>0</v>
          </cell>
        </row>
        <row r="60">
          <cell r="AD60">
            <v>0</v>
          </cell>
          <cell r="AF60">
            <v>0</v>
          </cell>
        </row>
        <row r="62"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0</v>
          </cell>
          <cell r="R62">
            <v>12.888850144986806</v>
          </cell>
          <cell r="T62">
            <v>10.177501975436593</v>
          </cell>
          <cell r="V62">
            <v>18.093818837611693</v>
          </cell>
          <cell r="X62">
            <v>17.172975073504414</v>
          </cell>
          <cell r="Z62">
            <v>16.22550233819991</v>
          </cell>
          <cell r="AB62">
            <v>11.046287899978912</v>
          </cell>
          <cell r="AD62">
            <v>13.11518086653772</v>
          </cell>
          <cell r="AF62">
            <v>11.01234948567379</v>
          </cell>
        </row>
        <row r="63">
          <cell r="AD63">
            <v>1.0479029512363638</v>
          </cell>
          <cell r="AF63">
            <v>0.78297804843140639</v>
          </cell>
        </row>
      </sheetData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"/>
      <sheetName val="Major v. River v. Equip."/>
      <sheetName val="LgCapEBITDA"/>
      <sheetName val="SmCapEBITDA"/>
      <sheetName val="SupplyEBITDA"/>
      <sheetName val="LgCapEPS"/>
      <sheetName val="SmCapEPS"/>
      <sheetName val="SupplyEPS"/>
      <sheetName val="LodgingEBITDA"/>
      <sheetName val="LodgingEPS"/>
      <sheetName val="LargerCap Gaming Stock Val 2001"/>
      <sheetName val="LargerCap Gaming Stock Val 2002"/>
      <sheetName val="Smaller Cap Gaming Stock Val"/>
      <sheetName val="Lodging Stock Val."/>
      <sheetName val="Universe Table"/>
      <sheetName val="Universe Table Gaming only"/>
      <sheetName val="Universe Table Lodging Only"/>
      <sheetName val="CruiseEBITDA"/>
      <sheetName val="CruiseEPS"/>
      <sheetName val="Industry (2)"/>
      <sheetName val="Industry"/>
      <sheetName val="Lodging Returns ppt"/>
      <sheetName val="pbos"/>
      <sheetName val="Major v. River"/>
      <sheetName val="Major v. Equipment"/>
      <sheetName val="EBITDA Growth"/>
      <sheetName val="LV REt"/>
      <sheetName val="River Ret"/>
      <sheetName val="Demographics"/>
      <sheetName val="Leisure"/>
      <sheetName val="States"/>
      <sheetName val="nongame"/>
      <sheetName val="nongame2"/>
      <sheetName val="Room Margin"/>
      <sheetName val="Hyp Casino"/>
      <sheetName val="lv gates"/>
      <sheetName val="potential"/>
      <sheetName val="LV Detail $1 Mil"/>
      <sheetName val="Room Mrgn 95"/>
      <sheetName val="ACcap2"/>
      <sheetName val="ACcap"/>
      <sheetName val="LVCap"/>
      <sheetName val="LVCap2"/>
      <sheetName val="LVrooms"/>
      <sheetName val="LV Investment"/>
      <sheetName val="disclosure"/>
      <sheetName val="disclosure inpres"/>
      <sheetName val="EBITDA Mix"/>
      <sheetName val="Free Cash Flow"/>
      <sheetName val="Tougher Comps in 01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5">
          <cell r="C5" t="str">
            <v>-</v>
          </cell>
          <cell r="D5" t="str">
            <v>Hold</v>
          </cell>
        </row>
        <row r="6">
          <cell r="C6">
            <v>13</v>
          </cell>
          <cell r="D6" t="str">
            <v>Accumulate</v>
          </cell>
        </row>
        <row r="7">
          <cell r="C7">
            <v>43</v>
          </cell>
          <cell r="D7" t="str">
            <v>Hold</v>
          </cell>
        </row>
        <row r="8">
          <cell r="C8">
            <v>45</v>
          </cell>
          <cell r="D8" t="str">
            <v>Strong Buy</v>
          </cell>
        </row>
      </sheetData>
      <sheetData sheetId="20" refreshError="1">
        <row r="5">
          <cell r="C5">
            <v>81</v>
          </cell>
          <cell r="D5" t="str">
            <v>Accumulate</v>
          </cell>
        </row>
        <row r="6">
          <cell r="C6" t="str">
            <v>—</v>
          </cell>
          <cell r="D6" t="str">
            <v>Hold</v>
          </cell>
        </row>
        <row r="7">
          <cell r="C7" t="str">
            <v>—</v>
          </cell>
          <cell r="D7" t="str">
            <v>Hold</v>
          </cell>
        </row>
        <row r="8">
          <cell r="C8" t="str">
            <v>—</v>
          </cell>
          <cell r="D8" t="str">
            <v>Hold</v>
          </cell>
        </row>
        <row r="9">
          <cell r="C9">
            <v>35</v>
          </cell>
          <cell r="D9" t="str">
            <v>Strong Buy</v>
          </cell>
        </row>
        <row r="11">
          <cell r="C11">
            <v>37</v>
          </cell>
          <cell r="D11" t="str">
            <v>Hold</v>
          </cell>
        </row>
        <row r="12">
          <cell r="C12">
            <v>32</v>
          </cell>
          <cell r="D12" t="str">
            <v>Accumulate</v>
          </cell>
        </row>
        <row r="13">
          <cell r="C13" t="str">
            <v>—</v>
          </cell>
          <cell r="D13" t="str">
            <v>Hold</v>
          </cell>
        </row>
        <row r="14">
          <cell r="D14" t="str">
            <v>Hold</v>
          </cell>
        </row>
        <row r="15">
          <cell r="C15">
            <v>18</v>
          </cell>
          <cell r="D15" t="str">
            <v>Strong Buy/SBI</v>
          </cell>
        </row>
        <row r="16">
          <cell r="C16">
            <v>25</v>
          </cell>
          <cell r="D16" t="str">
            <v>Accumulate</v>
          </cell>
        </row>
        <row r="17">
          <cell r="D17" t="str">
            <v>Hold</v>
          </cell>
        </row>
        <row r="18">
          <cell r="C18">
            <v>21</v>
          </cell>
          <cell r="D18" t="str">
            <v>Strong Buy</v>
          </cell>
        </row>
        <row r="19">
          <cell r="C19" t="str">
            <v>—</v>
          </cell>
          <cell r="D19" t="str">
            <v>Hold</v>
          </cell>
        </row>
        <row r="20">
          <cell r="C20">
            <v>22</v>
          </cell>
          <cell r="D20" t="str">
            <v>Strong Buy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L_Model_Summary"/>
      <sheetName val="IGT MODEL"/>
      <sheetName val="NEWVSREPLACEMENT"/>
      <sheetName val="Qtr analysis"/>
      <sheetName val="Returns Analysis"/>
      <sheetName val="listofnewgames"/>
      <sheetName val="fintables"/>
      <sheetName val="iQ_US_CoreIndustrials"/>
      <sheetName val="M_modMain"/>
    </sheetNames>
    <sheetDataSet>
      <sheetData sheetId="0"/>
      <sheetData sheetId="1" refreshError="1">
        <row r="2">
          <cell r="N2" t="str">
            <v>Annual</v>
          </cell>
          <cell r="O2" t="str">
            <v>12/31/93</v>
          </cell>
          <cell r="P2" t="str">
            <v>3/31/94</v>
          </cell>
          <cell r="Q2" t="str">
            <v>6/30/94</v>
          </cell>
          <cell r="R2" t="str">
            <v>9/30/94</v>
          </cell>
          <cell r="S2" t="str">
            <v>Annual</v>
          </cell>
          <cell r="T2" t="str">
            <v>12/31/94</v>
          </cell>
          <cell r="U2" t="str">
            <v>3/31/95</v>
          </cell>
          <cell r="V2" t="str">
            <v>6/30/95</v>
          </cell>
          <cell r="W2" t="str">
            <v>9/30/95</v>
          </cell>
          <cell r="X2" t="str">
            <v>Annual</v>
          </cell>
          <cell r="Y2" t="str">
            <v>12/31/95</v>
          </cell>
          <cell r="Z2" t="str">
            <v>3/31/96</v>
          </cell>
          <cell r="AA2" t="str">
            <v>6/30/96</v>
          </cell>
          <cell r="AB2" t="str">
            <v>9/30/96</v>
          </cell>
          <cell r="AC2" t="str">
            <v>Annual</v>
          </cell>
          <cell r="AD2" t="str">
            <v>12/31/96</v>
          </cell>
          <cell r="AE2" t="str">
            <v>3/31/97</v>
          </cell>
          <cell r="AF2" t="str">
            <v>6/30/97</v>
          </cell>
          <cell r="AG2" t="str">
            <v>9/30/97</v>
          </cell>
          <cell r="AH2" t="str">
            <v>Annual</v>
          </cell>
        </row>
        <row r="3">
          <cell r="E3" t="str">
            <v>1Q/92</v>
          </cell>
          <cell r="F3" t="str">
            <v>2Q/92</v>
          </cell>
          <cell r="G3" t="str">
            <v>3Q/92</v>
          </cell>
          <cell r="H3" t="str">
            <v>4Q/92</v>
          </cell>
          <cell r="I3">
            <v>1992</v>
          </cell>
          <cell r="J3" t="str">
            <v>1Q/93</v>
          </cell>
          <cell r="K3" t="str">
            <v>2Q/93</v>
          </cell>
          <cell r="L3" t="str">
            <v>3Q/93</v>
          </cell>
          <cell r="M3" t="str">
            <v>4Q/93</v>
          </cell>
          <cell r="N3" t="str">
            <v>1993A</v>
          </cell>
          <cell r="O3" t="str">
            <v>1Q94 A</v>
          </cell>
          <cell r="P3" t="str">
            <v>2Q94 A</v>
          </cell>
          <cell r="Q3" t="str">
            <v>3Q94 A</v>
          </cell>
          <cell r="R3" t="str">
            <v>4Q94 A</v>
          </cell>
          <cell r="S3" t="str">
            <v>1994A</v>
          </cell>
          <cell r="T3" t="str">
            <v>1Q95 A</v>
          </cell>
          <cell r="U3" t="str">
            <v>2Q95 A</v>
          </cell>
          <cell r="V3" t="str">
            <v>3Q95 A</v>
          </cell>
          <cell r="W3" t="str">
            <v>4Q95 A</v>
          </cell>
          <cell r="X3" t="str">
            <v>1995A</v>
          </cell>
          <cell r="Y3" t="str">
            <v>1Q96A</v>
          </cell>
          <cell r="Z3" t="str">
            <v>2Q96A</v>
          </cell>
          <cell r="AA3" t="str">
            <v>3Q96A</v>
          </cell>
          <cell r="AB3" t="str">
            <v>4Q96A</v>
          </cell>
          <cell r="AC3" t="str">
            <v>1996A</v>
          </cell>
          <cell r="AD3" t="str">
            <v>1Q97A</v>
          </cell>
          <cell r="AE3" t="str">
            <v>2Q97A</v>
          </cell>
          <cell r="AF3" t="str">
            <v>3Q97A</v>
          </cell>
          <cell r="AG3" t="str">
            <v>4Q97A</v>
          </cell>
          <cell r="AH3" t="str">
            <v>1997A</v>
          </cell>
        </row>
        <row r="4">
          <cell r="A4" t="str">
            <v>Revenues</v>
          </cell>
        </row>
        <row r="5">
          <cell r="A5" t="str">
            <v>Product Rev.</v>
          </cell>
          <cell r="E5">
            <v>41.767000000000003</v>
          </cell>
          <cell r="F5">
            <v>38.049999999999997</v>
          </cell>
          <cell r="G5">
            <v>78.849999999999994</v>
          </cell>
          <cell r="H5">
            <v>77.7</v>
          </cell>
          <cell r="I5">
            <v>236.36700000000002</v>
          </cell>
          <cell r="J5">
            <v>55.048000000000002</v>
          </cell>
          <cell r="K5">
            <v>67</v>
          </cell>
          <cell r="L5">
            <v>92.09</v>
          </cell>
          <cell r="M5">
            <v>121.479</v>
          </cell>
          <cell r="N5">
            <v>335.61700000000002</v>
          </cell>
          <cell r="O5">
            <v>113.49</v>
          </cell>
          <cell r="P5">
            <v>127</v>
          </cell>
          <cell r="Q5">
            <v>146.881</v>
          </cell>
          <cell r="R5">
            <v>126.79600000000001</v>
          </cell>
          <cell r="S5">
            <v>514.20000000000005</v>
          </cell>
          <cell r="T5">
            <v>114.14400000000001</v>
          </cell>
          <cell r="U5">
            <v>101.785</v>
          </cell>
          <cell r="V5">
            <v>97.293999999999997</v>
          </cell>
          <cell r="W5">
            <v>103.20099999999999</v>
          </cell>
          <cell r="X5">
            <v>416.42399999999998</v>
          </cell>
          <cell r="Y5">
            <v>99.08</v>
          </cell>
          <cell r="Z5">
            <v>100.124</v>
          </cell>
          <cell r="AA5">
            <v>134.447</v>
          </cell>
          <cell r="AB5">
            <v>147.999</v>
          </cell>
          <cell r="AC5">
            <v>481.65</v>
          </cell>
          <cell r="AD5">
            <v>129.333</v>
          </cell>
          <cell r="AE5">
            <v>98.222999999999999</v>
          </cell>
          <cell r="AF5">
            <v>87.293999999999997</v>
          </cell>
          <cell r="AG5">
            <v>146.29900000000001</v>
          </cell>
          <cell r="AH5">
            <v>461.149</v>
          </cell>
        </row>
        <row r="6">
          <cell r="A6" t="str">
            <v>Gaming Operations</v>
          </cell>
          <cell r="E6">
            <v>31.875</v>
          </cell>
          <cell r="F6">
            <v>37.1</v>
          </cell>
          <cell r="G6">
            <v>44.5</v>
          </cell>
          <cell r="H6">
            <v>49.6</v>
          </cell>
          <cell r="I6">
            <v>163.03299999999996</v>
          </cell>
          <cell r="J6">
            <v>32.216000000000001</v>
          </cell>
          <cell r="K6">
            <v>31.696999999999999</v>
          </cell>
          <cell r="L6">
            <v>39.896999999999998</v>
          </cell>
          <cell r="M6">
            <v>38.579000000000001</v>
          </cell>
          <cell r="N6">
            <v>142.38900000000001</v>
          </cell>
          <cell r="O6">
            <v>36.347999999999999</v>
          </cell>
          <cell r="P6">
            <v>37.5</v>
          </cell>
          <cell r="Q6">
            <v>40.801000000000002</v>
          </cell>
          <cell r="R6">
            <v>45.679000000000002</v>
          </cell>
          <cell r="S6">
            <v>160.328</v>
          </cell>
          <cell r="T6">
            <v>45.036000000000001</v>
          </cell>
          <cell r="U6">
            <v>48.24</v>
          </cell>
          <cell r="V6">
            <v>53.481000000000002</v>
          </cell>
          <cell r="W6">
            <v>57.604999999999997</v>
          </cell>
          <cell r="X6">
            <v>204.36199999999999</v>
          </cell>
          <cell r="Y6">
            <v>57.143000000000001</v>
          </cell>
          <cell r="Z6">
            <v>60.423000000000002</v>
          </cell>
          <cell r="AA6">
            <v>62.188000000000002</v>
          </cell>
          <cell r="AB6">
            <v>72.048000000000002</v>
          </cell>
          <cell r="AC6">
            <v>251.80200000000002</v>
          </cell>
          <cell r="AD6">
            <v>60.048000000000002</v>
          </cell>
          <cell r="AE6">
            <v>66.147999999999996</v>
          </cell>
          <cell r="AF6">
            <v>76.555000000000007</v>
          </cell>
          <cell r="AG6">
            <v>80.067999999999998</v>
          </cell>
          <cell r="AH6">
            <v>282.81900000000002</v>
          </cell>
        </row>
        <row r="7">
          <cell r="A7" t="str">
            <v>Gaming Systems</v>
          </cell>
        </row>
        <row r="8">
          <cell r="A8" t="str">
            <v xml:space="preserve">Casino Operations </v>
          </cell>
        </row>
        <row r="9">
          <cell r="A9" t="str">
            <v>Total Revenues</v>
          </cell>
          <cell r="E9">
            <v>73.641999999999996</v>
          </cell>
          <cell r="F9">
            <v>75.150000000000006</v>
          </cell>
          <cell r="G9">
            <v>123.35</v>
          </cell>
          <cell r="H9">
            <v>127.30000000000001</v>
          </cell>
          <cell r="I9">
            <v>399.4</v>
          </cell>
          <cell r="J9">
            <v>87.26400000000001</v>
          </cell>
          <cell r="K9">
            <v>98.697000000000003</v>
          </cell>
          <cell r="L9">
            <v>131.98699999999999</v>
          </cell>
          <cell r="M9">
            <v>160.05799999999999</v>
          </cell>
          <cell r="N9">
            <v>478.00600000000003</v>
          </cell>
          <cell r="O9">
            <v>149.83799999999999</v>
          </cell>
          <cell r="P9">
            <v>164.5</v>
          </cell>
          <cell r="Q9">
            <v>187.68200000000002</v>
          </cell>
          <cell r="R9">
            <v>172.47500000000002</v>
          </cell>
          <cell r="S9">
            <v>674.46100000000001</v>
          </cell>
          <cell r="T9">
            <v>159.18</v>
          </cell>
          <cell r="U9">
            <v>150.02500000000001</v>
          </cell>
          <cell r="V9">
            <v>150.77500000000001</v>
          </cell>
          <cell r="W9">
            <v>160.80599999999998</v>
          </cell>
          <cell r="X9">
            <v>620.78600000000006</v>
          </cell>
          <cell r="Y9">
            <v>156.22300000000001</v>
          </cell>
          <cell r="Z9">
            <v>160.547</v>
          </cell>
          <cell r="AA9">
            <v>196.63499999999999</v>
          </cell>
          <cell r="AB9">
            <v>220.047</v>
          </cell>
          <cell r="AC9">
            <v>733.452</v>
          </cell>
          <cell r="AD9">
            <v>189.381</v>
          </cell>
          <cell r="AE9">
            <v>164.37099999999998</v>
          </cell>
          <cell r="AF9">
            <v>163.84899999999999</v>
          </cell>
          <cell r="AG9">
            <v>226.36700000000002</v>
          </cell>
          <cell r="AH9">
            <v>743.96799999999985</v>
          </cell>
        </row>
        <row r="10">
          <cell r="A10" t="str">
            <v>Costs and Expenses</v>
          </cell>
        </row>
        <row r="11">
          <cell r="A11" t="str">
            <v>Products</v>
          </cell>
          <cell r="E11">
            <v>22.765000000000001</v>
          </cell>
          <cell r="F11">
            <v>19.53</v>
          </cell>
          <cell r="G11">
            <v>41.936</v>
          </cell>
          <cell r="H11">
            <v>37.9</v>
          </cell>
          <cell r="I11" t="e">
            <v>#REF!</v>
          </cell>
          <cell r="J11">
            <v>27.795000000000002</v>
          </cell>
          <cell r="K11">
            <v>33.509</v>
          </cell>
          <cell r="L11">
            <v>46.463000000000001</v>
          </cell>
          <cell r="M11">
            <v>59.25</v>
          </cell>
          <cell r="N11">
            <v>167.017</v>
          </cell>
          <cell r="O11">
            <v>60.481000000000002</v>
          </cell>
          <cell r="P11">
            <v>66.7</v>
          </cell>
          <cell r="Q11">
            <v>77.016000000000005</v>
          </cell>
          <cell r="R11">
            <v>67.198999999999998</v>
          </cell>
          <cell r="S11">
            <v>271.39600000000002</v>
          </cell>
          <cell r="T11">
            <v>66.251999999999995</v>
          </cell>
          <cell r="U11">
            <v>57.104999999999997</v>
          </cell>
          <cell r="V11">
            <v>54.097000000000001</v>
          </cell>
          <cell r="W11">
            <v>55.991</v>
          </cell>
          <cell r="X11">
            <v>233.44499999999999</v>
          </cell>
          <cell r="Y11">
            <v>54.93</v>
          </cell>
          <cell r="Z11">
            <v>54.481000000000002</v>
          </cell>
          <cell r="AA11">
            <v>72.725999999999999</v>
          </cell>
          <cell r="AB11">
            <v>83.412000000000006</v>
          </cell>
          <cell r="AC11">
            <v>265.54899999999998</v>
          </cell>
          <cell r="AD11">
            <v>68.701999999999998</v>
          </cell>
          <cell r="AE11">
            <v>53.424999999999997</v>
          </cell>
          <cell r="AF11">
            <v>49.241</v>
          </cell>
          <cell r="AG11">
            <v>85.114000000000004</v>
          </cell>
          <cell r="AH11">
            <v>256.48199999999997</v>
          </cell>
        </row>
        <row r="12">
          <cell r="A12" t="str">
            <v>Gaming Operations</v>
          </cell>
          <cell r="E12">
            <v>14.004</v>
          </cell>
          <cell r="F12">
            <v>15.8</v>
          </cell>
          <cell r="G12">
            <v>20.399999999999999</v>
          </cell>
          <cell r="H12">
            <v>20.2</v>
          </cell>
          <cell r="I12">
            <v>70.403999999999996</v>
          </cell>
          <cell r="J12">
            <v>12.739000000000001</v>
          </cell>
          <cell r="K12">
            <v>15.009</v>
          </cell>
          <cell r="L12">
            <v>17.268000000000001</v>
          </cell>
          <cell r="M12">
            <v>17.699000000000002</v>
          </cell>
          <cell r="N12">
            <v>62.715000000000003</v>
          </cell>
          <cell r="O12">
            <v>16.936</v>
          </cell>
          <cell r="P12">
            <v>16.5</v>
          </cell>
          <cell r="Q12">
            <v>17.678000000000001</v>
          </cell>
          <cell r="R12">
            <v>19.603999999999999</v>
          </cell>
          <cell r="S12">
            <v>70.718000000000004</v>
          </cell>
          <cell r="T12">
            <v>19.015999999999998</v>
          </cell>
          <cell r="U12">
            <v>22.634</v>
          </cell>
          <cell r="V12">
            <v>26.67</v>
          </cell>
          <cell r="W12">
            <v>28.943000000000001</v>
          </cell>
          <cell r="X12">
            <v>97.262999999999991</v>
          </cell>
          <cell r="Y12">
            <v>30.277000000000001</v>
          </cell>
          <cell r="Z12">
            <v>31.038</v>
          </cell>
          <cell r="AA12">
            <v>29.323</v>
          </cell>
          <cell r="AB12">
            <v>38.076000000000001</v>
          </cell>
          <cell r="AC12">
            <v>128.714</v>
          </cell>
          <cell r="AD12">
            <v>33.786999999999999</v>
          </cell>
          <cell r="AE12">
            <v>32.862000000000002</v>
          </cell>
          <cell r="AF12">
            <v>38.69</v>
          </cell>
          <cell r="AG12">
            <v>39.905999999999999</v>
          </cell>
          <cell r="AH12">
            <v>145.245</v>
          </cell>
        </row>
        <row r="13">
          <cell r="A13" t="str">
            <v>Gaming Systems</v>
          </cell>
        </row>
        <row r="14">
          <cell r="A14" t="str">
            <v xml:space="preserve">Casino Operations </v>
          </cell>
        </row>
        <row r="15">
          <cell r="A15" t="str">
            <v>SG&amp;A</v>
          </cell>
          <cell r="E15">
            <v>15.173</v>
          </cell>
          <cell r="F15">
            <v>15.048999999999999</v>
          </cell>
          <cell r="G15">
            <v>17.138000000000002</v>
          </cell>
          <cell r="H15">
            <v>18.8</v>
          </cell>
          <cell r="I15">
            <v>66.16</v>
          </cell>
          <cell r="J15">
            <v>11.920999999999999</v>
          </cell>
          <cell r="K15">
            <v>12.491</v>
          </cell>
          <cell r="L15">
            <v>15.215999999999999</v>
          </cell>
          <cell r="M15">
            <v>17.898</v>
          </cell>
          <cell r="N15">
            <v>57.526000000000003</v>
          </cell>
          <cell r="O15">
            <v>16.8</v>
          </cell>
          <cell r="P15">
            <v>23</v>
          </cell>
          <cell r="Q15">
            <v>18.773</v>
          </cell>
          <cell r="R15">
            <v>25.259</v>
          </cell>
          <cell r="S15">
            <v>83.831999999999994</v>
          </cell>
          <cell r="T15">
            <v>22.352</v>
          </cell>
          <cell r="U15">
            <v>21.852</v>
          </cell>
          <cell r="V15">
            <v>19.619</v>
          </cell>
          <cell r="W15">
            <v>24.727</v>
          </cell>
          <cell r="X15">
            <v>88.55</v>
          </cell>
          <cell r="Y15">
            <v>25.509</v>
          </cell>
          <cell r="Z15">
            <v>25.123000000000001</v>
          </cell>
          <cell r="AA15">
            <v>25.872</v>
          </cell>
          <cell r="AB15">
            <v>28.463000000000001</v>
          </cell>
          <cell r="AC15">
            <v>104.96700000000001</v>
          </cell>
          <cell r="AD15">
            <v>23.815999999999999</v>
          </cell>
          <cell r="AE15">
            <v>26.074000000000002</v>
          </cell>
          <cell r="AF15">
            <v>21.619</v>
          </cell>
          <cell r="AG15">
            <v>26.87</v>
          </cell>
          <cell r="AH15">
            <v>98.379000000000005</v>
          </cell>
        </row>
        <row r="16">
          <cell r="A16" t="str">
            <v>Depreciation &amp; Amortization</v>
          </cell>
          <cell r="E16">
            <v>3.278</v>
          </cell>
          <cell r="F16">
            <v>3.3079999999999998</v>
          </cell>
          <cell r="G16">
            <v>4.7889999999999997</v>
          </cell>
          <cell r="H16">
            <v>7.6</v>
          </cell>
          <cell r="I16">
            <v>18.975000000000001</v>
          </cell>
          <cell r="J16">
            <v>5.0289999999999999</v>
          </cell>
          <cell r="K16">
            <v>4.835</v>
          </cell>
          <cell r="L16">
            <v>5.2629999999999999</v>
          </cell>
          <cell r="M16">
            <v>5.069</v>
          </cell>
          <cell r="N16">
            <v>20.196000000000002</v>
          </cell>
          <cell r="O16">
            <v>4.5590000000000002</v>
          </cell>
          <cell r="P16">
            <v>4.7</v>
          </cell>
          <cell r="Q16">
            <v>5.1219999999999999</v>
          </cell>
          <cell r="R16">
            <v>5.7069999999999999</v>
          </cell>
          <cell r="S16">
            <v>20.074000000000002</v>
          </cell>
          <cell r="T16">
            <v>6.2590000000000003</v>
          </cell>
          <cell r="U16">
            <v>6.8620000000000001</v>
          </cell>
          <cell r="V16">
            <v>7.0910000000000002</v>
          </cell>
          <cell r="W16">
            <v>7.6820000000000004</v>
          </cell>
          <cell r="X16">
            <v>27.893999999999998</v>
          </cell>
          <cell r="Y16">
            <v>6.8659999999999997</v>
          </cell>
          <cell r="Z16">
            <v>6.5149999999999997</v>
          </cell>
          <cell r="AA16">
            <v>6.9450000000000003</v>
          </cell>
          <cell r="AB16">
            <v>3.2349999999999999</v>
          </cell>
          <cell r="AC16">
            <v>23.6</v>
          </cell>
          <cell r="AD16">
            <v>3.093</v>
          </cell>
          <cell r="AE16">
            <v>2.4140000000000001</v>
          </cell>
          <cell r="AF16">
            <v>3.0910000000000002</v>
          </cell>
          <cell r="AG16">
            <v>3.2490000000000001</v>
          </cell>
          <cell r="AH16">
            <v>11.847</v>
          </cell>
        </row>
        <row r="17">
          <cell r="A17" t="str">
            <v>Research &amp; Development</v>
          </cell>
          <cell r="E17">
            <v>2.306</v>
          </cell>
          <cell r="F17">
            <v>2.2210000000000001</v>
          </cell>
          <cell r="G17">
            <v>3.34</v>
          </cell>
          <cell r="H17">
            <v>3.9</v>
          </cell>
          <cell r="I17">
            <v>11.766999999999999</v>
          </cell>
          <cell r="J17">
            <v>3.6280000000000001</v>
          </cell>
          <cell r="K17">
            <v>4.2560000000000002</v>
          </cell>
          <cell r="L17">
            <v>4.1100000000000003</v>
          </cell>
          <cell r="M17">
            <v>4.5270000000000001</v>
          </cell>
          <cell r="N17">
            <v>16.523</v>
          </cell>
          <cell r="O17">
            <v>3.8759999999999999</v>
          </cell>
          <cell r="P17">
            <v>5.3</v>
          </cell>
          <cell r="Q17">
            <v>6.1440000000000001</v>
          </cell>
          <cell r="R17">
            <v>8.0619999999999994</v>
          </cell>
          <cell r="S17">
            <v>23.344999999999999</v>
          </cell>
          <cell r="T17">
            <v>7.0789999999999997</v>
          </cell>
          <cell r="U17">
            <v>7.2169999999999996</v>
          </cell>
          <cell r="V17">
            <v>7.0629999999999997</v>
          </cell>
          <cell r="W17">
            <v>7.133</v>
          </cell>
          <cell r="X17">
            <v>28.491999999999997</v>
          </cell>
          <cell r="Y17">
            <v>6.3029999999999999</v>
          </cell>
          <cell r="Z17">
            <v>6.3689999999999998</v>
          </cell>
          <cell r="AA17">
            <v>6.0179999999999998</v>
          </cell>
          <cell r="AB17">
            <v>7.0129999999999999</v>
          </cell>
          <cell r="AC17">
            <v>25.703000000000003</v>
          </cell>
          <cell r="AD17">
            <v>7.3949999999999996</v>
          </cell>
          <cell r="AE17">
            <v>7.2889999999999997</v>
          </cell>
          <cell r="AF17">
            <v>8.1389999999999993</v>
          </cell>
          <cell r="AG17">
            <v>8.2509999999999994</v>
          </cell>
          <cell r="AH17">
            <v>31.073999999999998</v>
          </cell>
        </row>
        <row r="18">
          <cell r="A18" t="str">
            <v>Provision for Bad Debts</v>
          </cell>
          <cell r="E18">
            <v>1.2</v>
          </cell>
          <cell r="F18">
            <v>0.79100000000000004</v>
          </cell>
          <cell r="G18">
            <v>1.2989999999999999</v>
          </cell>
          <cell r="H18">
            <v>1.4</v>
          </cell>
          <cell r="I18">
            <v>4.6899999999999995</v>
          </cell>
          <cell r="J18">
            <v>0.96099999999999997</v>
          </cell>
          <cell r="K18">
            <v>1.18</v>
          </cell>
          <cell r="L18">
            <v>1.35</v>
          </cell>
          <cell r="M18">
            <v>0.35099999999999998</v>
          </cell>
          <cell r="N18">
            <v>3.8</v>
          </cell>
          <cell r="O18">
            <v>1.5660000000000001</v>
          </cell>
          <cell r="P18">
            <v>3.2</v>
          </cell>
          <cell r="Q18">
            <v>1.2909999999999999</v>
          </cell>
          <cell r="R18">
            <v>1.1020000000000001</v>
          </cell>
          <cell r="S18">
            <v>7.1590000000000007</v>
          </cell>
          <cell r="T18">
            <v>1.486</v>
          </cell>
          <cell r="U18">
            <v>2.1269999999999998</v>
          </cell>
          <cell r="V18">
            <v>1.835</v>
          </cell>
          <cell r="W18">
            <v>0.43</v>
          </cell>
          <cell r="X18">
            <v>5.8779999999999992</v>
          </cell>
          <cell r="Y18">
            <v>1.6639999999999999</v>
          </cell>
          <cell r="Z18">
            <v>4.4690000000000003</v>
          </cell>
          <cell r="AA18">
            <v>4.4610000000000003</v>
          </cell>
          <cell r="AB18">
            <v>1.0269999999999999</v>
          </cell>
          <cell r="AC18">
            <v>11.621</v>
          </cell>
          <cell r="AD18">
            <v>2.8140000000000001</v>
          </cell>
          <cell r="AE18">
            <v>2.2839999999999998</v>
          </cell>
          <cell r="AF18">
            <v>1.17</v>
          </cell>
          <cell r="AG18">
            <v>3.2389999999999999</v>
          </cell>
          <cell r="AH18">
            <v>9.5069999999999997</v>
          </cell>
        </row>
        <row r="19">
          <cell r="A19" t="str">
            <v>Total Costs &amp; Expenses</v>
          </cell>
          <cell r="E19">
            <v>58.725999999999999</v>
          </cell>
          <cell r="F19">
            <v>56.698999999999998</v>
          </cell>
          <cell r="G19">
            <v>88.902000000000015</v>
          </cell>
          <cell r="H19">
            <v>89.8</v>
          </cell>
          <cell r="I19" t="e">
            <v>#REF!</v>
          </cell>
          <cell r="J19">
            <v>62.073000000000008</v>
          </cell>
          <cell r="K19">
            <v>71.28</v>
          </cell>
          <cell r="L19">
            <v>89.67</v>
          </cell>
          <cell r="M19">
            <v>104.794</v>
          </cell>
          <cell r="N19">
            <v>327.77700000000004</v>
          </cell>
          <cell r="O19">
            <v>104.218</v>
          </cell>
          <cell r="P19">
            <v>119.4</v>
          </cell>
          <cell r="Q19">
            <v>126.024</v>
          </cell>
          <cell r="R19">
            <v>126.93299999999999</v>
          </cell>
          <cell r="S19">
            <v>476.524</v>
          </cell>
          <cell r="T19">
            <v>122.444</v>
          </cell>
          <cell r="U19">
            <v>117.797</v>
          </cell>
          <cell r="V19">
            <v>116.37499999999999</v>
          </cell>
          <cell r="W19">
            <v>124.90600000000001</v>
          </cell>
          <cell r="X19">
            <v>481.52199999999999</v>
          </cell>
          <cell r="Y19">
            <v>125.54899999999999</v>
          </cell>
          <cell r="Z19">
            <v>127.995</v>
          </cell>
          <cell r="AA19">
            <v>145.34500000000003</v>
          </cell>
          <cell r="AB19">
            <v>161.226</v>
          </cell>
          <cell r="AC19">
            <v>560.11500000000001</v>
          </cell>
          <cell r="AD19">
            <v>139.607</v>
          </cell>
          <cell r="AE19">
            <v>124.34800000000001</v>
          </cell>
          <cell r="AF19">
            <v>121.94999999999999</v>
          </cell>
          <cell r="AG19">
            <v>166.62900000000002</v>
          </cell>
          <cell r="AH19">
            <v>552.53400000000011</v>
          </cell>
        </row>
        <row r="20">
          <cell r="A20" t="str">
            <v>Operating Income</v>
          </cell>
          <cell r="E20">
            <v>14.916</v>
          </cell>
          <cell r="F20">
            <v>18.471</v>
          </cell>
          <cell r="G20">
            <v>34.436</v>
          </cell>
          <cell r="H20">
            <v>37.5</v>
          </cell>
          <cell r="I20">
            <v>105.32300000000001</v>
          </cell>
          <cell r="J20">
            <v>25.191000000000003</v>
          </cell>
          <cell r="K20">
            <v>27.417000000000002</v>
          </cell>
          <cell r="L20">
            <v>42.316999999999993</v>
          </cell>
          <cell r="M20">
            <v>55.263999999999996</v>
          </cell>
          <cell r="N20">
            <v>150.22899999999998</v>
          </cell>
          <cell r="O20">
            <v>45.61999999999999</v>
          </cell>
          <cell r="P20">
            <v>45.099999999999994</v>
          </cell>
          <cell r="Q20">
            <v>61.658000000000015</v>
          </cell>
          <cell r="R20">
            <v>45.54200000000003</v>
          </cell>
          <cell r="S20">
            <v>197.93700000000001</v>
          </cell>
          <cell r="T20">
            <v>36.736000000000004</v>
          </cell>
          <cell r="U20">
            <v>32.228000000000009</v>
          </cell>
          <cell r="V20">
            <v>34.40000000000002</v>
          </cell>
          <cell r="W20">
            <v>35.899999999999977</v>
          </cell>
          <cell r="X20">
            <v>139.26400000000007</v>
          </cell>
          <cell r="Y20">
            <v>30.674000000000021</v>
          </cell>
          <cell r="Z20">
            <v>32.551999999999992</v>
          </cell>
          <cell r="AA20">
            <v>51.29</v>
          </cell>
          <cell r="AB20">
            <v>58.820999999999998</v>
          </cell>
          <cell r="AC20">
            <v>173.33700000000002</v>
          </cell>
          <cell r="AD20">
            <v>49.774000000000001</v>
          </cell>
          <cell r="AE20">
            <v>40.022999999999968</v>
          </cell>
          <cell r="AF20">
            <v>41.899000000000001</v>
          </cell>
          <cell r="AG20">
            <v>59.738</v>
          </cell>
          <cell r="AH20">
            <v>191.43399999999997</v>
          </cell>
        </row>
        <row r="21">
          <cell r="A21" t="str">
            <v>Interest Income</v>
          </cell>
          <cell r="E21">
            <v>5.3550000000000004</v>
          </cell>
          <cell r="F21">
            <v>5.0289999999999999</v>
          </cell>
          <cell r="G21">
            <v>5.23</v>
          </cell>
          <cell r="H21">
            <v>4.4000000000000004</v>
          </cell>
          <cell r="I21">
            <v>20.014000000000003</v>
          </cell>
          <cell r="J21">
            <v>5.4249999999999998</v>
          </cell>
          <cell r="K21">
            <v>6.3179999999999996</v>
          </cell>
          <cell r="L21">
            <v>6.8079999999999998</v>
          </cell>
          <cell r="M21">
            <v>7.8</v>
          </cell>
          <cell r="N21">
            <v>26.283000000000001</v>
          </cell>
          <cell r="O21">
            <v>6.7350000000000003</v>
          </cell>
          <cell r="P21">
            <v>7.1</v>
          </cell>
          <cell r="Q21">
            <v>7.2229999999999999</v>
          </cell>
          <cell r="R21">
            <v>8.4700000000000006</v>
          </cell>
          <cell r="S21">
            <v>29.527999999999999</v>
          </cell>
          <cell r="T21">
            <v>8.9909999999999997</v>
          </cell>
          <cell r="U21">
            <v>9.5570000000000004</v>
          </cell>
          <cell r="V21">
            <v>10.19</v>
          </cell>
          <cell r="W21">
            <v>8.8360000000000003</v>
          </cell>
          <cell r="X21">
            <v>37.573999999999998</v>
          </cell>
          <cell r="Y21">
            <v>9.73</v>
          </cell>
          <cell r="Z21">
            <v>9.3409999999999993</v>
          </cell>
          <cell r="AA21">
            <v>9.6940000000000008</v>
          </cell>
          <cell r="AB21">
            <v>10.411</v>
          </cell>
          <cell r="AC21">
            <v>39.176000000000002</v>
          </cell>
          <cell r="AD21">
            <v>10.228999999999999</v>
          </cell>
          <cell r="AE21">
            <v>10.144</v>
          </cell>
          <cell r="AF21">
            <v>9.9049999999999994</v>
          </cell>
          <cell r="AG21">
            <v>11.461</v>
          </cell>
          <cell r="AH21">
            <v>41.738999999999997</v>
          </cell>
        </row>
        <row r="22">
          <cell r="A22" t="str">
            <v>Interest Expense</v>
          </cell>
          <cell r="E22">
            <v>-3.4180000000000001</v>
          </cell>
          <cell r="F22">
            <v>-3.39</v>
          </cell>
          <cell r="G22">
            <v>-3.4729999999999999</v>
          </cell>
          <cell r="H22">
            <v>-3.5</v>
          </cell>
          <cell r="I22">
            <v>-13.780999999999999</v>
          </cell>
          <cell r="J22">
            <v>-3.0289999999999999</v>
          </cell>
          <cell r="K22">
            <v>-3.3410000000000002</v>
          </cell>
          <cell r="L22">
            <v>-3.173</v>
          </cell>
          <cell r="M22">
            <v>-3.206</v>
          </cell>
          <cell r="N22">
            <v>-12.749000000000001</v>
          </cell>
          <cell r="O22">
            <v>-2.8530000000000002</v>
          </cell>
          <cell r="P22">
            <v>-2.9</v>
          </cell>
          <cell r="Q22">
            <v>-2.794</v>
          </cell>
          <cell r="R22">
            <v>-3.246</v>
          </cell>
          <cell r="S22">
            <v>-11.793000000000001</v>
          </cell>
          <cell r="T22">
            <v>-5.1130000000000004</v>
          </cell>
          <cell r="U22">
            <v>-5.28</v>
          </cell>
          <cell r="V22">
            <v>-4.8250000000000002</v>
          </cell>
          <cell r="W22">
            <v>-5.1509999999999998</v>
          </cell>
          <cell r="X22">
            <v>-20.369</v>
          </cell>
          <cell r="Y22">
            <v>-5.2190000000000003</v>
          </cell>
          <cell r="Z22">
            <v>-5.125</v>
          </cell>
          <cell r="AA22">
            <v>-6.6689999999999996</v>
          </cell>
          <cell r="AB22">
            <v>-6.5209999999999999</v>
          </cell>
          <cell r="AC22">
            <v>-23.534000000000002</v>
          </cell>
          <cell r="AD22">
            <v>-6.8920000000000003</v>
          </cell>
          <cell r="AE22">
            <v>-6.8760000000000003</v>
          </cell>
          <cell r="AF22">
            <v>-8.1319999999999997</v>
          </cell>
          <cell r="AG22">
            <v>-8.5220000000000002</v>
          </cell>
          <cell r="AH22">
            <v>-30.421999999999997</v>
          </cell>
        </row>
        <row r="23">
          <cell r="A23" t="str">
            <v>Other</v>
          </cell>
          <cell r="E23">
            <v>0.59</v>
          </cell>
          <cell r="F23">
            <v>-1.65</v>
          </cell>
          <cell r="G23">
            <v>-3.1</v>
          </cell>
          <cell r="H23">
            <v>0.8</v>
          </cell>
          <cell r="I23">
            <v>-3.3600000000000003</v>
          </cell>
          <cell r="J23">
            <v>1.3</v>
          </cell>
          <cell r="K23">
            <v>-0.127</v>
          </cell>
          <cell r="L23">
            <v>-0.104</v>
          </cell>
          <cell r="M23">
            <v>-0.11</v>
          </cell>
          <cell r="N23">
            <v>0.28199999999999997</v>
          </cell>
          <cell r="O23">
            <v>-0.3</v>
          </cell>
          <cell r="P23">
            <v>-0.2</v>
          </cell>
          <cell r="Q23">
            <v>0.45500000000000002</v>
          </cell>
          <cell r="R23">
            <v>0</v>
          </cell>
          <cell r="S23">
            <v>-4.4999999999999984E-2</v>
          </cell>
          <cell r="T23">
            <v>-0.57399999999999995</v>
          </cell>
          <cell r="U23">
            <v>1.7000000000000001E-2</v>
          </cell>
          <cell r="V23">
            <v>-0.46400000000000002</v>
          </cell>
          <cell r="W23">
            <v>0.498</v>
          </cell>
          <cell r="X23">
            <v>-0.52299999999999991</v>
          </cell>
          <cell r="Y23">
            <v>0</v>
          </cell>
          <cell r="Z23">
            <v>0.248</v>
          </cell>
          <cell r="AA23">
            <v>0.58099999999999996</v>
          </cell>
          <cell r="AB23">
            <v>-4.8410000000000002</v>
          </cell>
          <cell r="AC23">
            <v>-4.0120000000000005</v>
          </cell>
          <cell r="AD23">
            <v>-0.81</v>
          </cell>
          <cell r="AE23">
            <v>1.3000000000000012E-2</v>
          </cell>
          <cell r="AF23">
            <v>-1.05</v>
          </cell>
          <cell r="AG23">
            <v>-0.495</v>
          </cell>
          <cell r="AH23">
            <v>-2.3420000000000001</v>
          </cell>
        </row>
        <row r="24">
          <cell r="A24" t="str">
            <v>Gain (loss) on Sale of Assets</v>
          </cell>
          <cell r="E24">
            <v>0</v>
          </cell>
          <cell r="F24">
            <v>0</v>
          </cell>
          <cell r="G24">
            <v>-0.1</v>
          </cell>
          <cell r="H24">
            <v>-1</v>
          </cell>
          <cell r="I24">
            <v>-1.1000000000000001</v>
          </cell>
          <cell r="J24">
            <v>5.9210000000000003</v>
          </cell>
          <cell r="K24">
            <v>0.7</v>
          </cell>
          <cell r="L24">
            <v>2.952</v>
          </cell>
          <cell r="M24">
            <v>0.50700000000000001</v>
          </cell>
          <cell r="N24">
            <v>10.09</v>
          </cell>
          <cell r="O24">
            <v>0</v>
          </cell>
          <cell r="P24">
            <v>1.6</v>
          </cell>
          <cell r="Q24">
            <v>-1.9870000000000001</v>
          </cell>
          <cell r="R24">
            <v>-0.64500000000000002</v>
          </cell>
          <cell r="S24">
            <v>-1.1589999999999998</v>
          </cell>
          <cell r="T24">
            <v>0</v>
          </cell>
          <cell r="U24">
            <v>-0.48699999999999999</v>
          </cell>
          <cell r="V24">
            <v>0.29199999999999998</v>
          </cell>
          <cell r="W24">
            <v>3.5399999999999991</v>
          </cell>
          <cell r="X24">
            <v>3.3449999999999993</v>
          </cell>
          <cell r="Y24">
            <v>-1.4E-2</v>
          </cell>
          <cell r="Z24">
            <v>-0.43900000000000006</v>
          </cell>
          <cell r="AA24">
            <v>-0.64200000000000002</v>
          </cell>
          <cell r="AB24">
            <v>-1.208</v>
          </cell>
          <cell r="AC24">
            <v>-2.3029999999999999</v>
          </cell>
          <cell r="AD24">
            <v>0.30499999999999999</v>
          </cell>
          <cell r="AE24">
            <v>0</v>
          </cell>
          <cell r="AF24">
            <v>10.414</v>
          </cell>
          <cell r="AG24">
            <v>1.4950000000000001</v>
          </cell>
          <cell r="AH24">
            <v>12.213999999999999</v>
          </cell>
        </row>
        <row r="25">
          <cell r="A25" t="str">
            <v>Extraordinary Items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-14.6</v>
          </cell>
          <cell r="X25">
            <v>-14.6</v>
          </cell>
          <cell r="Y25">
            <v>8.0419999999999998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7">
          <cell r="A27" t="str">
            <v>Pretax Income</v>
          </cell>
          <cell r="E27">
            <v>17.443000000000001</v>
          </cell>
          <cell r="F27">
            <v>18.46</v>
          </cell>
          <cell r="G27">
            <v>32.992999999999995</v>
          </cell>
          <cell r="H27">
            <v>38.199999999999996</v>
          </cell>
          <cell r="I27">
            <v>107.096</v>
          </cell>
          <cell r="J27">
            <v>34.808000000000007</v>
          </cell>
          <cell r="K27">
            <v>30.966999999999999</v>
          </cell>
          <cell r="L27">
            <v>48.79999999999999</v>
          </cell>
          <cell r="M27">
            <v>60.254999999999988</v>
          </cell>
          <cell r="N27">
            <v>174.13500000000002</v>
          </cell>
          <cell r="O27">
            <v>49.201999999999991</v>
          </cell>
          <cell r="P27">
            <v>50.699999999999996</v>
          </cell>
          <cell r="Q27">
            <v>64.555000000000021</v>
          </cell>
          <cell r="R27">
            <v>50.121000000000024</v>
          </cell>
          <cell r="S27">
            <v>214.57800000000003</v>
          </cell>
          <cell r="T27">
            <v>40.04</v>
          </cell>
          <cell r="U27">
            <v>36.035000000000011</v>
          </cell>
          <cell r="V27">
            <v>39.593000000000018</v>
          </cell>
          <cell r="W27">
            <v>29.022999999999975</v>
          </cell>
          <cell r="X27">
            <v>144.69100000000009</v>
          </cell>
          <cell r="Y27">
            <v>43.213000000000022</v>
          </cell>
          <cell r="Z27">
            <v>36.576999999999991</v>
          </cell>
          <cell r="AA27">
            <v>54.253999999999998</v>
          </cell>
          <cell r="AB27">
            <v>56.661999999999999</v>
          </cell>
          <cell r="AC27">
            <v>182.66400000000004</v>
          </cell>
          <cell r="AD27">
            <v>52.605999999999995</v>
          </cell>
          <cell r="AE27">
            <v>43.303999999999967</v>
          </cell>
          <cell r="AF27">
            <v>53.036000000000008</v>
          </cell>
          <cell r="AG27">
            <v>63.677</v>
          </cell>
          <cell r="AH27">
            <v>212.62299999999996</v>
          </cell>
        </row>
        <row r="28">
          <cell r="A28" t="str">
            <v>Taxes</v>
          </cell>
          <cell r="E28">
            <v>6.87</v>
          </cell>
          <cell r="F28">
            <v>7.4729999999999999</v>
          </cell>
          <cell r="G28">
            <v>13.224</v>
          </cell>
          <cell r="H28">
            <v>14.745199999999999</v>
          </cell>
          <cell r="I28">
            <v>42.312199999999997</v>
          </cell>
          <cell r="J28">
            <v>13.64</v>
          </cell>
          <cell r="K28">
            <v>12.15</v>
          </cell>
          <cell r="L28">
            <v>19.129599999999996</v>
          </cell>
          <cell r="M28">
            <v>24.403274999999997</v>
          </cell>
          <cell r="N28">
            <v>68.585999999999999</v>
          </cell>
          <cell r="O28">
            <v>18.8</v>
          </cell>
          <cell r="P28">
            <v>19.399999999999999</v>
          </cell>
          <cell r="Q28">
            <v>24.7</v>
          </cell>
          <cell r="R28">
            <v>11.461</v>
          </cell>
          <cell r="S28">
            <v>74.361000000000004</v>
          </cell>
          <cell r="T28">
            <v>14.414</v>
          </cell>
          <cell r="U28">
            <v>12.973000000000001</v>
          </cell>
          <cell r="V28">
            <v>14.236000000000001</v>
          </cell>
          <cell r="W28">
            <v>10.493</v>
          </cell>
          <cell r="X28">
            <v>52.116000000000007</v>
          </cell>
          <cell r="Y28">
            <v>15.55</v>
          </cell>
          <cell r="Z28">
            <v>13.167719999999996</v>
          </cell>
          <cell r="AA28">
            <v>19.533000000000001</v>
          </cell>
          <cell r="AB28">
            <v>20.399000000000001</v>
          </cell>
          <cell r="AC28">
            <v>68.649720000000002</v>
          </cell>
          <cell r="AD28">
            <v>18.937999999999999</v>
          </cell>
          <cell r="AE28">
            <v>15.59</v>
          </cell>
          <cell r="AF28">
            <v>18.564</v>
          </cell>
          <cell r="AG28">
            <v>22.286999999999999</v>
          </cell>
          <cell r="AH28">
            <v>75.378999999999991</v>
          </cell>
        </row>
        <row r="29">
          <cell r="A29" t="str">
            <v>Net Income</v>
          </cell>
          <cell r="E29">
            <v>10.573</v>
          </cell>
          <cell r="F29">
            <v>10.987</v>
          </cell>
          <cell r="G29">
            <v>19.972999999999999</v>
          </cell>
          <cell r="H29">
            <v>23.454799999999999</v>
          </cell>
          <cell r="I29">
            <v>64.987799999999993</v>
          </cell>
          <cell r="J29">
            <v>21.168000000000006</v>
          </cell>
          <cell r="K29">
            <v>18.817</v>
          </cell>
          <cell r="L29">
            <v>29.670399999999994</v>
          </cell>
          <cell r="M29">
            <v>35.851724999999988</v>
          </cell>
          <cell r="N29">
            <v>105.54900000000002</v>
          </cell>
          <cell r="O29">
            <v>30.40199999999999</v>
          </cell>
          <cell r="P29">
            <v>31.299999999999997</v>
          </cell>
          <cell r="Q29">
            <v>39.855000000000018</v>
          </cell>
          <cell r="R29">
            <v>38.660000000000025</v>
          </cell>
          <cell r="S29">
            <v>140.21700000000004</v>
          </cell>
          <cell r="T29">
            <v>25.625999999999998</v>
          </cell>
          <cell r="U29">
            <v>23.062000000000012</v>
          </cell>
          <cell r="V29">
            <v>25.357000000000017</v>
          </cell>
          <cell r="W29">
            <v>18.529999999999973</v>
          </cell>
          <cell r="X29">
            <v>92.575000000000003</v>
          </cell>
          <cell r="Y29">
            <v>27.663000000000022</v>
          </cell>
          <cell r="Z29">
            <v>23.409279999999995</v>
          </cell>
          <cell r="AA29">
            <v>34.720999999999997</v>
          </cell>
          <cell r="AB29">
            <v>36.262999999999998</v>
          </cell>
          <cell r="AC29">
            <v>122.05628000000002</v>
          </cell>
          <cell r="AD29">
            <v>33.667999999999992</v>
          </cell>
          <cell r="AE29">
            <v>27.713999999999967</v>
          </cell>
          <cell r="AF29">
            <v>34.472000000000008</v>
          </cell>
          <cell r="AG29">
            <v>41.39</v>
          </cell>
          <cell r="AH29">
            <v>137.24399999999997</v>
          </cell>
        </row>
        <row r="30">
          <cell r="A30" t="str">
            <v>Net Income Continuing Ops.</v>
          </cell>
          <cell r="N30">
            <v>105.54899999999999</v>
          </cell>
          <cell r="O30">
            <v>30.401999999999994</v>
          </cell>
          <cell r="P30">
            <v>31.3</v>
          </cell>
          <cell r="Q30">
            <v>39.855000000000018</v>
          </cell>
          <cell r="R30">
            <v>38.660000000000025</v>
          </cell>
          <cell r="S30">
            <v>140.14511998434139</v>
          </cell>
          <cell r="T30">
            <v>25.626000000000005</v>
          </cell>
          <cell r="U30">
            <v>23.062000000000012</v>
          </cell>
          <cell r="V30">
            <v>25.357000000000017</v>
          </cell>
          <cell r="W30">
            <v>27.851503635048037</v>
          </cell>
          <cell r="X30">
            <v>101.89650363504806</v>
          </cell>
          <cell r="Y30">
            <v>22.514876842616825</v>
          </cell>
          <cell r="Z30">
            <v>23.409279999999995</v>
          </cell>
          <cell r="AA30">
            <v>34.720999999999997</v>
          </cell>
          <cell r="AB30">
            <v>36.262999999999998</v>
          </cell>
          <cell r="AC30">
            <v>116.90815684261682</v>
          </cell>
          <cell r="AD30">
            <v>33.667999999999999</v>
          </cell>
          <cell r="AE30">
            <v>27.713999999999963</v>
          </cell>
          <cell r="AF30">
            <v>34.472000000000001</v>
          </cell>
          <cell r="AG30">
            <v>41.389999999999993</v>
          </cell>
          <cell r="AH30">
            <v>137.24399999999994</v>
          </cell>
        </row>
        <row r="32">
          <cell r="A32" t="str">
            <v>EPS - Ex. Extr. Items FD.</v>
          </cell>
          <cell r="N32">
            <v>0.8</v>
          </cell>
          <cell r="O32">
            <v>0.22259481622492305</v>
          </cell>
          <cell r="P32">
            <v>0.22913616398243047</v>
          </cell>
          <cell r="Q32">
            <v>0.3</v>
          </cell>
          <cell r="R32">
            <v>0.28915482423335848</v>
          </cell>
          <cell r="S32">
            <v>1.05</v>
          </cell>
          <cell r="T32">
            <v>0.1917152326303426</v>
          </cell>
          <cell r="U32">
            <v>0.17537109137364654</v>
          </cell>
          <cell r="V32">
            <v>0.19505984799532305</v>
          </cell>
          <cell r="W32">
            <v>0.21473788461872043</v>
          </cell>
          <cell r="X32">
            <v>0.77688405661803261</v>
          </cell>
          <cell r="Y32">
            <v>0.17469779283371867</v>
          </cell>
          <cell r="Z32">
            <v>0.18565532556110712</v>
          </cell>
          <cell r="AA32">
            <v>0.27368031087674488</v>
          </cell>
          <cell r="AB32">
            <v>0.28430865242888947</v>
          </cell>
          <cell r="AC32">
            <v>0.9</v>
          </cell>
          <cell r="AD32">
            <v>0.2650293226276223</v>
          </cell>
          <cell r="AE32">
            <v>0.22404022602889195</v>
          </cell>
          <cell r="AF32">
            <v>0.28666467085786518</v>
          </cell>
          <cell r="AG32">
            <v>0.35370626741185113</v>
          </cell>
          <cell r="AH32">
            <v>1.1294404869262307</v>
          </cell>
        </row>
        <row r="33">
          <cell r="A33" t="str">
            <v>Extraordinary Items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-7.1869727332675881E-2</v>
          </cell>
          <cell r="X33">
            <v>-7.1869727332675881E-2</v>
          </cell>
          <cell r="Y33">
            <v>3.994539961811619E-2</v>
          </cell>
          <cell r="Z33">
            <v>0</v>
          </cell>
          <cell r="AA33">
            <v>0</v>
          </cell>
          <cell r="AB33">
            <v>0</v>
          </cell>
          <cell r="AC33">
            <v>3.994539961811619E-2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GAAP EPS</v>
          </cell>
          <cell r="E34">
            <v>0.09</v>
          </cell>
          <cell r="F34">
            <v>0.09</v>
          </cell>
          <cell r="G34">
            <v>0.16</v>
          </cell>
          <cell r="H34">
            <v>0.18</v>
          </cell>
          <cell r="I34">
            <v>0.52</v>
          </cell>
          <cell r="J34">
            <v>0.16</v>
          </cell>
          <cell r="K34">
            <v>0.15</v>
          </cell>
          <cell r="L34">
            <v>0.23</v>
          </cell>
          <cell r="M34">
            <v>0.27</v>
          </cell>
          <cell r="N34">
            <v>0.8</v>
          </cell>
          <cell r="O34">
            <v>0.22259481622492305</v>
          </cell>
          <cell r="P34">
            <v>0.22913616398243047</v>
          </cell>
          <cell r="Q34">
            <v>0.3</v>
          </cell>
          <cell r="R34">
            <v>0.28915482423335848</v>
          </cell>
          <cell r="S34">
            <v>1.05</v>
          </cell>
          <cell r="T34">
            <v>0.1917152326303426</v>
          </cell>
          <cell r="U34">
            <v>0.17537109137364654</v>
          </cell>
          <cell r="V34">
            <v>0.19505984799532305</v>
          </cell>
          <cell r="W34">
            <v>0.14286815728604454</v>
          </cell>
          <cell r="X34">
            <v>0.70501432928535668</v>
          </cell>
          <cell r="Y34">
            <v>0.21464319245183486</v>
          </cell>
          <cell r="Z34">
            <v>0.18565532556110712</v>
          </cell>
          <cell r="AA34">
            <v>0.27368031087674488</v>
          </cell>
          <cell r="AB34">
            <v>0.28430865242888947</v>
          </cell>
          <cell r="AC34">
            <v>0.95828748131857633</v>
          </cell>
          <cell r="AD34">
            <v>0.2650293226276223</v>
          </cell>
          <cell r="AE34">
            <v>0.22404022602889195</v>
          </cell>
          <cell r="AF34">
            <v>0.28666467085786518</v>
          </cell>
          <cell r="AG34">
            <v>0.35370626741185113</v>
          </cell>
          <cell r="AH34">
            <v>1.1294404869262307</v>
          </cell>
        </row>
        <row r="36">
          <cell r="A36" t="str">
            <v>Shares Outstanding - Primary</v>
          </cell>
          <cell r="E36">
            <v>118.464</v>
          </cell>
          <cell r="F36">
            <v>120.044</v>
          </cell>
          <cell r="G36">
            <v>120.514</v>
          </cell>
          <cell r="H36">
            <v>120.8</v>
          </cell>
          <cell r="I36">
            <v>120</v>
          </cell>
          <cell r="J36">
            <v>122.95399999999999</v>
          </cell>
          <cell r="K36">
            <v>122.55</v>
          </cell>
          <cell r="L36">
            <v>124.9</v>
          </cell>
          <cell r="M36">
            <v>125.6</v>
          </cell>
          <cell r="N36">
            <v>125.4</v>
          </cell>
          <cell r="O36">
            <v>129.626</v>
          </cell>
          <cell r="P36">
            <v>130</v>
          </cell>
          <cell r="Q36">
            <v>129.626</v>
          </cell>
          <cell r="R36">
            <v>133.5</v>
          </cell>
          <cell r="S36">
            <v>130.68799999999999</v>
          </cell>
          <cell r="T36">
            <v>133.5</v>
          </cell>
          <cell r="U36">
            <v>133.5</v>
          </cell>
          <cell r="V36">
            <v>133.5</v>
          </cell>
          <cell r="W36">
            <v>129.69999999999999</v>
          </cell>
          <cell r="X36">
            <v>132.55000000000001</v>
          </cell>
          <cell r="Y36">
            <v>130</v>
          </cell>
          <cell r="Z36">
            <v>130</v>
          </cell>
          <cell r="AA36">
            <v>130</v>
          </cell>
          <cell r="AB36">
            <v>130</v>
          </cell>
          <cell r="AC36">
            <v>130</v>
          </cell>
          <cell r="AD36">
            <v>130</v>
          </cell>
          <cell r="AE36">
            <v>130</v>
          </cell>
          <cell r="AF36">
            <v>130</v>
          </cell>
          <cell r="AG36">
            <v>130</v>
          </cell>
          <cell r="AH36">
            <v>130</v>
          </cell>
        </row>
        <row r="37">
          <cell r="A37" t="str">
            <v>Shares Outstanding - F.D. (Mil.)</v>
          </cell>
          <cell r="E37">
            <v>133.85599999999999</v>
          </cell>
          <cell r="F37">
            <v>134.88</v>
          </cell>
          <cell r="G37">
            <v>135.13200000000001</v>
          </cell>
          <cell r="H37">
            <v>135.80000000000001</v>
          </cell>
          <cell r="I37">
            <v>135.4</v>
          </cell>
          <cell r="J37">
            <v>137.88800000000001</v>
          </cell>
          <cell r="K37">
            <v>136.4</v>
          </cell>
          <cell r="L37">
            <v>136.667</v>
          </cell>
          <cell r="M37">
            <v>136.69999999999999</v>
          </cell>
          <cell r="N37">
            <v>136.61000000000001</v>
          </cell>
          <cell r="O37">
            <v>136.58000000000001</v>
          </cell>
          <cell r="P37">
            <v>136.6</v>
          </cell>
          <cell r="Q37">
            <v>136.58000000000001</v>
          </cell>
          <cell r="R37">
            <v>133.69999999999999</v>
          </cell>
          <cell r="S37">
            <v>135.858</v>
          </cell>
          <cell r="T37">
            <v>133.667</v>
          </cell>
          <cell r="U37">
            <v>131.50399999999999</v>
          </cell>
          <cell r="V37">
            <v>129.99600000000001</v>
          </cell>
          <cell r="W37">
            <v>129.69999999999999</v>
          </cell>
          <cell r="X37">
            <v>131.21674999999999</v>
          </cell>
          <cell r="Y37">
            <v>128.87899999999999</v>
          </cell>
          <cell r="Z37">
            <v>126.09</v>
          </cell>
          <cell r="AA37">
            <v>126.867</v>
          </cell>
          <cell r="AB37">
            <v>127.548</v>
          </cell>
          <cell r="AC37">
            <v>127.346</v>
          </cell>
          <cell r="AD37">
            <v>127.035</v>
          </cell>
          <cell r="AE37">
            <v>123.70099999999999</v>
          </cell>
          <cell r="AF37">
            <v>120.252</v>
          </cell>
          <cell r="AG37">
            <v>117.018</v>
          </cell>
          <cell r="AH37">
            <v>122.00149999999999</v>
          </cell>
        </row>
        <row r="39">
          <cell r="N39" t="str">
            <v>Annual</v>
          </cell>
          <cell r="O39" t="str">
            <v>12/31/93</v>
          </cell>
          <cell r="P39" t="str">
            <v>3/31/94</v>
          </cell>
          <cell r="Q39" t="str">
            <v>6/30/94</v>
          </cell>
          <cell r="R39" t="str">
            <v>9/30/94</v>
          </cell>
          <cell r="S39" t="str">
            <v>Annual</v>
          </cell>
          <cell r="T39" t="str">
            <v>12/31/94</v>
          </cell>
          <cell r="U39" t="str">
            <v>3/31/95</v>
          </cell>
          <cell r="V39" t="str">
            <v>6/30/95</v>
          </cell>
          <cell r="W39" t="str">
            <v>9/30/95</v>
          </cell>
          <cell r="X39" t="str">
            <v>Annual</v>
          </cell>
          <cell r="Y39" t="str">
            <v>12/31/95</v>
          </cell>
          <cell r="Z39" t="str">
            <v>3/31/96</v>
          </cell>
          <cell r="AA39" t="str">
            <v>6/30/96</v>
          </cell>
          <cell r="AB39" t="str">
            <v>9/30/96</v>
          </cell>
          <cell r="AC39" t="str">
            <v>Annual</v>
          </cell>
          <cell r="AD39" t="str">
            <v>12/31/96</v>
          </cell>
          <cell r="AE39" t="str">
            <v>3/31/97</v>
          </cell>
          <cell r="AF39" t="str">
            <v>6/30/97</v>
          </cell>
          <cell r="AG39" t="str">
            <v>9/30/97</v>
          </cell>
          <cell r="AH39" t="str">
            <v>Annual</v>
          </cell>
        </row>
        <row r="40">
          <cell r="E40" t="str">
            <v>1Q/92</v>
          </cell>
          <cell r="F40" t="str">
            <v>2Q/92</v>
          </cell>
          <cell r="G40" t="str">
            <v>3Q/92</v>
          </cell>
          <cell r="H40" t="str">
            <v>4Q/92</v>
          </cell>
          <cell r="I40">
            <v>1992</v>
          </cell>
          <cell r="J40" t="str">
            <v>1Q/93</v>
          </cell>
          <cell r="K40" t="str">
            <v>2Q/93</v>
          </cell>
          <cell r="L40" t="str">
            <v>3Q/93</v>
          </cell>
          <cell r="M40" t="str">
            <v>4Q/93</v>
          </cell>
          <cell r="N40" t="str">
            <v>1993A</v>
          </cell>
          <cell r="O40" t="str">
            <v>1Q94 A</v>
          </cell>
          <cell r="P40" t="str">
            <v>2Q94 A</v>
          </cell>
          <cell r="Q40" t="str">
            <v>3Q94 A</v>
          </cell>
          <cell r="R40" t="str">
            <v>4Q94 A</v>
          </cell>
          <cell r="S40" t="str">
            <v>1994A</v>
          </cell>
          <cell r="T40" t="str">
            <v>1Q95 A</v>
          </cell>
          <cell r="U40" t="str">
            <v>2Q95 A</v>
          </cell>
          <cell r="V40" t="str">
            <v>3Q95 A</v>
          </cell>
          <cell r="W40" t="str">
            <v>4Q95 A</v>
          </cell>
          <cell r="X40" t="str">
            <v>1995A</v>
          </cell>
          <cell r="Y40" t="str">
            <v>1Q96 A</v>
          </cell>
          <cell r="Z40" t="str">
            <v>2Q96 A</v>
          </cell>
          <cell r="AA40" t="str">
            <v>3Q96 A</v>
          </cell>
          <cell r="AB40" t="str">
            <v>4Q96 A</v>
          </cell>
          <cell r="AC40" t="str">
            <v>1996A</v>
          </cell>
          <cell r="AD40" t="str">
            <v>1Q97 A</v>
          </cell>
          <cell r="AE40" t="str">
            <v>2Q97A</v>
          </cell>
          <cell r="AF40" t="str">
            <v>3Q97A</v>
          </cell>
          <cell r="AG40" t="str">
            <v>4Q97A</v>
          </cell>
          <cell r="AH40" t="str">
            <v>1997A</v>
          </cell>
        </row>
        <row r="41">
          <cell r="A41" t="str">
            <v>% ANALYSIS</v>
          </cell>
        </row>
        <row r="42">
          <cell r="A42" t="str">
            <v>Product Profit-% of Prod. Rev.</v>
          </cell>
          <cell r="E42">
            <v>0.45495247444154474</v>
          </cell>
          <cell r="F42">
            <v>0.48672798948751639</v>
          </cell>
          <cell r="G42">
            <v>0.46815472415979709</v>
          </cell>
          <cell r="H42">
            <v>0.51222651222651228</v>
          </cell>
          <cell r="I42" t="e">
            <v>#REF!</v>
          </cell>
          <cell r="J42">
            <v>0.49507702368841733</v>
          </cell>
          <cell r="K42">
            <v>0.49986567164179108</v>
          </cell>
          <cell r="L42">
            <v>0.49546096210229129</v>
          </cell>
          <cell r="M42">
            <v>0.51226137850986597</v>
          </cell>
          <cell r="N42">
            <v>0.50235834299216076</v>
          </cell>
          <cell r="O42">
            <v>0.4670808000704908</v>
          </cell>
          <cell r="P42">
            <v>0.47480314960629921</v>
          </cell>
          <cell r="Q42">
            <v>0.47565716464348684</v>
          </cell>
          <cell r="R42">
            <v>0.47002271365027293</v>
          </cell>
          <cell r="S42">
            <v>0.47219758848697002</v>
          </cell>
          <cell r="T42">
            <v>0.4195752733389404</v>
          </cell>
          <cell r="U42">
            <v>0.43896448396129095</v>
          </cell>
          <cell r="V42">
            <v>0.44398421279832256</v>
          </cell>
          <cell r="W42">
            <v>0.4574568075890737</v>
          </cell>
          <cell r="X42">
            <v>0.43940550976888937</v>
          </cell>
          <cell r="Y42">
            <v>0.44559951554299559</v>
          </cell>
          <cell r="Z42">
            <v>0.45586472773760534</v>
          </cell>
          <cell r="AA42">
            <v>0.45907309199907775</v>
          </cell>
          <cell r="AB42">
            <v>0.43640159730808981</v>
          </cell>
          <cell r="AC42">
            <v>0.44866812000415246</v>
          </cell>
          <cell r="AD42">
            <v>0.46879759999381443</v>
          </cell>
          <cell r="AE42">
            <v>0.45608462376429149</v>
          </cell>
          <cell r="AF42">
            <v>0.4359177033931313</v>
          </cell>
          <cell r="AG42">
            <v>0.41821885317056162</v>
          </cell>
          <cell r="AH42">
            <v>0.44381967650368981</v>
          </cell>
        </row>
        <row r="43">
          <cell r="A43" t="str">
            <v>Gaming Operation Proft-% of Gmg. Rev.</v>
          </cell>
          <cell r="E43">
            <v>0.56065882352941177</v>
          </cell>
          <cell r="F43">
            <v>0.57412398921832886</v>
          </cell>
          <cell r="G43">
            <v>0.54157303370786525</v>
          </cell>
          <cell r="H43">
            <v>0.592741935483871</v>
          </cell>
          <cell r="I43">
            <v>0.56816104714996341</v>
          </cell>
          <cell r="J43">
            <v>0.60457536627762609</v>
          </cell>
          <cell r="K43">
            <v>0.52648515632394233</v>
          </cell>
          <cell r="L43">
            <v>0.56718550266937362</v>
          </cell>
          <cell r="M43">
            <v>0.5412270924596283</v>
          </cell>
          <cell r="N43">
            <v>0.55955165075953905</v>
          </cell>
          <cell r="O43">
            <v>0.53405964564762853</v>
          </cell>
          <cell r="P43">
            <v>0.56000000000000005</v>
          </cell>
          <cell r="Q43">
            <v>0.56672630572780081</v>
          </cell>
          <cell r="R43">
            <v>0.5708312353597933</v>
          </cell>
          <cell r="S43">
            <v>0.55891672072251875</v>
          </cell>
          <cell r="T43">
            <v>0.57776001421085366</v>
          </cell>
          <cell r="U43">
            <v>0.53080431177446097</v>
          </cell>
          <cell r="V43">
            <v>0.50131822516407687</v>
          </cell>
          <cell r="W43">
            <v>0.4975609756097561</v>
          </cell>
          <cell r="X43">
            <v>0.5240651393116138</v>
          </cell>
          <cell r="Y43">
            <v>0.47015382461543842</v>
          </cell>
          <cell r="Z43">
            <v>0.48632143389106797</v>
          </cell>
          <cell r="AA43">
            <v>0.52847816298964434</v>
          </cell>
          <cell r="AB43">
            <v>0.47151898734177211</v>
          </cell>
          <cell r="AC43">
            <v>0.48882852399901511</v>
          </cell>
          <cell r="AD43">
            <v>0.43733346656008532</v>
          </cell>
          <cell r="AE43">
            <v>0.50320493438955061</v>
          </cell>
          <cell r="AF43">
            <v>0.49461171706616169</v>
          </cell>
          <cell r="AG43">
            <v>0.50159864115501818</v>
          </cell>
          <cell r="AH43">
            <v>0.4864383227435215</v>
          </cell>
        </row>
        <row r="44">
          <cell r="A44" t="str">
            <v>Gaming Systems Profit-% of Gmg. Rev.</v>
          </cell>
        </row>
        <row r="45">
          <cell r="A45" t="str">
            <v>Casino Operations Profit-% of Gmg. Rev.</v>
          </cell>
        </row>
        <row r="46">
          <cell r="A46" t="str">
            <v>SG&amp;A % Total Rev.</v>
          </cell>
          <cell r="E46">
            <v>0.20603731566225797</v>
          </cell>
          <cell r="F46">
            <v>0.20025282767797736</v>
          </cell>
          <cell r="G46">
            <v>0.13893798135387112</v>
          </cell>
          <cell r="H46">
            <v>0.1476826394344069</v>
          </cell>
          <cell r="I46">
            <v>0.1656484727090636</v>
          </cell>
          <cell r="J46">
            <v>0.13660845251191783</v>
          </cell>
          <cell r="K46">
            <v>0.12655906461189295</v>
          </cell>
          <cell r="L46">
            <v>0.11528408100797806</v>
          </cell>
          <cell r="M46">
            <v>0.11182196453785503</v>
          </cell>
          <cell r="N46">
            <v>0.12034576971837174</v>
          </cell>
          <cell r="O46">
            <v>0.11212109077804029</v>
          </cell>
          <cell r="P46">
            <v>0.1398176291793313</v>
          </cell>
          <cell r="Q46">
            <v>0.10002557517503009</v>
          </cell>
          <cell r="R46">
            <v>0.14645021017538773</v>
          </cell>
          <cell r="S46">
            <v>0.12429480726090907</v>
          </cell>
          <cell r="T46">
            <v>0.14041965070988818</v>
          </cell>
          <cell r="U46">
            <v>0.14565572404599234</v>
          </cell>
          <cell r="V46">
            <v>0.13012104128668545</v>
          </cell>
          <cell r="W46">
            <v>0.15376913796748878</v>
          </cell>
          <cell r="X46">
            <v>0.14264174771982613</v>
          </cell>
          <cell r="Y46">
            <v>0.16328581578896834</v>
          </cell>
          <cell r="Z46">
            <v>0.15648377110752615</v>
          </cell>
          <cell r="AA46">
            <v>0.13157372797314823</v>
          </cell>
          <cell r="AB46">
            <v>0.12934963894077176</v>
          </cell>
          <cell r="AC46">
            <v>0.1431136597895977</v>
          </cell>
          <cell r="AD46">
            <v>0.12575707172314013</v>
          </cell>
          <cell r="AE46">
            <v>0.15862895522932879</v>
          </cell>
          <cell r="AF46">
            <v>0.13194465636042943</v>
          </cell>
          <cell r="AG46">
            <v>0.11870104741415488</v>
          </cell>
          <cell r="AH46">
            <v>0.13223552625919396</v>
          </cell>
        </row>
        <row r="47">
          <cell r="A47" t="str">
            <v>Deprec.-% of Total Rev.</v>
          </cell>
          <cell r="E47">
            <v>4.4512642242198745E-2</v>
          </cell>
          <cell r="F47">
            <v>4.4018629407850958E-2</v>
          </cell>
          <cell r="G47">
            <v>3.8824483177948926E-2</v>
          </cell>
          <cell r="H47">
            <v>5.9701492537313425E-2</v>
          </cell>
          <cell r="I47">
            <v>4.7508763144717081E-2</v>
          </cell>
          <cell r="J47">
            <v>5.7629721305463871E-2</v>
          </cell>
          <cell r="K47">
            <v>4.8988317780682286E-2</v>
          </cell>
          <cell r="L47">
            <v>3.9875139218256347E-2</v>
          </cell>
          <cell r="M47">
            <v>3.1669769708480677E-2</v>
          </cell>
          <cell r="N47">
            <v>4.2250515683903547E-2</v>
          </cell>
          <cell r="O47">
            <v>3.0426193622445578E-2</v>
          </cell>
          <cell r="P47">
            <v>2.8571428571428574E-2</v>
          </cell>
          <cell r="Q47">
            <v>2.7290843021706927E-2</v>
          </cell>
          <cell r="R47">
            <v>3.3088853457022754E-2</v>
          </cell>
          <cell r="S47">
            <v>2.9763025586357107E-2</v>
          </cell>
          <cell r="T47">
            <v>3.9320266365121245E-2</v>
          </cell>
          <cell r="U47">
            <v>4.5739043492751208E-2</v>
          </cell>
          <cell r="V47">
            <v>4.7030343226662247E-2</v>
          </cell>
          <cell r="W47">
            <v>4.7771849309105392E-2</v>
          </cell>
          <cell r="X47">
            <v>4.493335867754749E-2</v>
          </cell>
          <cell r="Y47">
            <v>4.3949994559059798E-2</v>
          </cell>
          <cell r="Z47">
            <v>4.058001706665338E-2</v>
          </cell>
          <cell r="AA47">
            <v>3.5319246319322609E-2</v>
          </cell>
          <cell r="AB47">
            <v>1.4701404699905021E-2</v>
          </cell>
          <cell r="AC47">
            <v>3.2176611421060958E-2</v>
          </cell>
          <cell r="AD47">
            <v>1.6332155812885135E-2</v>
          </cell>
          <cell r="AE47">
            <v>1.4686288943913467E-2</v>
          </cell>
          <cell r="AF47">
            <v>1.886493051529152E-2</v>
          </cell>
          <cell r="AG47">
            <v>1.4352798773672841E-2</v>
          </cell>
          <cell r="AH47">
            <v>1.5924072003096909E-2</v>
          </cell>
        </row>
        <row r="48">
          <cell r="A48" t="str">
            <v>R &amp; D % of Total Rev.</v>
          </cell>
          <cell r="E48">
            <v>3.1313652535238046E-2</v>
          </cell>
          <cell r="F48">
            <v>2.95542248835662E-2</v>
          </cell>
          <cell r="G48">
            <v>2.7077421970004054E-2</v>
          </cell>
          <cell r="H48">
            <v>3.0636292223095048E-2</v>
          </cell>
          <cell r="I48">
            <v>2.9461692538808211E-2</v>
          </cell>
          <cell r="J48">
            <v>4.1574990832416572E-2</v>
          </cell>
          <cell r="K48">
            <v>4.3121878071268632E-2</v>
          </cell>
          <cell r="L48">
            <v>3.1139430398448336E-2</v>
          </cell>
          <cell r="M48">
            <v>2.8283497232253312E-2</v>
          </cell>
          <cell r="N48">
            <v>3.456651171742614E-2</v>
          </cell>
          <cell r="O48">
            <v>2.5867937372362152E-2</v>
          </cell>
          <cell r="P48">
            <v>3.2218844984802431E-2</v>
          </cell>
          <cell r="Q48">
            <v>3.2736224038533261E-2</v>
          </cell>
          <cell r="R48">
            <v>4.6743006232787349E-2</v>
          </cell>
          <cell r="S48">
            <v>3.4612824166260166E-2</v>
          </cell>
          <cell r="T48">
            <v>4.4471667294886288E-2</v>
          </cell>
          <cell r="U48">
            <v>4.8105315780703213E-2</v>
          </cell>
          <cell r="V48">
            <v>4.6844636047090028E-2</v>
          </cell>
          <cell r="W48">
            <v>4.4357797594617124E-2</v>
          </cell>
          <cell r="X48">
            <v>4.5896653597213843E-2</v>
          </cell>
          <cell r="Y48">
            <v>4.0346171818490234E-2</v>
          </cell>
          <cell r="Z48">
            <v>3.9670626047201132E-2</v>
          </cell>
          <cell r="AA48">
            <v>3.0604927912121445E-2</v>
          </cell>
          <cell r="AB48">
            <v>3.1870464037228409E-2</v>
          </cell>
          <cell r="AC48">
            <v>3.5043874718454653E-2</v>
          </cell>
          <cell r="AD48">
            <v>3.904826777765457E-2</v>
          </cell>
          <cell r="AE48">
            <v>4.4344805348875416E-2</v>
          </cell>
          <cell r="AF48">
            <v>4.9673785009368379E-2</v>
          </cell>
          <cell r="AG48">
            <v>3.6449659181771191E-2</v>
          </cell>
          <cell r="AH48">
            <v>4.1767925502172142E-2</v>
          </cell>
        </row>
        <row r="49">
          <cell r="A49" t="str">
            <v>Bad Debt % of Product Rev.</v>
          </cell>
          <cell r="E49">
            <v>2.8730816194603392E-2</v>
          </cell>
          <cell r="F49">
            <v>2.0788436268068335E-2</v>
          </cell>
          <cell r="G49">
            <v>1.6474318325935322E-2</v>
          </cell>
          <cell r="H49">
            <v>1.8018018018018018E-2</v>
          </cell>
          <cell r="I49">
            <v>1.9842025325024219E-2</v>
          </cell>
          <cell r="J49">
            <v>1.7457491643656443E-2</v>
          </cell>
          <cell r="K49">
            <v>1.7611940298507461E-2</v>
          </cell>
          <cell r="L49">
            <v>1.4659572157671844E-2</v>
          </cell>
          <cell r="M49">
            <v>2.8893882893339588E-3</v>
          </cell>
          <cell r="N49">
            <v>1.1322430031851783E-2</v>
          </cell>
          <cell r="O49">
            <v>1.3798572561459161E-2</v>
          </cell>
          <cell r="P49">
            <v>2.5196850393700791E-2</v>
          </cell>
          <cell r="Q49">
            <v>8.7894281765510847E-3</v>
          </cell>
          <cell r="R49">
            <v>8.6911259030253325E-3</v>
          </cell>
          <cell r="S49">
            <v>1.3922598210812914E-2</v>
          </cell>
          <cell r="T49">
            <v>1.3018643117465657E-2</v>
          </cell>
          <cell r="U49">
            <v>2.0896988750798248E-2</v>
          </cell>
          <cell r="V49">
            <v>1.8860361378913396E-2</v>
          </cell>
          <cell r="W49">
            <v>4.1666262923808883E-3</v>
          </cell>
          <cell r="X49">
            <v>1.4999999999999999E-2</v>
          </cell>
          <cell r="Y49">
            <v>1.6794509487283005E-2</v>
          </cell>
          <cell r="Z49">
            <v>4.4634653030242506E-2</v>
          </cell>
          <cell r="AA49">
            <v>3.3180361034459677E-2</v>
          </cell>
          <cell r="AB49">
            <v>6.9392360759194319E-3</v>
          </cell>
          <cell r="AC49">
            <v>1.4999999999999999E-2</v>
          </cell>
          <cell r="AD49">
            <v>2.1757788035536175E-2</v>
          </cell>
          <cell r="AE49">
            <v>2.3253209533408672E-2</v>
          </cell>
          <cell r="AF49">
            <v>1.3402983022888171E-2</v>
          </cell>
          <cell r="AG49">
            <v>2.2139590837941474E-2</v>
          </cell>
          <cell r="AH49">
            <v>1.4999999999999999E-2</v>
          </cell>
        </row>
        <row r="50">
          <cell r="A50" t="str">
            <v>Net Int.Exp-% Op.Inc.+Net Int.</v>
          </cell>
          <cell r="E50">
            <v>0.1149350264047944</v>
          </cell>
          <cell r="F50">
            <v>8.1501740427647934E-2</v>
          </cell>
          <cell r="G50">
            <v>4.8545298814687943E-2</v>
          </cell>
          <cell r="H50">
            <v>2.343750000000001E-2</v>
          </cell>
          <cell r="I50">
            <v>5.5873283373373044E-2</v>
          </cell>
          <cell r="J50">
            <v>8.685250299053901E-2</v>
          </cell>
          <cell r="K50">
            <v>9.7946963216424279E-2</v>
          </cell>
          <cell r="L50">
            <v>7.910428272980502E-2</v>
          </cell>
          <cell r="M50">
            <v>7.6748304320224531E-2</v>
          </cell>
          <cell r="N50">
            <v>8.2643820643246643E-2</v>
          </cell>
          <cell r="O50">
            <v>7.8421073896004223E-2</v>
          </cell>
          <cell r="P50">
            <v>8.5192697768762662E-2</v>
          </cell>
          <cell r="Q50">
            <v>6.701771906729008E-2</v>
          </cell>
          <cell r="R50">
            <v>0.10290351810266708</v>
          </cell>
          <cell r="S50">
            <v>8.2231351311250422E-2</v>
          </cell>
          <cell r="T50">
            <v>9.5484315753188526E-2</v>
          </cell>
          <cell r="U50">
            <v>0.11716203259827418</v>
          </cell>
          <cell r="V50">
            <v>0.13491764114170746</v>
          </cell>
          <cell r="W50">
            <v>9.3090817228748318E-2</v>
          </cell>
          <cell r="X50">
            <v>0.10995788303114348</v>
          </cell>
          <cell r="Y50">
            <v>0.1282080432002273</v>
          </cell>
          <cell r="Z50">
            <v>0.11466492602262837</v>
          </cell>
          <cell r="AA50">
            <v>5.5693638957930607E-2</v>
          </cell>
          <cell r="AB50">
            <v>6.2030584745897843E-2</v>
          </cell>
          <cell r="AC50">
            <v>8.2771101550965953E-2</v>
          </cell>
          <cell r="AD50">
            <v>6.283067537798194E-2</v>
          </cell>
          <cell r="AE50">
            <v>7.5489131690189698E-2</v>
          </cell>
          <cell r="AF50">
            <v>4.0598094889173833E-2</v>
          </cell>
          <cell r="AG50">
            <v>4.6891204109960595E-2</v>
          </cell>
          <cell r="AH50">
            <v>5.5817233947058224E-2</v>
          </cell>
        </row>
        <row r="51">
          <cell r="A51" t="str">
            <v>Operating Income</v>
          </cell>
          <cell r="E51">
            <v>0.20254745933027349</v>
          </cell>
          <cell r="F51">
            <v>0.24578842315369259</v>
          </cell>
          <cell r="G51">
            <v>0.27917308471828134</v>
          </cell>
          <cell r="H51">
            <v>0.29457973291437545</v>
          </cell>
          <cell r="I51">
            <v>0.26370305458187282</v>
          </cell>
          <cell r="J51">
            <v>0.28867574257425743</v>
          </cell>
          <cell r="K51">
            <v>0.27778959846803852</v>
          </cell>
          <cell r="L51">
            <v>0.32061490904407247</v>
          </cell>
          <cell r="M51">
            <v>0.34527483787127167</v>
          </cell>
          <cell r="N51">
            <v>0.31428266590795928</v>
          </cell>
          <cell r="O51">
            <v>0.30446215245798791</v>
          </cell>
          <cell r="P51">
            <v>0.27416413373860177</v>
          </cell>
          <cell r="Q51">
            <v>0.32852377958461659</v>
          </cell>
          <cell r="R51">
            <v>0.26404986229888405</v>
          </cell>
          <cell r="S51">
            <v>0.29347434469895223</v>
          </cell>
          <cell r="T51">
            <v>0.23078276165347408</v>
          </cell>
          <cell r="U51">
            <v>0.21481753041159812</v>
          </cell>
          <cell r="V51">
            <v>0.22815453490300128</v>
          </cell>
          <cell r="W51">
            <v>0.22325037622974256</v>
          </cell>
          <cell r="X51">
            <v>0.22433495600738426</v>
          </cell>
          <cell r="Y51">
            <v>0.19634752885298593</v>
          </cell>
          <cell r="Z51">
            <v>0.20275682510417506</v>
          </cell>
          <cell r="AA51">
            <v>0.26083860960663158</v>
          </cell>
          <cell r="AB51">
            <v>0.26731107445227609</v>
          </cell>
          <cell r="AC51">
            <v>0.23633039380900184</v>
          </cell>
          <cell r="AD51">
            <v>0.26282467618187677</v>
          </cell>
          <cell r="AE51">
            <v>0.24349185683605973</v>
          </cell>
          <cell r="AF51">
            <v>0.25571715420905838</v>
          </cell>
          <cell r="AG51">
            <v>0.26389888985585352</v>
          </cell>
          <cell r="AH51">
            <v>0.2573148307454084</v>
          </cell>
        </row>
        <row r="52">
          <cell r="A52" t="str">
            <v>Pretax Income</v>
          </cell>
          <cell r="E52">
            <v>0.23686211672686786</v>
          </cell>
          <cell r="F52">
            <v>0.2456420492348636</v>
          </cell>
          <cell r="G52">
            <v>0.26747466558573163</v>
          </cell>
          <cell r="H52">
            <v>0.30007855459544375</v>
          </cell>
          <cell r="I52">
            <v>0.26814221331998001</v>
          </cell>
          <cell r="J52">
            <v>0.39888155482214893</v>
          </cell>
          <cell r="K52">
            <v>0.31375827026150743</v>
          </cell>
          <cell r="L52">
            <v>0.36973338283315776</v>
          </cell>
          <cell r="M52">
            <v>0.37645728423446495</v>
          </cell>
          <cell r="N52">
            <v>0.36429459044447143</v>
          </cell>
          <cell r="O52">
            <v>0.32836797074173435</v>
          </cell>
          <cell r="P52">
            <v>0.30820668693009118</v>
          </cell>
          <cell r="Q52">
            <v>0.34395946334757738</v>
          </cell>
          <cell r="R52">
            <v>0.29059863748369341</v>
          </cell>
          <cell r="S52">
            <v>0.31814737990780789</v>
          </cell>
          <cell r="T52">
            <v>0.2515391380826737</v>
          </cell>
          <cell r="U52">
            <v>0.24019330111648066</v>
          </cell>
          <cell r="V52">
            <v>0.26259658431437582</v>
          </cell>
          <cell r="W52">
            <v>0.18048455903386676</v>
          </cell>
          <cell r="X52">
            <v>0.23307709903251697</v>
          </cell>
          <cell r="Y52">
            <v>0.27661099838052028</v>
          </cell>
          <cell r="Z52">
            <v>0.22782736519523872</v>
          </cell>
          <cell r="AA52">
            <v>0.27591222315457575</v>
          </cell>
          <cell r="AB52">
            <v>0.25749953419042293</v>
          </cell>
          <cell r="AC52">
            <v>0.24904697239901186</v>
          </cell>
          <cell r="AD52">
            <v>0.27777865783790345</v>
          </cell>
          <cell r="AE52">
            <v>0.26345279885137873</v>
          </cell>
          <cell r="AF52">
            <v>0.3236882739595604</v>
          </cell>
          <cell r="AG52">
            <v>0.281299836106853</v>
          </cell>
          <cell r="AH52">
            <v>0.28579589444707298</v>
          </cell>
        </row>
        <row r="53">
          <cell r="A53" t="str">
            <v>Net Income</v>
          </cell>
          <cell r="E53">
            <v>0.14357296108199127</v>
          </cell>
          <cell r="F53">
            <v>0.14620093147039254</v>
          </cell>
          <cell r="G53">
            <v>0.16192136197811108</v>
          </cell>
          <cell r="H53">
            <v>0.1842482325216025</v>
          </cell>
          <cell r="I53">
            <v>0.1627135703555333</v>
          </cell>
          <cell r="J53">
            <v>0.24257425742574262</v>
          </cell>
          <cell r="K53">
            <v>0.1906542245458322</v>
          </cell>
          <cell r="L53">
            <v>0.2247978967625599</v>
          </cell>
          <cell r="M53">
            <v>0.22399208411950661</v>
          </cell>
          <cell r="N53">
            <v>0.22081103584473838</v>
          </cell>
          <cell r="O53">
            <v>0.20289913106154642</v>
          </cell>
          <cell r="P53">
            <v>0.19027355623100303</v>
          </cell>
          <cell r="Q53">
            <v>0.2123538751718333</v>
          </cell>
          <cell r="R53">
            <v>0.22414842730830567</v>
          </cell>
          <cell r="S53">
            <v>0.20789489681390033</v>
          </cell>
          <cell r="T53">
            <v>0.16098756125141347</v>
          </cell>
          <cell r="U53">
            <v>0.15372104649225135</v>
          </cell>
          <cell r="V53">
            <v>0.16817774830044779</v>
          </cell>
          <cell r="W53">
            <v>0.11523201870576953</v>
          </cell>
          <cell r="X53">
            <v>0.14912546352527278</v>
          </cell>
          <cell r="Y53">
            <v>0.1770737983523554</v>
          </cell>
          <cell r="Z53">
            <v>0.14580951372495279</v>
          </cell>
          <cell r="AA53">
            <v>0.17657588933811375</v>
          </cell>
          <cell r="AB53">
            <v>0.16479661163296933</v>
          </cell>
          <cell r="AC53">
            <v>0.1664134530957718</v>
          </cell>
          <cell r="AD53">
            <v>0.17777918587397887</v>
          </cell>
          <cell r="AE53">
            <v>0.16860638433786965</v>
          </cell>
          <cell r="AF53">
            <v>0.21038883362120006</v>
          </cell>
          <cell r="AG53">
            <v>0.18284467258920248</v>
          </cell>
          <cell r="AH53">
            <v>0.18447567637317733</v>
          </cell>
        </row>
        <row r="54">
          <cell r="A54" t="str">
            <v>Tax Rate</v>
          </cell>
          <cell r="E54">
            <v>0.39385426818781172</v>
          </cell>
          <cell r="F54">
            <v>0.40482123510292523</v>
          </cell>
          <cell r="G54">
            <v>0.40081229351680664</v>
          </cell>
          <cell r="H54">
            <v>0.38600000000000001</v>
          </cell>
          <cell r="I54">
            <v>0.39500000000000002</v>
          </cell>
          <cell r="J54">
            <v>0.3918639393242932</v>
          </cell>
          <cell r="K54">
            <v>0.39400000000000002</v>
          </cell>
          <cell r="L54">
            <v>0.39200000000000002</v>
          </cell>
          <cell r="M54">
            <v>0.40500000000000003</v>
          </cell>
          <cell r="N54">
            <v>0.3938668274614523</v>
          </cell>
          <cell r="O54">
            <v>0.38209828868745183</v>
          </cell>
          <cell r="P54">
            <v>0.38264299802761342</v>
          </cell>
          <cell r="Q54">
            <v>0.3826194717682595</v>
          </cell>
          <cell r="R54">
            <v>0.22866662676323288</v>
          </cell>
          <cell r="S54">
            <v>0.34654531219416712</v>
          </cell>
          <cell r="T54">
            <v>0.35999000999000996</v>
          </cell>
          <cell r="U54">
            <v>0.36001110031913408</v>
          </cell>
          <cell r="V54">
            <v>0.35955850781703824</v>
          </cell>
          <cell r="W54">
            <v>0.36154084691451638</v>
          </cell>
          <cell r="X54">
            <v>0.36</v>
          </cell>
          <cell r="Y54">
            <v>0.35984541688843619</v>
          </cell>
          <cell r="Z54">
            <v>0.36</v>
          </cell>
          <cell r="AA54">
            <v>0.36002875364028464</v>
          </cell>
          <cell r="AB54">
            <v>0.3600120009883167</v>
          </cell>
          <cell r="AC54">
            <v>0.36</v>
          </cell>
          <cell r="AD54">
            <v>0.3599969585218416</v>
          </cell>
          <cell r="AE54">
            <v>0.36001293183077804</v>
          </cell>
          <cell r="AF54">
            <v>0.35002639716419032</v>
          </cell>
          <cell r="AG54">
            <v>0.3500007852128712</v>
          </cell>
          <cell r="AH54">
            <v>0.35451950165316076</v>
          </cell>
        </row>
        <row r="55">
          <cell r="A55" t="str">
            <v>% CHANGE</v>
          </cell>
        </row>
        <row r="56">
          <cell r="A56" t="str">
            <v>Product Rev.</v>
          </cell>
          <cell r="O56">
            <v>1.0616552826624037</v>
          </cell>
          <cell r="P56">
            <v>0.89552238805970141</v>
          </cell>
          <cell r="Q56">
            <v>0.59497230969703541</v>
          </cell>
          <cell r="R56">
            <v>4.3768881864355125E-2</v>
          </cell>
          <cell r="S56">
            <v>0.53210355852057556</v>
          </cell>
          <cell r="T56">
            <v>5.7626222574678199E-3</v>
          </cell>
          <cell r="U56">
            <v>-0.19854330708661416</v>
          </cell>
          <cell r="V56">
            <v>-0.33759982570924763</v>
          </cell>
          <cell r="W56">
            <v>-0.18608631187103708</v>
          </cell>
          <cell r="X56">
            <v>-0.19015169194865822</v>
          </cell>
          <cell r="Y56">
            <v>-0.13197364732268013</v>
          </cell>
          <cell r="Z56">
            <v>-1.6318711008498354E-2</v>
          </cell>
          <cell r="AA56">
            <v>0.38186321869796713</v>
          </cell>
          <cell r="AB56">
            <v>0.43408494103739304</v>
          </cell>
          <cell r="AC56">
            <v>0.15663362342228115</v>
          </cell>
          <cell r="AD56">
            <v>0.30533911990310858</v>
          </cell>
          <cell r="AE56">
            <v>-1.8986456793575912E-2</v>
          </cell>
          <cell r="AF56">
            <v>-0.35071812684552284</v>
          </cell>
          <cell r="AG56">
            <v>-1.1486564098405982E-2</v>
          </cell>
          <cell r="AH56">
            <v>-4.2564102564102479E-2</v>
          </cell>
        </row>
        <row r="57">
          <cell r="A57" t="str">
            <v>Lease/Progressive Rev.</v>
          </cell>
          <cell r="O57">
            <v>0.12825925006208094</v>
          </cell>
          <cell r="P57">
            <v>0.18307726283244463</v>
          </cell>
          <cell r="Q57">
            <v>2.2658345238990574E-2</v>
          </cell>
          <cell r="R57">
            <v>0.18403794810648288</v>
          </cell>
          <cell r="S57">
            <v>0.1259858556489617</v>
          </cell>
          <cell r="T57">
            <v>0.23902277979531195</v>
          </cell>
          <cell r="U57">
            <v>0.28639999999999999</v>
          </cell>
          <cell r="V57">
            <v>0.31077669664959195</v>
          </cell>
          <cell r="W57">
            <v>0.26108277326561424</v>
          </cell>
          <cell r="X57">
            <v>0.27464946858939165</v>
          </cell>
          <cell r="Y57">
            <v>0.26882938093969266</v>
          </cell>
          <cell r="Z57">
            <v>0.2525497512437811</v>
          </cell>
          <cell r="AA57">
            <v>0.16280548232082426</v>
          </cell>
          <cell r="AB57">
            <v>0.25072476347539285</v>
          </cell>
          <cell r="AC57">
            <v>0.23213709006566785</v>
          </cell>
          <cell r="AD57">
            <v>5.0837372906567646E-2</v>
          </cell>
          <cell r="AE57">
            <v>9.4748688413352378E-2</v>
          </cell>
          <cell r="AF57">
            <v>0.2310252781887181</v>
          </cell>
          <cell r="AG57">
            <v>0.11131467910282034</v>
          </cell>
          <cell r="AH57">
            <v>0.12318011771153525</v>
          </cell>
        </row>
        <row r="58">
          <cell r="A58" t="str">
            <v>Operating Income</v>
          </cell>
          <cell r="O58">
            <v>0.81096423325790901</v>
          </cell>
          <cell r="P58">
            <v>0.64496480285953939</v>
          </cell>
          <cell r="Q58">
            <v>0.457050358012147</v>
          </cell>
          <cell r="R58">
            <v>-0.1759192240880133</v>
          </cell>
          <cell r="S58">
            <v>0.317568512071571</v>
          </cell>
          <cell r="T58">
            <v>-0.19473914949583493</v>
          </cell>
          <cell r="U58">
            <v>-0.28541019955654079</v>
          </cell>
          <cell r="V58">
            <v>-0.44208375231113539</v>
          </cell>
          <cell r="W58">
            <v>-0.21171665715164123</v>
          </cell>
          <cell r="X58">
            <v>-0.2964225991098175</v>
          </cell>
          <cell r="Y58">
            <v>-0.1650152439024386</v>
          </cell>
          <cell r="Z58">
            <v>1.0053369740597784E-2</v>
          </cell>
          <cell r="AA58">
            <v>0.49098837209302237</v>
          </cell>
          <cell r="AB58">
            <v>0.6384679665738171</v>
          </cell>
          <cell r="AC58">
            <v>0.24466480928308787</v>
          </cell>
          <cell r="AD58">
            <v>0.6226771858903295</v>
          </cell>
          <cell r="AE58">
            <v>0.22950970754485067</v>
          </cell>
          <cell r="AF58">
            <v>-0.18309612010138421</v>
          </cell>
          <cell r="AG58">
            <v>1.5589670355825369E-2</v>
          </cell>
          <cell r="AH58">
            <v>0.10440356069390822</v>
          </cell>
        </row>
        <row r="59">
          <cell r="A59" t="str">
            <v>Pretax Income</v>
          </cell>
          <cell r="O59">
            <v>0.41352562629280576</v>
          </cell>
          <cell r="P59">
            <v>0.637226725223625</v>
          </cell>
          <cell r="Q59">
            <v>0.32284836065573841</v>
          </cell>
          <cell r="R59">
            <v>-0.16818521284540644</v>
          </cell>
          <cell r="S59">
            <v>0.23225083986562156</v>
          </cell>
          <cell r="T59">
            <v>-0.18621194260395901</v>
          </cell>
          <cell r="U59">
            <v>-0.28925049309664663</v>
          </cell>
          <cell r="V59">
            <v>-0.38667802648904026</v>
          </cell>
          <cell r="W59">
            <v>-0.42094132200075896</v>
          </cell>
          <cell r="X59">
            <v>-0.32569508523706969</v>
          </cell>
          <cell r="Y59">
            <v>7.9245754245754751E-2</v>
          </cell>
          <cell r="Z59">
            <v>1.5040932426806819E-2</v>
          </cell>
          <cell r="AA59">
            <v>0.37029272851261519</v>
          </cell>
          <cell r="AB59">
            <v>0.95231368225200863</v>
          </cell>
          <cell r="AC59">
            <v>0.26244203163983881</v>
          </cell>
          <cell r="AD59">
            <v>0.21736514474810753</v>
          </cell>
          <cell r="AE59">
            <v>0.18391338819476655</v>
          </cell>
          <cell r="AF59">
            <v>-2.2449957606812232E-2</v>
          </cell>
          <cell r="AG59">
            <v>0.12380431329638908</v>
          </cell>
          <cell r="AH59">
            <v>0.16401151841632666</v>
          </cell>
        </row>
        <row r="60">
          <cell r="A60" t="str">
            <v>Net Income</v>
          </cell>
          <cell r="O60">
            <v>0.43622448979591755</v>
          </cell>
          <cell r="P60">
            <v>0.66338948822872923</v>
          </cell>
          <cell r="Q60">
            <v>0.34325792709232195</v>
          </cell>
          <cell r="R60">
            <v>7.8330261654077749E-2</v>
          </cell>
          <cell r="S60">
            <v>0.32845408293778267</v>
          </cell>
          <cell r="T60">
            <v>-0.15709492796526525</v>
          </cell>
          <cell r="U60">
            <v>-0.26319488817891334</v>
          </cell>
          <cell r="V60">
            <v>-0.36376866139756603</v>
          </cell>
          <cell r="W60">
            <v>-0.52069322296947851</v>
          </cell>
          <cell r="X60">
            <v>-0.3397733513054767</v>
          </cell>
          <cell r="Y60">
            <v>7.9489580894405165E-2</v>
          </cell>
          <cell r="Z60">
            <v>1.5058537854478526E-2</v>
          </cell>
          <cell r="AA60">
            <v>0.36928658753006949</v>
          </cell>
          <cell r="AB60">
            <v>0.95698866702644647</v>
          </cell>
          <cell r="AC60">
            <v>0.35924539617507056</v>
          </cell>
          <cell r="AD60">
            <v>0.21707696200701165</v>
          </cell>
          <cell r="AE60">
            <v>0.18388946605790402</v>
          </cell>
          <cell r="AF60">
            <v>-7.1714524351254028E-3</v>
          </cell>
          <cell r="AG60">
            <v>0.14138377961007098</v>
          </cell>
          <cell r="AH60">
            <v>0.1786029859976388</v>
          </cell>
        </row>
        <row r="61">
          <cell r="A61" t="str">
            <v>EPS - F.D.</v>
          </cell>
          <cell r="O61">
            <v>0.39121760140576911</v>
          </cell>
          <cell r="P61">
            <v>0.52757442654953657</v>
          </cell>
          <cell r="Q61">
            <v>0.30434782608695632</v>
          </cell>
          <cell r="R61">
            <v>7.0943793456883064E-2</v>
          </cell>
          <cell r="S61">
            <v>0.3125</v>
          </cell>
          <cell r="T61">
            <v>-0.13872552882533384</v>
          </cell>
          <cell r="U61">
            <v>-0.23464245745558743</v>
          </cell>
          <cell r="V61">
            <v>-0.34980050668225648</v>
          </cell>
          <cell r="W61">
            <v>-0.50591120979968596</v>
          </cell>
          <cell r="X61">
            <v>-0.32855778163299365</v>
          </cell>
          <cell r="Y61">
            <v>0.11959383459999251</v>
          </cell>
          <cell r="Z61">
            <v>5.8642699357723371E-2</v>
          </cell>
          <cell r="AA61">
            <v>0.40305815722417115</v>
          </cell>
          <cell r="AB61">
            <v>0.99000713545747487</v>
          </cell>
          <cell r="AC61">
            <v>0.35924539617507056</v>
          </cell>
          <cell r="AD61">
            <v>0.23474366738695385</v>
          </cell>
          <cell r="AE61">
            <v>0.20675356525202782</v>
          </cell>
          <cell r="AF61">
            <v>4.7443529786722394E-2</v>
          </cell>
          <cell r="AG61">
            <v>0.24409251843054336</v>
          </cell>
          <cell r="AH61">
            <v>0.1786029859976388</v>
          </cell>
        </row>
        <row r="62">
          <cell r="A62" t="str">
            <v>Shares Outstanding - F.D.</v>
          </cell>
          <cell r="O62">
            <v>-9.4859596194012408E-3</v>
          </cell>
          <cell r="P62">
            <v>1.4662756598240456E-3</v>
          </cell>
          <cell r="Q62">
            <v>-6.3658381321007873E-4</v>
          </cell>
          <cell r="R62">
            <v>-2.1945866861741048E-2</v>
          </cell>
          <cell r="S62">
            <v>-5.5047214698777935E-3</v>
          </cell>
          <cell r="T62">
            <v>-2.1328159320544771E-2</v>
          </cell>
          <cell r="U62">
            <v>-3.7306002928257698E-2</v>
          </cell>
          <cell r="V62">
            <v>-4.8206179528481496E-2</v>
          </cell>
          <cell r="W62">
            <v>-2.9917726252804755E-2</v>
          </cell>
          <cell r="X62">
            <v>-3.4162507912673612E-2</v>
          </cell>
          <cell r="Y62">
            <v>-3.5820359550225667E-2</v>
          </cell>
          <cell r="Z62">
            <v>-4.1169850346757464E-2</v>
          </cell>
          <cell r="AA62">
            <v>-2.4069971383734901E-2</v>
          </cell>
          <cell r="AB62">
            <v>-1.6592135697763966E-2</v>
          </cell>
          <cell r="AC62">
            <v>-2.9498901626507146E-2</v>
          </cell>
          <cell r="AD62">
            <v>-1.430799432025387E-2</v>
          </cell>
          <cell r="AE62">
            <v>-1.8946784043143872E-2</v>
          </cell>
          <cell r="AF62">
            <v>-5.2141218756650787E-2</v>
          </cell>
          <cell r="AG62">
            <v>-8.2557154953429301E-2</v>
          </cell>
          <cell r="AH62">
            <v>-4.1968338228134505E-2</v>
          </cell>
        </row>
        <row r="64">
          <cell r="N64" t="str">
            <v>Annual</v>
          </cell>
          <cell r="O64" t="str">
            <v>12/31/93</v>
          </cell>
          <cell r="P64" t="str">
            <v>3/31/94</v>
          </cell>
          <cell r="Q64" t="str">
            <v>6/30/94</v>
          </cell>
          <cell r="R64" t="str">
            <v>9/30/94</v>
          </cell>
          <cell r="S64" t="str">
            <v>Annual</v>
          </cell>
          <cell r="T64" t="str">
            <v>12/31/94</v>
          </cell>
          <cell r="U64" t="str">
            <v>3/31/95</v>
          </cell>
          <cell r="V64" t="str">
            <v>6/30/95</v>
          </cell>
          <cell r="W64" t="str">
            <v>9/30/95</v>
          </cell>
          <cell r="X64" t="str">
            <v>Annual</v>
          </cell>
          <cell r="Y64" t="str">
            <v>12/31/95</v>
          </cell>
          <cell r="Z64" t="str">
            <v>3/31/96</v>
          </cell>
          <cell r="AA64" t="str">
            <v>6/30/96</v>
          </cell>
          <cell r="AB64" t="str">
            <v>9/30/96</v>
          </cell>
          <cell r="AC64" t="str">
            <v>Annual</v>
          </cell>
          <cell r="AD64" t="str">
            <v>12/31/96</v>
          </cell>
          <cell r="AE64" t="str">
            <v>3/31/97</v>
          </cell>
          <cell r="AF64" t="str">
            <v>6/30/97</v>
          </cell>
          <cell r="AG64" t="str">
            <v>9/30/97</v>
          </cell>
          <cell r="AH64" t="str">
            <v>Annual</v>
          </cell>
        </row>
        <row r="65">
          <cell r="E65" t="str">
            <v>1Q/92</v>
          </cell>
          <cell r="F65" t="str">
            <v>2Q/92</v>
          </cell>
          <cell r="G65" t="str">
            <v>3Q/92</v>
          </cell>
          <cell r="H65" t="str">
            <v>4Q/92</v>
          </cell>
          <cell r="I65">
            <v>1992</v>
          </cell>
          <cell r="J65" t="str">
            <v>1Q/93</v>
          </cell>
          <cell r="K65" t="str">
            <v>2Q/93</v>
          </cell>
          <cell r="L65" t="str">
            <v>3Q/93</v>
          </cell>
          <cell r="M65" t="str">
            <v>4Q/93</v>
          </cell>
          <cell r="N65" t="str">
            <v>1993A</v>
          </cell>
          <cell r="O65" t="str">
            <v>1Q94 A</v>
          </cell>
          <cell r="P65" t="str">
            <v>2Q94 A</v>
          </cell>
          <cell r="Q65" t="str">
            <v>3Q94 A</v>
          </cell>
          <cell r="R65" t="str">
            <v>4Q94 A</v>
          </cell>
          <cell r="S65" t="str">
            <v>1994A</v>
          </cell>
          <cell r="T65" t="str">
            <v>1Q95 A</v>
          </cell>
          <cell r="U65" t="str">
            <v>2Q95 A</v>
          </cell>
          <cell r="V65" t="str">
            <v>3Q95 A</v>
          </cell>
          <cell r="W65" t="str">
            <v>4Q95 A</v>
          </cell>
          <cell r="X65" t="str">
            <v>1995A</v>
          </cell>
          <cell r="Y65" t="str">
            <v>1Q96 A</v>
          </cell>
          <cell r="Z65" t="str">
            <v>2Q96 A</v>
          </cell>
          <cell r="AA65" t="str">
            <v>3Q96 A</v>
          </cell>
          <cell r="AB65" t="str">
            <v>4Q96 A</v>
          </cell>
          <cell r="AC65" t="str">
            <v>1996A</v>
          </cell>
          <cell r="AD65" t="str">
            <v>1Q97A</v>
          </cell>
          <cell r="AE65" t="str">
            <v>2Q97A</v>
          </cell>
          <cell r="AF65" t="str">
            <v>3Q97A</v>
          </cell>
          <cell r="AG65" t="str">
            <v>4Q97A</v>
          </cell>
          <cell r="AH65" t="str">
            <v>1997A</v>
          </cell>
        </row>
        <row r="66">
          <cell r="A66" t="str">
            <v>CASH FLOW ANALYSIS</v>
          </cell>
        </row>
        <row r="67">
          <cell r="A67" t="str">
            <v>Pretax Income</v>
          </cell>
          <cell r="N67">
            <v>174.13500000000002</v>
          </cell>
          <cell r="O67">
            <v>49.201999999999991</v>
          </cell>
          <cell r="P67">
            <v>50.699999999999996</v>
          </cell>
          <cell r="Q67">
            <v>64.555000000000021</v>
          </cell>
          <cell r="R67">
            <v>50.121000000000024</v>
          </cell>
          <cell r="S67">
            <v>214.57800000000003</v>
          </cell>
          <cell r="T67">
            <v>40.04</v>
          </cell>
          <cell r="U67">
            <v>36.035000000000011</v>
          </cell>
          <cell r="V67">
            <v>39.593000000000018</v>
          </cell>
          <cell r="W67">
            <v>29.022999999999975</v>
          </cell>
          <cell r="X67">
            <v>144.69100000000009</v>
          </cell>
          <cell r="Y67">
            <v>43.213000000000022</v>
          </cell>
          <cell r="Z67">
            <v>36.576999999999991</v>
          </cell>
          <cell r="AA67">
            <v>54.253999999999998</v>
          </cell>
          <cell r="AB67">
            <v>56.661999999999999</v>
          </cell>
          <cell r="AC67">
            <v>182.66400000000004</v>
          </cell>
          <cell r="AD67">
            <v>52.605999999999995</v>
          </cell>
          <cell r="AE67">
            <v>43.303999999999967</v>
          </cell>
          <cell r="AF67">
            <v>53.036000000000008</v>
          </cell>
          <cell r="AG67">
            <v>63.677</v>
          </cell>
          <cell r="AH67">
            <v>212.62299999999996</v>
          </cell>
        </row>
        <row r="68">
          <cell r="A68" t="str">
            <v>Depreciation</v>
          </cell>
          <cell r="N68">
            <v>20.196000000000002</v>
          </cell>
          <cell r="O68">
            <v>4.5590000000000002</v>
          </cell>
          <cell r="P68">
            <v>4.7</v>
          </cell>
          <cell r="Q68">
            <v>5.1219999999999999</v>
          </cell>
          <cell r="R68">
            <v>5.7069999999999999</v>
          </cell>
          <cell r="S68">
            <v>20.074000000000002</v>
          </cell>
          <cell r="T68">
            <v>6.2590000000000003</v>
          </cell>
          <cell r="U68">
            <v>6.8620000000000001</v>
          </cell>
          <cell r="V68">
            <v>7.0910000000000002</v>
          </cell>
          <cell r="W68">
            <v>7.6820000000000004</v>
          </cell>
          <cell r="X68">
            <v>27.893999999999998</v>
          </cell>
          <cell r="Y68">
            <v>6.8659999999999997</v>
          </cell>
          <cell r="Z68">
            <v>6.5180000000000007</v>
          </cell>
          <cell r="AA68">
            <v>6.9450000000000003</v>
          </cell>
          <cell r="AB68">
            <v>10.172999999999998</v>
          </cell>
          <cell r="AC68">
            <v>30.501999999999999</v>
          </cell>
          <cell r="AD68">
            <v>8.2240000000000002</v>
          </cell>
          <cell r="AE68">
            <v>8.6769999999999996</v>
          </cell>
          <cell r="AF68">
            <v>9.2740000000000009</v>
          </cell>
          <cell r="AG68">
            <v>8.8490000000000002</v>
          </cell>
          <cell r="AH68">
            <v>35.024000000000001</v>
          </cell>
        </row>
        <row r="69">
          <cell r="A69" t="str">
            <v>Net Interest Expense</v>
          </cell>
          <cell r="N69">
            <v>-13.534000000000001</v>
          </cell>
          <cell r="O69">
            <v>-3.8820000000000001</v>
          </cell>
          <cell r="P69">
            <v>-4.1999999999999993</v>
          </cell>
          <cell r="Q69">
            <v>-4.4290000000000003</v>
          </cell>
          <cell r="R69">
            <v>-5.2240000000000002</v>
          </cell>
          <cell r="S69">
            <v>-17.734999999999999</v>
          </cell>
          <cell r="T69">
            <v>-3.8779999999999992</v>
          </cell>
          <cell r="U69">
            <v>-4.2770000000000001</v>
          </cell>
          <cell r="V69">
            <v>-5.3649999999999993</v>
          </cell>
          <cell r="W69">
            <v>-3.6850000000000005</v>
          </cell>
          <cell r="X69">
            <v>-17.204999999999998</v>
          </cell>
          <cell r="Y69">
            <v>-4.5110000000000001</v>
          </cell>
          <cell r="Z69">
            <v>-4.2159999999999993</v>
          </cell>
          <cell r="AA69">
            <v>-3.0250000000000012</v>
          </cell>
          <cell r="AB69">
            <v>-3.8899999999999997</v>
          </cell>
          <cell r="AC69">
            <v>-15.641999999999999</v>
          </cell>
          <cell r="AD69">
            <v>-3.3369999999999989</v>
          </cell>
          <cell r="AE69">
            <v>-3.2679999999999998</v>
          </cell>
          <cell r="AF69">
            <v>-1.7729999999999997</v>
          </cell>
          <cell r="AG69">
            <v>-2.9390000000000001</v>
          </cell>
          <cell r="AH69">
            <v>-11.317</v>
          </cell>
        </row>
        <row r="70">
          <cell r="A70" t="str">
            <v>EBITDA</v>
          </cell>
          <cell r="N70">
            <v>180.79700000000003</v>
          </cell>
          <cell r="O70">
            <v>49.878999999999991</v>
          </cell>
          <cell r="P70">
            <v>51.2</v>
          </cell>
          <cell r="Q70">
            <v>65.248000000000019</v>
          </cell>
          <cell r="R70">
            <v>50.604000000000028</v>
          </cell>
          <cell r="S70">
            <v>216.91700000000003</v>
          </cell>
          <cell r="T70">
            <v>42.420999999999999</v>
          </cell>
          <cell r="U70">
            <v>38.620000000000012</v>
          </cell>
          <cell r="V70">
            <v>41.319000000000017</v>
          </cell>
          <cell r="W70">
            <v>33.019999999999975</v>
          </cell>
          <cell r="X70">
            <v>155.38000000000011</v>
          </cell>
          <cell r="Y70">
            <v>45.568000000000019</v>
          </cell>
          <cell r="Z70">
            <v>38.878999999999991</v>
          </cell>
          <cell r="AA70">
            <v>58.173999999999999</v>
          </cell>
          <cell r="AB70">
            <v>62.944999999999993</v>
          </cell>
          <cell r="AC70">
            <v>197.52400000000006</v>
          </cell>
          <cell r="AD70">
            <v>57.493000000000002</v>
          </cell>
          <cell r="AE70">
            <v>48.712999999999965</v>
          </cell>
          <cell r="AF70">
            <v>60.537000000000006</v>
          </cell>
          <cell r="AG70">
            <v>69.586999999999989</v>
          </cell>
          <cell r="AH70">
            <v>236.32999999999996</v>
          </cell>
        </row>
        <row r="71">
          <cell r="A71" t="str">
            <v>EBITDA/Share</v>
          </cell>
          <cell r="N71">
            <v>1.3234536271136814</v>
          </cell>
          <cell r="O71">
            <v>0.36519988285254051</v>
          </cell>
          <cell r="P71">
            <v>0.37481698389458273</v>
          </cell>
          <cell r="Q71">
            <v>0.47772733928832928</v>
          </cell>
          <cell r="R71">
            <v>0.37848915482423362</v>
          </cell>
          <cell r="S71">
            <v>1.5966450264246494</v>
          </cell>
          <cell r="T71">
            <v>0.31736329834588939</v>
          </cell>
          <cell r="U71">
            <v>0.29367927971772734</v>
          </cell>
          <cell r="V71">
            <v>0.31784824148435348</v>
          </cell>
          <cell r="W71">
            <v>0.25458750963762511</v>
          </cell>
          <cell r="X71">
            <v>1.1841476031070737</v>
          </cell>
          <cell r="Y71">
            <v>0.35357195508965794</v>
          </cell>
          <cell r="Z71">
            <v>0.30834324688714404</v>
          </cell>
          <cell r="AA71">
            <v>0.45854319878297745</v>
          </cell>
          <cell r="AB71">
            <v>0.49350048609151059</v>
          </cell>
          <cell r="AC71">
            <v>1.5510813060480899</v>
          </cell>
          <cell r="AD71">
            <v>0.45257606171527537</v>
          </cell>
          <cell r="AE71">
            <v>0.39379633147670567</v>
          </cell>
          <cell r="AF71">
            <v>0.5034178225725976</v>
          </cell>
          <cell r="AG71">
            <v>0.59466919619203873</v>
          </cell>
          <cell r="AH71">
            <v>1.9371073306475737</v>
          </cell>
        </row>
        <row r="72">
          <cell r="A72" t="str">
            <v>Net Income</v>
          </cell>
          <cell r="N72">
            <v>105.54900000000002</v>
          </cell>
          <cell r="O72">
            <v>30.40199999999999</v>
          </cell>
          <cell r="P72">
            <v>31.299999999999997</v>
          </cell>
          <cell r="Q72">
            <v>39.855000000000018</v>
          </cell>
          <cell r="R72">
            <v>38.660000000000025</v>
          </cell>
          <cell r="S72">
            <v>140.21700000000004</v>
          </cell>
          <cell r="T72">
            <v>25.625999999999998</v>
          </cell>
          <cell r="U72">
            <v>23.062000000000012</v>
          </cell>
          <cell r="V72">
            <v>25.357000000000017</v>
          </cell>
          <cell r="W72">
            <v>18.529999999999973</v>
          </cell>
          <cell r="X72">
            <v>92.575000000000003</v>
          </cell>
          <cell r="Y72">
            <v>27.663000000000022</v>
          </cell>
          <cell r="Z72">
            <v>23.409279999999995</v>
          </cell>
          <cell r="AA72">
            <v>34.720999999999997</v>
          </cell>
          <cell r="AB72">
            <v>36.262999999999998</v>
          </cell>
          <cell r="AC72">
            <v>122.05628000000002</v>
          </cell>
          <cell r="AD72">
            <v>33.667999999999992</v>
          </cell>
          <cell r="AE72">
            <v>27.713999999999967</v>
          </cell>
          <cell r="AF72">
            <v>34.472000000000008</v>
          </cell>
          <cell r="AG72">
            <v>41.39</v>
          </cell>
          <cell r="AH72">
            <v>137.24399999999997</v>
          </cell>
        </row>
        <row r="73">
          <cell r="A73" t="str">
            <v>Depreciation</v>
          </cell>
          <cell r="N73">
            <v>20.196000000000002</v>
          </cell>
          <cell r="O73">
            <v>4.5590000000000002</v>
          </cell>
          <cell r="P73">
            <v>4.7</v>
          </cell>
          <cell r="Q73">
            <v>5.1219999999999999</v>
          </cell>
          <cell r="R73">
            <v>5.7069999999999999</v>
          </cell>
          <cell r="S73">
            <v>20.074000000000002</v>
          </cell>
          <cell r="T73">
            <v>6.2590000000000003</v>
          </cell>
          <cell r="U73">
            <v>6.8620000000000001</v>
          </cell>
          <cell r="V73">
            <v>7.0910000000000002</v>
          </cell>
          <cell r="W73">
            <v>7.6820000000000004</v>
          </cell>
          <cell r="X73">
            <v>27.893999999999998</v>
          </cell>
          <cell r="Y73">
            <v>6.8659999999999997</v>
          </cell>
          <cell r="Z73">
            <v>6.5180000000000007</v>
          </cell>
          <cell r="AA73">
            <v>6.9450000000000003</v>
          </cell>
          <cell r="AB73">
            <v>10.172999999999998</v>
          </cell>
          <cell r="AC73">
            <v>30.501999999999999</v>
          </cell>
          <cell r="AD73">
            <v>8.2240000000000002</v>
          </cell>
          <cell r="AE73">
            <v>8.6769999999999996</v>
          </cell>
          <cell r="AF73">
            <v>9.2740000000000009</v>
          </cell>
          <cell r="AG73">
            <v>8.8490000000000002</v>
          </cell>
          <cell r="AH73">
            <v>35.024000000000001</v>
          </cell>
        </row>
        <row r="74">
          <cell r="A74" t="str">
            <v xml:space="preserve">Cash Flow </v>
          </cell>
          <cell r="S74">
            <v>160.29100000000005</v>
          </cell>
          <cell r="X74">
            <v>120.46899999999999</v>
          </cell>
          <cell r="Y74">
            <v>34.529000000000025</v>
          </cell>
          <cell r="Z74">
            <v>29.927279999999996</v>
          </cell>
          <cell r="AA74">
            <v>41.665999999999997</v>
          </cell>
          <cell r="AB74">
            <v>46.435999999999993</v>
          </cell>
          <cell r="AC74">
            <v>152.55828000000002</v>
          </cell>
          <cell r="AD74">
            <v>41.891999999999996</v>
          </cell>
          <cell r="AE74">
            <v>36.390999999999963</v>
          </cell>
          <cell r="AF74">
            <v>43.746000000000009</v>
          </cell>
          <cell r="AG74">
            <v>50.239000000000004</v>
          </cell>
          <cell r="AH74">
            <v>172.26799999999997</v>
          </cell>
        </row>
        <row r="75">
          <cell r="A75" t="str">
            <v>Cash Flow / Share</v>
          </cell>
          <cell r="S75">
            <v>1.1798421881670571</v>
          </cell>
          <cell r="X75">
            <v>0.91809163083219181</v>
          </cell>
          <cell r="Y75">
            <v>0.26791796956835501</v>
          </cell>
          <cell r="Z75">
            <v>0.23734856055198664</v>
          </cell>
          <cell r="AA75">
            <v>0.32842267886842125</v>
          </cell>
          <cell r="AB75">
            <v>0.36406686110327086</v>
          </cell>
          <cell r="AC75">
            <v>1.1979825043582053</v>
          </cell>
          <cell r="AD75">
            <v>0.32976738694060692</v>
          </cell>
          <cell r="AE75">
            <v>0.294185172310652</v>
          </cell>
          <cell r="AF75">
            <v>0.36378604929647751</v>
          </cell>
          <cell r="AG75">
            <v>0.42932711206822888</v>
          </cell>
          <cell r="AH75">
            <v>1.4120154260398436</v>
          </cell>
        </row>
        <row r="76">
          <cell r="A76" t="str">
            <v>Less Maint. Exp. Cap Ex.</v>
          </cell>
          <cell r="N76">
            <v>116.155</v>
          </cell>
          <cell r="S76">
            <v>73.182000000000002</v>
          </cell>
          <cell r="T76">
            <v>10.865</v>
          </cell>
          <cell r="U76">
            <v>9.5220000000000002</v>
          </cell>
          <cell r="V76">
            <v>15.283999999999997</v>
          </cell>
          <cell r="W76">
            <v>7.8660000000000014</v>
          </cell>
          <cell r="X76">
            <v>43.536999999999999</v>
          </cell>
          <cell r="Y76">
            <v>25.4</v>
          </cell>
          <cell r="Z76">
            <v>19.300000000000004</v>
          </cell>
          <cell r="AA76">
            <v>14.599999999999994</v>
          </cell>
          <cell r="AB76">
            <v>12.299999999999997</v>
          </cell>
          <cell r="AC76">
            <v>71.599999999999994</v>
          </cell>
          <cell r="AD76">
            <v>9.1709999999999994</v>
          </cell>
          <cell r="AE76">
            <v>6.1840000000000011</v>
          </cell>
          <cell r="AF76">
            <v>11.902000000000001</v>
          </cell>
          <cell r="AG76">
            <v>8</v>
          </cell>
          <cell r="AH76">
            <v>35.257000000000005</v>
          </cell>
        </row>
        <row r="77">
          <cell r="A77" t="str">
            <v>Less Sodak Acquisition</v>
          </cell>
        </row>
        <row r="78">
          <cell r="A78" t="str">
            <v>Free Cash Flow</v>
          </cell>
          <cell r="N78">
            <v>9.5900000000000176</v>
          </cell>
          <cell r="S78">
            <v>87.109000000000052</v>
          </cell>
          <cell r="T78">
            <v>21.019999999999996</v>
          </cell>
          <cell r="U78">
            <v>20.402000000000015</v>
          </cell>
          <cell r="V78">
            <v>17.164000000000016</v>
          </cell>
          <cell r="W78">
            <v>18.345999999999975</v>
          </cell>
          <cell r="X78">
            <v>76.931999999999988</v>
          </cell>
          <cell r="Y78">
            <v>9.1290000000000262</v>
          </cell>
          <cell r="Z78">
            <v>10.627279999999992</v>
          </cell>
          <cell r="AA78">
            <v>27.066000000000003</v>
          </cell>
          <cell r="AB78">
            <v>34.135999999999996</v>
          </cell>
          <cell r="AC78">
            <v>80.95828000000003</v>
          </cell>
          <cell r="AD78">
            <v>32.720999999999997</v>
          </cell>
          <cell r="AE78">
            <v>30.206999999999962</v>
          </cell>
          <cell r="AF78">
            <v>31.844000000000008</v>
          </cell>
          <cell r="AG78">
            <v>42.239000000000004</v>
          </cell>
          <cell r="AH78">
            <v>137.01099999999997</v>
          </cell>
        </row>
        <row r="79">
          <cell r="A79" t="str">
            <v>Free Cash/Share</v>
          </cell>
          <cell r="N79">
            <v>7.0199838957616695E-2</v>
          </cell>
          <cell r="S79">
            <v>0.64117681697066087</v>
          </cell>
          <cell r="T79">
            <v>0.15725646569459922</v>
          </cell>
          <cell r="U79">
            <v>0.15514356977734531</v>
          </cell>
          <cell r="V79">
            <v>0.13203483184097983</v>
          </cell>
          <cell r="W79">
            <v>0.14144949884348479</v>
          </cell>
          <cell r="X79">
            <v>0.586297100027245</v>
          </cell>
          <cell r="Y79">
            <v>7.0833882944467505E-2</v>
          </cell>
          <cell r="Z79">
            <v>8.4283289713696502E-2</v>
          </cell>
          <cell r="AA79">
            <v>0.21334153089455887</v>
          </cell>
          <cell r="AB79">
            <v>0.26763257753943609</v>
          </cell>
          <cell r="AC79">
            <v>0.63573476983964972</v>
          </cell>
          <cell r="AD79">
            <v>0.2575746841421655</v>
          </cell>
          <cell r="AE79">
            <v>0.24419366052012484</v>
          </cell>
          <cell r="AF79">
            <v>0.26481056448125612</v>
          </cell>
          <cell r="AG79">
            <v>0.36096156146917574</v>
          </cell>
          <cell r="AH79">
            <v>1.123027175895378</v>
          </cell>
        </row>
        <row r="80">
          <cell r="A80" t="str">
            <v>Less Share Repurchases</v>
          </cell>
        </row>
        <row r="81">
          <cell r="A81" t="str">
            <v>Discretionary Cash Flow</v>
          </cell>
        </row>
        <row r="82">
          <cell r="A82" t="str">
            <v>BALANCE SHEET ANALYSIS</v>
          </cell>
        </row>
        <row r="83">
          <cell r="A83" t="str">
            <v>Cash</v>
          </cell>
          <cell r="I83">
            <v>149.352</v>
          </cell>
          <cell r="N83">
            <v>217.34</v>
          </cell>
          <cell r="O83">
            <v>226.54300000000001</v>
          </cell>
          <cell r="P83">
            <v>200.08700000000002</v>
          </cell>
          <cell r="Q83">
            <v>138.19499999999999</v>
          </cell>
          <cell r="R83">
            <v>203.05</v>
          </cell>
          <cell r="S83">
            <v>203.05</v>
          </cell>
          <cell r="T83">
            <v>238.45</v>
          </cell>
          <cell r="U83">
            <v>228.631</v>
          </cell>
          <cell r="V83">
            <v>258.03000000000003</v>
          </cell>
          <cell r="W83">
            <v>289.42599999999999</v>
          </cell>
          <cell r="X83">
            <v>289.42599999999999</v>
          </cell>
          <cell r="Y83">
            <v>283.76900000000001</v>
          </cell>
          <cell r="Z83">
            <v>205.39600000000002</v>
          </cell>
          <cell r="AA83">
            <v>228.185</v>
          </cell>
          <cell r="AB83">
            <v>230.75800000000001</v>
          </cell>
          <cell r="AC83">
            <v>230.75800000000001</v>
          </cell>
          <cell r="AD83">
            <v>214.51500000000001</v>
          </cell>
          <cell r="AE83">
            <v>164.935</v>
          </cell>
          <cell r="AF83">
            <v>174.953</v>
          </cell>
          <cell r="AG83">
            <v>166.71499999999997</v>
          </cell>
          <cell r="AH83">
            <v>166.71499999999997</v>
          </cell>
        </row>
        <row r="84">
          <cell r="A84" t="str">
            <v>Long Term Obligations</v>
          </cell>
          <cell r="I84">
            <v>136.797</v>
          </cell>
          <cell r="N84">
            <v>59.98</v>
          </cell>
          <cell r="O84">
            <v>60.129000000000005</v>
          </cell>
          <cell r="P84">
            <v>56.378999999999998</v>
          </cell>
          <cell r="Q84">
            <v>13.5</v>
          </cell>
          <cell r="R84">
            <v>113.723</v>
          </cell>
          <cell r="S84">
            <v>113.723</v>
          </cell>
          <cell r="T84">
            <v>112</v>
          </cell>
          <cell r="U84">
            <v>111.916</v>
          </cell>
          <cell r="V84">
            <v>114.17</v>
          </cell>
          <cell r="W84">
            <v>107.54300000000001</v>
          </cell>
          <cell r="X84">
            <v>110</v>
          </cell>
          <cell r="Y84">
            <v>107.36</v>
          </cell>
          <cell r="Z84">
            <v>116.00200000000001</v>
          </cell>
          <cell r="AA84">
            <v>107.203</v>
          </cell>
          <cell r="AB84">
            <v>107.155</v>
          </cell>
          <cell r="AC84">
            <v>107.155</v>
          </cell>
          <cell r="AD84">
            <v>102.408</v>
          </cell>
          <cell r="AE84">
            <v>115.86499999999999</v>
          </cell>
          <cell r="AF84">
            <v>117.95699999999999</v>
          </cell>
          <cell r="AG84">
            <v>166.12700000000001</v>
          </cell>
          <cell r="AH84">
            <v>166.12700000000001</v>
          </cell>
        </row>
        <row r="85">
          <cell r="A85" t="str">
            <v>Equity</v>
          </cell>
          <cell r="I85">
            <v>214.06200000000001</v>
          </cell>
          <cell r="N85">
            <v>378.54899999999998</v>
          </cell>
          <cell r="O85">
            <v>422</v>
          </cell>
          <cell r="P85">
            <v>467.38600000000002</v>
          </cell>
          <cell r="Q85">
            <v>489.06900000000002</v>
          </cell>
          <cell r="R85">
            <v>520.86800000000005</v>
          </cell>
          <cell r="S85">
            <v>520.86800000000005</v>
          </cell>
          <cell r="T85">
            <v>544</v>
          </cell>
          <cell r="U85">
            <v>515.06100000000004</v>
          </cell>
          <cell r="V85">
            <v>534.601</v>
          </cell>
          <cell r="W85">
            <v>554.09</v>
          </cell>
          <cell r="X85">
            <v>554.09</v>
          </cell>
          <cell r="Y85">
            <v>549.93799999999999</v>
          </cell>
          <cell r="Z85">
            <v>555.62900000000002</v>
          </cell>
          <cell r="AA85">
            <v>586.70799999999997</v>
          </cell>
          <cell r="AB85">
            <v>623.20000000000005</v>
          </cell>
          <cell r="AC85">
            <v>623.20000000000005</v>
          </cell>
          <cell r="AD85">
            <v>613.83199999999999</v>
          </cell>
          <cell r="AE85">
            <v>573.255</v>
          </cell>
          <cell r="AF85">
            <v>569.35699999999997</v>
          </cell>
          <cell r="AG85">
            <v>519.84699999999998</v>
          </cell>
          <cell r="AH85">
            <v>519.84699999999998</v>
          </cell>
        </row>
        <row r="86">
          <cell r="A86" t="str">
            <v>Debt/Total Capital</v>
          </cell>
          <cell r="I86">
            <v>0.38989166588287599</v>
          </cell>
          <cell r="N86">
            <v>0.13677544700578526</v>
          </cell>
          <cell r="O86">
            <v>0.1247155844182781</v>
          </cell>
          <cell r="P86">
            <v>0.10764178591543917</v>
          </cell>
          <cell r="Q86">
            <v>2.6861983130674592E-2</v>
          </cell>
          <cell r="R86">
            <v>0.1792067646720486</v>
          </cell>
          <cell r="S86">
            <v>0.1792067646720486</v>
          </cell>
          <cell r="T86">
            <v>0.17073170731707318</v>
          </cell>
          <cell r="U86">
            <v>0.17850096574515489</v>
          </cell>
          <cell r="V86">
            <v>0.17597888931533623</v>
          </cell>
          <cell r="W86">
            <v>0.16254177164681932</v>
          </cell>
          <cell r="X86">
            <v>0.16564019937056723</v>
          </cell>
          <cell r="Y86">
            <v>0.16333535169740362</v>
          </cell>
          <cell r="Z86">
            <v>0.17271686387316845</v>
          </cell>
          <cell r="AA86">
            <v>0.15449099380179881</v>
          </cell>
          <cell r="AB86">
            <v>0.14671632288407693</v>
          </cell>
          <cell r="AC86">
            <v>0.14671632288407693</v>
          </cell>
          <cell r="AD86">
            <v>0.14298000670166425</v>
          </cell>
          <cell r="AE86">
            <v>0.16813472254469466</v>
          </cell>
          <cell r="AF86">
            <v>0.17162024926016348</v>
          </cell>
          <cell r="AG86">
            <v>0.24217681719715328</v>
          </cell>
          <cell r="AH86">
            <v>0.24217681719715328</v>
          </cell>
        </row>
        <row r="87">
          <cell r="A87" t="str">
            <v>Book Value Per Share</v>
          </cell>
          <cell r="I87">
            <v>1.5809601181683899</v>
          </cell>
          <cell r="N87">
            <v>2.7710196910914275</v>
          </cell>
          <cell r="O87">
            <v>3.0897642407380288</v>
          </cell>
          <cell r="P87">
            <v>3.4215666178623723</v>
          </cell>
          <cell r="Q87">
            <v>3.5808244252452774</v>
          </cell>
          <cell r="R87">
            <v>3.8957965594614818</v>
          </cell>
          <cell r="S87">
            <v>3.8957965594614818</v>
          </cell>
          <cell r="T87">
            <v>4.0698152872436726</v>
          </cell>
          <cell r="U87">
            <v>3.9166945492152334</v>
          </cell>
          <cell r="V87">
            <v>4.1124419212898857</v>
          </cell>
          <cell r="W87">
            <v>4.2720894371626841</v>
          </cell>
          <cell r="X87">
            <v>4.2227078478928952</v>
          </cell>
          <cell r="Y87">
            <v>4.267087733455412</v>
          </cell>
          <cell r="Z87">
            <v>4.4066063922594969</v>
          </cell>
          <cell r="AA87">
            <v>4.6245911072225239</v>
          </cell>
          <cell r="AB87">
            <v>4.8860037005676293</v>
          </cell>
          <cell r="AC87">
            <v>4.8937540244687705</v>
          </cell>
          <cell r="AD87">
            <v>4.8319911835320974</v>
          </cell>
          <cell r="AE87">
            <v>4.634198591765629</v>
          </cell>
          <cell r="AF87">
            <v>4.7346987991883713</v>
          </cell>
          <cell r="AG87">
            <v>4.4424532977832465</v>
          </cell>
          <cell r="AH87">
            <v>4.4424532977832465</v>
          </cell>
        </row>
        <row r="88">
          <cell r="A88" t="str">
            <v>Return on Average Equity</v>
          </cell>
          <cell r="I88">
            <v>0.38</v>
          </cell>
          <cell r="N88">
            <v>0.35621681001533895</v>
          </cell>
          <cell r="S88">
            <v>0.31179530740468558</v>
          </cell>
          <cell r="X88">
            <v>0.17223928748844139</v>
          </cell>
          <cell r="AC88">
            <v>0.20735125585030029</v>
          </cell>
          <cell r="AH88">
            <v>0.2401371072230625</v>
          </cell>
        </row>
        <row r="89">
          <cell r="N89" t="str">
            <v>Annual</v>
          </cell>
          <cell r="O89" t="str">
            <v>12/31/93</v>
          </cell>
          <cell r="P89" t="str">
            <v>3/31/94</v>
          </cell>
          <cell r="Q89" t="str">
            <v>6/30/94</v>
          </cell>
          <cell r="R89" t="str">
            <v>9/30/94</v>
          </cell>
          <cell r="S89" t="str">
            <v>Annual</v>
          </cell>
          <cell r="T89" t="str">
            <v>12/31/94</v>
          </cell>
          <cell r="U89" t="str">
            <v>3/31/95</v>
          </cell>
          <cell r="V89" t="str">
            <v>6/30/95</v>
          </cell>
          <cell r="W89" t="str">
            <v>9/30/95</v>
          </cell>
          <cell r="X89" t="str">
            <v>Annual</v>
          </cell>
          <cell r="Y89" t="str">
            <v>12/31/95</v>
          </cell>
          <cell r="Z89" t="str">
            <v>3/31/96</v>
          </cell>
          <cell r="AA89" t="str">
            <v>6/30/96</v>
          </cell>
          <cell r="AB89" t="str">
            <v>9/30/96</v>
          </cell>
          <cell r="AC89" t="str">
            <v>Annual</v>
          </cell>
          <cell r="AD89" t="str">
            <v>12/31/96</v>
          </cell>
          <cell r="AE89" t="str">
            <v>3/31/97</v>
          </cell>
          <cell r="AF89" t="str">
            <v>6/30/97</v>
          </cell>
          <cell r="AG89" t="str">
            <v>9/30/97</v>
          </cell>
          <cell r="AH89" t="str">
            <v>Annual</v>
          </cell>
        </row>
        <row r="90">
          <cell r="E90" t="str">
            <v>1Q/92</v>
          </cell>
          <cell r="F90" t="str">
            <v>2Q/92</v>
          </cell>
          <cell r="G90" t="str">
            <v>3Q/92</v>
          </cell>
          <cell r="H90" t="str">
            <v>4Q/92</v>
          </cell>
          <cell r="I90">
            <v>1992</v>
          </cell>
          <cell r="J90" t="str">
            <v>1Q/93</v>
          </cell>
          <cell r="K90" t="str">
            <v>2Q/93</v>
          </cell>
          <cell r="L90" t="str">
            <v>3Q/93</v>
          </cell>
          <cell r="M90" t="str">
            <v>4Q/93</v>
          </cell>
          <cell r="N90" t="str">
            <v>1993A</v>
          </cell>
          <cell r="O90" t="str">
            <v>1Q94 A</v>
          </cell>
          <cell r="P90" t="str">
            <v>2Q94 A</v>
          </cell>
          <cell r="Q90" t="str">
            <v>3Q94 A</v>
          </cell>
          <cell r="R90" t="str">
            <v>4Q94 A</v>
          </cell>
          <cell r="S90" t="str">
            <v>1994A</v>
          </cell>
          <cell r="T90" t="str">
            <v>1Q95 A</v>
          </cell>
          <cell r="U90" t="str">
            <v>2Q95 A</v>
          </cell>
          <cell r="V90" t="str">
            <v>3Q95 A</v>
          </cell>
          <cell r="W90" t="str">
            <v>4Q95 A</v>
          </cell>
          <cell r="X90" t="str">
            <v>1995A</v>
          </cell>
          <cell r="Y90" t="str">
            <v>1Q96 A</v>
          </cell>
          <cell r="Z90" t="str">
            <v>2Q96 A</v>
          </cell>
          <cell r="AA90" t="str">
            <v>3Q96 A</v>
          </cell>
          <cell r="AB90" t="str">
            <v>4Q96 A</v>
          </cell>
          <cell r="AC90" t="str">
            <v>1996A</v>
          </cell>
          <cell r="AD90" t="str">
            <v>1Q97A</v>
          </cell>
          <cell r="AE90" t="str">
            <v>2Q97A</v>
          </cell>
          <cell r="AF90" t="str">
            <v>3Q97A</v>
          </cell>
          <cell r="AG90" t="str">
            <v>4Q97A</v>
          </cell>
          <cell r="AH90" t="str">
            <v>1997A</v>
          </cell>
        </row>
        <row r="91">
          <cell r="A91" t="str">
            <v>Domestic Units-New Casinos</v>
          </cell>
        </row>
        <row r="92">
          <cell r="A92" t="str">
            <v>Domestic Units-Replacement</v>
          </cell>
        </row>
        <row r="93">
          <cell r="A93" t="str">
            <v>Total Domestic Units Shipped</v>
          </cell>
          <cell r="Y93">
            <v>12300</v>
          </cell>
          <cell r="Z93">
            <v>13063</v>
          </cell>
          <cell r="AA93">
            <v>19785</v>
          </cell>
          <cell r="AB93">
            <v>18700</v>
          </cell>
          <cell r="AC93">
            <v>63848</v>
          </cell>
          <cell r="AD93">
            <v>16900</v>
          </cell>
          <cell r="AE93">
            <v>12900</v>
          </cell>
          <cell r="AF93">
            <v>10000</v>
          </cell>
          <cell r="AG93">
            <v>13200</v>
          </cell>
          <cell r="AH93">
            <v>53000</v>
          </cell>
        </row>
        <row r="94">
          <cell r="A94" t="str">
            <v>Int'l Units Shipped (excl. Pachisuro and Barcrest )</v>
          </cell>
          <cell r="Y94">
            <v>4800</v>
          </cell>
          <cell r="Z94">
            <v>3837</v>
          </cell>
          <cell r="AA94">
            <v>2815</v>
          </cell>
          <cell r="AB94">
            <v>4000</v>
          </cell>
          <cell r="AC94">
            <v>15452</v>
          </cell>
          <cell r="AD94">
            <v>3900</v>
          </cell>
          <cell r="AE94">
            <v>2800</v>
          </cell>
          <cell r="AF94">
            <v>2900</v>
          </cell>
          <cell r="AG94">
            <v>6500</v>
          </cell>
          <cell r="AH94">
            <v>16100</v>
          </cell>
        </row>
        <row r="95">
          <cell r="A95" t="str">
            <v xml:space="preserve">Total Gaming Device Units Shipped </v>
          </cell>
          <cell r="E95">
            <v>7800</v>
          </cell>
          <cell r="F95">
            <v>7200</v>
          </cell>
          <cell r="G95">
            <v>15000</v>
          </cell>
          <cell r="H95">
            <v>16000</v>
          </cell>
          <cell r="I95">
            <v>46000</v>
          </cell>
          <cell r="J95">
            <v>11000</v>
          </cell>
          <cell r="K95">
            <v>13000</v>
          </cell>
          <cell r="L95">
            <v>16000</v>
          </cell>
          <cell r="M95">
            <v>25000</v>
          </cell>
          <cell r="N95">
            <v>65000</v>
          </cell>
          <cell r="O95">
            <v>22000</v>
          </cell>
          <cell r="P95">
            <v>22000</v>
          </cell>
          <cell r="Q95">
            <v>26800</v>
          </cell>
          <cell r="R95">
            <v>23000</v>
          </cell>
          <cell r="S95">
            <v>93800</v>
          </cell>
          <cell r="T95">
            <v>20300</v>
          </cell>
          <cell r="U95">
            <v>17600</v>
          </cell>
          <cell r="V95">
            <v>18100</v>
          </cell>
          <cell r="W95">
            <v>17200</v>
          </cell>
          <cell r="X95">
            <v>73200</v>
          </cell>
          <cell r="Y95">
            <v>17100</v>
          </cell>
          <cell r="Z95">
            <v>16900</v>
          </cell>
          <cell r="AA95">
            <v>22600</v>
          </cell>
          <cell r="AB95">
            <v>22700</v>
          </cell>
          <cell r="AC95">
            <v>79300</v>
          </cell>
          <cell r="AD95">
            <v>20800</v>
          </cell>
          <cell r="AE95">
            <v>15700</v>
          </cell>
          <cell r="AF95">
            <v>12900</v>
          </cell>
          <cell r="AG95">
            <v>19700</v>
          </cell>
          <cell r="AH95">
            <v>69100</v>
          </cell>
        </row>
        <row r="148">
          <cell r="A148" t="str">
            <v>WACC</v>
          </cell>
          <cell r="X148">
            <v>0.13477</v>
          </cell>
        </row>
        <row r="150">
          <cell r="A150" t="str">
            <v>Spread</v>
          </cell>
          <cell r="X150">
            <v>0.12757072872304487</v>
          </cell>
        </row>
        <row r="151">
          <cell r="A151" t="str">
            <v>EVA</v>
          </cell>
          <cell r="X151">
            <v>44.566323796480837</v>
          </cell>
        </row>
        <row r="153">
          <cell r="A153" t="str">
            <v>Cash Return on Assets</v>
          </cell>
        </row>
        <row r="154">
          <cell r="A154" t="str">
            <v>Share Price At Beginning of Year</v>
          </cell>
          <cell r="X154">
            <v>20</v>
          </cell>
        </row>
        <row r="155">
          <cell r="A155" t="str">
            <v>Market Value + Long Term Debt</v>
          </cell>
          <cell r="X155">
            <v>2444.9090000000001</v>
          </cell>
        </row>
        <row r="156">
          <cell r="A156" t="str">
            <v>Value to Assets</v>
          </cell>
          <cell r="X156">
            <v>6.9985315417952396</v>
          </cell>
        </row>
        <row r="160">
          <cell r="A160" t="str">
            <v>Value anlaysis</v>
          </cell>
        </row>
        <row r="162">
          <cell r="A162" t="str">
            <v>!997 Cash Flow</v>
          </cell>
        </row>
        <row r="163">
          <cell r="A163" t="str">
            <v>WACC</v>
          </cell>
        </row>
        <row r="164">
          <cell r="A164" t="str">
            <v>Inlation</v>
          </cell>
        </row>
        <row r="166">
          <cell r="A166" t="str">
            <v>Value of 1997 Cash</v>
          </cell>
        </row>
        <row r="167">
          <cell r="A167" t="str">
            <v>share Price</v>
          </cell>
        </row>
        <row r="168">
          <cell r="A168" t="str">
            <v>total Value</v>
          </cell>
        </row>
        <row r="169">
          <cell r="A169" t="str">
            <v>Current/Total</v>
          </cell>
        </row>
        <row r="171">
          <cell r="A171" t="str">
            <v>Implications for future</v>
          </cell>
        </row>
        <row r="172">
          <cell r="A172" t="str">
            <v>WACC less inflation</v>
          </cell>
        </row>
        <row r="174">
          <cell r="A174" t="str">
            <v>Gross Margin on JV Systems</v>
          </cell>
        </row>
        <row r="175">
          <cell r="A175" t="str">
            <v>Gross Profit from IGT Systems</v>
          </cell>
        </row>
        <row r="176">
          <cell r="A176" t="str">
            <v>Gross Proft from JV games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  <sheetName val="Valuation"/>
      <sheetName val="3Q03 Comp"/>
      <sheetName val="ROIC"/>
      <sheetName val="2Q03 Comp"/>
      <sheetName val="Valuation By Property"/>
      <sheetName val="DCF"/>
      <sheetName val="FCF"/>
      <sheetName val="EBITDA Mix"/>
      <sheetName val="Property Portfolio"/>
      <sheetName val="Property Returns"/>
      <sheetName val="Holders"/>
      <sheetName val="Debt"/>
      <sheetName val="Horseshoe Analysis"/>
    </sheetNames>
    <sheetDataSet>
      <sheetData sheetId="0" refreshError="1">
        <row r="61">
          <cell r="D61">
            <v>1.0067773303211873E-2</v>
          </cell>
          <cell r="I61">
            <v>0.17412178476716206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R Earnings Model"/>
      <sheetName val="valuation"/>
      <sheetName val="Property Valuation "/>
      <sheetName val="DCF Model (2)"/>
      <sheetName val="DCF Model"/>
      <sheetName val="Chart1"/>
      <sheetName val="EBITDAR Mix"/>
      <sheetName val="96 AC Expansion Return"/>
      <sheetName val="Expansion"/>
      <sheetName val="FCF"/>
      <sheetName val="Sheet1"/>
      <sheetName val="Property Portfolio"/>
      <sheetName val="Qtlry Quickie"/>
      <sheetName val="3Q00 Comp"/>
      <sheetName val="2Q00 Comparison"/>
      <sheetName val="AZRold"/>
      <sheetName val="Prop. Comps"/>
      <sheetName val="AZR bkup 2-99"/>
      <sheetName val="AZR Old(3-98)"/>
      <sheetName val="LV Tr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Analysis"/>
      <sheetName val="DCF "/>
      <sheetName val="BS"/>
      <sheetName val="CF"/>
      <sheetName val="Data"/>
      <sheetName val="Capex"/>
      <sheetName val="Info"/>
      <sheetName val="FAC"/>
      <sheetName val="Sheet1"/>
      <sheetName val="quarterly income and e&amp;p"/>
      <sheetName val="refining"/>
      <sheetName val="historical reserves"/>
      <sheetName val="refining &amp; marketing"/>
      <sheetName val="Growth Metrics"/>
      <sheetName val="template"/>
      <sheetName val="Flash Inputs (manual entry)"/>
      <sheetName val="Coastals Ri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puts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  <sheetName val="AcqRat"/>
      <sheetName val="AcqDCF1"/>
      <sheetName val="AcqDCF2"/>
      <sheetName val="DCF"/>
      <sheetName val="Financial Ratios"/>
      <sheetName val="DCF-Perp"/>
      <sheetName val="WACC"/>
      <sheetName val="data"/>
      <sheetName val="MASTER"/>
      <sheetName val="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Transplant"/>
      <sheetName val="AIDS without approval"/>
      <sheetName val="Scenario Builder"/>
      <sheetName val="Comp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lance Sheet"/>
      <sheetName val="FRXQH&amp;Q"/>
      <sheetName val="stats"/>
      <sheetName val="Comp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Sheet1"/>
      <sheetName val="Sheet2"/>
      <sheetName val="Sheet3"/>
      <sheetName val="Sheet4"/>
      <sheetName val="Sheet5"/>
      <sheetName val="Sheet6"/>
      <sheetName val="EBITDA"/>
      <sheetName val="Book1"/>
      <sheetName val="Earnings Model"/>
      <sheetName val="Renovation Schedule (3)"/>
      <sheetName val="EV-EBITDAValuation "/>
      <sheetName val="FCF"/>
      <sheetName val="ADR Chart"/>
      <sheetName val="Pricing Power"/>
      <sheetName val="Chart Relative ADR"/>
      <sheetName val="Pricing Vs. Comp Set"/>
      <sheetName val="Expansion Yields"/>
      <sheetName val="Same Store RevPAR Growth"/>
      <sheetName val="Mgmt. Team"/>
      <sheetName val="Renovation Schecule (2)"/>
      <sheetName val="DCF Model"/>
      <sheetName val="RevPAR estimates"/>
      <sheetName val="Debt"/>
      <sheetName val="FCF Table"/>
      <sheetName val="IPO"/>
      <sheetName val="Biz Units"/>
      <sheetName val="Chart EBITDA Mix"/>
      <sheetName val="EBITDA MIX"/>
      <sheetName val="RevPAR Comps cut n paste"/>
      <sheetName val="RevPAR Comps"/>
      <sheetName val="Valuation  1-10-01"/>
      <sheetName val="Earnings Model   "/>
      <sheetName val="Debt @ 3Q00"/>
      <sheetName val="Valuation - old"/>
      <sheetName val="RevPAR By Qtr"/>
      <sheetName val="CIGA Analysis"/>
      <sheetName val="RevPAR 3Q00"/>
      <sheetName val="EBITDA Mix "/>
      <sheetName val="EBITDA Mix 9-00"/>
      <sheetName val="2Q00 Comparison"/>
      <sheetName val="bas buying hot 6-00 cash deal"/>
      <sheetName val="bas hlt cash stock merger"/>
      <sheetName val="Valuation"/>
      <sheetName val="Valuation (2)"/>
      <sheetName val="EBITDA Multiples"/>
      <sheetName val="EPS Multiples"/>
      <sheetName val="Balance Sheet"/>
      <sheetName val="FRXQH&amp;Q"/>
      <sheetName val="IGT MODE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"/>
      <sheetName val="Major v. River v. Equip."/>
      <sheetName val="LgCapEBITDA"/>
      <sheetName val="SmCapEBITDA"/>
      <sheetName val="SupplyEBITDA"/>
      <sheetName val="LgCapEPS"/>
      <sheetName val="SmCapEPS"/>
      <sheetName val="SupplyEPS"/>
      <sheetName val="LodgingEBITDA"/>
      <sheetName val="LodgingEPS"/>
      <sheetName val="LargerCap Gaming Stock Val 2001"/>
      <sheetName val="LargerCap Gaming Stock Val 2002"/>
      <sheetName val="Smaller Cap Gaming Stock Val"/>
      <sheetName val="Lodging Stock Val."/>
      <sheetName val="Universe Table"/>
      <sheetName val="Universe Table Gaming only"/>
      <sheetName val="Universe Table Lodging Only"/>
      <sheetName val="CruiseEBITDA"/>
      <sheetName val="CruiseEPS"/>
      <sheetName val="Industry (2)"/>
      <sheetName val="Industry"/>
      <sheetName val="Lodging Returns ppt"/>
      <sheetName val="pbos"/>
      <sheetName val="Major v. River"/>
      <sheetName val="Major v. Equipment"/>
      <sheetName val="EBITDA Growth"/>
      <sheetName val="LV REt"/>
      <sheetName val="River Ret"/>
      <sheetName val="Demographics"/>
      <sheetName val="Leisure"/>
      <sheetName val="States"/>
      <sheetName val="nongame"/>
      <sheetName val="nongame2"/>
      <sheetName val="Room Margin"/>
      <sheetName val="Hyp Casino"/>
      <sheetName val="lv gates"/>
      <sheetName val="potential"/>
      <sheetName val="LV Detail $1 Mil"/>
      <sheetName val="Room Mrgn 95"/>
      <sheetName val="ACcap2"/>
      <sheetName val="ACcap"/>
      <sheetName val="LVCap"/>
      <sheetName val="LVCap2"/>
      <sheetName val="LVrooms"/>
      <sheetName val="LV Investment"/>
      <sheetName val="disclosure"/>
      <sheetName val="disclosure inpres"/>
      <sheetName val="EBITDA Mix"/>
      <sheetName val="Free Cash Flow"/>
      <sheetName val="Tougher Comps in 01 "/>
      <sheetName val="Lodging Historical Returns"/>
      <sheetName val="Lodging Recent Price Trends"/>
      <sheetName val="Daily Closes"/>
      <sheetName val="Lodging PE Multiples"/>
      <sheetName val="Lodging EBITDA Multiples"/>
      <sheetName val="Lodging Stock Valuation"/>
      <sheetName val="Cash EPS, PE Multiples"/>
      <sheetName val="ABN EPS Est. V First Call"/>
      <sheetName val="THE LINK FOR ALL"/>
      <sheetName val="Worksheet Cash EPS, PEs"/>
      <sheetName val="ProForm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>
        <row r="6">
          <cell r="G6" t="str">
            <v xml:space="preserve"> </v>
          </cell>
        </row>
        <row r="28">
          <cell r="G28">
            <v>175</v>
          </cell>
        </row>
        <row r="42">
          <cell r="B42" t="str">
            <v xml:space="preserve"> </v>
          </cell>
        </row>
      </sheetData>
      <sheetData sheetId="59"/>
      <sheetData sheetId="6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Comps"/>
      <sheetName val="Comps - Divisional"/>
      <sheetName val="Revenue"/>
      <sheetName val="Sales Productivity"/>
      <sheetName val="Division Model"/>
      <sheetName val="Guidance"/>
      <sheetName val="Balance Sheet"/>
      <sheetName val="Cash Flow"/>
      <sheetName val="PE Valuation"/>
      <sheetName val="PE Valuation - Report"/>
      <sheetName val="Monthly Sales Analysis"/>
      <sheetName val="THE LINK FOR 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p&amp;l"/>
      <sheetName val="quarterly income"/>
      <sheetName val="Gross Margin"/>
      <sheetName val="Generic Exposure"/>
      <sheetName val="Annual Product Sales"/>
      <sheetName val="Qtr. Product Sales"/>
      <sheetName val="BSCF"/>
      <sheetName val="Catalysts"/>
      <sheetName val="Alliances"/>
      <sheetName val="__FDSCACHE__"/>
      <sheetName val="FCF Analysis"/>
      <sheetName val="Pipeline"/>
      <sheetName val="R&amp;D Efficiency"/>
      <sheetName val="Guidance"/>
      <sheetName val="Variance"/>
      <sheetName val="Incremental spend"/>
      <sheetName val="Price_volume"/>
      <sheetName val="Charts"/>
      <sheetName val="Charts for report"/>
      <sheetName val="handout tables"/>
    </sheetNames>
    <sheetDataSet>
      <sheetData sheetId="0" refreshError="1"/>
      <sheetData sheetId="1" refreshError="1">
        <row r="21">
          <cell r="Z21">
            <v>2149.3000000000002</v>
          </cell>
        </row>
        <row r="36">
          <cell r="AJ36">
            <v>2.8198952272136597</v>
          </cell>
          <cell r="AO36">
            <v>2.8719023478693129</v>
          </cell>
        </row>
      </sheetData>
      <sheetData sheetId="2" refreshError="1"/>
      <sheetData sheetId="3" refreshError="1"/>
      <sheetData sheetId="4" refreshError="1"/>
      <sheetData sheetId="5" refreshError="1">
        <row r="18">
          <cell r="U18">
            <v>3086.6</v>
          </cell>
          <cell r="Z18">
            <v>3688.8999999999996</v>
          </cell>
        </row>
        <row r="34">
          <cell r="P34">
            <v>2570.6999999999998</v>
          </cell>
          <cell r="U34">
            <v>1905.9</v>
          </cell>
          <cell r="Z34">
            <v>656.3</v>
          </cell>
        </row>
        <row r="173">
          <cell r="U173">
            <v>664.90000000000009</v>
          </cell>
          <cell r="Z173">
            <v>821.9</v>
          </cell>
        </row>
        <row r="287">
          <cell r="U287">
            <v>-9.5354523227383803E-2</v>
          </cell>
          <cell r="Z287">
            <v>-4.3243243243243135E-2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- Schering-Plough Corporati"/>
      <sheetName val="CoverSheet"/>
      <sheetName val="Annual p&amp;l"/>
      <sheetName val="quarterly income"/>
      <sheetName val="Qtr. Sales"/>
      <sheetName val="Links"/>
      <sheetName val="Variance Analysis"/>
      <sheetName val="Guidance"/>
      <sheetName val="Annual Sales"/>
      <sheetName val="duration 09"/>
      <sheetName val="Zetia Vytorin JV"/>
      <sheetName val="Balance Sheet Cash Flow"/>
      <sheetName val="Price Volume"/>
      <sheetName val="Margins"/>
      <sheetName val="duration 08"/>
      <sheetName val="Charts"/>
      <sheetName val="FX Impact"/>
      <sheetName val="P &amp; L Vytorin"/>
      <sheetName val="Catalysts"/>
      <sheetName val="DCF"/>
      <sheetName val="Pipeline"/>
      <sheetName val="Zetia Vytorin DCF"/>
      <sheetName val="Organon Products"/>
      <sheetName val="Segments"/>
      <sheetName val="USD EURO"/>
      <sheetName val="R&amp;D Efficiency"/>
      <sheetName val="reports --&gt;"/>
      <sheetName val="JV reported"/>
      <sheetName val="PriceVol_old"/>
      <sheetName val="Organon_old"/>
      <sheetName val="SGP-model"/>
      <sheetName val="duration 08_old"/>
      <sheetName val="duration 07"/>
      <sheetName val="GPS - Schering-Plough Corp_old"/>
      <sheetName val="Model Introduction"/>
      <sheetName val="Cholesterol Impact"/>
      <sheetName val="charts for report"/>
      <sheetName val="Handout Charts"/>
      <sheetName val="COGS Break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Income Stmt"/>
      <sheetName val="BS,CF"/>
      <sheetName val="Revenue Summary"/>
      <sheetName val="MM Assumpts US"/>
      <sheetName val="MM Assumpts EU"/>
      <sheetName val="MDS Assumpts US"/>
      <sheetName val="MDS Assumpts EU"/>
      <sheetName val="NHL CLL Assumpts"/>
      <sheetName val="Pricing"/>
      <sheetName val="MDS NHL CLL Assumpts"/>
      <sheetName val="CELG_Client"/>
      <sheetName val="CoverSheet"/>
      <sheetName val="Summary"/>
      <sheetName val="MM Assumpts"/>
      <sheetName val="Quarterly"/>
      <sheetName val="Scenario Builder"/>
      <sheetName val="LRP Scenarios"/>
      <sheetName val="MM Assumpts Asia"/>
      <sheetName val="Cover Sheet"/>
      <sheetName val="Covg uni."/>
      <sheetName val="Pricing Up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TAB"/>
      <sheetName val="MASTER"/>
      <sheetName val="Sales"/>
      <sheetName val="Scenario Builder"/>
      <sheetName val="LRP Scenarios"/>
      <sheetName val="Financial Statements"/>
      <sheetName val="DRIVERS"/>
    </sheetNames>
    <definedNames>
      <definedName name="Download_series"/>
      <definedName name="Update_Thi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s info"/>
      <sheetName val="EPS % cht"/>
      <sheetName val="PE&amp;EPS cht"/>
      <sheetName val="DATA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Industry"/>
      <sheetName val="Industry (2)"/>
    </sheetNames>
    <sheetDataSet>
      <sheetData sheetId="0" refreshError="1"/>
      <sheetData sheetId="1" refreshError="1"/>
      <sheetData sheetId="2" refreshError="1"/>
      <sheetData sheetId="3" refreshError="1">
        <row r="28">
          <cell r="A28" t="str">
            <v>PFE</v>
          </cell>
        </row>
        <row r="29">
          <cell r="A29">
            <v>29586</v>
          </cell>
          <cell r="B29">
            <v>3.359375</v>
          </cell>
          <cell r="C29">
            <v>2</v>
          </cell>
          <cell r="D29">
            <v>0.22</v>
          </cell>
          <cell r="E29">
            <v>15.269886363636363</v>
          </cell>
          <cell r="F29">
            <v>9.0909090909090917</v>
          </cell>
        </row>
        <row r="30">
          <cell r="A30">
            <v>29951</v>
          </cell>
          <cell r="B30">
            <v>3.4296875</v>
          </cell>
          <cell r="C30">
            <v>2.5</v>
          </cell>
          <cell r="D30">
            <v>0.185</v>
          </cell>
          <cell r="E30">
            <v>18.538851351351351</v>
          </cell>
          <cell r="F30">
            <v>13.513513513513514</v>
          </cell>
        </row>
        <row r="31">
          <cell r="A31">
            <v>30316</v>
          </cell>
          <cell r="B31">
            <v>5.0390625</v>
          </cell>
          <cell r="C31">
            <v>3.1171875</v>
          </cell>
          <cell r="D31">
            <v>0.26500000000000001</v>
          </cell>
          <cell r="E31">
            <v>19.015330188679243</v>
          </cell>
          <cell r="F31">
            <v>11.762971698113207</v>
          </cell>
          <cell r="G31">
            <v>1.6805605760376563</v>
          </cell>
          <cell r="H31">
            <v>1.4517082822119796</v>
          </cell>
          <cell r="I31">
            <v>0.43243243243243246</v>
          </cell>
        </row>
        <row r="32">
          <cell r="A32">
            <v>30681</v>
          </cell>
          <cell r="B32">
            <v>5.59375</v>
          </cell>
          <cell r="C32">
            <v>4.1953125</v>
          </cell>
          <cell r="D32">
            <v>0.34</v>
          </cell>
          <cell r="E32">
            <v>16.452205882352938</v>
          </cell>
          <cell r="F32">
            <v>12.339154411764705</v>
          </cell>
          <cell r="G32">
            <v>1.3369501797243655</v>
          </cell>
          <cell r="H32">
            <v>1.2513975451572847</v>
          </cell>
          <cell r="I32">
            <v>0.28301886792452824</v>
          </cell>
        </row>
        <row r="33">
          <cell r="A33">
            <v>31047</v>
          </cell>
          <cell r="B33">
            <v>5.296875</v>
          </cell>
          <cell r="C33">
            <v>3.671875</v>
          </cell>
          <cell r="D33">
            <v>0.38500000000000001</v>
          </cell>
          <cell r="E33">
            <v>13.758116883116882</v>
          </cell>
          <cell r="F33">
            <v>9.5373376623376629</v>
          </cell>
          <cell r="G33">
            <v>1.3434367991025464</v>
          </cell>
          <cell r="H33">
            <v>1.073611816407108</v>
          </cell>
          <cell r="I33">
            <v>0.13235294117647056</v>
          </cell>
        </row>
        <row r="34">
          <cell r="A34">
            <v>31412</v>
          </cell>
          <cell r="B34">
            <v>7.03125</v>
          </cell>
          <cell r="C34">
            <v>4.703125</v>
          </cell>
          <cell r="D34">
            <v>0.43</v>
          </cell>
          <cell r="E34">
            <v>16.351744186046513</v>
          </cell>
          <cell r="F34">
            <v>10.9375</v>
          </cell>
          <cell r="G34">
            <v>1.126775693605035</v>
          </cell>
          <cell r="H34">
            <v>0.97627611803519043</v>
          </cell>
          <cell r="I34">
            <v>0.11688311688311681</v>
          </cell>
        </row>
        <row r="35">
          <cell r="A35">
            <v>31777</v>
          </cell>
          <cell r="B35">
            <v>9.109375</v>
          </cell>
          <cell r="C35">
            <v>5.78125</v>
          </cell>
          <cell r="D35">
            <v>0.49</v>
          </cell>
          <cell r="E35">
            <v>18.590561224489797</v>
          </cell>
          <cell r="F35">
            <v>11.798469387755102</v>
          </cell>
          <cell r="G35">
            <v>1.0598083721677647</v>
          </cell>
          <cell r="H35">
            <v>0.83955888119658884</v>
          </cell>
          <cell r="I35">
            <v>0.13953488372093026</v>
          </cell>
        </row>
        <row r="36">
          <cell r="A36">
            <v>32142</v>
          </cell>
          <cell r="B36">
            <v>9.625</v>
          </cell>
          <cell r="C36">
            <v>5</v>
          </cell>
          <cell r="D36">
            <v>0.51</v>
          </cell>
          <cell r="E36">
            <v>18.872549019607842</v>
          </cell>
          <cell r="F36">
            <v>9.8039215686274517</v>
          </cell>
          <cell r="G36">
            <v>0.98069782891331547</v>
          </cell>
          <cell r="H36">
            <v>0.76620501719801892</v>
          </cell>
          <cell r="I36">
            <v>4.081632653061229E-2</v>
          </cell>
        </row>
        <row r="37">
          <cell r="A37">
            <v>32508</v>
          </cell>
          <cell r="B37">
            <v>7.53125</v>
          </cell>
          <cell r="C37">
            <v>5.921875</v>
          </cell>
          <cell r="D37">
            <v>0.59</v>
          </cell>
          <cell r="E37">
            <v>12.764830508474576</v>
          </cell>
          <cell r="F37">
            <v>10.037076271186441</v>
          </cell>
          <cell r="G37">
            <v>1.0687609270826735</v>
          </cell>
          <cell r="H37">
            <v>0.98248593100885295</v>
          </cell>
          <cell r="I37">
            <v>0.1568627450980391</v>
          </cell>
        </row>
        <row r="38">
          <cell r="A38">
            <v>32873</v>
          </cell>
          <cell r="B38">
            <v>9.46875</v>
          </cell>
          <cell r="C38">
            <v>6.75</v>
          </cell>
          <cell r="D38">
            <v>0.54</v>
          </cell>
          <cell r="E38">
            <v>17.534722222222221</v>
          </cell>
          <cell r="F38">
            <v>12.5</v>
          </cell>
          <cell r="G38">
            <v>1.1145611373602617</v>
          </cell>
          <cell r="H38">
            <v>1.0383749228142822</v>
          </cell>
          <cell r="I38">
            <v>-8.4745762711864292E-2</v>
          </cell>
        </row>
        <row r="39">
          <cell r="A39">
            <v>33238</v>
          </cell>
          <cell r="B39">
            <v>10.21875</v>
          </cell>
          <cell r="C39">
            <v>6.8125</v>
          </cell>
          <cell r="D39">
            <v>0.59499999999999997</v>
          </cell>
          <cell r="E39">
            <v>17.17436974789916</v>
          </cell>
          <cell r="F39">
            <v>11.449579831932773</v>
          </cell>
          <cell r="G39">
            <v>0.99336238086507145</v>
          </cell>
          <cell r="H39">
            <v>0.82696146217235977</v>
          </cell>
          <cell r="I39">
            <v>0.10185185185185164</v>
          </cell>
        </row>
        <row r="40">
          <cell r="A40">
            <v>33603</v>
          </cell>
          <cell r="B40">
            <v>21.53125</v>
          </cell>
          <cell r="C40">
            <v>9.1875</v>
          </cell>
          <cell r="D40">
            <v>0.68</v>
          </cell>
          <cell r="E40">
            <v>31.663602941176467</v>
          </cell>
          <cell r="F40">
            <v>13.511029411764705</v>
          </cell>
          <cell r="G40">
            <v>1.2123708047917434</v>
          </cell>
          <cell r="H40">
            <v>0.69270647438403266</v>
          </cell>
          <cell r="I40">
            <v>0.14285714285714302</v>
          </cell>
        </row>
        <row r="41">
          <cell r="A41">
            <v>33969</v>
          </cell>
          <cell r="B41">
            <v>21.75</v>
          </cell>
          <cell r="C41">
            <v>16.28125</v>
          </cell>
          <cell r="D41">
            <v>0.81499999999999995</v>
          </cell>
          <cell r="E41">
            <v>26.687116564417181</v>
          </cell>
          <cell r="F41">
            <v>19.976993865030675</v>
          </cell>
          <cell r="G41">
            <v>1.1544984028615028</v>
          </cell>
          <cell r="H41">
            <v>0.96669407575015365</v>
          </cell>
          <cell r="I41">
            <v>0.19852941176470562</v>
          </cell>
        </row>
        <row r="42">
          <cell r="A42">
            <v>34334</v>
          </cell>
          <cell r="B42">
            <v>18.90625</v>
          </cell>
          <cell r="C42">
            <v>13.125</v>
          </cell>
          <cell r="D42">
            <v>0.92</v>
          </cell>
          <cell r="E42">
            <v>20.550271739130434</v>
          </cell>
          <cell r="F42">
            <v>14.266304347826086</v>
          </cell>
          <cell r="G42">
            <v>0.95477119304406899</v>
          </cell>
          <cell r="H42">
            <v>0.7275299828235281</v>
          </cell>
          <cell r="I42">
            <v>0.128834355828221</v>
          </cell>
        </row>
        <row r="43">
          <cell r="A43">
            <v>34699</v>
          </cell>
          <cell r="B43">
            <v>19.84375</v>
          </cell>
          <cell r="C43">
            <v>13.28125</v>
          </cell>
          <cell r="D43">
            <v>1.0449999999999999</v>
          </cell>
          <cell r="E43">
            <v>18.989234449760765</v>
          </cell>
          <cell r="F43">
            <v>12.70933014354067</v>
          </cell>
          <cell r="G43">
            <v>1.2049656266982134</v>
          </cell>
          <cell r="H43">
            <v>0.89227160646158066</v>
          </cell>
          <cell r="I43">
            <v>0.13586956521739113</v>
          </cell>
        </row>
        <row r="44">
          <cell r="A44">
            <v>35064</v>
          </cell>
          <cell r="B44">
            <v>33.4375</v>
          </cell>
          <cell r="C44">
            <v>18.625</v>
          </cell>
          <cell r="D44">
            <v>1.25</v>
          </cell>
          <cell r="E44">
            <v>26.75</v>
          </cell>
          <cell r="F44">
            <v>14.9</v>
          </cell>
          <cell r="G44">
            <v>1.4612266563721468</v>
          </cell>
          <cell r="H44">
            <v>1.1021410990830085</v>
          </cell>
          <cell r="I44">
            <v>0.19617224880382778</v>
          </cell>
        </row>
        <row r="45">
          <cell r="A45">
            <v>35430</v>
          </cell>
          <cell r="B45">
            <v>45.625</v>
          </cell>
          <cell r="C45">
            <v>30.125</v>
          </cell>
          <cell r="D45">
            <v>1.4950000000000001</v>
          </cell>
          <cell r="E45">
            <v>30.518394648829428</v>
          </cell>
          <cell r="F45">
            <v>20.1505016722408</v>
          </cell>
          <cell r="G45">
            <v>1.6536524952709712</v>
          </cell>
          <cell r="H45">
            <v>1.3811214720547347</v>
          </cell>
          <cell r="I45">
            <v>0.19600000000000017</v>
          </cell>
        </row>
        <row r="46">
          <cell r="A46">
            <v>35795</v>
          </cell>
          <cell r="B46">
            <v>80</v>
          </cell>
          <cell r="C46">
            <v>39.875</v>
          </cell>
          <cell r="D46">
            <v>1.59</v>
          </cell>
          <cell r="E46">
            <v>50.314465408805027</v>
          </cell>
          <cell r="F46">
            <v>25.078616352201255</v>
          </cell>
          <cell r="G46">
            <v>2.2937860453805241</v>
          </cell>
          <cell r="H46">
            <v>1.5261338969569294</v>
          </cell>
          <cell r="I46">
            <v>6.3545150501672198E-2</v>
          </cell>
        </row>
        <row r="47">
          <cell r="A47">
            <v>36160</v>
          </cell>
          <cell r="B47">
            <v>128.94</v>
          </cell>
          <cell r="C47">
            <v>71.06</v>
          </cell>
          <cell r="D47">
            <v>2</v>
          </cell>
          <cell r="E47">
            <v>64.47</v>
          </cell>
          <cell r="F47">
            <v>35.53</v>
          </cell>
          <cell r="G47">
            <v>2.3580317439866003</v>
          </cell>
          <cell r="H47">
            <v>1.7395601979109401</v>
          </cell>
          <cell r="I47">
            <v>0.25786163522012573</v>
          </cell>
        </row>
        <row r="48">
          <cell r="A48">
            <v>36525</v>
          </cell>
          <cell r="D48">
            <v>2.4900000000000002</v>
          </cell>
          <cell r="E48">
            <v>52.208835341365457</v>
          </cell>
          <cell r="G48">
            <v>2.0168306239354266</v>
          </cell>
          <cell r="I48">
            <v>0.24500000000000011</v>
          </cell>
        </row>
        <row r="49">
          <cell r="A49">
            <v>36891</v>
          </cell>
          <cell r="D49">
            <v>3.0169999999999999</v>
          </cell>
          <cell r="E49">
            <v>43.089161418627775</v>
          </cell>
          <cell r="G49">
            <v>1.7062205236043009</v>
          </cell>
          <cell r="I49">
            <v>0.21164658634538136</v>
          </cell>
        </row>
        <row r="50">
          <cell r="A50">
            <v>37256</v>
          </cell>
          <cell r="D50">
            <v>3.65</v>
          </cell>
          <cell r="E50">
            <v>35.616438356164387</v>
          </cell>
          <cell r="G50">
            <v>1.4525917686169489</v>
          </cell>
          <cell r="I50">
            <v>0.20981107059993365</v>
          </cell>
        </row>
        <row r="51">
          <cell r="A51">
            <v>37621</v>
          </cell>
          <cell r="D51">
            <v>4.0999999999999996</v>
          </cell>
          <cell r="E51">
            <v>31.707317073170735</v>
          </cell>
          <cell r="I51">
            <v>0.12328767123287654</v>
          </cell>
        </row>
        <row r="54">
          <cell r="A54" t="str">
            <v>MRK</v>
          </cell>
        </row>
        <row r="55">
          <cell r="A55">
            <v>29586</v>
          </cell>
          <cell r="B55">
            <v>4.7777777778099999</v>
          </cell>
          <cell r="C55">
            <v>3.2361111111400001</v>
          </cell>
          <cell r="D55">
            <v>0.31</v>
          </cell>
          <cell r="E55">
            <v>15.412186380032258</v>
          </cell>
          <cell r="F55">
            <v>10.439068100451614</v>
          </cell>
        </row>
        <row r="56">
          <cell r="A56">
            <v>29951</v>
          </cell>
          <cell r="B56">
            <v>5.7222222222000001</v>
          </cell>
          <cell r="C56">
            <v>4.2361111111199996</v>
          </cell>
          <cell r="D56">
            <v>0.3</v>
          </cell>
          <cell r="E56">
            <v>19.074074074000002</v>
          </cell>
          <cell r="F56">
            <v>14.1203703704</v>
          </cell>
        </row>
        <row r="57">
          <cell r="A57">
            <v>30316</v>
          </cell>
          <cell r="B57">
            <v>4.9027777778099999</v>
          </cell>
          <cell r="C57">
            <v>3.5555555555799998</v>
          </cell>
          <cell r="D57">
            <v>0.31</v>
          </cell>
          <cell r="E57">
            <v>15.81541218648387</v>
          </cell>
          <cell r="F57">
            <v>11.469534050258064</v>
          </cell>
          <cell r="G57">
            <v>1.397754230437394</v>
          </cell>
          <cell r="H57">
            <v>1.4154941456284118</v>
          </cell>
          <cell r="I57">
            <v>3.3333333333333437E-2</v>
          </cell>
        </row>
        <row r="58">
          <cell r="A58">
            <v>30681</v>
          </cell>
          <cell r="B58">
            <v>5.8125</v>
          </cell>
          <cell r="C58">
            <v>4.5416666666900003</v>
          </cell>
          <cell r="D58">
            <v>0.34</v>
          </cell>
          <cell r="E58">
            <v>17.095588235294116</v>
          </cell>
          <cell r="F58">
            <v>13.357843137323529</v>
          </cell>
          <cell r="G58">
            <v>1.3892331476465474</v>
          </cell>
          <cell r="H58">
            <v>1.354709695074809</v>
          </cell>
          <cell r="I58">
            <v>9.6774193548387233E-2</v>
          </cell>
        </row>
        <row r="59">
          <cell r="A59">
            <v>31047</v>
          </cell>
          <cell r="B59">
            <v>5.4166666666900003</v>
          </cell>
          <cell r="C59">
            <v>4.3472222222500001</v>
          </cell>
          <cell r="D59">
            <v>0.37</v>
          </cell>
          <cell r="E59">
            <v>14.639639639702704</v>
          </cell>
          <cell r="F59">
            <v>11.749249249324325</v>
          </cell>
          <cell r="G59">
            <v>1.4295147209943841</v>
          </cell>
          <cell r="H59">
            <v>1.3226052463046731</v>
          </cell>
          <cell r="I59">
            <v>8.8235294117646967E-2</v>
          </cell>
        </row>
        <row r="60">
          <cell r="A60">
            <v>31412</v>
          </cell>
          <cell r="B60">
            <v>7.6527777777999999</v>
          </cell>
          <cell r="C60">
            <v>5.0138888889300004</v>
          </cell>
          <cell r="D60">
            <v>0.42</v>
          </cell>
          <cell r="E60">
            <v>18.220899470952382</v>
          </cell>
          <cell r="F60">
            <v>11.937830687928573</v>
          </cell>
          <cell r="G60">
            <v>1.255576555375032</v>
          </cell>
          <cell r="H60">
            <v>1.0655651658763221</v>
          </cell>
          <cell r="I60">
            <v>0.13513513513513509</v>
          </cell>
        </row>
        <row r="61">
          <cell r="A61">
            <v>31777</v>
          </cell>
          <cell r="B61">
            <v>14.388888889</v>
          </cell>
          <cell r="C61">
            <v>7.4583333332999997</v>
          </cell>
          <cell r="D61">
            <v>0.54</v>
          </cell>
          <cell r="E61">
            <v>26.646090535185184</v>
          </cell>
          <cell r="F61">
            <v>13.811728394999999</v>
          </cell>
          <cell r="G61">
            <v>1.5190369722420529</v>
          </cell>
          <cell r="H61">
            <v>0.98281894520418689</v>
          </cell>
          <cell r="I61">
            <v>0.28571428571428581</v>
          </cell>
        </row>
        <row r="62">
          <cell r="A62">
            <v>32142</v>
          </cell>
          <cell r="B62">
            <v>24.777777777899999</v>
          </cell>
          <cell r="C62">
            <v>13.5555555556</v>
          </cell>
          <cell r="D62">
            <v>0.74</v>
          </cell>
          <cell r="E62">
            <v>33.483483483648648</v>
          </cell>
          <cell r="F62">
            <v>18.318318318378378</v>
          </cell>
          <cell r="G62">
            <v>1.7399440596366997</v>
          </cell>
          <cell r="H62">
            <v>1.4316299150215328</v>
          </cell>
          <cell r="I62">
            <v>0.37037037037037024</v>
          </cell>
        </row>
        <row r="63">
          <cell r="A63">
            <v>32508</v>
          </cell>
          <cell r="B63">
            <v>19.875</v>
          </cell>
          <cell r="C63">
            <v>16</v>
          </cell>
          <cell r="D63">
            <v>1.02</v>
          </cell>
          <cell r="E63">
            <v>19.485294117647058</v>
          </cell>
          <cell r="F63">
            <v>15.686274509803921</v>
          </cell>
          <cell r="G63">
            <v>1.6314451642604442</v>
          </cell>
          <cell r="H63">
            <v>1.5354614829487003</v>
          </cell>
          <cell r="I63">
            <v>0.37837837837837851</v>
          </cell>
        </row>
        <row r="64">
          <cell r="A64">
            <v>32873</v>
          </cell>
          <cell r="B64">
            <v>26.916666666699999</v>
          </cell>
          <cell r="C64">
            <v>18.75</v>
          </cell>
          <cell r="D64">
            <v>1.26</v>
          </cell>
          <cell r="E64">
            <v>21.362433862460318</v>
          </cell>
          <cell r="F64">
            <v>14.880952380952381</v>
          </cell>
          <cell r="G64">
            <v>1.3578623191619439</v>
          </cell>
          <cell r="H64">
            <v>1.2361606223979551</v>
          </cell>
          <cell r="I64">
            <v>0.23529411764705888</v>
          </cell>
        </row>
        <row r="65">
          <cell r="A65">
            <v>33238</v>
          </cell>
          <cell r="B65">
            <v>30.375</v>
          </cell>
          <cell r="C65">
            <v>22.333333333399999</v>
          </cell>
          <cell r="D65">
            <v>1.52</v>
          </cell>
          <cell r="E65">
            <v>19.983552631578949</v>
          </cell>
          <cell r="F65">
            <v>14.692982456184209</v>
          </cell>
          <cell r="G65">
            <v>1.1558450011055557</v>
          </cell>
          <cell r="H65">
            <v>1.0612206241622253</v>
          </cell>
          <cell r="I65">
            <v>0.20634920634920628</v>
          </cell>
        </row>
        <row r="66">
          <cell r="A66">
            <v>33603</v>
          </cell>
          <cell r="B66">
            <v>55.666666667000001</v>
          </cell>
          <cell r="C66">
            <v>27.333333333399999</v>
          </cell>
          <cell r="D66">
            <v>1.83</v>
          </cell>
          <cell r="E66">
            <v>30.41894353387978</v>
          </cell>
          <cell r="F66">
            <v>14.936247723169398</v>
          </cell>
          <cell r="G66">
            <v>1.164713918425424</v>
          </cell>
          <cell r="H66">
            <v>0.76577699489234097</v>
          </cell>
          <cell r="I66">
            <v>0.20394736842105265</v>
          </cell>
        </row>
        <row r="67">
          <cell r="A67">
            <v>33969</v>
          </cell>
          <cell r="B67">
            <v>56.583333332999999</v>
          </cell>
          <cell r="C67">
            <v>40.5</v>
          </cell>
          <cell r="D67">
            <v>2.12</v>
          </cell>
          <cell r="E67">
            <v>26.69025157216981</v>
          </cell>
          <cell r="F67">
            <v>19.10377358490566</v>
          </cell>
          <cell r="G67">
            <v>1.1546340249109901</v>
          </cell>
          <cell r="H67">
            <v>0.92443862543941469</v>
          </cell>
          <cell r="I67">
            <v>0.15846994535519121</v>
          </cell>
        </row>
        <row r="68">
          <cell r="A68">
            <v>34334</v>
          </cell>
          <cell r="B68">
            <v>44.125</v>
          </cell>
          <cell r="C68">
            <v>28.625</v>
          </cell>
          <cell r="D68">
            <v>2.33</v>
          </cell>
          <cell r="E68">
            <v>18.937768240343345</v>
          </cell>
          <cell r="F68">
            <v>12.285407725321887</v>
          </cell>
          <cell r="G68">
            <v>0.87985384358668273</v>
          </cell>
          <cell r="H68">
            <v>0.62651141132745103</v>
          </cell>
          <cell r="I68">
            <v>9.9056603773584939E-2</v>
          </cell>
        </row>
        <row r="69">
          <cell r="A69">
            <v>34699</v>
          </cell>
          <cell r="B69">
            <v>39.5</v>
          </cell>
          <cell r="C69">
            <v>28.125</v>
          </cell>
          <cell r="D69">
            <v>2.38</v>
          </cell>
          <cell r="E69">
            <v>16.596638655462186</v>
          </cell>
          <cell r="F69">
            <v>11.817226890756302</v>
          </cell>
          <cell r="G69">
            <v>1.0531429874896687</v>
          </cell>
          <cell r="H69">
            <v>0.82964057921613099</v>
          </cell>
          <cell r="I69">
            <v>2.1459227467811148E-2</v>
          </cell>
        </row>
        <row r="70">
          <cell r="A70">
            <v>35064</v>
          </cell>
          <cell r="B70">
            <v>67.25</v>
          </cell>
          <cell r="C70">
            <v>36.375</v>
          </cell>
          <cell r="D70">
            <v>2.7</v>
          </cell>
          <cell r="E70">
            <v>24.907407407407405</v>
          </cell>
          <cell r="F70">
            <v>13.472222222222221</v>
          </cell>
          <cell r="G70">
            <v>1.3605744913953184</v>
          </cell>
          <cell r="H70">
            <v>0.99652951725439798</v>
          </cell>
          <cell r="I70">
            <v>0.13445378151260523</v>
          </cell>
        </row>
        <row r="71">
          <cell r="A71">
            <v>35430</v>
          </cell>
          <cell r="B71">
            <v>84.25</v>
          </cell>
          <cell r="C71">
            <v>56.5</v>
          </cell>
          <cell r="D71">
            <v>3.12</v>
          </cell>
          <cell r="E71">
            <v>27.003205128205128</v>
          </cell>
          <cell r="F71">
            <v>18.108974358974358</v>
          </cell>
          <cell r="G71">
            <v>1.463180421329372</v>
          </cell>
          <cell r="H71">
            <v>1.2411945732608076</v>
          </cell>
          <cell r="I71">
            <v>0.15555555555555545</v>
          </cell>
        </row>
        <row r="72">
          <cell r="A72">
            <v>35795</v>
          </cell>
          <cell r="B72">
            <v>108.25</v>
          </cell>
          <cell r="C72">
            <v>75.25</v>
          </cell>
          <cell r="D72">
            <v>3.74</v>
          </cell>
          <cell r="E72">
            <v>28.943850267379677</v>
          </cell>
          <cell r="F72">
            <v>20.12032085561497</v>
          </cell>
          <cell r="G72">
            <v>1.3195211218776148</v>
          </cell>
          <cell r="H72">
            <v>1.2244018268060564</v>
          </cell>
          <cell r="I72">
            <v>0.19871794871794868</v>
          </cell>
        </row>
        <row r="73">
          <cell r="A73">
            <v>36160</v>
          </cell>
          <cell r="B73">
            <v>161.75</v>
          </cell>
          <cell r="C73">
            <v>101.38</v>
          </cell>
          <cell r="D73">
            <v>4.3</v>
          </cell>
          <cell r="E73">
            <v>37.616279069767444</v>
          </cell>
          <cell r="F73">
            <v>23.576744186046511</v>
          </cell>
          <cell r="G73">
            <v>1.3758396174526195</v>
          </cell>
          <cell r="H73">
            <v>1.1543249586933486</v>
          </cell>
          <cell r="I73">
            <v>0.14973262032085555</v>
          </cell>
        </row>
        <row r="74">
          <cell r="A74">
            <v>36525</v>
          </cell>
          <cell r="D74">
            <v>4.91</v>
          </cell>
          <cell r="E74">
            <v>30.689918533604889</v>
          </cell>
          <cell r="G74">
            <v>1.1855535014322911</v>
          </cell>
          <cell r="I74">
            <v>0.14186046511627914</v>
          </cell>
        </row>
        <row r="75">
          <cell r="A75">
            <v>36891</v>
          </cell>
          <cell r="D75">
            <v>5.55</v>
          </cell>
          <cell r="E75">
            <v>27.150900900900901</v>
          </cell>
          <cell r="G75">
            <v>1.0751061943720441</v>
          </cell>
          <cell r="I75">
            <v>0.13034623217922592</v>
          </cell>
        </row>
        <row r="76">
          <cell r="A76">
            <v>37256</v>
          </cell>
          <cell r="D76">
            <v>6.3</v>
          </cell>
          <cell r="E76">
            <v>23.918650793650794</v>
          </cell>
          <cell r="G76">
            <v>0.97550560535671871</v>
          </cell>
          <cell r="I76">
            <v>0.13513513513513509</v>
          </cell>
        </row>
        <row r="77">
          <cell r="A77">
            <v>37621</v>
          </cell>
          <cell r="D77">
            <v>7.05</v>
          </cell>
          <cell r="E77">
            <v>21.374113475177307</v>
          </cell>
          <cell r="I77">
            <v>0.11904761904761907</v>
          </cell>
        </row>
        <row r="80">
          <cell r="A80" t="str">
            <v>SGP</v>
          </cell>
        </row>
        <row r="81">
          <cell r="A81">
            <v>29586</v>
          </cell>
          <cell r="B81">
            <v>1.42578125</v>
          </cell>
          <cell r="C81">
            <v>0.91015625</v>
          </cell>
          <cell r="D81">
            <v>0.14000000000000001</v>
          </cell>
          <cell r="E81">
            <v>10.184151785714285</v>
          </cell>
          <cell r="F81">
            <v>6.5011160714285712</v>
          </cell>
        </row>
        <row r="82">
          <cell r="A82">
            <v>29951</v>
          </cell>
          <cell r="B82">
            <v>1.328125</v>
          </cell>
          <cell r="C82">
            <v>0.77734375</v>
          </cell>
          <cell r="D82">
            <v>0.10249999999999999</v>
          </cell>
          <cell r="E82">
            <v>12.957317073170733</v>
          </cell>
          <cell r="F82">
            <v>7.5838414634146343</v>
          </cell>
        </row>
        <row r="83">
          <cell r="A83">
            <v>30316</v>
          </cell>
          <cell r="B83">
            <v>1.3671875</v>
          </cell>
          <cell r="C83">
            <v>0.8203125</v>
          </cell>
          <cell r="D83">
            <v>0.105</v>
          </cell>
          <cell r="E83">
            <v>13.020833333333334</v>
          </cell>
          <cell r="F83">
            <v>7.8125</v>
          </cell>
          <cell r="G83">
            <v>1.1507714538759148</v>
          </cell>
          <cell r="H83">
            <v>0.96416715485256788</v>
          </cell>
          <cell r="I83">
            <v>2.4390243902439046E-2</v>
          </cell>
        </row>
        <row r="84">
          <cell r="A84">
            <v>30681</v>
          </cell>
          <cell r="B84">
            <v>1.50390625</v>
          </cell>
          <cell r="C84">
            <v>1.1484375</v>
          </cell>
          <cell r="D84">
            <v>0.1075</v>
          </cell>
          <cell r="E84">
            <v>13.989825581395349</v>
          </cell>
          <cell r="F84">
            <v>10.683139534883722</v>
          </cell>
          <cell r="G84">
            <v>1.1368505815637227</v>
          </cell>
          <cell r="H84">
            <v>1.0834498169323306</v>
          </cell>
          <cell r="I84">
            <v>2.3809523809523725E-2</v>
          </cell>
        </row>
        <row r="85">
          <cell r="A85">
            <v>31047</v>
          </cell>
          <cell r="B85">
            <v>1.25</v>
          </cell>
          <cell r="C85">
            <v>1.03125</v>
          </cell>
          <cell r="D85">
            <v>0.11</v>
          </cell>
          <cell r="E85">
            <v>11.363636363636363</v>
          </cell>
          <cell r="F85">
            <v>9.375</v>
          </cell>
          <cell r="G85">
            <v>1.1096233148929586</v>
          </cell>
          <cell r="H85">
            <v>1.0553375727235828</v>
          </cell>
          <cell r="I85">
            <v>2.3255813953488413E-2</v>
          </cell>
        </row>
        <row r="86">
          <cell r="A86">
            <v>31412</v>
          </cell>
          <cell r="B86">
            <v>2.078125</v>
          </cell>
          <cell r="C86">
            <v>1.1015625</v>
          </cell>
          <cell r="D86">
            <v>0.11749999999999999</v>
          </cell>
          <cell r="E86">
            <v>17.686170212765958</v>
          </cell>
          <cell r="F86">
            <v>9.375</v>
          </cell>
          <cell r="G86">
            <v>1.2187291142746468</v>
          </cell>
          <cell r="H86">
            <v>0.8368081011730204</v>
          </cell>
          <cell r="I86">
            <v>6.8181818181818121E-2</v>
          </cell>
        </row>
        <row r="87">
          <cell r="A87">
            <v>31777</v>
          </cell>
          <cell r="B87">
            <v>2.75</v>
          </cell>
          <cell r="C87">
            <v>1.75</v>
          </cell>
          <cell r="D87">
            <v>0.13500000000000001</v>
          </cell>
          <cell r="E87">
            <v>20.37037037037037</v>
          </cell>
          <cell r="F87">
            <v>12.962962962962962</v>
          </cell>
          <cell r="G87">
            <v>1.1612715077282005</v>
          </cell>
          <cell r="H87">
            <v>0.9224222502516275</v>
          </cell>
          <cell r="I87">
            <v>0.14893617021276606</v>
          </cell>
        </row>
        <row r="88">
          <cell r="A88">
            <v>32142</v>
          </cell>
          <cell r="B88">
            <v>3.453125</v>
          </cell>
          <cell r="C88">
            <v>1.953125</v>
          </cell>
          <cell r="D88">
            <v>0.17</v>
          </cell>
          <cell r="E88">
            <v>20.3125</v>
          </cell>
          <cell r="F88">
            <v>11.488970588235293</v>
          </cell>
          <cell r="G88">
            <v>1.0555237996258575</v>
          </cell>
          <cell r="H88">
            <v>0.89789650452892833</v>
          </cell>
          <cell r="I88">
            <v>0.2592592592592593</v>
          </cell>
        </row>
        <row r="89">
          <cell r="A89">
            <v>32508</v>
          </cell>
          <cell r="B89">
            <v>3.7109375</v>
          </cell>
          <cell r="C89">
            <v>2.828125</v>
          </cell>
          <cell r="D89">
            <v>0.2175</v>
          </cell>
          <cell r="E89">
            <v>17.061781609195403</v>
          </cell>
          <cell r="F89">
            <v>13.00287356321839</v>
          </cell>
          <cell r="G89">
            <v>1.4285317394711654</v>
          </cell>
          <cell r="H89">
            <v>1.2727949846533273</v>
          </cell>
          <cell r="I89">
            <v>0.27941176470588225</v>
          </cell>
        </row>
        <row r="90">
          <cell r="A90">
            <v>32873</v>
          </cell>
          <cell r="B90">
            <v>5.375</v>
          </cell>
          <cell r="C90">
            <v>3.4609375</v>
          </cell>
          <cell r="D90">
            <v>0.26250000000000001</v>
          </cell>
          <cell r="E90">
            <v>20.476190476190474</v>
          </cell>
          <cell r="F90">
            <v>13.184523809523808</v>
          </cell>
          <cell r="G90">
            <v>1.3015299505016014</v>
          </cell>
          <cell r="H90">
            <v>1.0952383114445881</v>
          </cell>
          <cell r="I90">
            <v>0.2068965517241379</v>
          </cell>
        </row>
        <row r="91">
          <cell r="A91">
            <v>33238</v>
          </cell>
          <cell r="B91">
            <v>6.34375</v>
          </cell>
          <cell r="C91">
            <v>4.6171875</v>
          </cell>
          <cell r="D91">
            <v>0.3125</v>
          </cell>
          <cell r="E91">
            <v>20.3</v>
          </cell>
          <cell r="F91">
            <v>14.775</v>
          </cell>
          <cell r="G91">
            <v>1.1741482585716223</v>
          </cell>
          <cell r="H91">
            <v>1.067144452717796</v>
          </cell>
          <cell r="I91">
            <v>0.19047619047619047</v>
          </cell>
        </row>
        <row r="92">
          <cell r="A92">
            <v>33603</v>
          </cell>
          <cell r="B92">
            <v>8.390625</v>
          </cell>
          <cell r="C92">
            <v>5.09375</v>
          </cell>
          <cell r="D92">
            <v>0.3775</v>
          </cell>
          <cell r="E92">
            <v>22.226821192052981</v>
          </cell>
          <cell r="F92">
            <v>13.493377483443709</v>
          </cell>
          <cell r="G92">
            <v>0.851044940988962</v>
          </cell>
          <cell r="H92">
            <v>0.69180146524959396</v>
          </cell>
          <cell r="I92">
            <v>0.20799999999999996</v>
          </cell>
        </row>
        <row r="93">
          <cell r="A93">
            <v>33969</v>
          </cell>
          <cell r="B93">
            <v>8.765625</v>
          </cell>
          <cell r="C93">
            <v>6.234375</v>
          </cell>
          <cell r="D93">
            <v>0.45</v>
          </cell>
          <cell r="E93">
            <v>19.479166666666668</v>
          </cell>
          <cell r="F93">
            <v>13.854166666666666</v>
          </cell>
          <cell r="G93">
            <v>0.84267877915760225</v>
          </cell>
          <cell r="H93">
            <v>0.67040821715251375</v>
          </cell>
          <cell r="I93">
            <v>0.19205298013245042</v>
          </cell>
        </row>
        <row r="94">
          <cell r="A94">
            <v>34334</v>
          </cell>
          <cell r="B94">
            <v>8.875</v>
          </cell>
          <cell r="C94">
            <v>6.46875</v>
          </cell>
          <cell r="D94">
            <v>0.53</v>
          </cell>
          <cell r="E94">
            <v>16.745283018867923</v>
          </cell>
          <cell r="F94">
            <v>12.205188679245282</v>
          </cell>
          <cell r="G94">
            <v>0.77799038614861793</v>
          </cell>
          <cell r="H94">
            <v>0.62242052977948203</v>
          </cell>
          <cell r="I94">
            <v>0.17777777777777781</v>
          </cell>
        </row>
        <row r="95">
          <cell r="A95">
            <v>34699</v>
          </cell>
          <cell r="B95">
            <v>9.484375</v>
          </cell>
          <cell r="C95">
            <v>6.8125</v>
          </cell>
          <cell r="D95">
            <v>0.60250000000000004</v>
          </cell>
          <cell r="E95">
            <v>15.741701244813276</v>
          </cell>
          <cell r="F95">
            <v>11.307053941908713</v>
          </cell>
          <cell r="G95">
            <v>0.99889276505253977</v>
          </cell>
          <cell r="H95">
            <v>0.79382336214015192</v>
          </cell>
          <cell r="I95">
            <v>0.1367924528301887</v>
          </cell>
        </row>
        <row r="96">
          <cell r="A96">
            <v>35064</v>
          </cell>
          <cell r="B96">
            <v>15.1875</v>
          </cell>
          <cell r="C96">
            <v>8.875</v>
          </cell>
          <cell r="D96">
            <v>0.71250000000000002</v>
          </cell>
          <cell r="E96">
            <v>21.315789473684209</v>
          </cell>
          <cell r="F96">
            <v>12.456140350877192</v>
          </cell>
          <cell r="G96">
            <v>1.1643813002080068</v>
          </cell>
          <cell r="H96">
            <v>0.92137075279516767</v>
          </cell>
          <cell r="I96">
            <v>0.18257261410788383</v>
          </cell>
        </row>
        <row r="97">
          <cell r="A97">
            <v>35430</v>
          </cell>
          <cell r="B97">
            <v>18.28125</v>
          </cell>
          <cell r="C97">
            <v>12.625</v>
          </cell>
          <cell r="D97">
            <v>0.81499999999999995</v>
          </cell>
          <cell r="E97">
            <v>22.430981595092025</v>
          </cell>
          <cell r="F97">
            <v>15.490797546012271</v>
          </cell>
          <cell r="G97">
            <v>1.2154324994130681</v>
          </cell>
          <cell r="H97">
            <v>1.0617439435527058</v>
          </cell>
          <cell r="I97">
            <v>0.1438596491228068</v>
          </cell>
        </row>
        <row r="98">
          <cell r="A98">
            <v>35795</v>
          </cell>
          <cell r="B98">
            <v>32</v>
          </cell>
          <cell r="C98">
            <v>15.8125</v>
          </cell>
          <cell r="D98">
            <v>0.97</v>
          </cell>
          <cell r="E98">
            <v>32.989690721649488</v>
          </cell>
          <cell r="F98">
            <v>16.301546391752577</v>
          </cell>
          <cell r="G98">
            <v>1.5039669328474365</v>
          </cell>
          <cell r="H98">
            <v>0.99201415946880389</v>
          </cell>
          <cell r="I98">
            <v>0.19018404907975461</v>
          </cell>
        </row>
        <row r="99">
          <cell r="A99">
            <v>36160</v>
          </cell>
          <cell r="B99">
            <v>57.75</v>
          </cell>
          <cell r="C99">
            <v>30.34</v>
          </cell>
          <cell r="D99">
            <v>1.18</v>
          </cell>
          <cell r="E99">
            <v>48.940677966101696</v>
          </cell>
          <cell r="F99">
            <v>25.711864406779661</v>
          </cell>
          <cell r="G99">
            <v>1.7900367956614451</v>
          </cell>
          <cell r="H99">
            <v>1.2588611296402163</v>
          </cell>
          <cell r="I99">
            <v>0.21649484536082464</v>
          </cell>
        </row>
        <row r="100">
          <cell r="A100">
            <v>36525</v>
          </cell>
          <cell r="D100">
            <v>1.37</v>
          </cell>
          <cell r="E100">
            <v>39.644160583941606</v>
          </cell>
          <cell r="G100">
            <v>1.5314564403346842</v>
          </cell>
          <cell r="I100">
            <v>0.16101694915254261</v>
          </cell>
        </row>
        <row r="101">
          <cell r="A101">
            <v>36891</v>
          </cell>
          <cell r="D101">
            <v>1.62</v>
          </cell>
          <cell r="E101">
            <v>33.526234567901234</v>
          </cell>
          <cell r="G101">
            <v>1.3275530926019761</v>
          </cell>
          <cell r="I101">
            <v>0.18248175182481741</v>
          </cell>
        </row>
        <row r="102">
          <cell r="A102">
            <v>37256</v>
          </cell>
          <cell r="D102">
            <v>1.88</v>
          </cell>
          <cell r="E102">
            <v>28.889627659574469</v>
          </cell>
          <cell r="G102">
            <v>1.1782434536844488</v>
          </cell>
          <cell r="I102">
            <v>0.16049382716049365</v>
          </cell>
        </row>
        <row r="103">
          <cell r="A103">
            <v>37621</v>
          </cell>
          <cell r="D103">
            <v>2.17</v>
          </cell>
          <cell r="E103">
            <v>25.028801843317972</v>
          </cell>
          <cell r="I103">
            <v>0.1542553191489362</v>
          </cell>
        </row>
        <row r="106">
          <cell r="A106" t="str">
            <v>AHP</v>
          </cell>
        </row>
        <row r="107">
          <cell r="A107">
            <v>29586</v>
          </cell>
          <cell r="B107">
            <v>3.984375</v>
          </cell>
          <cell r="C107">
            <v>2.671875</v>
          </cell>
          <cell r="D107">
            <v>0.35499999999999998</v>
          </cell>
          <cell r="E107">
            <v>11.223591549295776</v>
          </cell>
          <cell r="F107">
            <v>7.5264084507042259</v>
          </cell>
        </row>
        <row r="108">
          <cell r="A108">
            <v>29951</v>
          </cell>
          <cell r="B108">
            <v>4.65625</v>
          </cell>
          <cell r="C108">
            <v>3.515625</v>
          </cell>
          <cell r="D108">
            <v>0.4</v>
          </cell>
          <cell r="E108">
            <v>11.640625</v>
          </cell>
          <cell r="F108">
            <v>8.7890625</v>
          </cell>
        </row>
        <row r="109">
          <cell r="A109">
            <v>30316</v>
          </cell>
          <cell r="B109">
            <v>6</v>
          </cell>
          <cell r="C109">
            <v>4.15625</v>
          </cell>
          <cell r="D109">
            <v>0.45</v>
          </cell>
          <cell r="E109">
            <v>13.333333333333332</v>
          </cell>
          <cell r="F109">
            <v>9.2361111111111107</v>
          </cell>
          <cell r="G109">
            <v>1.1783899687689365</v>
          </cell>
          <cell r="H109">
            <v>1.1398598364034802</v>
          </cell>
          <cell r="I109">
            <v>0.125</v>
          </cell>
        </row>
        <row r="110">
          <cell r="A110">
            <v>30681</v>
          </cell>
          <cell r="B110">
            <v>6.78125</v>
          </cell>
          <cell r="C110">
            <v>5.21875</v>
          </cell>
          <cell r="D110">
            <v>0.5</v>
          </cell>
          <cell r="E110">
            <v>13.5625</v>
          </cell>
          <cell r="F110">
            <v>10.4375</v>
          </cell>
          <cell r="G110">
            <v>1.1021249637995945</v>
          </cell>
          <cell r="H110">
            <v>1.0585378415498046</v>
          </cell>
          <cell r="I110">
            <v>0.11111111111111116</v>
          </cell>
        </row>
        <row r="111">
          <cell r="A111">
            <v>31047</v>
          </cell>
          <cell r="B111">
            <v>6.96875</v>
          </cell>
          <cell r="C111">
            <v>5.84375</v>
          </cell>
          <cell r="D111">
            <v>0.53500000000000003</v>
          </cell>
          <cell r="E111">
            <v>13.025700934579438</v>
          </cell>
          <cell r="F111">
            <v>10.922897196261681</v>
          </cell>
          <cell r="G111">
            <v>1.2719186875852466</v>
          </cell>
          <cell r="H111">
            <v>1.2295833401826166</v>
          </cell>
          <cell r="I111">
            <v>7.0000000000000062E-2</v>
          </cell>
        </row>
        <row r="112">
          <cell r="A112">
            <v>31412</v>
          </cell>
          <cell r="B112">
            <v>8.359375</v>
          </cell>
          <cell r="C112">
            <v>6.265625</v>
          </cell>
          <cell r="D112">
            <v>0.59</v>
          </cell>
          <cell r="E112">
            <v>14.16843220338983</v>
          </cell>
          <cell r="F112">
            <v>10.619703389830509</v>
          </cell>
          <cell r="G112">
            <v>0.97632673564534189</v>
          </cell>
          <cell r="H112">
            <v>0.94790974172424058</v>
          </cell>
          <cell r="I112">
            <v>0.10280373831775691</v>
          </cell>
        </row>
        <row r="113">
          <cell r="A113">
            <v>31777</v>
          </cell>
          <cell r="B113">
            <v>11.859375</v>
          </cell>
          <cell r="C113">
            <v>7.65625</v>
          </cell>
          <cell r="D113">
            <v>0.63500000000000001</v>
          </cell>
          <cell r="E113">
            <v>18.676181102362204</v>
          </cell>
          <cell r="F113">
            <v>12.057086614173228</v>
          </cell>
          <cell r="G113">
            <v>1.0646893793787586</v>
          </cell>
          <cell r="H113">
            <v>0.85796164024388588</v>
          </cell>
          <cell r="I113">
            <v>7.6271186440677985E-2</v>
          </cell>
        </row>
        <row r="114">
          <cell r="A114">
            <v>32142</v>
          </cell>
          <cell r="B114">
            <v>12.09375</v>
          </cell>
          <cell r="C114">
            <v>7.75</v>
          </cell>
          <cell r="D114">
            <v>0.71499999999999997</v>
          </cell>
          <cell r="E114">
            <v>16.914335664335667</v>
          </cell>
          <cell r="F114">
            <v>10.83916083916084</v>
          </cell>
          <cell r="G114">
            <v>0.87894074331405458</v>
          </cell>
          <cell r="H114">
            <v>0.84711198055249515</v>
          </cell>
          <cell r="I114">
            <v>0.12598425196850394</v>
          </cell>
        </row>
        <row r="115">
          <cell r="A115">
            <v>32508</v>
          </cell>
          <cell r="B115">
            <v>10.71875</v>
          </cell>
          <cell r="C115">
            <v>8.796875</v>
          </cell>
          <cell r="D115">
            <v>0.8</v>
          </cell>
          <cell r="E115">
            <v>13.3984375</v>
          </cell>
          <cell r="F115">
            <v>10.99609375</v>
          </cell>
          <cell r="G115">
            <v>1.1218109378305012</v>
          </cell>
          <cell r="H115">
            <v>1.0763599990211434</v>
          </cell>
          <cell r="I115">
            <v>0.11888111888111896</v>
          </cell>
        </row>
        <row r="116">
          <cell r="A116">
            <v>32873</v>
          </cell>
          <cell r="B116">
            <v>13.671875</v>
          </cell>
          <cell r="C116">
            <v>9.96875</v>
          </cell>
          <cell r="D116">
            <v>0.88500000000000001</v>
          </cell>
          <cell r="E116">
            <v>15.448446327683616</v>
          </cell>
          <cell r="F116">
            <v>11.264124293785311</v>
          </cell>
          <cell r="G116">
            <v>0.98195099364681571</v>
          </cell>
          <cell r="H116">
            <v>0.93571073553038431</v>
          </cell>
          <cell r="I116">
            <v>0.10624999999999996</v>
          </cell>
        </row>
        <row r="117">
          <cell r="A117">
            <v>33238</v>
          </cell>
          <cell r="B117">
            <v>13.78125</v>
          </cell>
          <cell r="C117">
            <v>10.75</v>
          </cell>
          <cell r="D117">
            <v>0.92500000000000004</v>
          </cell>
          <cell r="E117">
            <v>14.898648648648647</v>
          </cell>
          <cell r="F117">
            <v>11.621621621621621</v>
          </cell>
          <cell r="G117">
            <v>0.86173509191533315</v>
          </cell>
          <cell r="H117">
            <v>0.83938741421987884</v>
          </cell>
          <cell r="I117">
            <v>4.5197740112994378E-2</v>
          </cell>
        </row>
        <row r="118">
          <cell r="A118">
            <v>33603</v>
          </cell>
          <cell r="B118">
            <v>21.5625</v>
          </cell>
          <cell r="C118">
            <v>11.625</v>
          </cell>
          <cell r="D118">
            <v>1.0900000000000001</v>
          </cell>
          <cell r="E118">
            <v>19.782110091743117</v>
          </cell>
          <cell r="F118">
            <v>10.665137614678898</v>
          </cell>
          <cell r="G118">
            <v>0.75743915741239931</v>
          </cell>
          <cell r="H118">
            <v>0.54679844523555166</v>
          </cell>
          <cell r="I118">
            <v>0.17837837837837833</v>
          </cell>
        </row>
        <row r="119">
          <cell r="A119">
            <v>33969</v>
          </cell>
          <cell r="B119">
            <v>21.0625</v>
          </cell>
          <cell r="C119">
            <v>15.5625</v>
          </cell>
          <cell r="D119">
            <v>1.165</v>
          </cell>
          <cell r="E119">
            <v>18.079399141630901</v>
          </cell>
          <cell r="F119">
            <v>13.358369098712446</v>
          </cell>
          <cell r="G119">
            <v>0.78212411533206561</v>
          </cell>
          <cell r="H119">
            <v>0.64641639060689637</v>
          </cell>
          <cell r="I119">
            <v>6.8807339449541205E-2</v>
          </cell>
        </row>
        <row r="120">
          <cell r="A120">
            <v>34334</v>
          </cell>
          <cell r="B120">
            <v>17.25</v>
          </cell>
          <cell r="C120">
            <v>13.875</v>
          </cell>
          <cell r="D120">
            <v>1.1850000000000001</v>
          </cell>
          <cell r="E120">
            <v>14.556962025316455</v>
          </cell>
          <cell r="F120">
            <v>11.708860759493671</v>
          </cell>
          <cell r="G120">
            <v>0.67632039986818704</v>
          </cell>
          <cell r="H120">
            <v>0.59710959892255333</v>
          </cell>
          <cell r="I120">
            <v>1.7167381974249052E-2</v>
          </cell>
        </row>
        <row r="121">
          <cell r="A121">
            <v>34699</v>
          </cell>
          <cell r="B121">
            <v>16.8125</v>
          </cell>
          <cell r="C121">
            <v>13.84375</v>
          </cell>
          <cell r="D121">
            <v>1.2450000000000001</v>
          </cell>
          <cell r="E121">
            <v>13.504016064257026</v>
          </cell>
          <cell r="F121">
            <v>11.119477911646586</v>
          </cell>
          <cell r="G121">
            <v>0.85690000946906042</v>
          </cell>
          <cell r="H121">
            <v>0.78065439383376667</v>
          </cell>
          <cell r="I121">
            <v>5.0632911392405111E-2</v>
          </cell>
        </row>
        <row r="122">
          <cell r="A122">
            <v>35064</v>
          </cell>
          <cell r="B122">
            <v>24.96875</v>
          </cell>
          <cell r="C122">
            <v>15.4375</v>
          </cell>
          <cell r="D122">
            <v>1.355</v>
          </cell>
          <cell r="E122">
            <v>18.427121771217713</v>
          </cell>
          <cell r="F122">
            <v>11.392988929889299</v>
          </cell>
          <cell r="G122">
            <v>1.0065869731707981</v>
          </cell>
          <cell r="H122">
            <v>0.84273029134421074</v>
          </cell>
          <cell r="I122">
            <v>8.8353413654618462E-2</v>
          </cell>
        </row>
        <row r="123">
          <cell r="A123">
            <v>35430</v>
          </cell>
          <cell r="B123">
            <v>33.25</v>
          </cell>
          <cell r="C123">
            <v>23.5</v>
          </cell>
          <cell r="D123">
            <v>1.46</v>
          </cell>
          <cell r="E123">
            <v>22.773972602739725</v>
          </cell>
          <cell r="F123">
            <v>16.095890410958905</v>
          </cell>
          <cell r="G123">
            <v>1.2340176164278611</v>
          </cell>
          <cell r="H123">
            <v>1.1032171913138857</v>
          </cell>
          <cell r="I123">
            <v>7.7490774907749138E-2</v>
          </cell>
        </row>
        <row r="124">
          <cell r="A124">
            <v>35795</v>
          </cell>
          <cell r="B124">
            <v>42.4375</v>
          </cell>
          <cell r="C124">
            <v>28.5</v>
          </cell>
          <cell r="D124">
            <v>1.65</v>
          </cell>
          <cell r="E124">
            <v>25.719696969696972</v>
          </cell>
          <cell r="F124">
            <v>17.272727272727273</v>
          </cell>
          <cell r="G124">
            <v>1.1725352047600701</v>
          </cell>
          <cell r="H124">
            <v>1.0511143921816777</v>
          </cell>
          <cell r="I124">
            <v>0.13013698630136994</v>
          </cell>
        </row>
        <row r="125">
          <cell r="A125">
            <v>36160</v>
          </cell>
          <cell r="B125">
            <v>58.75</v>
          </cell>
          <cell r="C125">
            <v>37.75</v>
          </cell>
          <cell r="D125">
            <v>1.78</v>
          </cell>
          <cell r="E125">
            <v>33.00561797752809</v>
          </cell>
          <cell r="F125">
            <v>21.207865168539325</v>
          </cell>
          <cell r="G125">
            <v>1.2072017205042043</v>
          </cell>
          <cell r="H125">
            <v>1.0383438820673458</v>
          </cell>
          <cell r="I125">
            <v>7.8787878787878851E-2</v>
          </cell>
        </row>
        <row r="126">
          <cell r="A126">
            <v>36525</v>
          </cell>
          <cell r="D126">
            <v>1.9</v>
          </cell>
          <cell r="E126">
            <v>30.723684210526319</v>
          </cell>
          <cell r="G126">
            <v>1.1868578716755225</v>
          </cell>
          <cell r="I126">
            <v>6.7415730337078594E-2</v>
          </cell>
        </row>
        <row r="127">
          <cell r="A127">
            <v>36891</v>
          </cell>
          <cell r="D127">
            <v>2.1800000000000002</v>
          </cell>
          <cell r="E127">
            <v>26.777522935779814</v>
          </cell>
          <cell r="G127">
            <v>1.0603213824570041</v>
          </cell>
          <cell r="I127">
            <v>0.14736842105263182</v>
          </cell>
        </row>
        <row r="128">
          <cell r="A128">
            <v>37256</v>
          </cell>
          <cell r="D128">
            <v>2.5499999999999998</v>
          </cell>
          <cell r="E128">
            <v>22.8921568627451</v>
          </cell>
          <cell r="G128">
            <v>0.93364076138613128</v>
          </cell>
          <cell r="I128">
            <v>0.16972477064220159</v>
          </cell>
        </row>
        <row r="129">
          <cell r="A129">
            <v>37621</v>
          </cell>
          <cell r="D129">
            <v>2.9</v>
          </cell>
          <cell r="E129">
            <v>20.129310344827587</v>
          </cell>
          <cell r="I129">
            <v>0.13725490196078427</v>
          </cell>
        </row>
        <row r="158">
          <cell r="A158" t="str">
            <v>JNJ</v>
          </cell>
        </row>
        <row r="159">
          <cell r="A159">
            <v>29586</v>
          </cell>
          <cell r="B159">
            <v>4.2239583333099997</v>
          </cell>
          <cell r="C159">
            <v>2.75</v>
          </cell>
          <cell r="D159">
            <v>0.27</v>
          </cell>
          <cell r="E159">
            <v>15.644290123370368</v>
          </cell>
          <cell r="F159">
            <v>10.185185185185185</v>
          </cell>
        </row>
        <row r="160">
          <cell r="A160">
            <v>29951</v>
          </cell>
          <cell r="B160">
            <v>4.921875</v>
          </cell>
          <cell r="C160">
            <v>3.53125</v>
          </cell>
          <cell r="D160">
            <v>0.31</v>
          </cell>
          <cell r="E160">
            <v>15.877016129032258</v>
          </cell>
          <cell r="F160">
            <v>11.391129032258064</v>
          </cell>
        </row>
        <row r="161">
          <cell r="A161">
            <v>30316</v>
          </cell>
          <cell r="B161">
            <v>6.40625</v>
          </cell>
          <cell r="C161">
            <v>4.0625</v>
          </cell>
          <cell r="D161">
            <v>0.35</v>
          </cell>
          <cell r="E161">
            <v>18.303571428571431</v>
          </cell>
          <cell r="F161">
            <v>11.607142857142858</v>
          </cell>
          <cell r="G161">
            <v>1.6176558723055716</v>
          </cell>
          <cell r="H161">
            <v>1.432476915780958</v>
          </cell>
          <cell r="I161">
            <v>0.12903225806451601</v>
          </cell>
        </row>
        <row r="162">
          <cell r="A162">
            <v>30681</v>
          </cell>
          <cell r="B162">
            <v>6.4375</v>
          </cell>
          <cell r="C162">
            <v>4.875</v>
          </cell>
          <cell r="D162">
            <v>0.36</v>
          </cell>
          <cell r="E162">
            <v>17.881944444444446</v>
          </cell>
          <cell r="F162">
            <v>13.541666666666668</v>
          </cell>
          <cell r="G162">
            <v>1.4531345528847701</v>
          </cell>
          <cell r="H162">
            <v>1.3733524890366728</v>
          </cell>
          <cell r="I162">
            <v>2.8571428571428692E-2</v>
          </cell>
        </row>
        <row r="163">
          <cell r="A163">
            <v>31047</v>
          </cell>
          <cell r="B163">
            <v>5.359375</v>
          </cell>
          <cell r="C163">
            <v>3.5</v>
          </cell>
          <cell r="D163">
            <v>0.34</v>
          </cell>
          <cell r="E163">
            <v>15.762867647058822</v>
          </cell>
          <cell r="F163">
            <v>10.294117647058822</v>
          </cell>
          <cell r="G163">
            <v>1.5391943996658577</v>
          </cell>
          <cell r="H163">
            <v>1.1588020406376593</v>
          </cell>
          <cell r="I163">
            <v>-5.5555555555555469E-2</v>
          </cell>
        </row>
        <row r="164">
          <cell r="A164">
            <v>31412</v>
          </cell>
          <cell r="B164">
            <v>6.90625</v>
          </cell>
          <cell r="C164">
            <v>4.390625</v>
          </cell>
          <cell r="D164">
            <v>0.42</v>
          </cell>
          <cell r="E164">
            <v>16.443452380952383</v>
          </cell>
          <cell r="F164">
            <v>10.453869047619047</v>
          </cell>
          <cell r="G164">
            <v>1.1330951763310739</v>
          </cell>
          <cell r="H164">
            <v>0.93310744614928065</v>
          </cell>
          <cell r="I164">
            <v>0.23529411764705865</v>
          </cell>
        </row>
        <row r="165">
          <cell r="A165">
            <v>31777</v>
          </cell>
          <cell r="B165">
            <v>9.28125</v>
          </cell>
          <cell r="C165">
            <v>5.71875</v>
          </cell>
          <cell r="D165">
            <v>0.23</v>
          </cell>
          <cell r="E165">
            <v>40.353260869565219</v>
          </cell>
          <cell r="F165">
            <v>24.864130434782609</v>
          </cell>
          <cell r="G165">
            <v>2.3004536117767889</v>
          </cell>
          <cell r="H165">
            <v>1.769288951278452</v>
          </cell>
          <cell r="I165">
            <v>-0.45238095238095233</v>
          </cell>
        </row>
        <row r="166">
          <cell r="A166">
            <v>32142</v>
          </cell>
          <cell r="B166">
            <v>13.171875</v>
          </cell>
          <cell r="C166">
            <v>6.875</v>
          </cell>
          <cell r="D166">
            <v>0.6</v>
          </cell>
          <cell r="E166">
            <v>21.953125</v>
          </cell>
          <cell r="F166">
            <v>11.458333333333334</v>
          </cell>
          <cell r="G166">
            <v>1.1407776449802536</v>
          </cell>
          <cell r="H166">
            <v>0.89550211385018463</v>
          </cell>
          <cell r="I166">
            <v>1.6086956521739126</v>
          </cell>
        </row>
        <row r="167">
          <cell r="A167">
            <v>32508</v>
          </cell>
          <cell r="B167">
            <v>11.015625</v>
          </cell>
          <cell r="C167">
            <v>8.65625</v>
          </cell>
          <cell r="D167">
            <v>0.72</v>
          </cell>
          <cell r="E167">
            <v>15.299479166666668</v>
          </cell>
          <cell r="F167">
            <v>12.022569444444445</v>
          </cell>
          <cell r="G167">
            <v>1.280979447959999</v>
          </cell>
          <cell r="H167">
            <v>1.1768372596363004</v>
          </cell>
          <cell r="I167">
            <v>0.19999999999999996</v>
          </cell>
        </row>
        <row r="168">
          <cell r="A168">
            <v>32873</v>
          </cell>
          <cell r="B168">
            <v>14.875</v>
          </cell>
          <cell r="C168">
            <v>10.375</v>
          </cell>
          <cell r="D168">
            <v>0.81</v>
          </cell>
          <cell r="E168">
            <v>18.364197530864196</v>
          </cell>
          <cell r="F168">
            <v>12.808641975308641</v>
          </cell>
          <cell r="G168">
            <v>1.1672851515588221</v>
          </cell>
          <cell r="H168">
            <v>1.0640138097973508</v>
          </cell>
          <cell r="I168">
            <v>0.12500000000000022</v>
          </cell>
        </row>
        <row r="169">
          <cell r="A169">
            <v>33238</v>
          </cell>
          <cell r="B169">
            <v>18.53125</v>
          </cell>
          <cell r="C169">
            <v>12.78125</v>
          </cell>
          <cell r="D169">
            <v>0.95</v>
          </cell>
          <cell r="E169">
            <v>19.506578947368421</v>
          </cell>
          <cell r="F169">
            <v>13.453947368421053</v>
          </cell>
          <cell r="G169">
            <v>1.1282569311203201</v>
          </cell>
          <cell r="H169">
            <v>0.97172963122624145</v>
          </cell>
          <cell r="I169">
            <v>0.17283950617283939</v>
          </cell>
        </row>
        <row r="170">
          <cell r="A170">
            <v>33603</v>
          </cell>
          <cell r="B170">
            <v>29.0625</v>
          </cell>
          <cell r="C170">
            <v>16.34375</v>
          </cell>
          <cell r="D170">
            <v>1.1000000000000001</v>
          </cell>
          <cell r="E170">
            <v>26.420454545454543</v>
          </cell>
          <cell r="F170">
            <v>14.857954545454545</v>
          </cell>
          <cell r="G170">
            <v>1.0116153805915009</v>
          </cell>
          <cell r="H170">
            <v>0.76176292687055469</v>
          </cell>
          <cell r="I170">
            <v>0.15789473684210531</v>
          </cell>
        </row>
        <row r="171">
          <cell r="A171">
            <v>33969</v>
          </cell>
          <cell r="B171">
            <v>29.34375</v>
          </cell>
          <cell r="C171">
            <v>21.5</v>
          </cell>
          <cell r="D171">
            <v>1.23</v>
          </cell>
          <cell r="E171">
            <v>23.85670731707317</v>
          </cell>
          <cell r="F171">
            <v>17.479674796747968</v>
          </cell>
          <cell r="G171">
            <v>1.0320534415403526</v>
          </cell>
          <cell r="H171">
            <v>0.84584788813667611</v>
          </cell>
          <cell r="I171">
            <v>0.11818181818181817</v>
          </cell>
        </row>
        <row r="172">
          <cell r="A172">
            <v>34334</v>
          </cell>
          <cell r="B172">
            <v>25.1875</v>
          </cell>
          <cell r="C172">
            <v>17.8125</v>
          </cell>
          <cell r="D172">
            <v>1.37</v>
          </cell>
          <cell r="E172">
            <v>18.385036496350363</v>
          </cell>
          <cell r="F172">
            <v>13.001824817518248</v>
          </cell>
          <cell r="G172">
            <v>0.85417377699950292</v>
          </cell>
          <cell r="H172">
            <v>0.66304609487775146</v>
          </cell>
          <cell r="I172">
            <v>0.11382113821138229</v>
          </cell>
        </row>
        <row r="173">
          <cell r="A173">
            <v>34699</v>
          </cell>
          <cell r="B173">
            <v>28.25</v>
          </cell>
          <cell r="C173">
            <v>18</v>
          </cell>
          <cell r="D173">
            <v>1.56</v>
          </cell>
          <cell r="E173">
            <v>18.108974358974358</v>
          </cell>
          <cell r="F173">
            <v>11.538461538461538</v>
          </cell>
          <cell r="G173">
            <v>1.1491085485859762</v>
          </cell>
          <cell r="H173">
            <v>0.81006957068077612</v>
          </cell>
          <cell r="I173">
            <v>0.13868613138686126</v>
          </cell>
        </row>
        <row r="174">
          <cell r="A174">
            <v>35064</v>
          </cell>
          <cell r="B174">
            <v>46.1875</v>
          </cell>
          <cell r="C174">
            <v>26.8125</v>
          </cell>
          <cell r="D174">
            <v>1.86</v>
          </cell>
          <cell r="E174">
            <v>24.831989247311828</v>
          </cell>
          <cell r="F174">
            <v>14.41532258064516</v>
          </cell>
          <cell r="G174">
            <v>1.3564547521091053</v>
          </cell>
          <cell r="H174">
            <v>1.0662898974945212</v>
          </cell>
          <cell r="I174">
            <v>0.19230769230769229</v>
          </cell>
        </row>
        <row r="175">
          <cell r="A175">
            <v>35430</v>
          </cell>
          <cell r="B175">
            <v>54</v>
          </cell>
          <cell r="C175">
            <v>41.56</v>
          </cell>
          <cell r="D175">
            <v>2.12</v>
          </cell>
          <cell r="E175">
            <v>25.471698113207545</v>
          </cell>
          <cell r="F175">
            <v>19.60377358490566</v>
          </cell>
          <cell r="G175">
            <v>1.380195047229005</v>
          </cell>
          <cell r="H175">
            <v>1.3436485637829672</v>
          </cell>
          <cell r="I175">
            <v>0.13978494623655924</v>
          </cell>
        </row>
        <row r="176">
          <cell r="A176">
            <v>35795</v>
          </cell>
          <cell r="B176">
            <v>66.5</v>
          </cell>
          <cell r="C176">
            <v>48</v>
          </cell>
          <cell r="D176">
            <v>2.41</v>
          </cell>
          <cell r="E176">
            <v>27.59336099585062</v>
          </cell>
          <cell r="F176">
            <v>19.91701244813278</v>
          </cell>
          <cell r="G176">
            <v>1.2579536696489093</v>
          </cell>
          <cell r="H176">
            <v>1.2120296987812313</v>
          </cell>
          <cell r="I176">
            <v>0.1367924528301887</v>
          </cell>
        </row>
        <row r="177">
          <cell r="A177">
            <v>36160</v>
          </cell>
          <cell r="B177">
            <v>89.75</v>
          </cell>
          <cell r="C177">
            <v>63.38</v>
          </cell>
          <cell r="D177">
            <v>2.67</v>
          </cell>
          <cell r="E177">
            <v>33.614232209737828</v>
          </cell>
          <cell r="F177">
            <v>23.737827715355806</v>
          </cell>
          <cell r="G177">
            <v>1.2294621777617287</v>
          </cell>
          <cell r="H177">
            <v>1.1622116599634154</v>
          </cell>
          <cell r="I177">
            <v>0.10788381742738573</v>
          </cell>
        </row>
        <row r="178">
          <cell r="A178">
            <v>36525</v>
          </cell>
          <cell r="D178">
            <v>2.98</v>
          </cell>
          <cell r="E178">
            <v>28.39765100671141</v>
          </cell>
          <cell r="G178">
            <v>1.0970030613341077</v>
          </cell>
          <cell r="I178">
            <v>0.11610486891385774</v>
          </cell>
        </row>
        <row r="179">
          <cell r="A179">
            <v>36891</v>
          </cell>
          <cell r="D179">
            <v>3.3540000000000001</v>
          </cell>
          <cell r="E179">
            <v>25.231067382230172</v>
          </cell>
          <cell r="G179">
            <v>0.99908570003855823</v>
          </cell>
          <cell r="I179">
            <v>0.12550335570469806</v>
          </cell>
        </row>
        <row r="180">
          <cell r="A180">
            <v>37256</v>
          </cell>
          <cell r="D180">
            <v>3.83</v>
          </cell>
          <cell r="E180">
            <v>22.095300261096604</v>
          </cell>
          <cell r="G180">
            <v>0.90114151683091759</v>
          </cell>
          <cell r="I180">
            <v>0.14192009540846739</v>
          </cell>
        </row>
        <row r="181">
          <cell r="A181">
            <v>37621</v>
          </cell>
        </row>
        <row r="184">
          <cell r="A184" t="str">
            <v>LLY</v>
          </cell>
        </row>
        <row r="185">
          <cell r="A185">
            <v>29586</v>
          </cell>
          <cell r="B185">
            <v>4.09375</v>
          </cell>
          <cell r="C185">
            <v>2.859375</v>
          </cell>
          <cell r="D185">
            <v>0.28499999999999998</v>
          </cell>
          <cell r="E185">
            <v>14.3640350877193</v>
          </cell>
          <cell r="F185">
            <v>10.032894736842106</v>
          </cell>
        </row>
        <row r="186">
          <cell r="A186">
            <v>29951</v>
          </cell>
          <cell r="B186">
            <v>4.296875</v>
          </cell>
          <cell r="C186">
            <v>2.828125</v>
          </cell>
          <cell r="D186">
            <v>0.31</v>
          </cell>
          <cell r="E186">
            <v>13.860887096774194</v>
          </cell>
          <cell r="F186">
            <v>9.122983870967742</v>
          </cell>
        </row>
        <row r="187">
          <cell r="A187">
            <v>30316</v>
          </cell>
          <cell r="B187">
            <v>4.078125</v>
          </cell>
          <cell r="C187">
            <v>2.8203125</v>
          </cell>
          <cell r="D187">
            <v>0.34</v>
          </cell>
          <cell r="E187">
            <v>11.994485294117647</v>
          </cell>
          <cell r="F187">
            <v>8.2950367647058822</v>
          </cell>
          <cell r="G187">
            <v>1.0600635863351073</v>
          </cell>
          <cell r="H187">
            <v>1.0237186555934619</v>
          </cell>
          <cell r="I187">
            <v>9.6774193548387233E-2</v>
          </cell>
        </row>
        <row r="188">
          <cell r="A188">
            <v>30681</v>
          </cell>
          <cell r="B188">
            <v>4.2734375</v>
          </cell>
          <cell r="C188">
            <v>3.53125</v>
          </cell>
          <cell r="D188">
            <v>0.38500000000000001</v>
          </cell>
          <cell r="E188">
            <v>11.099837662337663</v>
          </cell>
          <cell r="F188">
            <v>9.1720779220779214</v>
          </cell>
          <cell r="G188">
            <v>0.9020024465832458</v>
          </cell>
          <cell r="H188">
            <v>0.93020278478208196</v>
          </cell>
          <cell r="I188">
            <v>0.13235294117647056</v>
          </cell>
        </row>
        <row r="189">
          <cell r="A189">
            <v>31047</v>
          </cell>
          <cell r="B189">
            <v>4.2265625</v>
          </cell>
          <cell r="C189">
            <v>3.3125</v>
          </cell>
          <cell r="D189">
            <v>0.42</v>
          </cell>
          <cell r="E189">
            <v>10.063244047619047</v>
          </cell>
          <cell r="F189">
            <v>7.8869047619047619</v>
          </cell>
          <cell r="G189">
            <v>0.98264409924523766</v>
          </cell>
          <cell r="H189">
            <v>0.88782367229126802</v>
          </cell>
          <cell r="I189">
            <v>9.0909090909090828E-2</v>
          </cell>
        </row>
        <row r="190">
          <cell r="A190">
            <v>31412</v>
          </cell>
          <cell r="B190">
            <v>6.9921875</v>
          </cell>
          <cell r="C190">
            <v>4.0234375</v>
          </cell>
          <cell r="D190">
            <v>0.46</v>
          </cell>
          <cell r="E190">
            <v>15.200407608695652</v>
          </cell>
          <cell r="F190">
            <v>8.7466032608695645</v>
          </cell>
          <cell r="G190">
            <v>1.0474387093813955</v>
          </cell>
          <cell r="H190">
            <v>0.78071770308714761</v>
          </cell>
          <cell r="I190">
            <v>9.5238095238095344E-2</v>
          </cell>
        </row>
        <row r="191">
          <cell r="A191">
            <v>31777</v>
          </cell>
          <cell r="B191">
            <v>10.4375</v>
          </cell>
          <cell r="C191">
            <v>2.453125</v>
          </cell>
          <cell r="D191">
            <v>0.5</v>
          </cell>
          <cell r="E191">
            <v>20.875</v>
          </cell>
          <cell r="F191">
            <v>4.90625</v>
          </cell>
          <cell r="G191">
            <v>1.1900393700787402</v>
          </cell>
          <cell r="H191">
            <v>0.34912034989434371</v>
          </cell>
          <cell r="I191">
            <v>8.6956521739130377E-2</v>
          </cell>
        </row>
        <row r="192">
          <cell r="A192">
            <v>32142</v>
          </cell>
          <cell r="B192">
            <v>13.46875</v>
          </cell>
          <cell r="C192">
            <v>7.21875</v>
          </cell>
          <cell r="D192">
            <v>0.53500000000000003</v>
          </cell>
          <cell r="E192">
            <v>25.175233644859812</v>
          </cell>
          <cell r="F192">
            <v>13.492990654205606</v>
          </cell>
          <cell r="G192">
            <v>1.3082120996081799</v>
          </cell>
          <cell r="H192">
            <v>1.0545165078983481</v>
          </cell>
          <cell r="I192">
            <v>7.0000000000000062E-2</v>
          </cell>
        </row>
        <row r="193">
          <cell r="A193">
            <v>32508</v>
          </cell>
          <cell r="B193">
            <v>11.46875</v>
          </cell>
          <cell r="C193">
            <v>8.84375</v>
          </cell>
          <cell r="D193">
            <v>0.66500000000000004</v>
          </cell>
          <cell r="E193">
            <v>17.246240601503757</v>
          </cell>
          <cell r="F193">
            <v>13.298872180451127</v>
          </cell>
          <cell r="G193">
            <v>1.4439759369869358</v>
          </cell>
          <cell r="H193">
            <v>1.3017690074834698</v>
          </cell>
          <cell r="I193">
            <v>0.2429906542056075</v>
          </cell>
        </row>
        <row r="194">
          <cell r="A194">
            <v>32873</v>
          </cell>
          <cell r="B194">
            <v>17.125</v>
          </cell>
          <cell r="C194">
            <v>10.59375</v>
          </cell>
          <cell r="D194">
            <v>0.8</v>
          </cell>
          <cell r="E194">
            <v>21.40625</v>
          </cell>
          <cell r="F194">
            <v>13.2421875</v>
          </cell>
          <cell r="G194">
            <v>1.360647408282379</v>
          </cell>
          <cell r="H194">
            <v>1.1000284338563802</v>
          </cell>
          <cell r="I194">
            <v>0.20300751879699241</v>
          </cell>
        </row>
        <row r="195">
          <cell r="A195">
            <v>33238</v>
          </cell>
          <cell r="B195">
            <v>22.59375</v>
          </cell>
          <cell r="C195">
            <v>14.6875</v>
          </cell>
          <cell r="D195">
            <v>0.97499999999999998</v>
          </cell>
          <cell r="E195">
            <v>23.173076923076923</v>
          </cell>
          <cell r="F195">
            <v>15.064102564102564</v>
          </cell>
          <cell r="G195">
            <v>1.3403264982747298</v>
          </cell>
          <cell r="H195">
            <v>1.0880252782709969</v>
          </cell>
          <cell r="I195">
            <v>0.21875</v>
          </cell>
        </row>
        <row r="196">
          <cell r="A196">
            <v>33603</v>
          </cell>
          <cell r="B196">
            <v>21.28125</v>
          </cell>
          <cell r="C196">
            <v>16.875</v>
          </cell>
          <cell r="D196">
            <v>1.125</v>
          </cell>
          <cell r="E196">
            <v>18.916666666666668</v>
          </cell>
          <cell r="F196">
            <v>15</v>
          </cell>
          <cell r="G196">
            <v>0.72430210905719805</v>
          </cell>
          <cell r="H196">
            <v>0.76904555523451801</v>
          </cell>
          <cell r="I196">
            <v>0.15384615384615397</v>
          </cell>
        </row>
        <row r="197">
          <cell r="A197">
            <v>33969</v>
          </cell>
          <cell r="B197">
            <v>21.9375</v>
          </cell>
          <cell r="C197">
            <v>14.4375</v>
          </cell>
          <cell r="D197">
            <v>1.2250000000000001</v>
          </cell>
          <cell r="E197">
            <v>17.908163265306122</v>
          </cell>
          <cell r="F197">
            <v>11.785714285714285</v>
          </cell>
          <cell r="G197">
            <v>0.77471636315875159</v>
          </cell>
          <cell r="H197">
            <v>0.5703150461705595</v>
          </cell>
          <cell r="I197">
            <v>8.8888888888889017E-2</v>
          </cell>
        </row>
        <row r="198">
          <cell r="A198">
            <v>34334</v>
          </cell>
          <cell r="B198">
            <v>15.5</v>
          </cell>
          <cell r="C198">
            <v>10.90625</v>
          </cell>
          <cell r="D198">
            <v>1.1499999999999999</v>
          </cell>
          <cell r="E198">
            <v>13.478260869565219</v>
          </cell>
          <cell r="F198">
            <v>9.483695652173914</v>
          </cell>
          <cell r="G198">
            <v>0.62620365190063909</v>
          </cell>
          <cell r="H198">
            <v>0.48363421715316451</v>
          </cell>
          <cell r="I198">
            <v>-6.1224489795918546E-2</v>
          </cell>
        </row>
        <row r="199">
          <cell r="A199">
            <v>34699</v>
          </cell>
          <cell r="B199">
            <v>16.5625</v>
          </cell>
          <cell r="C199">
            <v>11.78125</v>
          </cell>
          <cell r="D199">
            <v>1.1100000000000001</v>
          </cell>
          <cell r="E199">
            <v>14.921171171171169</v>
          </cell>
          <cell r="F199">
            <v>10.613738738738737</v>
          </cell>
          <cell r="G199">
            <v>0.94682586698844484</v>
          </cell>
          <cell r="H199">
            <v>0.74514845456202772</v>
          </cell>
          <cell r="I199">
            <v>-3.4782608695651973E-2</v>
          </cell>
        </row>
        <row r="200">
          <cell r="A200">
            <v>35064</v>
          </cell>
          <cell r="B200">
            <v>28.5</v>
          </cell>
          <cell r="C200">
            <v>15.625</v>
          </cell>
          <cell r="D200">
            <v>1.1499999999999999</v>
          </cell>
          <cell r="E200">
            <v>24.782608695652176</v>
          </cell>
          <cell r="F200">
            <v>13.586956521739131</v>
          </cell>
          <cell r="G200">
            <v>1.3537573248795185</v>
          </cell>
          <cell r="H200">
            <v>1.0050163217491688</v>
          </cell>
          <cell r="I200">
            <v>3.603603603603589E-2</v>
          </cell>
        </row>
        <row r="201">
          <cell r="A201">
            <v>35430</v>
          </cell>
          <cell r="B201">
            <v>40.185000000000002</v>
          </cell>
          <cell r="C201">
            <v>24.6875</v>
          </cell>
          <cell r="D201">
            <v>1.33</v>
          </cell>
          <cell r="E201">
            <v>30.214285714285715</v>
          </cell>
          <cell r="F201">
            <v>18.56203007518797</v>
          </cell>
          <cell r="G201">
            <v>1.6371742203083104</v>
          </cell>
          <cell r="H201">
            <v>1.2722471489176088</v>
          </cell>
          <cell r="I201">
            <v>0.15652173913043499</v>
          </cell>
        </row>
        <row r="202">
          <cell r="A202">
            <v>35795</v>
          </cell>
          <cell r="B202">
            <v>70.25</v>
          </cell>
          <cell r="C202">
            <v>35.5</v>
          </cell>
          <cell r="D202">
            <v>1.57</v>
          </cell>
          <cell r="E202">
            <v>44.745222929936304</v>
          </cell>
          <cell r="F202">
            <v>22.611464968152866</v>
          </cell>
          <cell r="G202">
            <v>2.0398898630883049</v>
          </cell>
          <cell r="H202">
            <v>1.375997888524791</v>
          </cell>
          <cell r="I202">
            <v>0.18045112781954886</v>
          </cell>
        </row>
        <row r="203">
          <cell r="A203">
            <v>36160</v>
          </cell>
          <cell r="B203">
            <v>91.31</v>
          </cell>
          <cell r="C203">
            <v>57.69</v>
          </cell>
          <cell r="D203">
            <v>1.95</v>
          </cell>
          <cell r="E203">
            <v>46.825641025641026</v>
          </cell>
          <cell r="F203">
            <v>29.584615384615383</v>
          </cell>
          <cell r="G203">
            <v>1.7126779582904113</v>
          </cell>
          <cell r="H203">
            <v>1.4484722598812434</v>
          </cell>
          <cell r="I203">
            <v>0.2420382165605095</v>
          </cell>
        </row>
        <row r="204">
          <cell r="A204">
            <v>36525</v>
          </cell>
          <cell r="D204">
            <v>2.31</v>
          </cell>
          <cell r="E204">
            <v>39.04220779220779</v>
          </cell>
          <cell r="G204">
            <v>1.5082029657724907</v>
          </cell>
          <cell r="I204">
            <v>0.18461538461538463</v>
          </cell>
        </row>
        <row r="205">
          <cell r="A205">
            <v>36891</v>
          </cell>
          <cell r="D205">
            <v>2.71</v>
          </cell>
          <cell r="E205">
            <v>33.27952029520295</v>
          </cell>
          <cell r="G205">
            <v>1.3177838387644685</v>
          </cell>
          <cell r="I205">
            <v>0.17316017316017307</v>
          </cell>
        </row>
        <row r="206">
          <cell r="A206">
            <v>37256</v>
          </cell>
          <cell r="D206">
            <v>3.17</v>
          </cell>
          <cell r="E206">
            <v>28.45031545741325</v>
          </cell>
          <cell r="G206">
            <v>1.1603264098090631</v>
          </cell>
          <cell r="I206">
            <v>0.16974169741697409</v>
          </cell>
        </row>
        <row r="207">
          <cell r="A207">
            <v>37621</v>
          </cell>
        </row>
        <row r="210">
          <cell r="A210" t="str">
            <v>WLA</v>
          </cell>
        </row>
        <row r="211">
          <cell r="A211">
            <v>29586</v>
          </cell>
          <cell r="B211">
            <v>1.9375</v>
          </cell>
          <cell r="C211">
            <v>1.4166666666666667</v>
          </cell>
          <cell r="D211">
            <v>0.2</v>
          </cell>
          <cell r="E211">
            <v>9.6875</v>
          </cell>
          <cell r="F211">
            <v>7.083333333333333</v>
          </cell>
        </row>
        <row r="212">
          <cell r="A212">
            <v>29951</v>
          </cell>
          <cell r="B212">
            <v>2.0833333333333335</v>
          </cell>
          <cell r="C212">
            <v>1.4166666666666667</v>
          </cell>
          <cell r="D212">
            <v>0.01</v>
          </cell>
          <cell r="E212">
            <v>208.33333333333334</v>
          </cell>
          <cell r="F212">
            <v>141.66666666666666</v>
          </cell>
        </row>
        <row r="213">
          <cell r="A213">
            <v>30316</v>
          </cell>
          <cell r="B213">
            <v>2.5104166666666665</v>
          </cell>
          <cell r="C213">
            <v>1.6354166666666667</v>
          </cell>
          <cell r="D213">
            <v>0.17</v>
          </cell>
          <cell r="E213">
            <v>14.767156862745097</v>
          </cell>
          <cell r="F213">
            <v>9.6200980392156854</v>
          </cell>
          <cell r="G213">
            <v>1.3051102135722137</v>
          </cell>
          <cell r="H213">
            <v>1.1872489671517894</v>
          </cell>
        </row>
        <row r="214">
          <cell r="A214">
            <v>30681</v>
          </cell>
          <cell r="B214">
            <v>2.9166666666666665</v>
          </cell>
          <cell r="C214">
            <v>2.1458333333333335</v>
          </cell>
          <cell r="D214">
            <v>0.21</v>
          </cell>
          <cell r="E214">
            <v>13.888888888888889</v>
          </cell>
          <cell r="F214">
            <v>10.21825396825397</v>
          </cell>
          <cell r="G214">
            <v>1.1286481964153554</v>
          </cell>
          <cell r="H214">
            <v>1.0363026107749254</v>
          </cell>
          <cell r="I214">
            <v>0.23529411764705865</v>
          </cell>
        </row>
        <row r="215">
          <cell r="A215">
            <v>31047</v>
          </cell>
          <cell r="B215">
            <v>3.0625</v>
          </cell>
          <cell r="C215">
            <v>2.3958333333333335</v>
          </cell>
          <cell r="D215">
            <v>0.23333333333333331</v>
          </cell>
          <cell r="E215">
            <v>13.125000000000002</v>
          </cell>
          <cell r="F215">
            <v>10.267857142857144</v>
          </cell>
          <cell r="G215">
            <v>1.2816149287013674</v>
          </cell>
          <cell r="H215">
            <v>1.1558459129829717</v>
          </cell>
          <cell r="I215">
            <v>0.11111111111111094</v>
          </cell>
        </row>
        <row r="216">
          <cell r="A216">
            <v>31412</v>
          </cell>
          <cell r="B216">
            <v>4.114583333333333</v>
          </cell>
          <cell r="C216">
            <v>2.78125</v>
          </cell>
          <cell r="D216">
            <v>0.25333333333333335</v>
          </cell>
          <cell r="E216">
            <v>16.241776315789473</v>
          </cell>
          <cell r="F216">
            <v>10.97861842105263</v>
          </cell>
          <cell r="G216">
            <v>1.1191979623322525</v>
          </cell>
          <cell r="H216">
            <v>0.97994632900524747</v>
          </cell>
          <cell r="I216">
            <v>8.5714285714285854E-2</v>
          </cell>
        </row>
        <row r="217">
          <cell r="A217">
            <v>31777</v>
          </cell>
          <cell r="B217">
            <v>5.260416666666667</v>
          </cell>
          <cell r="C217">
            <v>3.75</v>
          </cell>
          <cell r="D217">
            <v>0.29666666666666669</v>
          </cell>
          <cell r="E217">
            <v>17.731741573033709</v>
          </cell>
          <cell r="F217">
            <v>12.640449438202246</v>
          </cell>
          <cell r="G217">
            <v>1.0108488896753074</v>
          </cell>
          <cell r="H217">
            <v>0.89947274001262234</v>
          </cell>
          <cell r="I217">
            <v>0.17105263157894735</v>
          </cell>
        </row>
        <row r="218">
          <cell r="A218">
            <v>32142</v>
          </cell>
          <cell r="B218">
            <v>7.291666666666667</v>
          </cell>
          <cell r="C218">
            <v>4.020833333333333</v>
          </cell>
          <cell r="D218">
            <v>0.34666666666666668</v>
          </cell>
          <cell r="E218">
            <v>21.033653846153847</v>
          </cell>
          <cell r="F218">
            <v>11.598557692307692</v>
          </cell>
          <cell r="G218">
            <v>1.0929980173640537</v>
          </cell>
          <cell r="H218">
            <v>0.9064610558028966</v>
          </cell>
          <cell r="I218">
            <v>0.1685393258426966</v>
          </cell>
        </row>
        <row r="219">
          <cell r="A219">
            <v>32508</v>
          </cell>
          <cell r="B219">
            <v>6.625</v>
          </cell>
          <cell r="C219">
            <v>4.989583333333333</v>
          </cell>
          <cell r="D219">
            <v>0.41666666666666669</v>
          </cell>
          <cell r="E219">
            <v>15.899999999999999</v>
          </cell>
          <cell r="F219">
            <v>11.975</v>
          </cell>
          <cell r="G219">
            <v>1.3312592540365222</v>
          </cell>
          <cell r="H219">
            <v>1.1721808927173063</v>
          </cell>
          <cell r="I219">
            <v>0.20192307692307687</v>
          </cell>
        </row>
        <row r="220">
          <cell r="A220">
            <v>32873</v>
          </cell>
          <cell r="B220">
            <v>9.8958333333333339</v>
          </cell>
          <cell r="C220">
            <v>6.208333333333333</v>
          </cell>
          <cell r="D220">
            <v>0.51</v>
          </cell>
          <cell r="E220">
            <v>19.403594771241831</v>
          </cell>
          <cell r="F220">
            <v>12.173202614379084</v>
          </cell>
          <cell r="G220">
            <v>1.2333524525244599</v>
          </cell>
          <cell r="H220">
            <v>1.01122786600868</v>
          </cell>
          <cell r="I220">
            <v>0.22399999999999998</v>
          </cell>
        </row>
        <row r="221">
          <cell r="A221">
            <v>33238</v>
          </cell>
          <cell r="B221">
            <v>11.729166666666666</v>
          </cell>
          <cell r="C221">
            <v>8.2708333333333339</v>
          </cell>
          <cell r="D221">
            <v>0.60333333333333339</v>
          </cell>
          <cell r="E221">
            <v>19.440607734806626</v>
          </cell>
          <cell r="F221">
            <v>13.708563535911601</v>
          </cell>
          <cell r="G221">
            <v>1.1244411683446902</v>
          </cell>
          <cell r="H221">
            <v>0.9901196299206444</v>
          </cell>
          <cell r="I221">
            <v>0.18300653594771243</v>
          </cell>
        </row>
        <row r="222">
          <cell r="A222">
            <v>33603</v>
          </cell>
          <cell r="B222">
            <v>13.708333333333334</v>
          </cell>
          <cell r="C222">
            <v>10.291666666666666</v>
          </cell>
          <cell r="D222">
            <v>0.69333333333333336</v>
          </cell>
          <cell r="E222">
            <v>19.771634615384617</v>
          </cell>
          <cell r="F222">
            <v>14.843749999999998</v>
          </cell>
          <cell r="G222">
            <v>0.75703806086861913</v>
          </cell>
          <cell r="H222">
            <v>0.76103466403415831</v>
          </cell>
          <cell r="I222">
            <v>0.149171270718232</v>
          </cell>
        </row>
        <row r="223">
          <cell r="A223">
            <v>33969</v>
          </cell>
          <cell r="B223">
            <v>13.208333333333334</v>
          </cell>
          <cell r="C223">
            <v>9.7291666666666661</v>
          </cell>
          <cell r="D223">
            <v>0.79666666666666675</v>
          </cell>
          <cell r="E223">
            <v>16.57949790794979</v>
          </cell>
          <cell r="F223">
            <v>12.212343096234308</v>
          </cell>
          <cell r="G223">
            <v>0.71723761571510491</v>
          </cell>
          <cell r="H223">
            <v>0.59095977112069187</v>
          </cell>
          <cell r="I223">
            <v>0.14903846153846168</v>
          </cell>
        </row>
        <row r="224">
          <cell r="A224">
            <v>34334</v>
          </cell>
          <cell r="B224">
            <v>12.729166666666666</v>
          </cell>
          <cell r="C224">
            <v>9.9583333333333339</v>
          </cell>
          <cell r="D224">
            <v>0.79666666666666675</v>
          </cell>
          <cell r="E224">
            <v>15.978033472803345</v>
          </cell>
          <cell r="F224">
            <v>12.5</v>
          </cell>
          <cell r="G224">
            <v>0.74234376435413674</v>
          </cell>
          <cell r="H224">
            <v>0.63745484209299608</v>
          </cell>
          <cell r="I224">
            <v>0</v>
          </cell>
        </row>
        <row r="225">
          <cell r="A225">
            <v>34699</v>
          </cell>
          <cell r="B225">
            <v>14.458333333333334</v>
          </cell>
          <cell r="C225">
            <v>9.2291666666666661</v>
          </cell>
          <cell r="D225">
            <v>0.86333333333333329</v>
          </cell>
          <cell r="E225">
            <v>16.74710424710425</v>
          </cell>
          <cell r="F225">
            <v>10.690154440154441</v>
          </cell>
          <cell r="G225">
            <v>1.0626908113584597</v>
          </cell>
          <cell r="H225">
            <v>0.75051329754674878</v>
          </cell>
          <cell r="I225">
            <v>8.3682008368200611E-2</v>
          </cell>
        </row>
        <row r="226">
          <cell r="A226">
            <v>35064</v>
          </cell>
          <cell r="B226">
            <v>16.333333333333332</v>
          </cell>
          <cell r="C226">
            <v>12.229166666666666</v>
          </cell>
          <cell r="D226">
            <v>0.91333333333333344</v>
          </cell>
          <cell r="E226">
            <v>17.883211678832112</v>
          </cell>
          <cell r="F226">
            <v>13.389598540145982</v>
          </cell>
          <cell r="G226">
            <v>0.97687572361327746</v>
          </cell>
          <cell r="H226">
            <v>0.99041790948434483</v>
          </cell>
          <cell r="I226">
            <v>5.7915057915058021E-2</v>
          </cell>
        </row>
        <row r="227">
          <cell r="A227">
            <v>35430</v>
          </cell>
          <cell r="B227">
            <v>26.666666666666668</v>
          </cell>
          <cell r="C227">
            <v>14.873333333333333</v>
          </cell>
          <cell r="D227">
            <v>0.95</v>
          </cell>
          <cell r="E227">
            <v>28.070175438596493</v>
          </cell>
          <cell r="F227">
            <v>15.656140350877193</v>
          </cell>
          <cell r="G227">
            <v>1.5209946719300798</v>
          </cell>
          <cell r="H227">
            <v>1.0730765893479857</v>
          </cell>
          <cell r="I227">
            <v>4.0145985401459638E-2</v>
          </cell>
        </row>
        <row r="228">
          <cell r="A228">
            <v>35795</v>
          </cell>
          <cell r="B228">
            <v>50.875</v>
          </cell>
          <cell r="C228">
            <v>23.166666666666668</v>
          </cell>
          <cell r="D228">
            <v>1.04</v>
          </cell>
          <cell r="E228">
            <v>48.918269230769226</v>
          </cell>
          <cell r="F228">
            <v>22.275641025641026</v>
          </cell>
          <cell r="G228">
            <v>2.2301348610984051</v>
          </cell>
          <cell r="H228">
            <v>1.3555616613071737</v>
          </cell>
          <cell r="I228">
            <v>9.473684210526323E-2</v>
          </cell>
        </row>
        <row r="229">
          <cell r="A229">
            <v>36160</v>
          </cell>
          <cell r="B229">
            <v>85.94</v>
          </cell>
          <cell r="C229">
            <v>39.380000000000003</v>
          </cell>
          <cell r="D229">
            <v>1.48</v>
          </cell>
          <cell r="E229">
            <v>58.067567567567565</v>
          </cell>
          <cell r="F229">
            <v>26.608108108108109</v>
          </cell>
          <cell r="G229">
            <v>2.1238586570561671</v>
          </cell>
          <cell r="H229">
            <v>1.3027415087693845</v>
          </cell>
          <cell r="I229">
            <v>0.42307692307692291</v>
          </cell>
        </row>
        <row r="230">
          <cell r="A230">
            <v>36525</v>
          </cell>
          <cell r="D230">
            <v>1.931</v>
          </cell>
          <cell r="E230">
            <v>35.700414293112374</v>
          </cell>
          <cell r="G230">
            <v>1.3791092707345565</v>
          </cell>
          <cell r="I230">
            <v>0.30472972972972978</v>
          </cell>
        </row>
        <row r="231">
          <cell r="A231">
            <v>36891</v>
          </cell>
          <cell r="D231">
            <v>2.36</v>
          </cell>
          <cell r="E231">
            <v>29.210805084745765</v>
          </cell>
          <cell r="G231">
            <v>1.1566731285945111</v>
          </cell>
          <cell r="I231">
            <v>0.22216468151216984</v>
          </cell>
        </row>
        <row r="232">
          <cell r="A232">
            <v>37256</v>
          </cell>
          <cell r="D232">
            <v>2.83</v>
          </cell>
          <cell r="E232">
            <v>24.359540636042404</v>
          </cell>
          <cell r="G232">
            <v>0.99348699219614789</v>
          </cell>
          <cell r="I232">
            <v>0.19915254237288149</v>
          </cell>
        </row>
        <row r="233">
          <cell r="A233">
            <v>37621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harma"/>
      <sheetName val="Sheet2"/>
      <sheetName val="Sheet3"/>
      <sheetName val="Woods Custom Sheet 3"/>
    </sheetNames>
    <sheetDataSet>
      <sheetData sheetId="0" refreshError="1"/>
      <sheetData sheetId="1" refreshError="1"/>
      <sheetData sheetId="2" refreshError="1">
        <row r="48">
          <cell r="R48">
            <v>0</v>
          </cell>
        </row>
      </sheetData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p&amp;l"/>
      <sheetName val="quarterly income"/>
      <sheetName val="Annual Product Sales"/>
      <sheetName val="Qtr. Product Sales"/>
      <sheetName val="Generic Exposure"/>
      <sheetName val="Variance"/>
      <sheetName val="COGS"/>
      <sheetName val="BSCF"/>
      <sheetName val="Plavix Avapro"/>
      <sheetName val="Impact CV products"/>
      <sheetName val="Inventory&amp;Pricing"/>
      <sheetName val="Catalysts"/>
      <sheetName val="Alliances"/>
      <sheetName val="Erbitux"/>
      <sheetName val="Pipeline"/>
      <sheetName val="__FDSCACHE__"/>
      <sheetName val="FCF"/>
      <sheetName val="R&amp;D Efficiency"/>
      <sheetName val="Guidance"/>
      <sheetName val="Links"/>
      <sheetName val="Reports--&gt;"/>
      <sheetName val="handout tables"/>
      <sheetName val="Charts"/>
      <sheetName val="graphs for re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- Merck &amp; Co., Inc."/>
      <sheetName val="CoverSheet"/>
      <sheetName val="Annual p&amp;l"/>
      <sheetName val="Quarterly income"/>
      <sheetName val="Guidance"/>
      <sheetName val="Qtr. Product Sales"/>
      <sheetName val="Price Volume"/>
      <sheetName val="Annual Product Sales"/>
      <sheetName val="DCF Combined"/>
      <sheetName val="Links"/>
      <sheetName val="BSCF"/>
      <sheetName val="Equity Income"/>
      <sheetName val="Zetia Vytorin JV"/>
      <sheetName val="Astra JV "/>
      <sheetName val="COGS"/>
      <sheetName val="Catalysts"/>
      <sheetName val="Product P&amp;Ls"/>
      <sheetName val="Charts"/>
      <sheetName val="Pipeline"/>
      <sheetName val="Variance"/>
      <sheetName val="Duration 08"/>
      <sheetName val="duration 07"/>
      <sheetName val="R&amp;D Efficiency"/>
      <sheetName val="Table of Contents"/>
      <sheetName val="GPS - Merck &amp; Co., Inc. (old)"/>
      <sheetName val="Model Introduction"/>
      <sheetName val="Tab"/>
      <sheetName val="MRK-model"/>
      <sheetName val="Quarterly Income Combo"/>
      <sheetName val="Qtr. 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D"/>
      <sheetName val="Model "/>
      <sheetName val="New Openings "/>
      <sheetName val="Model - Most recent"/>
      <sheetName val="Earnings Model 4-26-00"/>
      <sheetName val="Property Portfolio"/>
      <sheetName val="RevPAR Results"/>
      <sheetName val="Revs Oper Y Mix"/>
      <sheetName val="Asia"/>
      <sheetName val="TimeShare"/>
      <sheetName val="CAGR Units"/>
      <sheetName val="Margins"/>
      <sheetName val="Luxury Segment"/>
      <sheetName val="RETURNS"/>
      <sheetName val="Multiples"/>
      <sheetName val="Multiples of Luxury Cos."/>
      <sheetName val="Inc Stmt"/>
    </sheetNames>
    <sheetDataSet>
      <sheetData sheetId="0"/>
      <sheetData sheetId="1"/>
      <sheetData sheetId="2"/>
      <sheetData sheetId="3"/>
      <sheetData sheetId="4" refreshError="1">
        <row r="26">
          <cell r="K26">
            <v>76.172138794520521</v>
          </cell>
          <cell r="P26">
            <v>113.41041616425697</v>
          </cell>
          <cell r="U26">
            <v>136.46835309812022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X Cover"/>
      <sheetName val="FRX Annual P&amp;L"/>
      <sheetName val="Guidance"/>
      <sheetName val="FRX Revs"/>
      <sheetName val="FRX P&amp;L"/>
      <sheetName val="Variance"/>
      <sheetName val="FRX Annual Revs"/>
      <sheetName val="FRX BS&amp;CF"/>
      <sheetName val="FRX Catalysts"/>
      <sheetName val="DCF"/>
      <sheetName val="P&amp;Ls - Lexapro and Namenda"/>
      <sheetName val="FRX Pipeline"/>
      <sheetName val="Links"/>
      <sheetName val="FRX Duration"/>
      <sheetName val="Earnings Delta Table"/>
      <sheetName val="GPS - Forest Laboratories, Inc"/>
      <sheetName val="Charts"/>
      <sheetName val="Pipeline and Cash DCF"/>
      <sheetName val="Lexapro DCF"/>
      <sheetName val="Namenda DCF"/>
      <sheetName val="Price_volume"/>
      <sheetName val="Data"/>
      <sheetName val="FRX Pipeline_old"/>
      <sheetName val="Pipeline"/>
      <sheetName val="Earning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"/>
    </sheetNames>
    <sheetDataSet>
      <sheetData sheetId="0" refreshError="1">
        <row r="5">
          <cell r="B5">
            <v>425.95</v>
          </cell>
        </row>
        <row r="6">
          <cell r="F6">
            <v>49.26</v>
          </cell>
          <cell r="G6">
            <v>53.78</v>
          </cell>
        </row>
        <row r="7">
          <cell r="B7">
            <v>1393.56</v>
          </cell>
          <cell r="F7">
            <v>17.77</v>
          </cell>
          <cell r="G7">
            <v>23.65</v>
          </cell>
        </row>
        <row r="9">
          <cell r="B9">
            <v>458.11</v>
          </cell>
        </row>
        <row r="12">
          <cell r="B12">
            <v>21</v>
          </cell>
        </row>
        <row r="13">
          <cell r="B13">
            <v>17.9375</v>
          </cell>
        </row>
        <row r="14">
          <cell r="B14">
            <v>47</v>
          </cell>
        </row>
        <row r="15">
          <cell r="B15">
            <v>15.0625</v>
          </cell>
        </row>
        <row r="16">
          <cell r="B16">
            <v>10.375</v>
          </cell>
        </row>
        <row r="17">
          <cell r="B17">
            <v>44.625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tock data"/>
      <sheetName val="PEs"/>
      <sheetName val="Chart1"/>
      <sheetName val="Sheet2"/>
      <sheetName val="Sheet3"/>
      <sheetName val="Sheet4"/>
      <sheetName val="Sheet5"/>
      <sheetName val="Sheet6"/>
      <sheetName val="Sheet7"/>
      <sheetName val="Sheet8"/>
      <sheetName val="Price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Provigil.Nuvigil Model"/>
      <sheetName val="Provigil.Nuvigil NPV"/>
      <sheetName val="Pricing Data"/>
      <sheetName val="Rx Data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s"/>
      <sheetName val="Annual p&amp;l"/>
      <sheetName val="Quarterly income"/>
      <sheetName val="Qtr. Product Sales"/>
      <sheetName val="Annual Product Sales"/>
      <sheetName val="BSCF"/>
      <sheetName val="duration"/>
      <sheetName val="Variance"/>
      <sheetName val="duration 07"/>
      <sheetName val="Links"/>
      <sheetName val="Zetia Vytorin JV"/>
      <sheetName val="Astra JV"/>
      <sheetName val="Price Volume"/>
      <sheetName val="Other income"/>
      <sheetName val="Catalysts"/>
      <sheetName val="Pipeline"/>
      <sheetName val="COGS"/>
      <sheetName val="Vioxx"/>
      <sheetName val="Guidance"/>
      <sheetName val="FCF"/>
      <sheetName val="R&amp;D Efficiency"/>
      <sheetName val="__FDSCACHE__"/>
      <sheetName val="Share Buyback History"/>
      <sheetName val="reports--&gt;"/>
      <sheetName val="Vaccine Penetration"/>
      <sheetName val="Handout Tables"/>
      <sheetName val="Charts for Report"/>
      <sheetName val="Charts"/>
      <sheetName val="Table of 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E SHEET"/>
      <sheetName val="price targets"/>
      <sheetName val="MASTER"/>
      <sheetName val="PHA_MRK correction"/>
      <sheetName val="Reuters"/>
      <sheetName val="PE Chart"/>
      <sheetName val="PHA correction"/>
      <sheetName val="old sheet"/>
      <sheetName val="Bridge"/>
      <sheetName val="new price targets"/>
      <sheetName val="VALUATIONS ACTIVE"/>
      <sheetName val="#REF"/>
      <sheetName val="inc_rpt"/>
      <sheetName val="DATA"/>
      <sheetName val="General"/>
      <sheetName val="Qtr. Product Sales"/>
      <sheetName val="Annual Product Sales"/>
    </sheetNames>
    <sheetDataSet>
      <sheetData sheetId="0" refreshError="1">
        <row r="2">
          <cell r="B2" t="str">
            <v>US</v>
          </cell>
          <cell r="D2" t="str">
            <v>Price</v>
          </cell>
          <cell r="E2" t="str">
            <v>Price</v>
          </cell>
          <cell r="G2" t="str">
            <v>Market</v>
          </cell>
          <cell r="J2" t="str">
            <v>Performance</v>
          </cell>
          <cell r="M2" t="str">
            <v>EPS</v>
          </cell>
          <cell r="Q2" t="str">
            <v>P/E</v>
          </cell>
          <cell r="U2" t="str">
            <v>First Call</v>
          </cell>
          <cell r="Y2" t="str">
            <v>EPS Change</v>
          </cell>
          <cell r="AC2" t="str">
            <v>Prem/Disc to Group</v>
          </cell>
        </row>
        <row r="3">
          <cell r="B3" t="str">
            <v>Stock</v>
          </cell>
          <cell r="C3" t="str">
            <v>Rating</v>
          </cell>
          <cell r="D3">
            <v>37461.590512962961</v>
          </cell>
          <cell r="E3" t="str">
            <v>target</v>
          </cell>
          <cell r="F3" t="str">
            <v>% D</v>
          </cell>
          <cell r="G3" t="str">
            <v>Cap. ($B)</v>
          </cell>
          <cell r="I3" t="str">
            <v>2000</v>
          </cell>
          <cell r="J3" t="str">
            <v>2001</v>
          </cell>
          <cell r="K3" t="str">
            <v>YTD</v>
          </cell>
          <cell r="M3" t="str">
            <v>01</v>
          </cell>
          <cell r="N3" t="str">
            <v>02</v>
          </cell>
          <cell r="O3" t="str">
            <v>03</v>
          </cell>
          <cell r="Q3" t="str">
            <v>01</v>
          </cell>
          <cell r="R3" t="str">
            <v>02</v>
          </cell>
          <cell r="S3" t="str">
            <v>03</v>
          </cell>
          <cell r="U3" t="str">
            <v>02</v>
          </cell>
          <cell r="V3" t="str">
            <v>03</v>
          </cell>
          <cell r="X3" t="str">
            <v>01/00</v>
          </cell>
          <cell r="Y3" t="str">
            <v>02/01</v>
          </cell>
          <cell r="Z3" t="str">
            <v>03/02</v>
          </cell>
          <cell r="AB3" t="str">
            <v>01</v>
          </cell>
          <cell r="AC3" t="str">
            <v>02</v>
          </cell>
          <cell r="AD3" t="str">
            <v>03</v>
          </cell>
        </row>
        <row r="4">
          <cell r="B4" t="str">
            <v>BMY</v>
          </cell>
          <cell r="C4" t="str">
            <v>Hold</v>
          </cell>
          <cell r="D4">
            <v>20.05</v>
          </cell>
          <cell r="E4">
            <v>20</v>
          </cell>
          <cell r="F4">
            <v>-2.4937655860349794E-3</v>
          </cell>
          <cell r="G4">
            <v>38.863791225100002</v>
          </cell>
          <cell r="I4">
            <v>0.15185387131952011</v>
          </cell>
          <cell r="J4">
            <v>-0.31022823330515636</v>
          </cell>
          <cell r="K4">
            <v>-0.60686274509803928</v>
          </cell>
          <cell r="M4">
            <v>2.41</v>
          </cell>
          <cell r="N4">
            <v>1.27</v>
          </cell>
          <cell r="O4">
            <v>1.48</v>
          </cell>
          <cell r="Q4">
            <v>8.3195020746887973</v>
          </cell>
          <cell r="R4">
            <v>15.78740157480315</v>
          </cell>
          <cell r="S4">
            <v>13.547297297297298</v>
          </cell>
          <cell r="U4">
            <v>1.38</v>
          </cell>
          <cell r="V4">
            <v>1.75</v>
          </cell>
          <cell r="X4">
            <v>0.1157407407407407</v>
          </cell>
          <cell r="Y4">
            <v>-0.47302904564315351</v>
          </cell>
          <cell r="Z4">
            <v>0.16535433070866135</v>
          </cell>
          <cell r="AB4">
            <v>-0.48254840297717316</v>
          </cell>
          <cell r="AC4">
            <v>-2.0314005854601191E-2</v>
          </cell>
          <cell r="AD4">
            <v>-6.9165507517593094E-2</v>
          </cell>
        </row>
        <row r="5">
          <cell r="B5" t="str">
            <v>LLY</v>
          </cell>
          <cell r="C5" t="str">
            <v>Hold</v>
          </cell>
          <cell r="D5">
            <v>48.06</v>
          </cell>
          <cell r="E5">
            <v>57</v>
          </cell>
          <cell r="F5">
            <v>0.18601747815230962</v>
          </cell>
          <cell r="G5">
            <v>54.030012911640007</v>
          </cell>
          <cell r="I5">
            <v>0.39943609022556381</v>
          </cell>
          <cell r="J5">
            <v>-0.15605104096709199</v>
          </cell>
          <cell r="K5">
            <v>-0.3880825057295646</v>
          </cell>
          <cell r="M5">
            <v>2.76</v>
          </cell>
          <cell r="N5">
            <v>2.6</v>
          </cell>
          <cell r="O5">
            <v>2.88</v>
          </cell>
          <cell r="Q5">
            <v>17.413043478260871</v>
          </cell>
          <cell r="R5">
            <v>18.484615384615385</v>
          </cell>
          <cell r="S5">
            <v>16.6875</v>
          </cell>
          <cell r="U5">
            <v>2.61</v>
          </cell>
          <cell r="V5">
            <v>2.99</v>
          </cell>
          <cell r="X5">
            <v>4.1509433962264142E-2</v>
          </cell>
          <cell r="Y5">
            <v>-5.7971014492753548E-2</v>
          </cell>
          <cell r="Z5">
            <v>0.10769230769230753</v>
          </cell>
          <cell r="AB5">
            <v>8.3046446285194753E-2</v>
          </cell>
          <cell r="AC5">
            <v>0.14706139029076137</v>
          </cell>
          <cell r="AD5">
            <v>0.14659774953038629</v>
          </cell>
        </row>
        <row r="6">
          <cell r="B6" t="str">
            <v>MRK</v>
          </cell>
          <cell r="C6" t="str">
            <v>Hold</v>
          </cell>
          <cell r="D6">
            <v>40.69</v>
          </cell>
          <cell r="E6">
            <v>50</v>
          </cell>
          <cell r="F6">
            <v>0.22880314573605309</v>
          </cell>
          <cell r="G6">
            <v>92.169848964829995</v>
          </cell>
          <cell r="I6">
            <v>0.39343652329215661</v>
          </cell>
          <cell r="J6">
            <v>-0.37196261682242993</v>
          </cell>
          <cell r="K6">
            <v>-0.30799319727891161</v>
          </cell>
          <cell r="M6">
            <v>3.14</v>
          </cell>
          <cell r="N6">
            <v>3.13</v>
          </cell>
          <cell r="O6">
            <v>3.42</v>
          </cell>
          <cell r="Q6">
            <v>12.958598726114648</v>
          </cell>
          <cell r="R6">
            <v>13</v>
          </cell>
          <cell r="S6">
            <v>11.897660818713449</v>
          </cell>
          <cell r="U6">
            <v>3.13</v>
          </cell>
          <cell r="V6">
            <v>3.43</v>
          </cell>
          <cell r="X6">
            <v>8.2758620689655338E-2</v>
          </cell>
          <cell r="Y6">
            <v>-3.1847133757962887E-3</v>
          </cell>
          <cell r="Z6">
            <v>9.2651757188498385E-2</v>
          </cell>
          <cell r="AB6">
            <v>-0.1940085421209754</v>
          </cell>
          <cell r="AC6">
            <v>-0.19328599684087111</v>
          </cell>
          <cell r="AD6">
            <v>-0.18251199284418318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- Pfizer Inc."/>
      <sheetName val="CoverSheet"/>
      <sheetName val="Annual p&amp;l"/>
      <sheetName val="quarterly income"/>
      <sheetName val="Variance"/>
      <sheetName val="Guidance"/>
      <sheetName val="FX"/>
      <sheetName val="Qtr. Product Sales"/>
      <sheetName val="Price and Volume"/>
      <sheetName val="Annual Product Sales"/>
      <sheetName val="Duration 08"/>
      <sheetName val="Links"/>
      <sheetName val="Lyrica Analysis"/>
      <sheetName val="COGS"/>
      <sheetName val="Balance Sheet Cash Flow"/>
      <sheetName val="Alliance Revenues"/>
      <sheetName val="Catalysts"/>
      <sheetName val="Lipitor P&amp;L"/>
      <sheetName val="Pipeline"/>
      <sheetName val="DCF Combined"/>
      <sheetName val="handout tables"/>
      <sheetName val="R&amp;D efficiency"/>
      <sheetName val="GPS - Pfizer Inc._old"/>
      <sheetName val="Model Introduction"/>
      <sheetName val="Lipitor Sheet"/>
      <sheetName val="report charts"/>
      <sheetName val="Sheet1"/>
      <sheetName val="Sheet2"/>
      <sheetName val="Sheet3"/>
      <sheetName val="PFE_model"/>
    </sheetNames>
    <sheetDataSet>
      <sheetData sheetId="0" refreshError="1"/>
      <sheetData sheetId="1" refreshError="1"/>
      <sheetData sheetId="2" refreshError="1"/>
      <sheetData sheetId="3" refreshError="1">
        <row r="37">
          <cell r="G37">
            <v>2.1204412625156959</v>
          </cell>
          <cell r="L37">
            <v>2.0090854810416947</v>
          </cell>
        </row>
      </sheetData>
      <sheetData sheetId="4" refreshError="1"/>
      <sheetData sheetId="5" refreshError="1"/>
      <sheetData sheetId="6" refreshError="1"/>
      <sheetData sheetId="7" refreshError="1">
        <row r="250">
          <cell r="B250">
            <v>6.7007382169222085E-2</v>
          </cell>
          <cell r="G250">
            <v>-0.10750399148483236</v>
          </cell>
          <cell r="L250">
            <v>-1.9081693500298202E-2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BVF Earnings"/>
      <sheetName val="BVF Revenue"/>
      <sheetName val="BVF Balance Sheet"/>
      <sheetName val="BVF Cash flow"/>
      <sheetName val="BVF Model Introduction"/>
      <sheetName val="BVF Guidance"/>
      <sheetName val="Wellbutrin Mkt Model"/>
      <sheetName val="Wellbutrin XL"/>
      <sheetName val="Tramadol XL"/>
      <sheetName val="Earnings Snapshot"/>
      <sheetName val="BVF DCF"/>
      <sheetName val="Break-Up Value"/>
      <sheetName val="acq upside"/>
    </sheetNames>
    <sheetDataSet>
      <sheetData sheetId="0" refreshError="1"/>
      <sheetData sheetId="1" refreshError="1">
        <row r="1">
          <cell r="A1" t="str">
            <v>March 4, 2004</v>
          </cell>
        </row>
        <row r="2">
          <cell r="A2" t="str">
            <v xml:space="preserve">Year end Dec. </v>
          </cell>
          <cell r="C2">
            <v>37951</v>
          </cell>
          <cell r="P2" t="str">
            <v>Biovail Corporation Quarterly Sales and Earnings Model</v>
          </cell>
          <cell r="Q2" t="str">
            <v>Biovail Corporation Quarterly Sales and Earnings Model</v>
          </cell>
          <cell r="S2" t="str">
            <v>Biovail Corporation Quarterly Sales and Earnings Model</v>
          </cell>
          <cell r="AK2" t="str">
            <v xml:space="preserve">Corey Davis   </v>
          </cell>
        </row>
        <row r="3">
          <cell r="A3" t="str">
            <v>NYSE-BVF</v>
          </cell>
          <cell r="C3" t="str">
            <v xml:space="preserve">Year end Dec. </v>
          </cell>
          <cell r="AK3" t="str">
            <v xml:space="preserve">Deb Knobelman   </v>
          </cell>
        </row>
        <row r="4">
          <cell r="A4" t="str">
            <v>(in $M)</v>
          </cell>
          <cell r="C4" t="str">
            <v>NYSE-BVF</v>
          </cell>
          <cell r="AK4" t="str">
            <v xml:space="preserve">Denis Sirringhaus   </v>
          </cell>
        </row>
        <row r="5">
          <cell r="C5" t="str">
            <v>(in $M)</v>
          </cell>
          <cell r="AK5" t="str">
            <v xml:space="preserve">J.P. Morgan Securities Inc.  </v>
          </cell>
        </row>
        <row r="6">
          <cell r="D6" t="str">
            <v>REVENUES:</v>
          </cell>
          <cell r="J6" t="str">
            <v>EXPENSES:</v>
          </cell>
          <cell r="V6" t="str">
            <v>OTHER INCOME:</v>
          </cell>
          <cell r="Z6" t="str">
            <v>Loss</v>
          </cell>
          <cell r="AA6" t="str">
            <v>Acq'd</v>
          </cell>
          <cell r="AB6" t="str">
            <v>Write</v>
          </cell>
          <cell r="AC6" t="str">
            <v>Early</v>
          </cell>
          <cell r="AD6" t="str">
            <v>Adopt</v>
          </cell>
          <cell r="AE6" t="str">
            <v>Debt</v>
          </cell>
          <cell r="AF6" t="str">
            <v>Settle-</v>
          </cell>
          <cell r="AG6" t="str">
            <v>Reliant</v>
          </cell>
          <cell r="AH6" t="str">
            <v>Restruct</v>
          </cell>
          <cell r="AI6" t="str">
            <v>Incr. Returns</v>
          </cell>
          <cell r="AJ6" t="str">
            <v>Reduction</v>
          </cell>
          <cell r="AK6" t="str">
            <v>FD</v>
          </cell>
        </row>
        <row r="7">
          <cell r="D7" t="str">
            <v>REVENUES:</v>
          </cell>
          <cell r="E7" t="str">
            <v>R&amp;D</v>
          </cell>
          <cell r="F7" t="str">
            <v>Royalties</v>
          </cell>
          <cell r="G7" t="str">
            <v>TOTAL</v>
          </cell>
          <cell r="H7" t="str">
            <v>Product</v>
          </cell>
          <cell r="I7" t="str">
            <v>Sales</v>
          </cell>
          <cell r="J7" t="str">
            <v>EXPENSES:</v>
          </cell>
          <cell r="K7" t="str">
            <v>EXPENSES:</v>
          </cell>
          <cell r="L7" t="str">
            <v>D</v>
          </cell>
          <cell r="M7" t="str">
            <v>Acquired</v>
          </cell>
          <cell r="N7" t="str">
            <v>S, G,</v>
          </cell>
          <cell r="O7" t="str">
            <v>&amp; A</v>
          </cell>
          <cell r="P7" t="str">
            <v>EBITDA</v>
          </cell>
          <cell r="Q7" t="str">
            <v>Amort.</v>
          </cell>
          <cell r="R7" t="str">
            <v>recovery</v>
          </cell>
          <cell r="S7" t="str">
            <v>Total</v>
          </cell>
          <cell r="T7" t="str">
            <v>Optg.</v>
          </cell>
          <cell r="U7" t="str">
            <v>Inc.</v>
          </cell>
          <cell r="W7" t="str">
            <v>Int Inc</v>
          </cell>
          <cell r="X7" t="str">
            <v>Int Exp</v>
          </cell>
          <cell r="Y7" t="str">
            <v>Int Inc.</v>
          </cell>
          <cell r="Z7" t="str">
            <v xml:space="preserve">Gain on </v>
          </cell>
          <cell r="AA7" t="str">
            <v>Other</v>
          </cell>
          <cell r="AB7" t="str">
            <v>Down</v>
          </cell>
          <cell r="AC7" t="str">
            <v>Pretax</v>
          </cell>
          <cell r="AD7" t="str">
            <v>Income</v>
          </cell>
          <cell r="AE7" t="str">
            <v>Income</v>
          </cell>
          <cell r="AF7" t="str">
            <v>Tax</v>
          </cell>
          <cell r="AG7" t="str">
            <v>Net</v>
          </cell>
          <cell r="AH7" t="str">
            <v>Income</v>
          </cell>
          <cell r="AI7" t="str">
            <v>FD</v>
          </cell>
          <cell r="AJ7" t="str">
            <v>FD</v>
          </cell>
          <cell r="AK7" t="str">
            <v>Basic</v>
          </cell>
        </row>
        <row r="8">
          <cell r="D8" t="str">
            <v>Product</v>
          </cell>
          <cell r="E8" t="str">
            <v>R&amp;D</v>
          </cell>
          <cell r="F8" t="str">
            <v>Royalties</v>
          </cell>
          <cell r="G8" t="str">
            <v>TOTAL</v>
          </cell>
          <cell r="H8" t="str">
            <v>Product</v>
          </cell>
          <cell r="I8" t="str">
            <v>Sales</v>
          </cell>
          <cell r="J8" t="str">
            <v>COGS</v>
          </cell>
          <cell r="K8" t="str">
            <v>R &amp;</v>
          </cell>
          <cell r="L8" t="str">
            <v>D</v>
          </cell>
          <cell r="M8" t="str">
            <v>Acquired</v>
          </cell>
          <cell r="N8" t="str">
            <v>S, G,</v>
          </cell>
          <cell r="O8" t="str">
            <v>&amp; A</v>
          </cell>
          <cell r="P8" t="str">
            <v>EBITDA</v>
          </cell>
          <cell r="Q8" t="str">
            <v>Amort.</v>
          </cell>
          <cell r="R8" t="str">
            <v>supply</v>
          </cell>
          <cell r="S8" t="str">
            <v>Expenses</v>
          </cell>
          <cell r="T8" t="str">
            <v>Optg.</v>
          </cell>
          <cell r="U8" t="str">
            <v>% Rev</v>
          </cell>
          <cell r="V8" t="str">
            <v>Equity</v>
          </cell>
          <cell r="W8" t="str">
            <v>Int Inc</v>
          </cell>
          <cell r="X8" t="str">
            <v>Int Exp</v>
          </cell>
          <cell r="Y8" t="str">
            <v>(Exp) Net</v>
          </cell>
          <cell r="Z8" t="str">
            <v>For Exch.</v>
          </cell>
          <cell r="AA8" t="str">
            <v>Income</v>
          </cell>
          <cell r="AB8" t="str">
            <v>Pretax</v>
          </cell>
          <cell r="AC8" t="str">
            <v>Pretax</v>
          </cell>
          <cell r="AD8" t="str">
            <v>Income</v>
          </cell>
          <cell r="AE8" t="str">
            <v>Income</v>
          </cell>
          <cell r="AF8" t="str">
            <v>Tax</v>
          </cell>
          <cell r="AG8" t="str">
            <v>Net</v>
          </cell>
          <cell r="AH8" t="str">
            <v>Income</v>
          </cell>
          <cell r="AI8" t="str">
            <v xml:space="preserve"> </v>
          </cell>
          <cell r="AJ8" t="str">
            <v>Shares</v>
          </cell>
          <cell r="AK8" t="str">
            <v>Shares</v>
          </cell>
        </row>
        <row r="9">
          <cell r="C9" t="str">
            <v>FY 98</v>
          </cell>
          <cell r="D9" t="str">
            <v>Sales</v>
          </cell>
          <cell r="E9" t="str">
            <v>Fees</v>
          </cell>
          <cell r="F9" t="str">
            <v>&amp; Lic.</v>
          </cell>
          <cell r="G9" t="str">
            <v>REVENUE</v>
          </cell>
          <cell r="H9" t="str">
            <v>Gross</v>
          </cell>
          <cell r="I9" t="str">
            <v>Margin</v>
          </cell>
          <cell r="J9" t="str">
            <v xml:space="preserve"> </v>
          </cell>
          <cell r="K9" t="str">
            <v xml:space="preserve"> </v>
          </cell>
          <cell r="L9" t="str">
            <v>% of</v>
          </cell>
          <cell r="M9" t="str">
            <v>R&amp;D</v>
          </cell>
          <cell r="N9" t="str">
            <v xml:space="preserve"> </v>
          </cell>
          <cell r="O9" t="str">
            <v>% of</v>
          </cell>
          <cell r="P9" t="str">
            <v>% of</v>
          </cell>
          <cell r="R9" t="str">
            <v>supply</v>
          </cell>
          <cell r="S9">
            <v>66.353999999999999</v>
          </cell>
          <cell r="T9">
            <v>45.302999999999997</v>
          </cell>
          <cell r="U9" t="str">
            <v>% of</v>
          </cell>
          <cell r="V9" t="str">
            <v>Loss</v>
          </cell>
          <cell r="Y9" t="str">
            <v>(Exp) Net</v>
          </cell>
          <cell r="Z9" t="str">
            <v>LT invest,</v>
          </cell>
          <cell r="AA9" t="str">
            <v>Conversion</v>
          </cell>
          <cell r="AB9" t="str">
            <v xml:space="preserve"> </v>
          </cell>
          <cell r="AC9" t="str">
            <v xml:space="preserve"> </v>
          </cell>
          <cell r="AD9" t="str">
            <v>% of</v>
          </cell>
          <cell r="AE9" t="str">
            <v xml:space="preserve"> </v>
          </cell>
          <cell r="AF9" t="str">
            <v>Rate</v>
          </cell>
          <cell r="AG9" t="str">
            <v xml:space="preserve"> </v>
          </cell>
          <cell r="AH9" t="str">
            <v>% of</v>
          </cell>
          <cell r="AI9" t="str">
            <v>EPS</v>
          </cell>
          <cell r="AJ9" t="str">
            <v>Outst.</v>
          </cell>
          <cell r="AK9">
            <v>108.944</v>
          </cell>
        </row>
        <row r="10">
          <cell r="L10" t="str">
            <v>Rev.</v>
          </cell>
          <cell r="M10" t="str">
            <v>Rev.</v>
          </cell>
          <cell r="O10" t="str">
            <v>Rev.</v>
          </cell>
          <cell r="P10" t="str">
            <v>Rev.</v>
          </cell>
          <cell r="R10" t="str">
            <v xml:space="preserve"> agrmts</v>
          </cell>
          <cell r="U10" t="str">
            <v>Rev.</v>
          </cell>
          <cell r="Z10" t="str">
            <v>net</v>
          </cell>
          <cell r="AA10" t="str">
            <v>premium</v>
          </cell>
          <cell r="AB10" t="str">
            <v>swaps</v>
          </cell>
          <cell r="AC10" t="str">
            <v>Rev.</v>
          </cell>
          <cell r="AD10" t="str">
            <v>Rev.</v>
          </cell>
          <cell r="AG10" t="str">
            <v>Rev.</v>
          </cell>
          <cell r="AH10" t="str">
            <v>Rev.</v>
          </cell>
        </row>
        <row r="11">
          <cell r="C11" t="str">
            <v>FY 98</v>
          </cell>
          <cell r="D11">
            <v>69.153999999999996</v>
          </cell>
          <cell r="E11">
            <v>30.890999999999998</v>
          </cell>
          <cell r="F11">
            <v>11.612</v>
          </cell>
          <cell r="G11">
            <v>111.657</v>
          </cell>
          <cell r="H11">
            <v>40.560999999999993</v>
          </cell>
          <cell r="I11">
            <v>0.5865315093848511</v>
          </cell>
          <cell r="J11">
            <v>28.593</v>
          </cell>
          <cell r="K11">
            <v>17.489999999999998</v>
          </cell>
          <cell r="L11">
            <v>0.15664042558908084</v>
          </cell>
          <cell r="M11">
            <v>0.15664042558908084</v>
          </cell>
          <cell r="N11">
            <v>20.271000000000001</v>
          </cell>
          <cell r="O11">
            <v>0.18154705929767057</v>
          </cell>
          <cell r="P11">
            <v>0.18154705929767057</v>
          </cell>
          <cell r="S11">
            <v>66.353999999999999</v>
          </cell>
          <cell r="T11">
            <v>45.302999999999997</v>
          </cell>
          <cell r="U11">
            <v>0.40573363067250595</v>
          </cell>
          <cell r="Y11">
            <v>-1.702</v>
          </cell>
          <cell r="AB11">
            <v>43.600999999999999</v>
          </cell>
          <cell r="AC11">
            <v>43.600999999999999</v>
          </cell>
          <cell r="AD11">
            <v>0.39049052007487217</v>
          </cell>
          <cell r="AE11">
            <v>2.024</v>
          </cell>
          <cell r="AF11">
            <v>4.6420953647852113E-2</v>
          </cell>
          <cell r="AG11">
            <v>41.576999999999998</v>
          </cell>
          <cell r="AH11">
            <v>0.37236357774255086</v>
          </cell>
          <cell r="AI11">
            <v>0.38163643706858569</v>
          </cell>
          <cell r="AJ11">
            <v>108.944</v>
          </cell>
          <cell r="AK11">
            <v>100.8</v>
          </cell>
        </row>
        <row r="12">
          <cell r="C12" t="str">
            <v>2Q, 1999</v>
          </cell>
          <cell r="D12">
            <v>24.978999999999999</v>
          </cell>
          <cell r="E12">
            <v>7.8780000000000001</v>
          </cell>
          <cell r="F12">
            <v>2.5499999999999998</v>
          </cell>
          <cell r="G12">
            <v>35.406999999999996</v>
          </cell>
          <cell r="H12">
            <v>17.131</v>
          </cell>
          <cell r="I12">
            <v>0.68581608551182993</v>
          </cell>
          <cell r="J12">
            <v>7.8479999999999999</v>
          </cell>
          <cell r="K12">
            <v>6.4589999999999996</v>
          </cell>
          <cell r="L12">
            <v>0.18242155505973395</v>
          </cell>
          <cell r="N12">
            <v>6.798</v>
          </cell>
          <cell r="O12">
            <v>0.19199593300759737</v>
          </cell>
          <cell r="S12">
            <v>21.105</v>
          </cell>
          <cell r="T12">
            <v>14.301999999999996</v>
          </cell>
          <cell r="U12">
            <v>0.40393142598921111</v>
          </cell>
          <cell r="Y12">
            <v>-2.657</v>
          </cell>
          <cell r="AC12">
            <v>11.644999999999996</v>
          </cell>
          <cell r="AD12">
            <v>0.32888976756008692</v>
          </cell>
          <cell r="AE12">
            <v>0.77500000000000002</v>
          </cell>
          <cell r="AF12">
            <v>6.6552168312580526E-2</v>
          </cell>
          <cell r="AG12">
            <v>10.869999999999996</v>
          </cell>
          <cell r="AH12">
            <v>0.30700144039314253</v>
          </cell>
          <cell r="AI12">
            <v>0.10313092979127129</v>
          </cell>
          <cell r="AK12">
            <v>105.4</v>
          </cell>
        </row>
        <row r="13">
          <cell r="C13" t="str">
            <v>1Q, 1999</v>
          </cell>
          <cell r="D13">
            <v>12.561999999999999</v>
          </cell>
          <cell r="E13">
            <v>6.077</v>
          </cell>
          <cell r="F13">
            <v>8.952</v>
          </cell>
          <cell r="G13">
            <v>27.591000000000001</v>
          </cell>
          <cell r="H13">
            <v>7.5229999999999997</v>
          </cell>
          <cell r="I13">
            <v>0.59886960675051748</v>
          </cell>
          <cell r="J13">
            <v>5.0389999999999997</v>
          </cell>
          <cell r="K13">
            <v>5.3239999999999998</v>
          </cell>
          <cell r="L13">
            <v>0.19296147294407595</v>
          </cell>
          <cell r="M13">
            <v>0.19296147294407595</v>
          </cell>
          <cell r="N13">
            <v>6.468</v>
          </cell>
          <cell r="O13">
            <v>0.23442426878329889</v>
          </cell>
          <cell r="P13">
            <v>0.23442426878329889</v>
          </cell>
          <cell r="S13">
            <v>16.831</v>
          </cell>
          <cell r="T13">
            <v>10.760000000000002</v>
          </cell>
          <cell r="U13">
            <v>0.3899822405856983</v>
          </cell>
          <cell r="V13">
            <v>57.142000000000003</v>
          </cell>
          <cell r="Y13">
            <v>-2.7919999999999998</v>
          </cell>
          <cell r="AB13">
            <v>7.9680000000000017</v>
          </cell>
          <cell r="AC13">
            <v>7.9680000000000017</v>
          </cell>
          <cell r="AD13">
            <v>0.28878982276829407</v>
          </cell>
          <cell r="AE13">
            <v>0.53300000000000003</v>
          </cell>
          <cell r="AF13">
            <v>6.6892570281124483E-2</v>
          </cell>
          <cell r="AG13">
            <v>7.4350000000000014</v>
          </cell>
          <cell r="AH13">
            <v>0.26947192925229246</v>
          </cell>
          <cell r="AI13">
            <v>7.375992063492065E-2</v>
          </cell>
          <cell r="AJ13">
            <v>100.8</v>
          </cell>
          <cell r="AK13">
            <v>101.7</v>
          </cell>
        </row>
        <row r="14">
          <cell r="C14" t="str">
            <v>2Q, 1999</v>
          </cell>
          <cell r="D14">
            <v>24.978999999999999</v>
          </cell>
          <cell r="E14">
            <v>7.8780000000000001</v>
          </cell>
          <cell r="F14">
            <v>2.5499999999999998</v>
          </cell>
          <cell r="G14">
            <v>35.406999999999996</v>
          </cell>
          <cell r="H14">
            <v>17.131</v>
          </cell>
          <cell r="I14">
            <v>0.68581608551182993</v>
          </cell>
          <cell r="J14">
            <v>7.8479999999999999</v>
          </cell>
          <cell r="K14">
            <v>6.4589999999999996</v>
          </cell>
          <cell r="L14">
            <v>0.18242155505973395</v>
          </cell>
          <cell r="M14">
            <v>105.68899999999999</v>
          </cell>
          <cell r="N14">
            <v>6.798</v>
          </cell>
          <cell r="O14">
            <v>0.19199593300759737</v>
          </cell>
          <cell r="P14">
            <v>0.19199593300759737</v>
          </cell>
          <cell r="S14">
            <v>21.105</v>
          </cell>
          <cell r="T14">
            <v>14.301999999999996</v>
          </cell>
          <cell r="U14">
            <v>0.40393142598921111</v>
          </cell>
          <cell r="V14">
            <v>1.2569999999999999</v>
          </cell>
          <cell r="Y14">
            <v>-2.657</v>
          </cell>
          <cell r="Z14">
            <v>1.948</v>
          </cell>
          <cell r="AA14">
            <v>1.948</v>
          </cell>
          <cell r="AB14">
            <v>11.644999999999996</v>
          </cell>
          <cell r="AC14">
            <v>11.644999999999996</v>
          </cell>
          <cell r="AD14">
            <v>0.32888976756008692</v>
          </cell>
          <cell r="AE14">
            <v>0.77500000000000002</v>
          </cell>
          <cell r="AF14">
            <v>6.6552168312580526E-2</v>
          </cell>
          <cell r="AG14">
            <v>10.869999999999996</v>
          </cell>
          <cell r="AH14">
            <v>0.30700144039314253</v>
          </cell>
          <cell r="AI14">
            <v>0.10313092979127129</v>
          </cell>
          <cell r="AJ14">
            <v>105.4</v>
          </cell>
          <cell r="AK14">
            <v>122.444</v>
          </cell>
        </row>
        <row r="15">
          <cell r="C15" t="str">
            <v>3Q, 1999</v>
          </cell>
          <cell r="D15">
            <v>28.73</v>
          </cell>
          <cell r="E15">
            <v>11.254</v>
          </cell>
          <cell r="F15">
            <v>4.6369999999999996</v>
          </cell>
          <cell r="G15">
            <v>44.620999999999995</v>
          </cell>
          <cell r="H15">
            <v>19.783999999999999</v>
          </cell>
          <cell r="I15">
            <v>0.68861816916115559</v>
          </cell>
          <cell r="J15">
            <v>8.9459999999999997</v>
          </cell>
          <cell r="K15">
            <v>7.6989999999999998</v>
          </cell>
          <cell r="L15">
            <v>0.17254207660070373</v>
          </cell>
          <cell r="M15">
            <v>105.68899999999999</v>
          </cell>
          <cell r="N15">
            <v>8.0380000000000003</v>
          </cell>
          <cell r="O15">
            <v>0.18013939624840325</v>
          </cell>
          <cell r="P15">
            <v>0.18013939624840325</v>
          </cell>
          <cell r="S15">
            <v>24.683</v>
          </cell>
          <cell r="T15">
            <v>19.937999999999995</v>
          </cell>
          <cell r="U15">
            <v>0.44682996795230939</v>
          </cell>
          <cell r="V15">
            <v>57.142000000000003</v>
          </cell>
          <cell r="Y15">
            <v>-2.722</v>
          </cell>
          <cell r="Z15">
            <v>-9.1999999999999993</v>
          </cell>
          <cell r="AB15">
            <v>17.215999999999994</v>
          </cell>
          <cell r="AC15">
            <v>17.215999999999994</v>
          </cell>
          <cell r="AD15">
            <v>0.3858273010465923</v>
          </cell>
          <cell r="AE15">
            <v>1.0620000000000001</v>
          </cell>
          <cell r="AF15">
            <v>6.1686802973977717E-2</v>
          </cell>
          <cell r="AG15">
            <v>16.153999999999993</v>
          </cell>
          <cell r="AH15">
            <v>0.36202684834494958</v>
          </cell>
          <cell r="AI15">
            <v>0.15883972468043256</v>
          </cell>
          <cell r="AJ15">
            <v>101.7</v>
          </cell>
          <cell r="AK15">
            <v>108.17400000000001</v>
          </cell>
        </row>
        <row r="16">
          <cell r="C16" t="str">
            <v>4Q, 1999</v>
          </cell>
          <cell r="D16">
            <v>33.255000000000003</v>
          </cell>
          <cell r="E16">
            <v>23.023</v>
          </cell>
          <cell r="F16">
            <v>8.5670000000000002</v>
          </cell>
          <cell r="G16">
            <v>64.844999999999999</v>
          </cell>
          <cell r="H16">
            <v>20.010000000000005</v>
          </cell>
          <cell r="I16">
            <v>0.6017140279657196</v>
          </cell>
          <cell r="J16">
            <v>13.244999999999999</v>
          </cell>
          <cell r="K16">
            <v>13.648</v>
          </cell>
          <cell r="L16">
            <v>0.21047112344822269</v>
          </cell>
          <cell r="M16">
            <v>105.68899999999999</v>
          </cell>
          <cell r="N16">
            <v>17.422999999999998</v>
          </cell>
          <cell r="O16">
            <v>0.26868686868686864</v>
          </cell>
          <cell r="P16">
            <v>0.26868686868686864</v>
          </cell>
          <cell r="S16">
            <v>44.316000000000003</v>
          </cell>
          <cell r="T16">
            <v>20.528999999999996</v>
          </cell>
          <cell r="U16">
            <v>0.31658570437196387</v>
          </cell>
          <cell r="V16">
            <v>1.2569999999999999</v>
          </cell>
          <cell r="Y16">
            <v>-0.98099999999999998</v>
          </cell>
          <cell r="Z16">
            <v>1.948</v>
          </cell>
          <cell r="AB16">
            <v>21.495999999999995</v>
          </cell>
          <cell r="AC16">
            <v>21.495999999999995</v>
          </cell>
          <cell r="AD16">
            <v>0.33149818798673752</v>
          </cell>
          <cell r="AE16">
            <v>1.845</v>
          </cell>
          <cell r="AF16">
            <v>8.5829921845924848E-2</v>
          </cell>
          <cell r="AG16">
            <v>19.650999999999996</v>
          </cell>
          <cell r="AH16">
            <v>0.30304572441977018</v>
          </cell>
          <cell r="AI16">
            <v>0.16048969324752538</v>
          </cell>
          <cell r="AJ16">
            <v>122.444</v>
          </cell>
          <cell r="AK16">
            <v>116812</v>
          </cell>
        </row>
        <row r="17">
          <cell r="C17" t="str">
            <v>*1999</v>
          </cell>
          <cell r="D17">
            <v>99.52600000000001</v>
          </cell>
          <cell r="E17">
            <v>48.231999999999999</v>
          </cell>
          <cell r="F17">
            <v>24.706</v>
          </cell>
          <cell r="G17">
            <v>172.464</v>
          </cell>
          <cell r="H17">
            <v>64.448000000000008</v>
          </cell>
          <cell r="I17">
            <v>0.64754938408054175</v>
          </cell>
          <cell r="J17">
            <v>35.077999999999996</v>
          </cell>
          <cell r="K17">
            <v>33.129999999999995</v>
          </cell>
          <cell r="L17">
            <v>0.19209806104462379</v>
          </cell>
          <cell r="M17">
            <v>105.68899999999999</v>
          </cell>
          <cell r="N17">
            <v>11.936</v>
          </cell>
          <cell r="O17">
            <v>0.23504391319758969</v>
          </cell>
          <cell r="P17">
            <v>17.055</v>
          </cell>
          <cell r="Q17">
            <v>1.01</v>
          </cell>
          <cell r="S17">
            <v>106.935</v>
          </cell>
          <cell r="T17">
            <v>65.528999999999996</v>
          </cell>
          <cell r="U17">
            <v>0.37995755635958806</v>
          </cell>
          <cell r="V17">
            <v>58.399000000000001</v>
          </cell>
          <cell r="Y17">
            <v>-9.1519999999999992</v>
          </cell>
          <cell r="Z17">
            <v>1.948</v>
          </cell>
          <cell r="AB17">
            <v>58.324999999999996</v>
          </cell>
          <cell r="AC17">
            <v>58.324999999999996</v>
          </cell>
          <cell r="AD17">
            <v>0.33818652008535111</v>
          </cell>
          <cell r="AE17">
            <v>4.2149999999999999</v>
          </cell>
          <cell r="AF17">
            <v>7.2267466780968709E-2</v>
          </cell>
          <cell r="AG17">
            <v>54.11</v>
          </cell>
          <cell r="AH17">
            <v>0.3137466369793116</v>
          </cell>
          <cell r="AI17">
            <v>0.50021262040786141</v>
          </cell>
          <cell r="AJ17">
            <v>108.17400000000001</v>
          </cell>
          <cell r="AK17">
            <v>140.52199999999999</v>
          </cell>
        </row>
        <row r="18">
          <cell r="C18" t="str">
            <v>*2Q, 2000</v>
          </cell>
          <cell r="D18">
            <v>45.384</v>
          </cell>
          <cell r="E18">
            <v>16.645</v>
          </cell>
          <cell r="F18">
            <v>3.1349999999999998</v>
          </cell>
          <cell r="G18">
            <v>65.164000000000001</v>
          </cell>
          <cell r="H18">
            <v>31.846</v>
          </cell>
          <cell r="I18">
            <v>0.70170104001410183</v>
          </cell>
          <cell r="J18">
            <v>13.538</v>
          </cell>
          <cell r="K18">
            <v>13.942</v>
          </cell>
          <cell r="L18">
            <v>0.21395248910441347</v>
          </cell>
          <cell r="N18">
            <v>14.456</v>
          </cell>
          <cell r="O18">
            <v>0.22184027990915228</v>
          </cell>
          <cell r="P18">
            <v>24.245000000000001</v>
          </cell>
          <cell r="Q18">
            <v>1.0169999999999999</v>
          </cell>
          <cell r="S18">
            <v>41.936</v>
          </cell>
          <cell r="T18">
            <v>23.228000000000002</v>
          </cell>
          <cell r="U18">
            <v>0.35645448407095942</v>
          </cell>
          <cell r="Y18">
            <v>2.383</v>
          </cell>
          <cell r="Z18">
            <v>2.383</v>
          </cell>
          <cell r="AC18">
            <v>25.611000000000001</v>
          </cell>
          <cell r="AD18">
            <v>0.39302375544779328</v>
          </cell>
          <cell r="AE18">
            <v>1.444</v>
          </cell>
          <cell r="AF18">
            <v>5.6382023349342079E-2</v>
          </cell>
          <cell r="AG18">
            <v>24.167000000000002</v>
          </cell>
          <cell r="AH18">
            <v>0.3708642808912897</v>
          </cell>
          <cell r="AI18">
            <v>0.16886066043404743</v>
          </cell>
          <cell r="AK18">
            <v>143.11799999999999</v>
          </cell>
        </row>
        <row r="19">
          <cell r="C19" t="str">
            <v>*1Q, 2000</v>
          </cell>
          <cell r="D19">
            <v>35.853000000000002</v>
          </cell>
          <cell r="E19">
            <v>11.651</v>
          </cell>
          <cell r="F19">
            <v>3.278</v>
          </cell>
          <cell r="G19">
            <v>50.782000000000004</v>
          </cell>
          <cell r="H19">
            <v>24.818000000000001</v>
          </cell>
          <cell r="I19">
            <v>0.69221543524949103</v>
          </cell>
          <cell r="J19">
            <v>11.035</v>
          </cell>
          <cell r="K19">
            <v>11.766</v>
          </cell>
          <cell r="L19">
            <v>0.23169627033200738</v>
          </cell>
          <cell r="M19">
            <v>141.5</v>
          </cell>
          <cell r="N19">
            <v>11.936</v>
          </cell>
          <cell r="O19">
            <v>0.23504391319758969</v>
          </cell>
          <cell r="P19">
            <v>17.055</v>
          </cell>
          <cell r="Q19">
            <v>1.01</v>
          </cell>
          <cell r="R19">
            <v>1.01</v>
          </cell>
          <cell r="S19">
            <v>34.737000000000002</v>
          </cell>
          <cell r="T19">
            <v>16.045000000000002</v>
          </cell>
          <cell r="U19">
            <v>0.31595841046039935</v>
          </cell>
          <cell r="Y19">
            <v>-0.26600000000000001</v>
          </cell>
          <cell r="Z19">
            <v>3.1019999999999999</v>
          </cell>
          <cell r="AB19">
            <v>15.779000000000002</v>
          </cell>
          <cell r="AC19">
            <v>15.779000000000002</v>
          </cell>
          <cell r="AD19">
            <v>0.31072033397660592</v>
          </cell>
          <cell r="AE19">
            <v>0.81299999999999994</v>
          </cell>
          <cell r="AF19">
            <v>5.1524177704544004E-2</v>
          </cell>
          <cell r="AG19">
            <v>14.966000000000001</v>
          </cell>
          <cell r="AH19">
            <v>0.29471072427237999</v>
          </cell>
          <cell r="AI19">
            <v>0.10650289634363304</v>
          </cell>
          <cell r="AJ19">
            <v>140.52199999999999</v>
          </cell>
          <cell r="AK19">
            <v>146.37700000000001</v>
          </cell>
        </row>
        <row r="20">
          <cell r="C20" t="str">
            <v>*2Q, 2000</v>
          </cell>
          <cell r="D20">
            <v>45.384</v>
          </cell>
          <cell r="E20">
            <v>16.645</v>
          </cell>
          <cell r="F20">
            <v>3.1349999999999998</v>
          </cell>
          <cell r="G20">
            <v>65.164000000000001</v>
          </cell>
          <cell r="H20">
            <v>31.846</v>
          </cell>
          <cell r="I20">
            <v>0.70170104001410183</v>
          </cell>
          <cell r="J20">
            <v>13.538</v>
          </cell>
          <cell r="K20">
            <v>13.942</v>
          </cell>
          <cell r="L20">
            <v>0.21395248910441347</v>
          </cell>
          <cell r="M20">
            <v>66.924000000000007</v>
          </cell>
          <cell r="N20">
            <v>14.456</v>
          </cell>
          <cell r="O20">
            <v>0.22184027990915228</v>
          </cell>
          <cell r="P20">
            <v>24.245000000000001</v>
          </cell>
          <cell r="Q20">
            <v>1.0169999999999999</v>
          </cell>
          <cell r="R20">
            <v>1.0169999999999999</v>
          </cell>
          <cell r="S20">
            <v>41.936</v>
          </cell>
          <cell r="T20">
            <v>23.228000000000002</v>
          </cell>
          <cell r="U20">
            <v>0.35645448407095942</v>
          </cell>
          <cell r="Y20">
            <v>2.383</v>
          </cell>
          <cell r="Z20">
            <v>-2.2639999999999998</v>
          </cell>
          <cell r="AB20">
            <v>25.611000000000001</v>
          </cell>
          <cell r="AC20">
            <v>25.611000000000001</v>
          </cell>
          <cell r="AD20">
            <v>0.39302375544779328</v>
          </cell>
          <cell r="AE20">
            <v>1.444</v>
          </cell>
          <cell r="AF20">
            <v>5.6382023349342079E-2</v>
          </cell>
          <cell r="AG20">
            <v>24.167000000000002</v>
          </cell>
          <cell r="AH20">
            <v>0.3708642808912897</v>
          </cell>
          <cell r="AI20">
            <v>0.16886066043404743</v>
          </cell>
          <cell r="AJ20">
            <v>143.11799999999999</v>
          </cell>
          <cell r="AK20">
            <v>146.477</v>
          </cell>
        </row>
        <row r="21">
          <cell r="C21" t="str">
            <v>*3Q, 2000</v>
          </cell>
          <cell r="D21">
            <v>53.317999999999998</v>
          </cell>
          <cell r="E21">
            <v>34.433999999999997</v>
          </cell>
          <cell r="F21">
            <v>5.6630000000000003</v>
          </cell>
          <cell r="G21">
            <v>93.414999999999992</v>
          </cell>
          <cell r="H21">
            <v>36.531999999999996</v>
          </cell>
          <cell r="I21">
            <v>0.68517198694624704</v>
          </cell>
          <cell r="J21">
            <v>16.786000000000001</v>
          </cell>
          <cell r="K21">
            <v>22.391999999999999</v>
          </cell>
          <cell r="L21">
            <v>0.23970454423807741</v>
          </cell>
          <cell r="M21">
            <v>141.5</v>
          </cell>
          <cell r="N21">
            <v>13.162000000000001</v>
          </cell>
          <cell r="O21">
            <v>0.14089814269656908</v>
          </cell>
          <cell r="P21">
            <v>42.096999999999987</v>
          </cell>
          <cell r="Q21">
            <v>1.022</v>
          </cell>
          <cell r="R21">
            <v>1.022</v>
          </cell>
          <cell r="S21">
            <v>52.34</v>
          </cell>
          <cell r="T21">
            <v>41.074999999999989</v>
          </cell>
          <cell r="U21">
            <v>0.43970454423807731</v>
          </cell>
          <cell r="Y21">
            <v>3.1019999999999999</v>
          </cell>
          <cell r="Z21">
            <v>2.9549999999999996</v>
          </cell>
          <cell r="AA21">
            <v>208.4</v>
          </cell>
          <cell r="AB21">
            <v>44.176999999999985</v>
          </cell>
          <cell r="AC21">
            <v>44.176999999999985</v>
          </cell>
          <cell r="AD21">
            <v>0.47291120269763948</v>
          </cell>
          <cell r="AE21">
            <v>2.4780000000000002</v>
          </cell>
          <cell r="AF21">
            <v>5.6092536840437357E-2</v>
          </cell>
          <cell r="AG21">
            <v>41.698999999999984</v>
          </cell>
          <cell r="AH21">
            <v>0.44638441363806658</v>
          </cell>
          <cell r="AI21">
            <v>0.28487398976615164</v>
          </cell>
          <cell r="AJ21">
            <v>146.37700000000001</v>
          </cell>
          <cell r="AK21">
            <v>129700</v>
          </cell>
        </row>
        <row r="22">
          <cell r="C22" t="str">
            <v>*4Q, 2000</v>
          </cell>
          <cell r="D22">
            <v>90.441000000000003</v>
          </cell>
          <cell r="E22">
            <v>4.1040000000000001</v>
          </cell>
          <cell r="F22">
            <v>5.2640000000000002</v>
          </cell>
          <cell r="G22">
            <v>99.808999999999997</v>
          </cell>
          <cell r="H22">
            <v>63.794000000000004</v>
          </cell>
          <cell r="I22">
            <v>0.70536592916929275</v>
          </cell>
          <cell r="J22">
            <v>26.646999999999998</v>
          </cell>
          <cell r="K22">
            <v>4.2519999999999998</v>
          </cell>
          <cell r="L22">
            <v>4.2601368614052837E-2</v>
          </cell>
          <cell r="M22">
            <v>66.924000000000007</v>
          </cell>
          <cell r="N22">
            <v>13.661</v>
          </cell>
          <cell r="O22">
            <v>0.13687142442064343</v>
          </cell>
          <cell r="P22">
            <v>59.431999999999995</v>
          </cell>
          <cell r="Q22">
            <v>4.1829999999999998</v>
          </cell>
          <cell r="R22">
            <v>4.1829999999999998</v>
          </cell>
          <cell r="S22">
            <v>44.56</v>
          </cell>
          <cell r="T22">
            <v>55.248999999999995</v>
          </cell>
          <cell r="U22">
            <v>0.55354727529581493</v>
          </cell>
          <cell r="Y22">
            <v>-2.2639999999999998</v>
          </cell>
          <cell r="AB22">
            <v>52.984999999999992</v>
          </cell>
          <cell r="AC22">
            <v>52.984999999999992</v>
          </cell>
          <cell r="AD22">
            <v>0.5308639501447765</v>
          </cell>
          <cell r="AE22">
            <v>8.8079999999999998</v>
          </cell>
          <cell r="AF22">
            <v>0.16623572709257339</v>
          </cell>
          <cell r="AG22">
            <v>44.176999999999992</v>
          </cell>
          <cell r="AH22">
            <v>0.44261539540522393</v>
          </cell>
          <cell r="AI22">
            <v>0.30159683772879015</v>
          </cell>
          <cell r="AJ22">
            <v>146.477</v>
          </cell>
          <cell r="AK22">
            <v>129980</v>
          </cell>
        </row>
        <row r="23">
          <cell r="C23" t="str">
            <v>*2000</v>
          </cell>
          <cell r="D23">
            <v>224.99600000000001</v>
          </cell>
          <cell r="E23">
            <v>66.834000000000003</v>
          </cell>
          <cell r="F23">
            <v>17.34</v>
          </cell>
          <cell r="G23">
            <v>309.17</v>
          </cell>
          <cell r="H23">
            <v>157.01600000000002</v>
          </cell>
          <cell r="I23">
            <v>0.69786129531191676</v>
          </cell>
          <cell r="J23">
            <v>67.98</v>
          </cell>
          <cell r="K23">
            <v>51.709000000000003</v>
          </cell>
          <cell r="L23">
            <v>0.16725102694310573</v>
          </cell>
          <cell r="M23">
            <v>208.42400000000001</v>
          </cell>
          <cell r="N23">
            <v>23.475000000000001</v>
          </cell>
          <cell r="O23">
            <v>0.19689332114370067</v>
          </cell>
          <cell r="P23">
            <v>57.791000000000004</v>
          </cell>
          <cell r="Q23">
            <v>13.403</v>
          </cell>
          <cell r="R23">
            <v>7.2320000000000002</v>
          </cell>
          <cell r="S23">
            <v>171.54599999999999</v>
          </cell>
          <cell r="T23">
            <v>137.62400000000002</v>
          </cell>
          <cell r="U23">
            <v>0.4451402141216807</v>
          </cell>
          <cell r="Y23">
            <v>2.9549999999999996</v>
          </cell>
          <cell r="Z23">
            <v>-12.472</v>
          </cell>
          <cell r="AB23">
            <v>140.57900000000004</v>
          </cell>
          <cell r="AC23">
            <v>140.57900000000004</v>
          </cell>
          <cell r="AD23">
            <v>0.45469806255458173</v>
          </cell>
          <cell r="AE23">
            <v>16.591999999999999</v>
          </cell>
          <cell r="AF23">
            <v>0.11802616322494822</v>
          </cell>
          <cell r="AG23">
            <v>123.98700000000004</v>
          </cell>
          <cell r="AH23">
            <v>0.40103179480544693</v>
          </cell>
          <cell r="AI23">
            <v>0.8639486593455602</v>
          </cell>
          <cell r="AJ23">
            <v>143.512</v>
          </cell>
          <cell r="AK23">
            <v>148.084</v>
          </cell>
        </row>
        <row r="24">
          <cell r="C24" t="str">
            <v>2Q, 2001</v>
          </cell>
          <cell r="D24">
            <v>125.398</v>
          </cell>
          <cell r="E24">
            <v>1.9630000000000001</v>
          </cell>
          <cell r="F24">
            <v>6.1429999999999998</v>
          </cell>
          <cell r="G24">
            <v>133.50399999999999</v>
          </cell>
          <cell r="H24">
            <v>97.864000000000004</v>
          </cell>
          <cell r="I24">
            <v>0.78042712004976167</v>
          </cell>
          <cell r="J24">
            <v>27.533999999999999</v>
          </cell>
          <cell r="K24">
            <v>13.913</v>
          </cell>
          <cell r="L24">
            <v>0.10421410594439119</v>
          </cell>
          <cell r="N24">
            <v>20.971</v>
          </cell>
          <cell r="O24">
            <v>0.15708143576222436</v>
          </cell>
          <cell r="P24">
            <v>71.085999999999999</v>
          </cell>
          <cell r="Q24">
            <v>13.954000000000001</v>
          </cell>
          <cell r="S24">
            <v>76.371999999999986</v>
          </cell>
          <cell r="T24">
            <v>57.132000000000005</v>
          </cell>
          <cell r="U24">
            <v>0.42794223394055614</v>
          </cell>
          <cell r="Y24">
            <v>-9.7189999999999994</v>
          </cell>
          <cell r="Z24">
            <v>-9.7189999999999994</v>
          </cell>
          <cell r="AC24">
            <v>47.413000000000004</v>
          </cell>
          <cell r="AD24">
            <v>0.35514291706615536</v>
          </cell>
          <cell r="AE24">
            <v>3.31</v>
          </cell>
          <cell r="AF24">
            <v>6.9812076856558325E-2</v>
          </cell>
          <cell r="AG24">
            <v>44.103000000000002</v>
          </cell>
          <cell r="AH24">
            <v>0.33034965244487058</v>
          </cell>
          <cell r="AI24">
            <v>0.29812820668816292</v>
          </cell>
          <cell r="AK24">
            <v>147.93299999999999</v>
          </cell>
        </row>
        <row r="25">
          <cell r="C25" t="str">
            <v>1Q, 2001</v>
          </cell>
          <cell r="D25">
            <v>111.92700000000001</v>
          </cell>
          <cell r="E25">
            <v>1.5660000000000001</v>
          </cell>
          <cell r="F25">
            <v>5.734</v>
          </cell>
          <cell r="G25">
            <v>119.227</v>
          </cell>
          <cell r="H25">
            <v>85.373000000000005</v>
          </cell>
          <cell r="I25">
            <v>0.76275608208921886</v>
          </cell>
          <cell r="J25">
            <v>26.553999999999998</v>
          </cell>
          <cell r="K25">
            <v>11.407</v>
          </cell>
          <cell r="L25">
            <v>9.5674637456280867E-2</v>
          </cell>
          <cell r="M25">
            <v>9.5674637456280867E-2</v>
          </cell>
          <cell r="N25">
            <v>23.475000000000001</v>
          </cell>
          <cell r="O25">
            <v>0.19689332114370067</v>
          </cell>
          <cell r="P25">
            <v>57.791000000000004</v>
          </cell>
          <cell r="Q25">
            <v>13.403</v>
          </cell>
          <cell r="R25">
            <v>13.403</v>
          </cell>
          <cell r="S25">
            <v>74.838999999999999</v>
          </cell>
          <cell r="T25">
            <v>44.388000000000005</v>
          </cell>
          <cell r="U25">
            <v>0.37229822104053617</v>
          </cell>
          <cell r="X25">
            <v>-22.731000000000002</v>
          </cell>
          <cell r="Y25">
            <v>-12.472</v>
          </cell>
          <cell r="Z25">
            <v>-6.4649999999999999</v>
          </cell>
          <cell r="AA25">
            <v>-22.731000000000002</v>
          </cell>
          <cell r="AB25">
            <v>31.916000000000004</v>
          </cell>
          <cell r="AC25">
            <v>31.916000000000004</v>
          </cell>
          <cell r="AD25">
            <v>0.2676910431362024</v>
          </cell>
          <cell r="AE25">
            <v>2.75</v>
          </cell>
          <cell r="AF25">
            <v>8.6163679659105138E-2</v>
          </cell>
          <cell r="AG25">
            <v>29.166000000000004</v>
          </cell>
          <cell r="AH25">
            <v>0.24462579784780294</v>
          </cell>
          <cell r="AI25">
            <v>0.19695578185354259</v>
          </cell>
          <cell r="AJ25">
            <v>148.084</v>
          </cell>
          <cell r="AK25">
            <v>152.428</v>
          </cell>
        </row>
        <row r="26">
          <cell r="C26" t="str">
            <v>2Q, 2001</v>
          </cell>
          <cell r="D26">
            <v>125.398</v>
          </cell>
          <cell r="E26">
            <v>1.9630000000000001</v>
          </cell>
          <cell r="F26">
            <v>6.1429999999999998</v>
          </cell>
          <cell r="G26">
            <v>133.50399999999999</v>
          </cell>
          <cell r="H26">
            <v>97.864000000000004</v>
          </cell>
          <cell r="I26">
            <v>0.78042712004976167</v>
          </cell>
          <cell r="J26">
            <v>27.533999999999999</v>
          </cell>
          <cell r="K26">
            <v>13.913</v>
          </cell>
          <cell r="L26">
            <v>0.10421410594439119</v>
          </cell>
          <cell r="M26">
            <v>0.10421410594439119</v>
          </cell>
          <cell r="N26">
            <v>20.971</v>
          </cell>
          <cell r="O26">
            <v>0.15708143576222436</v>
          </cell>
          <cell r="P26">
            <v>71.085999999999999</v>
          </cell>
          <cell r="Q26">
            <v>13.954000000000001</v>
          </cell>
          <cell r="R26">
            <v>13.954000000000001</v>
          </cell>
          <cell r="S26">
            <v>76.371999999999986</v>
          </cell>
          <cell r="T26">
            <v>57.132000000000005</v>
          </cell>
          <cell r="U26">
            <v>0.42794223394055614</v>
          </cell>
          <cell r="Y26">
            <v>-9.7189999999999994</v>
          </cell>
          <cell r="Z26">
            <v>-4.8440000000000003</v>
          </cell>
          <cell r="AB26">
            <v>47.413000000000004</v>
          </cell>
          <cell r="AC26">
            <v>47.413000000000004</v>
          </cell>
          <cell r="AD26">
            <v>0.35514291706615536</v>
          </cell>
          <cell r="AE26">
            <v>3.31</v>
          </cell>
          <cell r="AF26">
            <v>6.9812076856558325E-2</v>
          </cell>
          <cell r="AG26">
            <v>44.103000000000002</v>
          </cell>
          <cell r="AH26">
            <v>0.33034965244487058</v>
          </cell>
          <cell r="AI26">
            <v>0.29812820668816292</v>
          </cell>
          <cell r="AJ26">
            <v>147.93299999999999</v>
          </cell>
          <cell r="AK26">
            <v>159.47800000000001</v>
          </cell>
        </row>
        <row r="27">
          <cell r="C27" t="str">
            <v>3Q, 2001</v>
          </cell>
          <cell r="D27">
            <v>137.14699999999999</v>
          </cell>
          <cell r="E27">
            <v>6.5880000000000001</v>
          </cell>
          <cell r="F27">
            <v>8.4550000000000001</v>
          </cell>
          <cell r="G27">
            <v>152.19</v>
          </cell>
          <cell r="H27">
            <v>100.52599999999998</v>
          </cell>
          <cell r="I27">
            <v>0.7329799412309419</v>
          </cell>
          <cell r="J27">
            <v>36.621000000000002</v>
          </cell>
          <cell r="K27">
            <v>12.018000000000001</v>
          </cell>
          <cell r="L27">
            <v>7.8967080622905583E-2</v>
          </cell>
          <cell r="M27">
            <v>7.8967080622905583E-2</v>
          </cell>
          <cell r="N27">
            <v>26.422000000000001</v>
          </cell>
          <cell r="O27">
            <v>0.173611932452855</v>
          </cell>
          <cell r="P27">
            <v>77.128999999999991</v>
          </cell>
          <cell r="Q27">
            <v>11.106999999999999</v>
          </cell>
          <cell r="R27">
            <v>11.106999999999999</v>
          </cell>
          <cell r="S27">
            <v>86.168000000000006</v>
          </cell>
          <cell r="T27">
            <v>66.021999999999991</v>
          </cell>
          <cell r="U27">
            <v>0.43381299691175501</v>
          </cell>
          <cell r="Y27">
            <v>-6.4649999999999999</v>
          </cell>
          <cell r="Z27">
            <v>-33.5</v>
          </cell>
          <cell r="AA27">
            <v>-22.731000000000002</v>
          </cell>
          <cell r="AB27">
            <v>59.556999999999988</v>
          </cell>
          <cell r="AC27">
            <v>59.556999999999988</v>
          </cell>
          <cell r="AD27">
            <v>0.39133320191865423</v>
          </cell>
          <cell r="AE27">
            <v>3.7250000000000001</v>
          </cell>
          <cell r="AF27">
            <v>6.2545124838390129E-2</v>
          </cell>
          <cell r="AG27">
            <v>55.831999999999987</v>
          </cell>
          <cell r="AH27">
            <v>0.3668572179512451</v>
          </cell>
          <cell r="AI27">
            <v>0.36628440968850862</v>
          </cell>
          <cell r="AJ27">
            <v>152.428</v>
          </cell>
          <cell r="AK27">
            <v>150.69</v>
          </cell>
        </row>
        <row r="28">
          <cell r="C28" t="str">
            <v>4Q, 2001</v>
          </cell>
          <cell r="D28">
            <v>162.666</v>
          </cell>
          <cell r="E28">
            <v>4.4790000000000001</v>
          </cell>
          <cell r="F28">
            <v>11.196999999999999</v>
          </cell>
          <cell r="G28">
            <v>178.34200000000001</v>
          </cell>
          <cell r="H28">
            <v>126.95399999999999</v>
          </cell>
          <cell r="I28">
            <v>0.78045811663162556</v>
          </cell>
          <cell r="J28">
            <v>35.712000000000003</v>
          </cell>
          <cell r="K28">
            <v>14.154</v>
          </cell>
          <cell r="L28">
            <v>7.9364367339157346E-2</v>
          </cell>
          <cell r="M28">
            <v>7.9364367339157346E-2</v>
          </cell>
          <cell r="N28">
            <v>32.424999999999997</v>
          </cell>
          <cell r="O28">
            <v>0.18181359410570699</v>
          </cell>
          <cell r="P28">
            <v>96.051000000000016</v>
          </cell>
          <cell r="Q28">
            <v>11.955</v>
          </cell>
          <cell r="R28">
            <v>11.955</v>
          </cell>
          <cell r="S28">
            <v>94.245999999999995</v>
          </cell>
          <cell r="T28">
            <v>84.096000000000018</v>
          </cell>
          <cell r="U28">
            <v>0.47154343901044066</v>
          </cell>
          <cell r="Y28">
            <v>-4.8440000000000003</v>
          </cell>
          <cell r="AB28">
            <v>79.252000000000024</v>
          </cell>
          <cell r="AC28">
            <v>79.252000000000024</v>
          </cell>
          <cell r="AD28">
            <v>0.44438214217626815</v>
          </cell>
          <cell r="AE28">
            <v>5.5</v>
          </cell>
          <cell r="AF28">
            <v>6.9398879523545121E-2</v>
          </cell>
          <cell r="AG28">
            <v>73.752000000000024</v>
          </cell>
          <cell r="AH28">
            <v>0.41354251942896242</v>
          </cell>
          <cell r="AI28">
            <v>0.46245877174281103</v>
          </cell>
          <cell r="AJ28">
            <v>159.47800000000001</v>
          </cell>
        </row>
        <row r="29">
          <cell r="C29" t="str">
            <v>*2001</v>
          </cell>
          <cell r="D29">
            <v>537.13799999999992</v>
          </cell>
          <cell r="E29">
            <v>14.596</v>
          </cell>
          <cell r="F29">
            <v>31.529</v>
          </cell>
          <cell r="G29">
            <v>583.26300000000003</v>
          </cell>
          <cell r="H29">
            <v>411.14299999999992</v>
          </cell>
          <cell r="I29">
            <v>0.7654327193384195</v>
          </cell>
          <cell r="J29">
            <v>125.995</v>
          </cell>
          <cell r="K29">
            <v>50.017000000000003</v>
          </cell>
          <cell r="L29">
            <v>8.5753768025744817E-2</v>
          </cell>
          <cell r="M29">
            <v>8.5753768025744817E-2</v>
          </cell>
          <cell r="N29">
            <v>110.1</v>
          </cell>
          <cell r="O29">
            <v>0.18876561688294988</v>
          </cell>
          <cell r="P29">
            <v>296.15100000000001</v>
          </cell>
          <cell r="Q29">
            <v>44.512999999999998</v>
          </cell>
          <cell r="R29">
            <v>44.512999999999998</v>
          </cell>
          <cell r="S29">
            <v>331.625</v>
          </cell>
          <cell r="T29">
            <v>251.63800000000003</v>
          </cell>
          <cell r="U29">
            <v>0.43143144687730922</v>
          </cell>
          <cell r="Y29">
            <v>-33.5</v>
          </cell>
          <cell r="Z29">
            <v>-0.17900000000000005</v>
          </cell>
          <cell r="AA29">
            <v>-22.731000000000002</v>
          </cell>
          <cell r="AB29">
            <v>218.13800000000003</v>
          </cell>
          <cell r="AC29">
            <v>218.13800000000003</v>
          </cell>
          <cell r="AD29">
            <v>0.37399595036887306</v>
          </cell>
          <cell r="AE29">
            <v>15.285</v>
          </cell>
          <cell r="AF29">
            <v>7.0070322456426651E-2</v>
          </cell>
          <cell r="AG29">
            <v>202.85300000000004</v>
          </cell>
          <cell r="AH29">
            <v>0.3477899335291284</v>
          </cell>
          <cell r="AI29">
            <v>1.3461609927666072</v>
          </cell>
          <cell r="AJ29">
            <v>150.69</v>
          </cell>
          <cell r="AK29">
            <v>166.49299999999999</v>
          </cell>
        </row>
        <row r="30">
          <cell r="C30" t="str">
            <v>2Q, 2002</v>
          </cell>
          <cell r="D30">
            <v>177.8</v>
          </cell>
          <cell r="E30">
            <v>3.673</v>
          </cell>
          <cell r="F30">
            <v>55.88</v>
          </cell>
          <cell r="G30">
            <v>185.1</v>
          </cell>
          <cell r="H30">
            <v>116.5</v>
          </cell>
          <cell r="I30">
            <v>0.65523059617547807</v>
          </cell>
          <cell r="J30">
            <v>41.3</v>
          </cell>
          <cell r="K30">
            <v>14.5</v>
          </cell>
          <cell r="L30">
            <v>7.833603457590492E-2</v>
          </cell>
          <cell r="N30">
            <v>39</v>
          </cell>
          <cell r="O30">
            <v>0.21069692058346839</v>
          </cell>
          <cell r="P30">
            <v>90.3</v>
          </cell>
          <cell r="Q30">
            <v>14.019</v>
          </cell>
          <cell r="S30">
            <v>108.819</v>
          </cell>
          <cell r="T30">
            <v>76.280999999999992</v>
          </cell>
          <cell r="U30">
            <v>0.41210696920583467</v>
          </cell>
          <cell r="V30">
            <v>1.0469999999999999</v>
          </cell>
          <cell r="W30">
            <v>1.0469999999999999</v>
          </cell>
          <cell r="X30">
            <v>10.17</v>
          </cell>
          <cell r="Y30">
            <v>-9.1229999999999993</v>
          </cell>
          <cell r="Z30">
            <v>0.3640000000000001</v>
          </cell>
          <cell r="AA30">
            <v>0</v>
          </cell>
          <cell r="AB30">
            <v>0</v>
          </cell>
          <cell r="AC30">
            <v>67.157999999999987</v>
          </cell>
          <cell r="AD30">
            <v>0.36282009724473252</v>
          </cell>
          <cell r="AE30">
            <v>4.7069999999999999</v>
          </cell>
          <cell r="AF30">
            <v>7.0088448137228643E-2</v>
          </cell>
          <cell r="AG30">
            <v>62.450999999999986</v>
          </cell>
          <cell r="AH30">
            <v>0.33739059967585083</v>
          </cell>
          <cell r="AI30">
            <v>0.38687795419487919</v>
          </cell>
          <cell r="AK30">
            <v>161.423</v>
          </cell>
        </row>
        <row r="31">
          <cell r="C31" t="str">
            <v>1Q, 2002</v>
          </cell>
          <cell r="D31">
            <v>129.85400000000001</v>
          </cell>
          <cell r="E31">
            <v>5.7130000000000001</v>
          </cell>
          <cell r="F31">
            <v>9.6859999999999999</v>
          </cell>
          <cell r="G31">
            <v>155.30000000000001</v>
          </cell>
          <cell r="H31">
            <v>94.138000000000005</v>
          </cell>
          <cell r="I31">
            <v>0.72495263911777841</v>
          </cell>
          <cell r="J31">
            <v>35.716000000000001</v>
          </cell>
          <cell r="K31">
            <v>10.468</v>
          </cell>
          <cell r="L31">
            <v>6.7405022537025114E-2</v>
          </cell>
          <cell r="M31">
            <v>6.7425428172080401E-2</v>
          </cell>
          <cell r="N31">
            <v>39.337000000000003</v>
          </cell>
          <cell r="O31">
            <v>0.25329684481648423</v>
          </cell>
          <cell r="P31">
            <v>69.779000000000011</v>
          </cell>
          <cell r="Q31">
            <v>12.509</v>
          </cell>
          <cell r="R31">
            <v>12.509</v>
          </cell>
          <cell r="S31">
            <v>98.03</v>
          </cell>
          <cell r="T31">
            <v>57.27000000000001</v>
          </cell>
          <cell r="U31">
            <v>0.36877012234385065</v>
          </cell>
          <cell r="V31">
            <v>0.29799999999999999</v>
          </cell>
          <cell r="W31">
            <v>0.29799999999999999</v>
          </cell>
          <cell r="X31">
            <v>10.956</v>
          </cell>
          <cell r="Y31">
            <v>-0.17900000000000005</v>
          </cell>
          <cell r="Z31">
            <v>3.5999999999999997E-2</v>
          </cell>
          <cell r="AA31">
            <v>0</v>
          </cell>
          <cell r="AB31">
            <v>57.044000000000011</v>
          </cell>
          <cell r="AC31">
            <v>57.091000000000008</v>
          </cell>
          <cell r="AD31">
            <v>0.3676175144880876</v>
          </cell>
          <cell r="AE31">
            <v>3.9929999999999999</v>
          </cell>
          <cell r="AF31">
            <v>6.9940971431574142E-2</v>
          </cell>
          <cell r="AG31">
            <v>53.098000000000006</v>
          </cell>
          <cell r="AH31">
            <v>0.34190598840952996</v>
          </cell>
          <cell r="AI31">
            <v>0.31892031496819689</v>
          </cell>
          <cell r="AJ31">
            <v>166.49299999999999</v>
          </cell>
          <cell r="AK31">
            <v>154.01599999999999</v>
          </cell>
        </row>
        <row r="32">
          <cell r="C32" t="str">
            <v>2Q, 2002</v>
          </cell>
          <cell r="D32">
            <v>177.8</v>
          </cell>
          <cell r="E32">
            <v>3.673</v>
          </cell>
          <cell r="F32">
            <v>55.88</v>
          </cell>
          <cell r="G32">
            <v>185.1</v>
          </cell>
          <cell r="H32">
            <v>116.5</v>
          </cell>
          <cell r="I32">
            <v>0.65523059617547807</v>
          </cell>
          <cell r="J32">
            <v>41.3</v>
          </cell>
          <cell r="K32">
            <v>14.5</v>
          </cell>
          <cell r="L32">
            <v>7.833603457590492E-2</v>
          </cell>
          <cell r="M32">
            <v>7.8069043001982377E-2</v>
          </cell>
          <cell r="N32">
            <v>39</v>
          </cell>
          <cell r="O32">
            <v>0.21069692058346839</v>
          </cell>
          <cell r="P32">
            <v>90.3</v>
          </cell>
          <cell r="Q32">
            <v>14.019</v>
          </cell>
          <cell r="R32">
            <v>14.019</v>
          </cell>
          <cell r="S32">
            <v>108.819</v>
          </cell>
          <cell r="T32">
            <v>76.280999999999992</v>
          </cell>
          <cell r="U32">
            <v>0.41210696920583467</v>
          </cell>
          <cell r="V32">
            <v>0.749</v>
          </cell>
          <cell r="W32">
            <v>1.0469999999999999</v>
          </cell>
          <cell r="X32">
            <v>10.17</v>
          </cell>
          <cell r="Y32">
            <v>-9.1229999999999993</v>
          </cell>
          <cell r="Z32">
            <v>-1.1000000000000001</v>
          </cell>
          <cell r="AA32">
            <v>167.745</v>
          </cell>
          <cell r="AB32">
            <v>67.263999999999996</v>
          </cell>
          <cell r="AC32">
            <v>67.157999999999987</v>
          </cell>
          <cell r="AD32">
            <v>0.36282009724473252</v>
          </cell>
          <cell r="AE32">
            <v>4.7069999999999999</v>
          </cell>
          <cell r="AF32">
            <v>7.0088448137228643E-2</v>
          </cell>
          <cell r="AG32">
            <v>62.450999999999986</v>
          </cell>
          <cell r="AH32">
            <v>0.33739059967585083</v>
          </cell>
          <cell r="AI32">
            <v>0.38687795419487919</v>
          </cell>
          <cell r="AJ32">
            <v>161.423</v>
          </cell>
          <cell r="AK32">
            <v>158.09899999999999</v>
          </cell>
        </row>
        <row r="33">
          <cell r="C33" t="str">
            <v>3Q, 2002</v>
          </cell>
          <cell r="D33">
            <v>174.50800000000001</v>
          </cell>
          <cell r="E33">
            <v>7.6529999999999996</v>
          </cell>
          <cell r="F33">
            <v>16.783000000000001</v>
          </cell>
          <cell r="G33">
            <v>208.9</v>
          </cell>
          <cell r="H33">
            <v>130.501</v>
          </cell>
          <cell r="I33">
            <v>0.7478224494006005</v>
          </cell>
          <cell r="J33">
            <v>44.006999999999998</v>
          </cell>
          <cell r="K33">
            <v>14.625999999999999</v>
          </cell>
          <cell r="L33">
            <v>7.0014360938247963E-2</v>
          </cell>
          <cell r="M33">
            <v>6.9999617122291136E-2</v>
          </cell>
          <cell r="N33">
            <v>44.921999999999997</v>
          </cell>
          <cell r="O33">
            <v>0.21504068932503589</v>
          </cell>
          <cell r="P33">
            <v>105.345</v>
          </cell>
          <cell r="Q33">
            <v>15.994</v>
          </cell>
          <cell r="R33">
            <v>15.994</v>
          </cell>
          <cell r="S33">
            <v>119.54900000000001</v>
          </cell>
          <cell r="T33">
            <v>89.350999999999999</v>
          </cell>
          <cell r="U33">
            <v>0.42772139779798946</v>
          </cell>
          <cell r="V33">
            <v>2.0939999999999999</v>
          </cell>
          <cell r="W33">
            <v>0.29799999999999999</v>
          </cell>
          <cell r="X33">
            <v>10.956</v>
          </cell>
          <cell r="Y33">
            <v>-10.657999999999999</v>
          </cell>
          <cell r="Z33">
            <v>-0.7</v>
          </cell>
          <cell r="AA33">
            <v>167.745</v>
          </cell>
          <cell r="AB33">
            <v>78.737000000000009</v>
          </cell>
          <cell r="AC33">
            <v>78.692999999999998</v>
          </cell>
          <cell r="AD33">
            <v>0.3767017711823839</v>
          </cell>
          <cell r="AE33">
            <v>5.7</v>
          </cell>
          <cell r="AF33">
            <v>7.2433380351492507E-2</v>
          </cell>
          <cell r="AG33">
            <v>72.992999999999995</v>
          </cell>
          <cell r="AH33">
            <v>0.34941598851124939</v>
          </cell>
          <cell r="AI33">
            <v>0.47393127986702682</v>
          </cell>
          <cell r="AJ33">
            <v>154.01599999999999</v>
          </cell>
          <cell r="AK33">
            <v>160.46299999999999</v>
          </cell>
        </row>
        <row r="34">
          <cell r="C34" t="str">
            <v>4Q, 2002</v>
          </cell>
          <cell r="D34">
            <v>183.83600000000001</v>
          </cell>
          <cell r="E34">
            <v>9.2569999999999997</v>
          </cell>
          <cell r="F34">
            <v>35.603999999999999</v>
          </cell>
          <cell r="G34">
            <v>238.7</v>
          </cell>
          <cell r="H34">
            <v>140.14400000000001</v>
          </cell>
          <cell r="I34">
            <v>0.76233164342131032</v>
          </cell>
          <cell r="J34">
            <v>43.692</v>
          </cell>
          <cell r="K34">
            <v>12.603</v>
          </cell>
          <cell r="L34">
            <v>5.2798491830749895E-2</v>
          </cell>
          <cell r="M34">
            <v>5.2799155414605128E-2</v>
          </cell>
          <cell r="N34">
            <v>42.457000000000001</v>
          </cell>
          <cell r="O34">
            <v>0.17786761625471303</v>
          </cell>
          <cell r="P34">
            <v>139.94799999999998</v>
          </cell>
          <cell r="Q34">
            <v>28.977</v>
          </cell>
          <cell r="R34">
            <v>28.977</v>
          </cell>
          <cell r="S34">
            <v>127.729</v>
          </cell>
          <cell r="T34">
            <v>110.97099999999999</v>
          </cell>
          <cell r="U34">
            <v>0.46489736070381227</v>
          </cell>
          <cell r="W34">
            <v>0.749</v>
          </cell>
          <cell r="X34">
            <v>9.2520000000000007</v>
          </cell>
          <cell r="Y34">
            <v>-8.5030000000000001</v>
          </cell>
          <cell r="AB34">
            <v>102.465</v>
          </cell>
          <cell r="AC34">
            <v>102.46799999999999</v>
          </cell>
          <cell r="AD34">
            <v>0.42927524088814412</v>
          </cell>
          <cell r="AE34">
            <v>7.1</v>
          </cell>
          <cell r="AF34">
            <v>6.9289924659405866E-2</v>
          </cell>
          <cell r="AG34">
            <v>95.367999999999995</v>
          </cell>
          <cell r="AH34">
            <v>0.39953079178885631</v>
          </cell>
          <cell r="AI34">
            <v>0.6032169716443494</v>
          </cell>
          <cell r="AJ34">
            <v>158.09899999999999</v>
          </cell>
        </row>
        <row r="35">
          <cell r="C35">
            <v>2002</v>
          </cell>
          <cell r="D35">
            <v>665.99800000000005</v>
          </cell>
          <cell r="E35">
            <v>26.295999999999999</v>
          </cell>
          <cell r="F35">
            <v>117.953</v>
          </cell>
          <cell r="G35">
            <v>810.24700000000007</v>
          </cell>
          <cell r="H35">
            <v>501.28300000000002</v>
          </cell>
          <cell r="I35">
            <v>0.75267943747578814</v>
          </cell>
          <cell r="J35">
            <v>164.715</v>
          </cell>
          <cell r="K35">
            <v>52.197000000000003</v>
          </cell>
          <cell r="L35">
            <v>6.4421096282985313E-2</v>
          </cell>
          <cell r="M35">
            <v>6.6178103486564513E-2</v>
          </cell>
          <cell r="N35">
            <v>165.71600000000001</v>
          </cell>
          <cell r="O35">
            <v>0.20452528673355161</v>
          </cell>
          <cell r="P35">
            <v>405.37199999999996</v>
          </cell>
          <cell r="Q35">
            <v>71.498999999999995</v>
          </cell>
          <cell r="R35">
            <v>-24.754999999999999</v>
          </cell>
          <cell r="S35">
            <v>454.12700000000001</v>
          </cell>
          <cell r="T35">
            <v>356.12000000000006</v>
          </cell>
          <cell r="U35">
            <v>0.43952029442873597</v>
          </cell>
          <cell r="V35">
            <v>3.0670000000000002</v>
          </cell>
          <cell r="W35">
            <v>2.0939999999999999</v>
          </cell>
          <cell r="X35">
            <v>30.378</v>
          </cell>
          <cell r="Y35">
            <v>-28.463000000000001</v>
          </cell>
          <cell r="Z35">
            <v>5.4</v>
          </cell>
          <cell r="AA35">
            <v>0</v>
          </cell>
          <cell r="AB35">
            <v>305.51</v>
          </cell>
          <cell r="AC35">
            <v>327.65700000000004</v>
          </cell>
          <cell r="AD35">
            <v>0.40439150036964039</v>
          </cell>
          <cell r="AE35">
            <v>21.5</v>
          </cell>
          <cell r="AF35">
            <v>6.5617398682158462E-2</v>
          </cell>
          <cell r="AG35">
            <v>306.15700000000004</v>
          </cell>
          <cell r="AH35">
            <v>0.37785638206620947</v>
          </cell>
          <cell r="AI35">
            <v>1.7829465206744524</v>
          </cell>
          <cell r="AJ35">
            <v>160.46299999999999</v>
          </cell>
          <cell r="AK35">
            <v>159.49299999999999</v>
          </cell>
        </row>
        <row r="36">
          <cell r="C36" t="str">
            <v>2Q, 2003</v>
          </cell>
          <cell r="D36">
            <v>157.732</v>
          </cell>
          <cell r="E36">
            <v>3.673</v>
          </cell>
          <cell r="F36">
            <v>55.88</v>
          </cell>
          <cell r="G36">
            <v>217.285</v>
          </cell>
          <cell r="H36">
            <v>146.4</v>
          </cell>
          <cell r="I36">
            <v>0.92815662008977251</v>
          </cell>
          <cell r="J36">
            <v>11.332000000000001</v>
          </cell>
          <cell r="K36">
            <v>21.812999999999999</v>
          </cell>
          <cell r="L36">
            <v>0.13829153247280196</v>
          </cell>
          <cell r="N36">
            <v>56.948999999999998</v>
          </cell>
          <cell r="O36">
            <v>0.26209356375267506</v>
          </cell>
          <cell r="P36">
            <v>142.64799999999997</v>
          </cell>
          <cell r="Q36">
            <v>45.886000000000003</v>
          </cell>
          <cell r="R36">
            <v>-9.3000000000000007</v>
          </cell>
          <cell r="S36">
            <v>126.68000000000002</v>
          </cell>
          <cell r="T36">
            <v>90.604999999999976</v>
          </cell>
          <cell r="U36">
            <v>0.41698690659732601</v>
          </cell>
          <cell r="V36">
            <v>1.635</v>
          </cell>
          <cell r="W36">
            <v>1.635</v>
          </cell>
          <cell r="X36">
            <v>9.5069999999999997</v>
          </cell>
          <cell r="Y36">
            <v>-7.8719999999999999</v>
          </cell>
          <cell r="Z36">
            <v>3.9</v>
          </cell>
          <cell r="AA36">
            <v>84.2</v>
          </cell>
          <cell r="AB36">
            <v>6.157</v>
          </cell>
          <cell r="AC36">
            <v>88.889999999999972</v>
          </cell>
          <cell r="AD36">
            <v>0.4090940469889775</v>
          </cell>
          <cell r="AE36">
            <v>5.7</v>
          </cell>
          <cell r="AF36">
            <v>6.4124198447519432E-2</v>
          </cell>
          <cell r="AG36">
            <v>83.189999999999969</v>
          </cell>
          <cell r="AH36">
            <v>0.38286121913615745</v>
          </cell>
          <cell r="AI36">
            <v>0.51855037773954649</v>
          </cell>
          <cell r="AK36">
            <v>160.428</v>
          </cell>
        </row>
        <row r="37">
          <cell r="C37" t="str">
            <v>1Q, 2003</v>
          </cell>
          <cell r="D37">
            <v>126.914</v>
          </cell>
          <cell r="E37">
            <v>2.6</v>
          </cell>
          <cell r="F37">
            <v>51.875999999999998</v>
          </cell>
          <cell r="G37">
            <v>191.4</v>
          </cell>
          <cell r="H37">
            <v>89.50200000000001</v>
          </cell>
          <cell r="I37">
            <v>0.70521770647840276</v>
          </cell>
          <cell r="J37">
            <v>37.411999999999999</v>
          </cell>
          <cell r="K37">
            <v>18.006</v>
          </cell>
          <cell r="L37">
            <v>0.1418756008005421</v>
          </cell>
          <cell r="M37">
            <v>8.1362038652334198E-2</v>
          </cell>
          <cell r="N37">
            <v>46.156999999999996</v>
          </cell>
          <cell r="O37">
            <v>0.24115464994775337</v>
          </cell>
          <cell r="P37">
            <v>114.58</v>
          </cell>
          <cell r="Q37">
            <v>40.521000000000001</v>
          </cell>
          <cell r="R37">
            <v>-24.754999999999999</v>
          </cell>
          <cell r="S37">
            <v>165.66300000000001</v>
          </cell>
          <cell r="T37">
            <v>49.65100000000001</v>
          </cell>
          <cell r="U37">
            <v>0.23059810323527502</v>
          </cell>
          <cell r="V37">
            <v>1.1910000000000001</v>
          </cell>
          <cell r="W37">
            <v>3.0670000000000002</v>
          </cell>
          <cell r="X37">
            <v>9.9819999999999993</v>
          </cell>
          <cell r="Y37">
            <v>-6.4079999999999995</v>
          </cell>
          <cell r="Z37">
            <v>-3.1</v>
          </cell>
          <cell r="AA37">
            <v>18.408999999999999</v>
          </cell>
          <cell r="AB37">
            <v>65.295804079374989</v>
          </cell>
          <cell r="AC37">
            <v>67.650999999999996</v>
          </cell>
          <cell r="AD37">
            <v>0.35345350052246599</v>
          </cell>
          <cell r="AE37">
            <v>4.6500000000000004</v>
          </cell>
          <cell r="AF37">
            <v>6.8735125866579955E-2</v>
          </cell>
          <cell r="AG37">
            <v>63.000999999999998</v>
          </cell>
          <cell r="AH37">
            <v>0.32915882967607102</v>
          </cell>
          <cell r="AI37">
            <v>0.39</v>
          </cell>
          <cell r="AJ37">
            <v>159.49299999999999</v>
          </cell>
          <cell r="AK37">
            <v>160.42599999999999</v>
          </cell>
        </row>
        <row r="38">
          <cell r="C38" t="str">
            <v>2Q, 2003</v>
          </cell>
          <cell r="D38">
            <v>157.732</v>
          </cell>
          <cell r="E38">
            <v>3.673</v>
          </cell>
          <cell r="F38">
            <v>55.88</v>
          </cell>
          <cell r="G38">
            <v>217.285</v>
          </cell>
          <cell r="H38">
            <v>146.4</v>
          </cell>
          <cell r="I38">
            <v>0.92815662008977251</v>
          </cell>
          <cell r="J38">
            <v>11.332000000000001</v>
          </cell>
          <cell r="K38">
            <v>21.812999999999999</v>
          </cell>
          <cell r="L38">
            <v>0.13829153247280196</v>
          </cell>
          <cell r="M38">
            <v>8.482766454085712E-2</v>
          </cell>
          <cell r="N38">
            <v>56.948999999999998</v>
          </cell>
          <cell r="O38">
            <v>0.26209356375267506</v>
          </cell>
          <cell r="P38">
            <v>142.64799999999997</v>
          </cell>
          <cell r="Q38">
            <v>45.886000000000003</v>
          </cell>
          <cell r="R38">
            <v>-9.3000000000000007</v>
          </cell>
          <cell r="S38">
            <v>169.35599999999999</v>
          </cell>
          <cell r="T38">
            <v>30.379000000000019</v>
          </cell>
          <cell r="U38">
            <v>0.15209652789946687</v>
          </cell>
          <cell r="V38">
            <v>1.272</v>
          </cell>
          <cell r="W38">
            <v>1.635</v>
          </cell>
          <cell r="X38">
            <v>9.5069999999999997</v>
          </cell>
          <cell r="Y38">
            <v>-7.8719999999999999</v>
          </cell>
          <cell r="Z38">
            <v>-4.4130000000000003</v>
          </cell>
          <cell r="AA38">
            <v>-1.6439999999999999</v>
          </cell>
          <cell r="AB38">
            <v>6.157</v>
          </cell>
          <cell r="AC38">
            <v>88.889999999999972</v>
          </cell>
          <cell r="AD38">
            <v>0.4090940469889775</v>
          </cell>
          <cell r="AE38">
            <v>5.7</v>
          </cell>
          <cell r="AF38">
            <v>6.4124198447519432E-2</v>
          </cell>
          <cell r="AG38">
            <v>83.189999999999969</v>
          </cell>
          <cell r="AH38">
            <v>0.38286121913615745</v>
          </cell>
          <cell r="AI38">
            <v>0.51855037773954649</v>
          </cell>
          <cell r="AJ38">
            <v>160.428</v>
          </cell>
          <cell r="AK38">
            <v>160.42599999999999</v>
          </cell>
        </row>
        <row r="39">
          <cell r="C39" t="str">
            <v>3Q, 2003</v>
          </cell>
          <cell r="D39">
            <v>179.98500000000001</v>
          </cell>
          <cell r="E39">
            <v>4.5419999999999998</v>
          </cell>
          <cell r="F39">
            <v>30.786999999999999</v>
          </cell>
          <cell r="G39">
            <v>215.31400000000002</v>
          </cell>
          <cell r="H39">
            <v>139.90600000000001</v>
          </cell>
          <cell r="I39">
            <v>0.77732033224990971</v>
          </cell>
          <cell r="J39">
            <v>40.079000000000001</v>
          </cell>
          <cell r="K39">
            <v>20.608000000000001</v>
          </cell>
          <cell r="L39">
            <v>0.11449843042475762</v>
          </cell>
          <cell r="M39">
            <v>7.7808714414561345E-2</v>
          </cell>
          <cell r="N39">
            <v>76.733000000000004</v>
          </cell>
          <cell r="O39">
            <v>0.35637719795275735</v>
          </cell>
          <cell r="P39">
            <v>77.89400000000002</v>
          </cell>
          <cell r="Q39">
            <v>28.242999999999999</v>
          </cell>
          <cell r="R39">
            <v>-34.055</v>
          </cell>
          <cell r="S39">
            <v>165.66300000000001</v>
          </cell>
          <cell r="T39">
            <v>49.65100000000001</v>
          </cell>
          <cell r="U39">
            <v>0.23059810323527502</v>
          </cell>
          <cell r="V39">
            <v>7.165</v>
          </cell>
          <cell r="W39">
            <v>3</v>
          </cell>
          <cell r="X39">
            <v>10</v>
          </cell>
          <cell r="Y39">
            <v>-7</v>
          </cell>
          <cell r="Z39">
            <v>-4.4130000000000003</v>
          </cell>
          <cell r="AA39">
            <v>-1.6439999999999999</v>
          </cell>
          <cell r="AB39">
            <v>115.19468164999998</v>
          </cell>
          <cell r="AC39">
            <v>110.774</v>
          </cell>
          <cell r="AD39">
            <v>0.37116186187393618</v>
          </cell>
          <cell r="AE39">
            <v>7.7541800000000007</v>
          </cell>
          <cell r="AF39">
            <v>7.0000000000000007E-2</v>
          </cell>
          <cell r="AG39">
            <v>103.01982</v>
          </cell>
          <cell r="AH39">
            <v>0.34518053154276063</v>
          </cell>
          <cell r="AI39">
            <v>0.64151459281985124</v>
          </cell>
          <cell r="AJ39">
            <v>160.58842799999999</v>
          </cell>
          <cell r="AK39">
            <v>160.19324999999998</v>
          </cell>
        </row>
        <row r="40">
          <cell r="C40" t="str">
            <v>4Q, 2003E</v>
          </cell>
          <cell r="D40">
            <v>229.7971</v>
          </cell>
          <cell r="E40">
            <v>4.5</v>
          </cell>
          <cell r="F40">
            <v>21.240000000000002</v>
          </cell>
          <cell r="G40">
            <v>255.53710000000001</v>
          </cell>
          <cell r="H40">
            <v>183.83768000000001</v>
          </cell>
          <cell r="I40">
            <v>0.8</v>
          </cell>
          <cell r="J40">
            <v>45.959420000000001</v>
          </cell>
          <cell r="K40">
            <v>35</v>
          </cell>
          <cell r="L40">
            <v>0.15230827543080397</v>
          </cell>
          <cell r="M40">
            <v>7.4131375551428957E-2</v>
          </cell>
          <cell r="N40">
            <v>93</v>
          </cell>
          <cell r="O40">
            <v>0.36393932622699404</v>
          </cell>
          <cell r="P40">
            <v>81.577680000000015</v>
          </cell>
          <cell r="Q40">
            <v>25</v>
          </cell>
          <cell r="R40">
            <v>15</v>
          </cell>
          <cell r="S40">
            <v>198.95941999999999</v>
          </cell>
          <cell r="T40">
            <v>56.577680000000015</v>
          </cell>
          <cell r="U40">
            <v>0.22140691116867184</v>
          </cell>
          <cell r="W40">
            <v>1</v>
          </cell>
          <cell r="X40">
            <v>10.54</v>
          </cell>
          <cell r="Y40">
            <v>-9.5399999999999991</v>
          </cell>
          <cell r="AB40">
            <v>133.77994239999995</v>
          </cell>
          <cell r="AC40">
            <v>47.037680000000016</v>
          </cell>
          <cell r="AD40">
            <v>0.1840737802847415</v>
          </cell>
          <cell r="AE40">
            <v>3.0574492000000011</v>
          </cell>
          <cell r="AF40">
            <v>6.5000000000000002E-2</v>
          </cell>
          <cell r="AG40">
            <v>43.980230800000015</v>
          </cell>
          <cell r="AH40">
            <v>0.1721089845662333</v>
          </cell>
          <cell r="AI40">
            <v>0.27414652737087514</v>
          </cell>
          <cell r="AJ40">
            <v>160.42599999999999</v>
          </cell>
        </row>
        <row r="41">
          <cell r="C41" t="str">
            <v>2003E</v>
          </cell>
          <cell r="D41">
            <v>694.42810000000009</v>
          </cell>
          <cell r="E41">
            <v>15.315</v>
          </cell>
          <cell r="F41">
            <v>159.78300000000002</v>
          </cell>
          <cell r="G41">
            <v>879.53610000000003</v>
          </cell>
          <cell r="H41">
            <v>559.64568000000008</v>
          </cell>
          <cell r="I41">
            <v>0.80590874706827098</v>
          </cell>
          <cell r="J41">
            <v>134.78242</v>
          </cell>
          <cell r="K41">
            <v>95.427000000000007</v>
          </cell>
          <cell r="L41">
            <v>0.13741811427273751</v>
          </cell>
          <cell r="M41">
            <v>7.9219742741890725E-2</v>
          </cell>
          <cell r="N41">
            <v>272.839</v>
          </cell>
          <cell r="O41">
            <v>0.31020784706847165</v>
          </cell>
          <cell r="P41">
            <v>416.69967999999994</v>
          </cell>
          <cell r="Q41">
            <v>139.65</v>
          </cell>
          <cell r="R41">
            <v>-34.055</v>
          </cell>
          <cell r="S41">
            <v>154.39249999999998</v>
          </cell>
          <cell r="T41">
            <v>22.58250000000001</v>
          </cell>
          <cell r="U41">
            <v>0.12760276875264875</v>
          </cell>
          <cell r="V41">
            <v>1.7</v>
          </cell>
          <cell r="W41">
            <v>12.702</v>
          </cell>
          <cell r="X41">
            <v>39.488999999999997</v>
          </cell>
          <cell r="Y41">
            <v>-26.786999999999999</v>
          </cell>
          <cell r="Z41">
            <v>66.275999999999996</v>
          </cell>
          <cell r="AA41">
            <v>-93.062999999999988</v>
          </cell>
          <cell r="AB41">
            <v>396.17708662937491</v>
          </cell>
          <cell r="AC41">
            <v>0.40496834687755923</v>
          </cell>
          <cell r="AD41">
            <v>32.036587621953117</v>
          </cell>
          <cell r="AE41">
            <v>8.0864312205726985E-2</v>
          </cell>
          <cell r="AF41">
            <v>364.14049900742179</v>
          </cell>
          <cell r="AG41">
            <v>0.37222086004221511</v>
          </cell>
          <cell r="AH41">
            <v>2.2974940492683333</v>
          </cell>
          <cell r="AI41">
            <v>158.49464294516324</v>
          </cell>
          <cell r="AJ41">
            <v>160.31461110699999</v>
          </cell>
          <cell r="AK41">
            <v>160.58642599999996</v>
          </cell>
        </row>
        <row r="42">
          <cell r="C42" t="str">
            <v>2Q, 2004E</v>
          </cell>
          <cell r="D42">
            <v>213.39499999999998</v>
          </cell>
          <cell r="E42">
            <v>3</v>
          </cell>
          <cell r="F42">
            <v>6</v>
          </cell>
          <cell r="G42">
            <v>222.39499999999998</v>
          </cell>
          <cell r="H42">
            <v>151.51044999999999</v>
          </cell>
          <cell r="I42">
            <v>0.71000000000000008</v>
          </cell>
          <cell r="J42">
            <v>61.88454999999999</v>
          </cell>
          <cell r="K42">
            <v>22</v>
          </cell>
          <cell r="L42">
            <v>9.8923087299624554E-2</v>
          </cell>
          <cell r="N42">
            <v>75</v>
          </cell>
          <cell r="O42">
            <v>0.33723779761235639</v>
          </cell>
          <cell r="P42">
            <v>63.510449999999992</v>
          </cell>
          <cell r="Q42">
            <v>16</v>
          </cell>
          <cell r="S42">
            <v>174.88454999999999</v>
          </cell>
          <cell r="T42">
            <v>47.510449999999992</v>
          </cell>
          <cell r="U42">
            <v>0.213630926954293</v>
          </cell>
          <cell r="V42">
            <v>2</v>
          </cell>
          <cell r="W42">
            <v>2</v>
          </cell>
          <cell r="X42">
            <v>10.5</v>
          </cell>
          <cell r="Y42">
            <v>-8.5</v>
          </cell>
          <cell r="Z42">
            <v>-13.698</v>
          </cell>
          <cell r="AC42">
            <v>39.010449999999992</v>
          </cell>
          <cell r="AD42">
            <v>0.17541064322489261</v>
          </cell>
          <cell r="AE42">
            <v>1.5604179999999996</v>
          </cell>
          <cell r="AF42">
            <v>0.04</v>
          </cell>
          <cell r="AG42">
            <v>37.450031999999993</v>
          </cell>
          <cell r="AH42">
            <v>0.16839421749589692</v>
          </cell>
          <cell r="AI42">
            <v>0.23297497996885108</v>
          </cell>
          <cell r="AK42">
            <v>160.74701242599994</v>
          </cell>
        </row>
        <row r="43">
          <cell r="C43" t="str">
            <v>1Q, 2004E</v>
          </cell>
          <cell r="D43">
            <v>186.30500000000001</v>
          </cell>
          <cell r="E43">
            <v>2.5999999999999996</v>
          </cell>
          <cell r="F43">
            <v>8</v>
          </cell>
          <cell r="G43">
            <v>196.905</v>
          </cell>
          <cell r="H43">
            <v>143.45484999999999</v>
          </cell>
          <cell r="I43">
            <v>0.76999999999999991</v>
          </cell>
          <cell r="J43">
            <v>42.850150000000006</v>
          </cell>
          <cell r="K43">
            <v>18</v>
          </cell>
          <cell r="L43">
            <v>9.1414641578426145E-2</v>
          </cell>
          <cell r="M43">
            <v>7.9074947812777574E-2</v>
          </cell>
          <cell r="N43">
            <v>64</v>
          </cell>
          <cell r="O43">
            <v>0.32502983672329294</v>
          </cell>
          <cell r="P43">
            <v>72.054849999999988</v>
          </cell>
          <cell r="Q43">
            <v>16</v>
          </cell>
          <cell r="R43">
            <v>78</v>
          </cell>
          <cell r="S43">
            <v>140.85015000000001</v>
          </cell>
          <cell r="T43">
            <v>56.054849999999988</v>
          </cell>
          <cell r="U43">
            <v>0.28467966786013554</v>
          </cell>
          <cell r="V43">
            <v>2.5</v>
          </cell>
          <cell r="W43">
            <v>20</v>
          </cell>
          <cell r="X43">
            <v>40</v>
          </cell>
          <cell r="Y43">
            <v>-20</v>
          </cell>
          <cell r="Z43">
            <v>-10.718999999999999</v>
          </cell>
          <cell r="AB43">
            <v>521.57163022422503</v>
          </cell>
          <cell r="AC43">
            <v>48.061849999999986</v>
          </cell>
          <cell r="AD43">
            <v>0.2440864884081155</v>
          </cell>
          <cell r="AE43">
            <v>2.883710999999999</v>
          </cell>
          <cell r="AF43">
            <v>0.06</v>
          </cell>
          <cell r="AG43">
            <v>45.178138999999987</v>
          </cell>
          <cell r="AH43">
            <v>0.22944129910362859</v>
          </cell>
          <cell r="AI43">
            <v>0.28133224037254556</v>
          </cell>
          <cell r="AJ43">
            <v>160.58642599999996</v>
          </cell>
          <cell r="AK43">
            <v>160.90775943842593</v>
          </cell>
        </row>
        <row r="44">
          <cell r="C44" t="str">
            <v>2Q, 2004E</v>
          </cell>
          <cell r="D44">
            <v>211.83500000000001</v>
          </cell>
          <cell r="E44">
            <v>3.7</v>
          </cell>
          <cell r="F44">
            <v>9.5</v>
          </cell>
          <cell r="G44">
            <v>225.035</v>
          </cell>
          <cell r="H44">
            <v>165.2313</v>
          </cell>
          <cell r="I44">
            <v>0.78</v>
          </cell>
          <cell r="J44">
            <v>46.603700000000003</v>
          </cell>
          <cell r="K44">
            <v>22</v>
          </cell>
          <cell r="L44">
            <v>9.7762570266847384E-2</v>
          </cell>
          <cell r="M44">
            <v>7.8552657120870228E-2</v>
          </cell>
          <cell r="N44">
            <v>67</v>
          </cell>
          <cell r="O44">
            <v>0.29773146399448974</v>
          </cell>
          <cell r="P44">
            <v>89.431299999999993</v>
          </cell>
          <cell r="Q44">
            <v>16</v>
          </cell>
          <cell r="R44">
            <v>78</v>
          </cell>
          <cell r="S44">
            <v>151.6037</v>
          </cell>
          <cell r="T44">
            <v>73.431299999999993</v>
          </cell>
          <cell r="U44">
            <v>0.32631057391072499</v>
          </cell>
          <cell r="V44">
            <v>3</v>
          </cell>
          <cell r="W44">
            <v>35</v>
          </cell>
          <cell r="X44">
            <v>40</v>
          </cell>
          <cell r="Y44">
            <v>-5</v>
          </cell>
          <cell r="Z44">
            <v>-12.818000000000001</v>
          </cell>
          <cell r="AB44">
            <v>669.34301221396856</v>
          </cell>
          <cell r="AC44">
            <v>65.431299999999993</v>
          </cell>
          <cell r="AD44">
            <v>0.29076054835914411</v>
          </cell>
          <cell r="AE44">
            <v>3.9258779999999995</v>
          </cell>
          <cell r="AF44">
            <v>0.06</v>
          </cell>
          <cell r="AG44">
            <v>61.505421999999996</v>
          </cell>
          <cell r="AH44">
            <v>0.27331491545759545</v>
          </cell>
          <cell r="AI44">
            <v>0.3826224890388808</v>
          </cell>
          <cell r="AJ44">
            <v>160.74701242599994</v>
          </cell>
          <cell r="AK44">
            <v>161.06866719786433</v>
          </cell>
        </row>
        <row r="45">
          <cell r="C45" t="str">
            <v>3Q, 2004E</v>
          </cell>
          <cell r="D45">
            <v>246.75149999999999</v>
          </cell>
          <cell r="E45">
            <v>4.5419999999999998</v>
          </cell>
          <cell r="F45">
            <v>9</v>
          </cell>
          <cell r="G45">
            <v>260.29349999999999</v>
          </cell>
          <cell r="H45">
            <v>199.86871500000001</v>
          </cell>
          <cell r="I45">
            <v>0.81</v>
          </cell>
          <cell r="J45">
            <v>46.882784999999998</v>
          </cell>
          <cell r="K45">
            <v>24</v>
          </cell>
          <cell r="L45">
            <v>9.2203608618732322E-2</v>
          </cell>
          <cell r="M45">
            <v>8.1453359921494065E-2</v>
          </cell>
          <cell r="N45">
            <v>68</v>
          </cell>
          <cell r="O45">
            <v>0.2612435577530749</v>
          </cell>
          <cell r="P45">
            <v>121.41071499999998</v>
          </cell>
          <cell r="Q45">
            <v>16</v>
          </cell>
          <cell r="R45">
            <v>78</v>
          </cell>
          <cell r="S45">
            <v>154.88278500000001</v>
          </cell>
          <cell r="T45">
            <v>105.41071499999998</v>
          </cell>
          <cell r="U45">
            <v>0.40496867958669724</v>
          </cell>
          <cell r="V45">
            <v>9.1999999999999993</v>
          </cell>
          <cell r="W45">
            <v>3</v>
          </cell>
          <cell r="X45">
            <v>10.5</v>
          </cell>
          <cell r="Y45">
            <v>-5</v>
          </cell>
          <cell r="Z45">
            <v>-45.555999999999997</v>
          </cell>
          <cell r="AB45">
            <v>807.44307752249676</v>
          </cell>
          <cell r="AC45">
            <v>97.910714999999982</v>
          </cell>
          <cell r="AD45">
            <v>0.37615505189334342</v>
          </cell>
          <cell r="AE45">
            <v>5.8746428999999987</v>
          </cell>
          <cell r="AF45">
            <v>0.06</v>
          </cell>
          <cell r="AG45">
            <v>92.036072099999984</v>
          </cell>
          <cell r="AH45">
            <v>0.3535857487797428</v>
          </cell>
          <cell r="AI45">
            <v>0.57198032227413587</v>
          </cell>
          <cell r="AJ45">
            <v>160.90775943842593</v>
          </cell>
          <cell r="AK45">
            <v>160.82746626557255</v>
          </cell>
        </row>
        <row r="46">
          <cell r="C46" t="str">
            <v>4Q, 2004E</v>
          </cell>
          <cell r="D46">
            <v>278.597825</v>
          </cell>
          <cell r="E46">
            <v>4.5</v>
          </cell>
          <cell r="F46">
            <v>12</v>
          </cell>
          <cell r="G46">
            <v>295.097825</v>
          </cell>
          <cell r="H46">
            <v>228.45021650000001</v>
          </cell>
          <cell r="I46">
            <v>0.82000000000000006</v>
          </cell>
          <cell r="J46">
            <v>50.147608499999997</v>
          </cell>
          <cell r="K46">
            <v>22</v>
          </cell>
          <cell r="L46">
            <v>7.4551549134596301E-2</v>
          </cell>
          <cell r="M46">
            <v>7.4530548766875093E-2</v>
          </cell>
          <cell r="N46">
            <v>70</v>
          </cell>
          <cell r="O46">
            <v>0.23720947451917004</v>
          </cell>
          <cell r="P46">
            <v>152.95021650000001</v>
          </cell>
          <cell r="Q46">
            <v>16</v>
          </cell>
          <cell r="R46">
            <v>78</v>
          </cell>
          <cell r="S46">
            <v>158.14760849999999</v>
          </cell>
          <cell r="T46">
            <v>136.95021650000001</v>
          </cell>
          <cell r="U46">
            <v>0.4640841270178796</v>
          </cell>
          <cell r="W46">
            <v>3.5</v>
          </cell>
          <cell r="X46">
            <v>10.5</v>
          </cell>
          <cell r="Y46">
            <v>-5</v>
          </cell>
          <cell r="AB46">
            <v>1025.5117582258711</v>
          </cell>
          <cell r="AC46">
            <v>129.95021650000001</v>
          </cell>
          <cell r="AD46">
            <v>0.4403631795659626</v>
          </cell>
          <cell r="AE46">
            <v>7.7970129900000007</v>
          </cell>
          <cell r="AF46">
            <v>0.06</v>
          </cell>
          <cell r="AG46">
            <v>122.15320351000001</v>
          </cell>
          <cell r="AH46">
            <v>0.41394138879200487</v>
          </cell>
          <cell r="AI46">
            <v>0.75839209223691695</v>
          </cell>
          <cell r="AJ46">
            <v>161.06866719786433</v>
          </cell>
        </row>
        <row r="47">
          <cell r="C47" t="str">
            <v>2004E</v>
          </cell>
          <cell r="D47">
            <v>923.48932500000001</v>
          </cell>
          <cell r="E47">
            <v>15.341999999999999</v>
          </cell>
          <cell r="F47">
            <v>38.5</v>
          </cell>
          <cell r="G47">
            <v>977.33132499999999</v>
          </cell>
          <cell r="H47">
            <v>737.00508149999996</v>
          </cell>
          <cell r="I47">
            <v>0.79806562084515698</v>
          </cell>
          <cell r="J47">
            <v>186.48424349999999</v>
          </cell>
          <cell r="K47">
            <v>86</v>
          </cell>
          <cell r="L47">
            <v>8.7994723795433452E-2</v>
          </cell>
          <cell r="M47">
            <v>7.4001299486709679E-2</v>
          </cell>
          <cell r="N47">
            <v>269</v>
          </cell>
          <cell r="O47">
            <v>0.27523931047641392</v>
          </cell>
          <cell r="P47">
            <v>435.84708149999994</v>
          </cell>
          <cell r="Q47">
            <v>64</v>
          </cell>
          <cell r="R47">
            <v>78</v>
          </cell>
          <cell r="S47">
            <v>605.48424350000005</v>
          </cell>
          <cell r="T47">
            <v>371.84708149999994</v>
          </cell>
          <cell r="U47">
            <v>0.38047187477593636</v>
          </cell>
          <cell r="V47">
            <v>12</v>
          </cell>
          <cell r="W47">
            <v>11</v>
          </cell>
          <cell r="X47">
            <v>42</v>
          </cell>
          <cell r="Y47">
            <v>-5</v>
          </cell>
          <cell r="Z47">
            <v>-8.25</v>
          </cell>
          <cell r="AB47">
            <v>1063.3987970782514</v>
          </cell>
          <cell r="AC47">
            <v>341.35408150000001</v>
          </cell>
          <cell r="AD47">
            <v>0.34927160602367885</v>
          </cell>
          <cell r="AE47">
            <v>20.481244889999999</v>
          </cell>
          <cell r="AF47">
            <v>0.06</v>
          </cell>
          <cell r="AG47">
            <v>320.87283660999998</v>
          </cell>
          <cell r="AH47">
            <v>0.32831530966225808</v>
          </cell>
          <cell r="AI47">
            <v>1.9951370500368784</v>
          </cell>
          <cell r="AJ47">
            <v>160.82746626557255</v>
          </cell>
          <cell r="AK47">
            <v>162.43574092822828</v>
          </cell>
        </row>
        <row r="48">
          <cell r="C48" t="str">
            <v>2006E</v>
          </cell>
          <cell r="D48">
            <v>1071.5120943750001</v>
          </cell>
          <cell r="E48">
            <v>12</v>
          </cell>
          <cell r="F48">
            <v>28.64</v>
          </cell>
          <cell r="G48">
            <v>1112.1520943750002</v>
          </cell>
          <cell r="H48">
            <v>857.2096755</v>
          </cell>
          <cell r="I48">
            <v>0.79999999999999993</v>
          </cell>
          <cell r="J48">
            <v>214.30241887500003</v>
          </cell>
          <cell r="K48">
            <v>113.73499999999999</v>
          </cell>
          <cell r="L48">
            <v>0.1022656888165247</v>
          </cell>
          <cell r="N48">
            <v>427.79999999999995</v>
          </cell>
          <cell r="O48">
            <v>0.38465961819764605</v>
          </cell>
          <cell r="P48">
            <v>356.31467550000013</v>
          </cell>
          <cell r="Q48">
            <v>64</v>
          </cell>
          <cell r="S48">
            <v>819.83741887500003</v>
          </cell>
          <cell r="T48">
            <v>292.31467550000013</v>
          </cell>
          <cell r="U48">
            <v>0.26283695996119416</v>
          </cell>
          <cell r="V48">
            <v>15</v>
          </cell>
          <cell r="W48">
            <v>15</v>
          </cell>
          <cell r="X48">
            <v>40</v>
          </cell>
          <cell r="Y48">
            <v>-25</v>
          </cell>
          <cell r="Z48">
            <v>-8.25</v>
          </cell>
          <cell r="AC48">
            <v>267.31467550000013</v>
          </cell>
          <cell r="AD48">
            <v>0.24035802014132235</v>
          </cell>
          <cell r="AE48">
            <v>16.038880530000007</v>
          </cell>
          <cell r="AF48">
            <v>0.06</v>
          </cell>
          <cell r="AG48">
            <v>251.27579497000013</v>
          </cell>
          <cell r="AH48">
            <v>0.22593653893284302</v>
          </cell>
          <cell r="AI48">
            <v>1.5316082186728073</v>
          </cell>
          <cell r="AK48">
            <v>164.06009833751057</v>
          </cell>
        </row>
        <row r="49">
          <cell r="C49" t="str">
            <v>2005E</v>
          </cell>
          <cell r="D49">
            <v>1055.5066425</v>
          </cell>
          <cell r="E49">
            <v>15.341999999999999</v>
          </cell>
          <cell r="F49">
            <v>30.959999999999997</v>
          </cell>
          <cell r="G49">
            <v>1101.8086425000001</v>
          </cell>
          <cell r="H49">
            <v>854.96038042500004</v>
          </cell>
          <cell r="I49">
            <v>0.81</v>
          </cell>
          <cell r="J49">
            <v>200.54626207500002</v>
          </cell>
          <cell r="K49">
            <v>98.899999999999991</v>
          </cell>
          <cell r="L49">
            <v>8.9761503209483118E-2</v>
          </cell>
          <cell r="N49">
            <v>309.08100000000002</v>
          </cell>
          <cell r="O49">
            <v>0.28052148810404703</v>
          </cell>
          <cell r="P49">
            <v>493.28138042500007</v>
          </cell>
          <cell r="Q49">
            <v>64</v>
          </cell>
          <cell r="S49">
            <v>672.52726207500007</v>
          </cell>
          <cell r="T49">
            <v>429.28138042500007</v>
          </cell>
          <cell r="U49">
            <v>0.38961518712628906</v>
          </cell>
          <cell r="V49">
            <v>0.75</v>
          </cell>
          <cell r="W49">
            <v>35</v>
          </cell>
          <cell r="X49">
            <v>40</v>
          </cell>
          <cell r="Y49">
            <v>-5</v>
          </cell>
          <cell r="Z49">
            <v>-8.25</v>
          </cell>
          <cell r="AC49">
            <v>424.28138042500007</v>
          </cell>
          <cell r="AD49">
            <v>0.38507719404188645</v>
          </cell>
          <cell r="AE49">
            <v>25.456882825500003</v>
          </cell>
          <cell r="AF49">
            <v>0.06</v>
          </cell>
          <cell r="AG49">
            <v>398.82449759950009</v>
          </cell>
          <cell r="AH49">
            <v>0.36197256239937331</v>
          </cell>
          <cell r="AI49">
            <v>2.4552755158467212</v>
          </cell>
          <cell r="AJ49">
            <v>162.43574092822828</v>
          </cell>
        </row>
        <row r="50">
          <cell r="C50" t="str">
            <v>% Change</v>
          </cell>
          <cell r="D50">
            <v>0.43919368366255052</v>
          </cell>
          <cell r="E50">
            <v>0.5613609141821243</v>
          </cell>
          <cell r="F50">
            <v>0.5613609141821243</v>
          </cell>
          <cell r="G50">
            <v>1.1276265931794693</v>
          </cell>
          <cell r="H50">
            <v>0.54458744189795527</v>
          </cell>
          <cell r="I50">
            <v>0.8</v>
          </cell>
          <cell r="J50">
            <v>0.2268037631588149</v>
          </cell>
          <cell r="K50">
            <v>0.2268037631588149</v>
          </cell>
          <cell r="L50">
            <v>0.89422527158376197</v>
          </cell>
          <cell r="N50">
            <v>0.91046322332396046</v>
          </cell>
          <cell r="O50">
            <v>0.91046322332396046</v>
          </cell>
          <cell r="P50">
            <v>124.9</v>
          </cell>
          <cell r="Q50">
            <v>15</v>
          </cell>
          <cell r="S50">
            <v>0.61158332579799257</v>
          </cell>
          <cell r="T50">
            <v>121.17499999999998</v>
          </cell>
          <cell r="U50">
            <v>0.41530288749892896</v>
          </cell>
          <cell r="V50">
            <v>0.75</v>
          </cell>
          <cell r="W50">
            <v>-9</v>
          </cell>
          <cell r="X50">
            <v>0</v>
          </cell>
          <cell r="Y50">
            <v>0</v>
          </cell>
          <cell r="Z50">
            <v>-8.25</v>
          </cell>
          <cell r="AB50">
            <v>0.33769867663585695</v>
          </cell>
          <cell r="AC50">
            <v>0.33769867663585695</v>
          </cell>
          <cell r="AD50">
            <v>1.0825098814229248</v>
          </cell>
          <cell r="AE50">
            <v>1.0825098814229248</v>
          </cell>
          <cell r="AF50">
            <v>0.30144070038723347</v>
          </cell>
          <cell r="AG50">
            <v>0.30144070038723347</v>
          </cell>
          <cell r="AH50">
            <v>0.31070456544998559</v>
          </cell>
          <cell r="AI50">
            <v>-7.0678513731825543E-3</v>
          </cell>
          <cell r="AJ50">
            <v>-7.0678513731825543E-3</v>
          </cell>
        </row>
        <row r="51">
          <cell r="C51" t="str">
            <v xml:space="preserve"> 2006E</v>
          </cell>
          <cell r="D51">
            <v>1213.8326388749999</v>
          </cell>
          <cell r="E51">
            <v>16.109099999999998</v>
          </cell>
          <cell r="F51">
            <v>30.340799999999998</v>
          </cell>
          <cell r="G51" t="e">
            <v>#REF!</v>
          </cell>
          <cell r="H51">
            <v>995.34276387749992</v>
          </cell>
          <cell r="I51">
            <v>0.82</v>
          </cell>
          <cell r="J51">
            <v>0.2268037631588149</v>
          </cell>
          <cell r="K51">
            <v>0.89422527158376197</v>
          </cell>
          <cell r="L51" t="e">
            <v>#REF!</v>
          </cell>
          <cell r="N51">
            <v>355.44315</v>
          </cell>
          <cell r="O51" t="e">
            <v>#REF!</v>
          </cell>
          <cell r="P51" t="e">
            <v>#REF!</v>
          </cell>
          <cell r="Q51">
            <v>64</v>
          </cell>
          <cell r="S51">
            <v>682.72302499749992</v>
          </cell>
          <cell r="T51" t="e">
            <v>#REF!</v>
          </cell>
          <cell r="U51" t="e">
            <v>#REF!</v>
          </cell>
          <cell r="V51">
            <v>3</v>
          </cell>
          <cell r="W51">
            <v>-40</v>
          </cell>
          <cell r="X51">
            <v>0</v>
          </cell>
          <cell r="Y51">
            <v>-5</v>
          </cell>
          <cell r="Z51">
            <v>-37</v>
          </cell>
          <cell r="AC51" t="e">
            <v>#REF!</v>
          </cell>
          <cell r="AD51" t="e">
            <v>#REF!</v>
          </cell>
          <cell r="AE51">
            <v>1.0825098814229248</v>
          </cell>
          <cell r="AF51" t="e">
            <v>#REF!</v>
          </cell>
          <cell r="AG51">
            <v>0.30028621593669569</v>
          </cell>
          <cell r="AH51" t="e">
            <v>#REF!</v>
          </cell>
          <cell r="AI51">
            <v>0.30954186319270227</v>
          </cell>
          <cell r="AJ51">
            <v>164.06009833751057</v>
          </cell>
          <cell r="AK51">
            <v>-7.0678513731825543E-3</v>
          </cell>
        </row>
        <row r="52">
          <cell r="C52" t="str">
            <v>1Q,00/99</v>
          </cell>
          <cell r="D52">
            <v>1.854083744626652</v>
          </cell>
          <cell r="E52">
            <v>0.91722889583676159</v>
          </cell>
          <cell r="F52">
            <v>0.91722889583676159</v>
          </cell>
          <cell r="G52">
            <v>-0.6338248436103664</v>
          </cell>
          <cell r="H52">
            <v>0.84052770831068102</v>
          </cell>
          <cell r="J52">
            <v>1.1899186346497324</v>
          </cell>
          <cell r="K52">
            <v>1.1899186346497324</v>
          </cell>
          <cell r="L52">
            <v>1.2099924868519909</v>
          </cell>
          <cell r="N52">
            <v>0.84539270253555965</v>
          </cell>
          <cell r="O52">
            <v>0.84539270253555965</v>
          </cell>
          <cell r="S52">
            <v>1.0638702394391304</v>
          </cell>
          <cell r="AB52">
            <v>0.98029618473895552</v>
          </cell>
          <cell r="AC52">
            <v>0.98029618473895552</v>
          </cell>
          <cell r="AD52">
            <v>0.5253283302063787</v>
          </cell>
          <cell r="AE52">
            <v>0.5253283302063787</v>
          </cell>
          <cell r="AF52">
            <v>1.0129119031607261</v>
          </cell>
          <cell r="AG52">
            <v>1.0129119031607261</v>
          </cell>
          <cell r="AH52">
            <v>0.4439128381221531</v>
          </cell>
          <cell r="AI52">
            <v>0.39406746031746032</v>
          </cell>
          <cell r="AJ52">
            <v>0.39406746031746032</v>
          </cell>
        </row>
        <row r="53">
          <cell r="C53" t="str">
            <v>% Change</v>
          </cell>
          <cell r="D53">
            <v>1.854083744626652</v>
          </cell>
          <cell r="E53">
            <v>0.91722889583676159</v>
          </cell>
          <cell r="F53">
            <v>-0.6338248436103664</v>
          </cell>
          <cell r="G53">
            <v>0.84052770831068102</v>
          </cell>
          <cell r="H53">
            <v>0.8404270342022766</v>
          </cell>
          <cell r="I53">
            <v>0.79</v>
          </cell>
          <cell r="J53">
            <v>1.1899186346497324</v>
          </cell>
          <cell r="K53">
            <v>1.2099924868519909</v>
          </cell>
          <cell r="L53">
            <v>1.1585384734479023</v>
          </cell>
          <cell r="N53">
            <v>0.84539270253555965</v>
          </cell>
          <cell r="O53">
            <v>1.1265077964107091</v>
          </cell>
          <cell r="P53">
            <v>313.78954499999998</v>
          </cell>
          <cell r="Q53">
            <v>60</v>
          </cell>
          <cell r="S53">
            <v>1.0638702394391304</v>
          </cell>
          <cell r="T53">
            <v>298.889545</v>
          </cell>
          <cell r="U53">
            <v>0.31102399047644319</v>
          </cell>
          <cell r="V53">
            <v>3.4499999999999997</v>
          </cell>
          <cell r="W53">
            <v>-40</v>
          </cell>
          <cell r="X53">
            <v>0</v>
          </cell>
          <cell r="Y53">
            <v>0</v>
          </cell>
          <cell r="Z53">
            <v>-36.549999999999997</v>
          </cell>
          <cell r="AB53">
            <v>1.1993130098754841</v>
          </cell>
          <cell r="AC53">
            <v>0.98029618473895552</v>
          </cell>
          <cell r="AD53">
            <v>0.86322580645161273</v>
          </cell>
          <cell r="AE53">
            <v>0.5253283302063787</v>
          </cell>
          <cell r="AF53">
            <v>1.2232750689972409</v>
          </cell>
          <cell r="AG53">
            <v>1.0129119031607261</v>
          </cell>
          <cell r="AH53">
            <v>0.63734255839453624</v>
          </cell>
          <cell r="AI53">
            <v>0.4439128381221531</v>
          </cell>
          <cell r="AJ53">
            <v>0.35785578747628066</v>
          </cell>
          <cell r="AK53">
            <v>0.39406746031746032</v>
          </cell>
        </row>
        <row r="54">
          <cell r="C54" t="str">
            <v>FY 99/98</v>
          </cell>
          <cell r="D54">
            <v>0.43919368366255052</v>
          </cell>
          <cell r="E54">
            <v>0.5613609141821243</v>
          </cell>
          <cell r="F54">
            <v>1.1276265931794693</v>
          </cell>
          <cell r="G54">
            <v>0.54458744189795527</v>
          </cell>
          <cell r="H54">
            <v>1.0935209878756638</v>
          </cell>
          <cell r="J54">
            <v>0.2268037631588149</v>
          </cell>
          <cell r="K54">
            <v>0.89422527158376197</v>
          </cell>
          <cell r="L54">
            <v>1.9084296661904143</v>
          </cell>
          <cell r="N54">
            <v>0.91046322332396046</v>
          </cell>
          <cell r="O54">
            <v>0.63747200796217962</v>
          </cell>
          <cell r="S54">
            <v>0.61158332579799257</v>
          </cell>
          <cell r="AB54">
            <v>1.5660432156133828</v>
          </cell>
          <cell r="AC54">
            <v>0.33769867663585695</v>
          </cell>
          <cell r="AD54">
            <v>1.3333333333333335</v>
          </cell>
          <cell r="AE54">
            <v>1.0825098814229248</v>
          </cell>
          <cell r="AF54">
            <v>1.5813420824563575</v>
          </cell>
          <cell r="AG54">
            <v>0.30144070038723347</v>
          </cell>
          <cell r="AH54">
            <v>0.79346816634998363</v>
          </cell>
          <cell r="AI54">
            <v>0.31070456544998559</v>
          </cell>
          <cell r="AJ54">
            <v>-7.0678513731825543E-3</v>
          </cell>
          <cell r="AK54">
            <v>0.35785578747628066</v>
          </cell>
        </row>
        <row r="55">
          <cell r="C55" t="str">
            <v>3Q,00/99</v>
          </cell>
          <cell r="D55">
            <v>0.85583014270797064</v>
          </cell>
          <cell r="E55">
            <v>2.059712102363604</v>
          </cell>
          <cell r="F55">
            <v>0.2212637481130042</v>
          </cell>
          <cell r="G55">
            <v>1.0935209878756638</v>
          </cell>
          <cell r="H55">
            <v>0.53919346133086599</v>
          </cell>
          <cell r="J55">
            <v>0.87636932707355264</v>
          </cell>
          <cell r="K55">
            <v>1.9084296661904143</v>
          </cell>
          <cell r="L55">
            <v>-0.6884525205158265</v>
          </cell>
          <cell r="N55">
            <v>0.63747200796217962</v>
          </cell>
          <cell r="O55">
            <v>-0.21592148309705561</v>
          </cell>
          <cell r="S55">
            <v>1.1204877851152615</v>
          </cell>
          <cell r="AB55">
            <v>1.4648771864532937</v>
          </cell>
          <cell r="AC55">
            <v>1.5660432156133828</v>
          </cell>
          <cell r="AD55">
            <v>3.7739837398373988</v>
          </cell>
          <cell r="AE55">
            <v>1.3333333333333335</v>
          </cell>
          <cell r="AF55">
            <v>1.2480789781690498</v>
          </cell>
          <cell r="AG55">
            <v>1.5813420824563575</v>
          </cell>
          <cell r="AH55">
            <v>0.87922870077166482</v>
          </cell>
          <cell r="AI55">
            <v>0.79346816634998363</v>
          </cell>
          <cell r="AJ55">
            <v>0.19627748195093275</v>
          </cell>
          <cell r="AK55">
            <v>0.43930186823992146</v>
          </cell>
        </row>
        <row r="56">
          <cell r="C56" t="str">
            <v>1Q,00/99</v>
          </cell>
          <cell r="D56">
            <v>1.854083744626652</v>
          </cell>
          <cell r="E56">
            <v>0.91722889583676159</v>
          </cell>
          <cell r="F56">
            <v>-0.6338248436103664</v>
          </cell>
          <cell r="G56">
            <v>0.84052770831068102</v>
          </cell>
          <cell r="H56">
            <v>0.79266397625011598</v>
          </cell>
          <cell r="J56">
            <v>1.1899186346497324</v>
          </cell>
          <cell r="K56">
            <v>1.2099924868519909</v>
          </cell>
          <cell r="L56">
            <v>0.56079082402656244</v>
          </cell>
          <cell r="N56">
            <v>0.84539270253555965</v>
          </cell>
          <cell r="O56">
            <v>0.33903994629070144</v>
          </cell>
          <cell r="S56">
            <v>1.0638702394391304</v>
          </cell>
          <cell r="AB56">
            <v>1.4102700385769404</v>
          </cell>
          <cell r="AC56">
            <v>0.98029618473895552</v>
          </cell>
          <cell r="AD56">
            <v>2.9364175563463819</v>
          </cell>
          <cell r="AE56">
            <v>0.5253283302063787</v>
          </cell>
          <cell r="AF56">
            <v>1.2913879135095185</v>
          </cell>
          <cell r="AG56">
            <v>1.0129119031607261</v>
          </cell>
          <cell r="AH56">
            <v>0.72716285854826523</v>
          </cell>
          <cell r="AI56">
            <v>0.4439128381221531</v>
          </cell>
          <cell r="AJ56">
            <v>0.39406746031746032</v>
          </cell>
          <cell r="AK56">
            <v>0.19627748195093275</v>
          </cell>
        </row>
        <row r="57">
          <cell r="C57" t="str">
            <v>2Q,00/99</v>
          </cell>
          <cell r="D57">
            <v>0.8168861843948918</v>
          </cell>
          <cell r="E57">
            <v>1.1128458999746127</v>
          </cell>
          <cell r="F57">
            <v>0.22941176470588243</v>
          </cell>
          <cell r="G57">
            <v>0.8404270342022766</v>
          </cell>
          <cell r="J57">
            <v>0.72502548419979629</v>
          </cell>
          <cell r="K57">
            <v>1.1585384734479023</v>
          </cell>
          <cell r="N57">
            <v>1.1265077964107091</v>
          </cell>
          <cell r="S57">
            <v>0.9870172944799811</v>
          </cell>
          <cell r="AC57">
            <v>1.1993130098754841</v>
          </cell>
          <cell r="AE57">
            <v>0.86322580645161273</v>
          </cell>
          <cell r="AG57">
            <v>1.2232750689972409</v>
          </cell>
          <cell r="AI57">
            <v>0.63734255839453624</v>
          </cell>
          <cell r="AJ57">
            <v>0.35785578747628066</v>
          </cell>
          <cell r="AK57">
            <v>0.32667739013071517</v>
          </cell>
        </row>
        <row r="58">
          <cell r="C58" t="str">
            <v>3Q,00/99</v>
          </cell>
          <cell r="D58">
            <v>0.85583014270797064</v>
          </cell>
          <cell r="E58">
            <v>2.059712102363604</v>
          </cell>
          <cell r="F58">
            <v>0.2212637481130042</v>
          </cell>
          <cell r="G58">
            <v>1.0935209878756638</v>
          </cell>
          <cell r="H58">
            <v>1.3478200937340001</v>
          </cell>
          <cell r="I58">
            <v>2.4399629301313563</v>
          </cell>
          <cell r="J58">
            <v>0.87636932707355264</v>
          </cell>
          <cell r="K58">
            <v>1.9084296661904143</v>
          </cell>
          <cell r="L58">
            <v>-3.0511643719190906E-2</v>
          </cell>
          <cell r="N58">
            <v>0.63747200796217962</v>
          </cell>
          <cell r="O58">
            <v>0.96673927613941024</v>
          </cell>
          <cell r="P58">
            <v>2.3885077689827034</v>
          </cell>
          <cell r="Q58">
            <v>2.3885077689827034</v>
          </cell>
          <cell r="R58">
            <v>12.27029702970297</v>
          </cell>
          <cell r="S58">
            <v>1.1204877851152615</v>
          </cell>
          <cell r="T58">
            <v>1.7664693050794642</v>
          </cell>
          <cell r="AB58">
            <v>1.0226883832942519</v>
          </cell>
          <cell r="AC58">
            <v>1.5660432156133828</v>
          </cell>
          <cell r="AD58">
            <v>2.3825338253382538</v>
          </cell>
          <cell r="AE58">
            <v>1.3333333333333335</v>
          </cell>
          <cell r="AF58">
            <v>0.94881731925698265</v>
          </cell>
          <cell r="AG58">
            <v>1.5813420824563575</v>
          </cell>
          <cell r="AH58">
            <v>0.84929977132323331</v>
          </cell>
          <cell r="AI58">
            <v>0.79346816634998363</v>
          </cell>
          <cell r="AJ58">
            <v>0.43930186823992146</v>
          </cell>
        </row>
        <row r="59">
          <cell r="C59" t="str">
            <v>4Q,00/99</v>
          </cell>
          <cell r="D59">
            <v>1.7196211096075777</v>
          </cell>
          <cell r="E59">
            <v>-0.821743473917387</v>
          </cell>
          <cell r="F59">
            <v>-0.38554920042021712</v>
          </cell>
          <cell r="G59">
            <v>0.53919346133086599</v>
          </cell>
          <cell r="H59">
            <v>2.4399629301313563</v>
          </cell>
          <cell r="I59">
            <v>2.0730390001884067</v>
          </cell>
          <cell r="J59">
            <v>1.0118535296338242</v>
          </cell>
          <cell r="K59">
            <v>-0.6884525205158265</v>
          </cell>
          <cell r="L59">
            <v>-2.080045904461314E-3</v>
          </cell>
          <cell r="N59">
            <v>-0.21592148309705561</v>
          </cell>
          <cell r="O59">
            <v>0.45067791920309919</v>
          </cell>
          <cell r="P59">
            <v>2.3885077689827034</v>
          </cell>
          <cell r="Q59">
            <v>12.27029702970297</v>
          </cell>
          <cell r="R59">
            <v>12.720747295968536</v>
          </cell>
          <cell r="S59">
            <v>5.5059120859284327E-3</v>
          </cell>
          <cell r="T59">
            <v>1.7664693050794642</v>
          </cell>
          <cell r="AB59">
            <v>0.85127484284096688</v>
          </cell>
          <cell r="AC59">
            <v>1.4648771864532937</v>
          </cell>
          <cell r="AD59">
            <v>1.2922437673130194</v>
          </cell>
          <cell r="AE59">
            <v>3.7739837398373988</v>
          </cell>
          <cell r="AF59">
            <v>0.82492655273720361</v>
          </cell>
          <cell r="AG59">
            <v>1.2480789781690498</v>
          </cell>
          <cell r="AH59">
            <v>0.76552789691713907</v>
          </cell>
          <cell r="AI59">
            <v>0.87922870077166482</v>
          </cell>
          <cell r="AJ59">
            <v>0.19627748195093275</v>
          </cell>
          <cell r="AK59">
            <v>5.3813637722207375E-2</v>
          </cell>
        </row>
        <row r="60">
          <cell r="C60" t="str">
            <v>FY 00/99</v>
          </cell>
          <cell r="D60">
            <v>1.2606756023551635</v>
          </cell>
          <cell r="E60">
            <v>0.3856775584674077</v>
          </cell>
          <cell r="F60">
            <v>-0.29814619930381281</v>
          </cell>
          <cell r="G60">
            <v>0.79266397625011598</v>
          </cell>
          <cell r="H60">
            <v>2.0730390001884067</v>
          </cell>
          <cell r="I60">
            <v>1.7517245154932661</v>
          </cell>
          <cell r="J60">
            <v>0.93796681680825622</v>
          </cell>
          <cell r="K60">
            <v>0.56079082402656244</v>
          </cell>
          <cell r="L60">
            <v>-0.46329046087888526</v>
          </cell>
          <cell r="N60">
            <v>0.33903994629070144</v>
          </cell>
          <cell r="O60">
            <v>1.0074456769487918</v>
          </cell>
          <cell r="P60">
            <v>1.9319859764899978</v>
          </cell>
          <cell r="Q60">
            <v>12.720747295968536</v>
          </cell>
          <cell r="R60">
            <v>9.8679060665362019</v>
          </cell>
          <cell r="S60">
            <v>0.60420816383784537</v>
          </cell>
          <cell r="T60">
            <v>1.4596177027725159</v>
          </cell>
          <cell r="AB60">
            <v>0.34814496231070491</v>
          </cell>
          <cell r="AC60">
            <v>1.4102700385769404</v>
          </cell>
          <cell r="AD60">
            <v>0.50322841000807084</v>
          </cell>
          <cell r="AE60">
            <v>2.9364175563463819</v>
          </cell>
          <cell r="AF60">
            <v>0.33892899110290431</v>
          </cell>
          <cell r="AG60">
            <v>1.2913879135095185</v>
          </cell>
          <cell r="AH60">
            <v>0.28577694997421643</v>
          </cell>
          <cell r="AI60">
            <v>0.72716285854826523</v>
          </cell>
          <cell r="AJ60">
            <v>0.32667739013071517</v>
          </cell>
          <cell r="AK60">
            <v>3.3643566846937478E-2</v>
          </cell>
        </row>
        <row r="61">
          <cell r="C61" t="str">
            <v>3Q, 01/00</v>
          </cell>
          <cell r="D61">
            <v>1.5722457706590642</v>
          </cell>
          <cell r="E61">
            <v>-0.80867746994249867</v>
          </cell>
          <cell r="F61">
            <v>0.49302489846371178</v>
          </cell>
          <cell r="G61">
            <v>0.6291816089493123</v>
          </cell>
          <cell r="H61">
            <v>1.7517245154932661</v>
          </cell>
          <cell r="I61">
            <v>0.99006176129416534</v>
          </cell>
          <cell r="J61">
            <v>1.1816394614559753</v>
          </cell>
          <cell r="K61">
            <v>-0.46329046087888526</v>
          </cell>
          <cell r="L61">
            <v>2.3287864534336786</v>
          </cell>
          <cell r="N61">
            <v>1.0074456769487918</v>
          </cell>
          <cell r="O61">
            <v>1.3735451284679012</v>
          </cell>
          <cell r="P61">
            <v>0.83217331401287531</v>
          </cell>
          <cell r="Q61">
            <v>9.8679060665362019</v>
          </cell>
          <cell r="R61">
            <v>1.8579966531197707</v>
          </cell>
          <cell r="S61">
            <v>0.64631257164692402</v>
          </cell>
          <cell r="T61">
            <v>0.60735240413877079</v>
          </cell>
          <cell r="AB61">
            <v>0.49574407851278735</v>
          </cell>
          <cell r="AC61">
            <v>0.34814496231070491</v>
          </cell>
          <cell r="AD61">
            <v>-0.37556766575840139</v>
          </cell>
          <cell r="AE61">
            <v>0.50322841000807084</v>
          </cell>
          <cell r="AF61">
            <v>0.66946601172555931</v>
          </cell>
          <cell r="AG61">
            <v>0.33892899110290431</v>
          </cell>
          <cell r="AH61">
            <v>0.53336744252827795</v>
          </cell>
          <cell r="AI61">
            <v>0.28577694997421643</v>
          </cell>
          <cell r="AJ61">
            <v>8.875796200086028E-2</v>
          </cell>
          <cell r="AK61">
            <v>4.1338461643564139E-2</v>
          </cell>
        </row>
        <row r="62">
          <cell r="C62" t="str">
            <v>1Q, 01/00</v>
          </cell>
          <cell r="D62">
            <v>2.1218308091373106</v>
          </cell>
          <cell r="E62">
            <v>-0.86559093640030893</v>
          </cell>
          <cell r="F62">
            <v>0.74923733984136676</v>
          </cell>
          <cell r="G62">
            <v>1.3478200937340001</v>
          </cell>
          <cell r="H62">
            <v>2.4399629301313563</v>
          </cell>
          <cell r="I62">
            <v>1.6184783716309159</v>
          </cell>
          <cell r="J62">
            <v>1.4063434526506566</v>
          </cell>
          <cell r="K62">
            <v>-3.0511643719190906E-2</v>
          </cell>
          <cell r="L62">
            <v>-3.2721576514726625E-2</v>
          </cell>
          <cell r="N62">
            <v>0.96673927613941024</v>
          </cell>
          <cell r="O62">
            <v>1.1231463447557708</v>
          </cell>
          <cell r="P62">
            <v>2.3885077689827034</v>
          </cell>
          <cell r="Q62">
            <v>12.27029702970297</v>
          </cell>
          <cell r="R62">
            <v>5.155005530973451</v>
          </cell>
          <cell r="S62">
            <v>1.1544462676684804</v>
          </cell>
          <cell r="T62">
            <v>1.7664693050794642</v>
          </cell>
          <cell r="AB62">
            <v>0.55171113750986978</v>
          </cell>
          <cell r="AC62">
            <v>1.0226883832942519</v>
          </cell>
          <cell r="AD62">
            <v>-7.8772902603664319E-2</v>
          </cell>
          <cell r="AE62">
            <v>2.3825338253382538</v>
          </cell>
          <cell r="AF62">
            <v>0.63608281513384446</v>
          </cell>
          <cell r="AG62">
            <v>0.94881731925698265</v>
          </cell>
          <cell r="AH62">
            <v>0.55814929302202065</v>
          </cell>
          <cell r="AI62">
            <v>0.84929977132323331</v>
          </cell>
          <cell r="AJ62">
            <v>5.3813637722207375E-2</v>
          </cell>
          <cell r="AK62">
            <v>8.875796200086028E-2</v>
          </cell>
        </row>
        <row r="63">
          <cell r="C63" t="str">
            <v>2Q, 01/00</v>
          </cell>
          <cell r="D63">
            <v>1.7630442446677241</v>
          </cell>
          <cell r="E63">
            <v>-0.8820666866927005</v>
          </cell>
          <cell r="F63">
            <v>0.95948963317384384</v>
          </cell>
          <cell r="G63">
            <v>1.0487385673071019</v>
          </cell>
          <cell r="H63">
            <v>2.0730390001884067</v>
          </cell>
          <cell r="J63">
            <v>1.0338306987738215</v>
          </cell>
          <cell r="K63">
            <v>-2.080045904461314E-3</v>
          </cell>
          <cell r="N63">
            <v>0.45067791920309919</v>
          </cell>
          <cell r="P63">
            <v>1.9319859764899978</v>
          </cell>
          <cell r="Q63">
            <v>12.720747295968536</v>
          </cell>
          <cell r="S63">
            <v>0.82115604731018665</v>
          </cell>
          <cell r="T63">
            <v>1.4596177027725159</v>
          </cell>
          <cell r="AC63">
            <v>0.85127484284096688</v>
          </cell>
          <cell r="AE63">
            <v>1.2922437673130194</v>
          </cell>
          <cell r="AG63">
            <v>0.82492655273720361</v>
          </cell>
          <cell r="AI63">
            <v>0.76552789691713907</v>
          </cell>
          <cell r="AJ63">
            <v>3.3643566846937478E-2</v>
          </cell>
          <cell r="AK63">
            <v>5.0016723340208458E-2</v>
          </cell>
        </row>
        <row r="64">
          <cell r="C64" t="str">
            <v>3Q, 01/00</v>
          </cell>
          <cell r="D64">
            <v>1.5722457706590642</v>
          </cell>
          <cell r="E64">
            <v>-0.80867746994249867</v>
          </cell>
          <cell r="F64">
            <v>0.49302489846371178</v>
          </cell>
          <cell r="G64">
            <v>0.6291816089493123</v>
          </cell>
          <cell r="H64">
            <v>1.7517245154932661</v>
          </cell>
          <cell r="I64">
            <v>0.10266711958113217</v>
          </cell>
          <cell r="J64">
            <v>1.1816394614559753</v>
          </cell>
          <cell r="K64">
            <v>-0.46329046087888526</v>
          </cell>
          <cell r="L64">
            <v>-8.2317874989041862E-2</v>
          </cell>
          <cell r="N64">
            <v>1.0074456769487918</v>
          </cell>
          <cell r="O64">
            <v>0.67569755058572945</v>
          </cell>
          <cell r="P64">
            <v>0.83217331401287531</v>
          </cell>
          <cell r="Q64">
            <v>9.8679060665362019</v>
          </cell>
          <cell r="R64">
            <v>-6.6701484742221928E-2</v>
          </cell>
          <cell r="S64">
            <v>0.64631257164692402</v>
          </cell>
          <cell r="T64">
            <v>0.60735240413877079</v>
          </cell>
          <cell r="AB64">
            <v>0.78731670635417994</v>
          </cell>
          <cell r="AC64">
            <v>0.34814496231070491</v>
          </cell>
          <cell r="AD64">
            <v>0.45199999999999996</v>
          </cell>
          <cell r="AE64">
            <v>0.50322841000807084</v>
          </cell>
          <cell r="AF64">
            <v>0.81893300418295278</v>
          </cell>
          <cell r="AG64">
            <v>0.33892899110290431</v>
          </cell>
          <cell r="AH64">
            <v>0.6178150131923168</v>
          </cell>
          <cell r="AI64">
            <v>0.28577694997421643</v>
          </cell>
          <cell r="AJ64">
            <v>4.1338461643564139E-2</v>
          </cell>
        </row>
        <row r="65">
          <cell r="C65" t="str">
            <v>4Q, 01/00</v>
          </cell>
          <cell r="D65">
            <v>0.7985869240720469</v>
          </cell>
          <cell r="E65">
            <v>9.1374269005847886E-2</v>
          </cell>
          <cell r="F65">
            <v>1.1270896656534952</v>
          </cell>
          <cell r="G65">
            <v>0.78683285074492293</v>
          </cell>
          <cell r="H65">
            <v>0.99006176129416534</v>
          </cell>
          <cell r="I65">
            <v>0.19039687729910915</v>
          </cell>
          <cell r="J65">
            <v>0.34018838893684111</v>
          </cell>
          <cell r="K65">
            <v>2.3287864534336786</v>
          </cell>
          <cell r="L65">
            <v>3.8812621289441518E-2</v>
          </cell>
          <cell r="N65">
            <v>1.3735451284679012</v>
          </cell>
          <cell r="O65">
            <v>0.85880501645128993</v>
          </cell>
          <cell r="P65">
            <v>0.6161495490644775</v>
          </cell>
          <cell r="Q65">
            <v>1.8579966531197707</v>
          </cell>
          <cell r="R65">
            <v>4.6581625340402777E-3</v>
          </cell>
          <cell r="S65">
            <v>1.1150359066427287</v>
          </cell>
          <cell r="T65">
            <v>0.52212709732302898</v>
          </cell>
          <cell r="AB65">
            <v>0.418682639782338</v>
          </cell>
          <cell r="AC65">
            <v>0.49574407851278735</v>
          </cell>
          <cell r="AD65">
            <v>0.4220543806646524</v>
          </cell>
          <cell r="AE65">
            <v>-0.37556766575840139</v>
          </cell>
          <cell r="AF65">
            <v>0.41842958528898255</v>
          </cell>
          <cell r="AG65">
            <v>0.66946601172555931</v>
          </cell>
          <cell r="AH65">
            <v>0.2998924802571814</v>
          </cell>
          <cell r="AI65">
            <v>0.53336744252827795</v>
          </cell>
          <cell r="AJ65">
            <v>8.875796200086028E-2</v>
          </cell>
          <cell r="AK65">
            <v>0.1243145782123658</v>
          </cell>
        </row>
        <row r="66">
          <cell r="C66" t="str">
            <v>FY 01/00</v>
          </cell>
          <cell r="D66">
            <v>1.3873224412878447</v>
          </cell>
          <cell r="E66">
            <v>-0.78160816350959095</v>
          </cell>
          <cell r="F66">
            <v>0.81828143021914657</v>
          </cell>
          <cell r="G66">
            <v>0.88654461946501928</v>
          </cell>
          <cell r="H66">
            <v>1.6184783716309159</v>
          </cell>
          <cell r="I66">
            <v>0.29818156496826709</v>
          </cell>
          <cell r="J66">
            <v>0.8534127684613122</v>
          </cell>
          <cell r="K66">
            <v>-3.2721576514726625E-2</v>
          </cell>
          <cell r="L66">
            <v>0.2170078216009319</v>
          </cell>
          <cell r="N66">
            <v>1.1231463447557708</v>
          </cell>
          <cell r="O66">
            <v>0.70017409734312297</v>
          </cell>
          <cell r="P66">
            <v>1.0444510410338541</v>
          </cell>
          <cell r="Q66">
            <v>5.155005530973451</v>
          </cell>
          <cell r="R66">
            <v>0.43999279733501395</v>
          </cell>
          <cell r="S66">
            <v>0.93315495552213412</v>
          </cell>
          <cell r="T66">
            <v>0.82844561995000876</v>
          </cell>
          <cell r="AB66">
            <v>0.32204442802693256</v>
          </cell>
          <cell r="AC66">
            <v>0.55171113750986978</v>
          </cell>
          <cell r="AD66">
            <v>0.53020134228187921</v>
          </cell>
          <cell r="AE66">
            <v>-7.8772902603664319E-2</v>
          </cell>
          <cell r="AF66">
            <v>0.30815661269522887</v>
          </cell>
          <cell r="AG66">
            <v>0.63608281513384446</v>
          </cell>
          <cell r="AH66">
            <v>0.29466871078270018</v>
          </cell>
          <cell r="AI66">
            <v>0.55814929302202065</v>
          </cell>
          <cell r="AJ66">
            <v>5.0016723340208458E-2</v>
          </cell>
          <cell r="AK66">
            <v>9.1189930576680123E-2</v>
          </cell>
        </row>
        <row r="67">
          <cell r="C67" t="str">
            <v>3Q, 02/01</v>
          </cell>
          <cell r="D67">
            <v>0.27241572910818324</v>
          </cell>
          <cell r="E67">
            <v>0.16165755919854274</v>
          </cell>
          <cell r="F67">
            <v>0.98497930218805463</v>
          </cell>
          <cell r="G67">
            <v>0.37262632236020776</v>
          </cell>
          <cell r="H67">
            <v>0.29818156496826709</v>
          </cell>
          <cell r="I67">
            <v>0.10389589930210952</v>
          </cell>
          <cell r="J67">
            <v>0.20168755632014412</v>
          </cell>
          <cell r="K67">
            <v>0.2170078216009319</v>
          </cell>
          <cell r="L67">
            <v>-0.10958033064857997</v>
          </cell>
          <cell r="N67">
            <v>0.70017409734312297</v>
          </cell>
          <cell r="O67">
            <v>0.30939090208172715</v>
          </cell>
          <cell r="P67">
            <v>0.36582867663265461</v>
          </cell>
          <cell r="Q67">
            <v>0.43999279733501395</v>
          </cell>
          <cell r="R67">
            <v>1.4238393977415309</v>
          </cell>
          <cell r="S67">
            <v>0.3873943923498282</v>
          </cell>
          <cell r="T67">
            <v>0.3533519129986975</v>
          </cell>
          <cell r="AB67">
            <v>0.29290112552364578</v>
          </cell>
          <cell r="AC67">
            <v>0.32130563997515016</v>
          </cell>
          <cell r="AD67">
            <v>0.29090909090909078</v>
          </cell>
          <cell r="AE67">
            <v>0.53020134228187921</v>
          </cell>
          <cell r="AF67">
            <v>0.29304968000867748</v>
          </cell>
          <cell r="AG67">
            <v>0.30736853417395071</v>
          </cell>
          <cell r="AH67">
            <v>0.30432815431105742</v>
          </cell>
          <cell r="AI67">
            <v>0.29388875783728285</v>
          </cell>
          <cell r="AJ67">
            <v>-8.6469607093142553E-3</v>
          </cell>
          <cell r="AK67">
            <v>1.0418033432177731E-2</v>
          </cell>
        </row>
        <row r="68">
          <cell r="C68" t="str">
            <v>1Q, 02/01</v>
          </cell>
          <cell r="D68">
            <v>0.16016689449373267</v>
          </cell>
          <cell r="E68">
            <v>2.6481481481481479</v>
          </cell>
          <cell r="F68">
            <v>0.68922218346703867</v>
          </cell>
          <cell r="G68">
            <v>0.30255730665033931</v>
          </cell>
          <cell r="H68">
            <v>0.10266711958113217</v>
          </cell>
          <cell r="I68">
            <v>0.17059028124034747</v>
          </cell>
          <cell r="J68">
            <v>0.34503276342547284</v>
          </cell>
          <cell r="K68">
            <v>-8.2317874989041862E-2</v>
          </cell>
          <cell r="L68">
            <v>4.2645500529819858E-2</v>
          </cell>
          <cell r="N68">
            <v>0.67569755058572945</v>
          </cell>
          <cell r="O68">
            <v>0.50496821071752973</v>
          </cell>
          <cell r="P68">
            <v>0.20743714419200221</v>
          </cell>
          <cell r="Q68">
            <v>-6.6701484742221928E-2</v>
          </cell>
          <cell r="R68">
            <v>0.60624985959157995</v>
          </cell>
          <cell r="S68">
            <v>0.30987853926428732</v>
          </cell>
          <cell r="T68">
            <v>0.2902135712354692</v>
          </cell>
          <cell r="AB68">
            <v>0.40053544086770732</v>
          </cell>
          <cell r="AC68">
            <v>0.78878932197017182</v>
          </cell>
          <cell r="AD68">
            <v>0.40660778541053322</v>
          </cell>
          <cell r="AE68">
            <v>0.45199999999999996</v>
          </cell>
          <cell r="AF68">
            <v>0.40007788891463236</v>
          </cell>
          <cell r="AG68">
            <v>0.8205444695878763</v>
          </cell>
          <cell r="AH68">
            <v>0.32494375122404806</v>
          </cell>
          <cell r="AI68">
            <v>0.61924830013544763</v>
          </cell>
          <cell r="AJ68">
            <v>0.1243145782123658</v>
          </cell>
          <cell r="AK68">
            <v>-8.6469607093142553E-3</v>
          </cell>
        </row>
        <row r="69">
          <cell r="C69" t="str">
            <v>2Q, 02/01</v>
          </cell>
          <cell r="D69">
            <v>0.41788545271854427</v>
          </cell>
          <cell r="E69">
            <v>0.87111563932755987</v>
          </cell>
          <cell r="F69">
            <v>8.0965326387758427</v>
          </cell>
          <cell r="G69">
            <v>0.38647531160115056</v>
          </cell>
          <cell r="H69">
            <v>0.1904275320853428</v>
          </cell>
          <cell r="J69">
            <v>0.49996368126679736</v>
          </cell>
          <cell r="K69">
            <v>4.2190756846115063E-2</v>
          </cell>
          <cell r="N69">
            <v>0.85971102951695189</v>
          </cell>
          <cell r="P69">
            <v>0.2702923219761979</v>
          </cell>
          <cell r="Q69">
            <v>4.6581625340402777E-3</v>
          </cell>
          <cell r="S69">
            <v>0.4248546587754678</v>
          </cell>
          <cell r="T69">
            <v>0.33517118252467948</v>
          </cell>
          <cell r="AC69">
            <v>0.41644696602197673</v>
          </cell>
          <cell r="AE69">
            <v>0.4220543806646524</v>
          </cell>
          <cell r="AG69">
            <v>0.41602612067206279</v>
          </cell>
          <cell r="AI69">
            <v>0.29768987138995207</v>
          </cell>
          <cell r="AJ69">
            <v>9.1189930576680123E-2</v>
          </cell>
          <cell r="AK69">
            <v>6.4855000331806911E-2</v>
          </cell>
        </row>
        <row r="70">
          <cell r="C70" t="str">
            <v>3Q, 02/01</v>
          </cell>
          <cell r="D70">
            <v>0.27241572910818324</v>
          </cell>
          <cell r="E70">
            <v>0.16165755919854274</v>
          </cell>
          <cell r="F70">
            <v>0.98497930218805463</v>
          </cell>
          <cell r="G70">
            <v>0.37262632236020776</v>
          </cell>
          <cell r="H70">
            <v>0.29818156496826709</v>
          </cell>
          <cell r="I70">
            <v>0.28965777984846697</v>
          </cell>
          <cell r="J70">
            <v>0.20168755632014412</v>
          </cell>
          <cell r="K70">
            <v>0.2170078216009319</v>
          </cell>
          <cell r="L70">
            <v>0.62399694306457776</v>
          </cell>
          <cell r="N70">
            <v>0.70017409734312297</v>
          </cell>
          <cell r="O70">
            <v>0.32191066934438295</v>
          </cell>
          <cell r="P70">
            <v>0.36582867663265461</v>
          </cell>
          <cell r="Q70">
            <v>0.43999279733501395</v>
          </cell>
          <cell r="R70">
            <v>1.3183308018226878</v>
          </cell>
          <cell r="S70">
            <v>0.3873943923498282</v>
          </cell>
          <cell r="T70">
            <v>0.3533519129986975</v>
          </cell>
          <cell r="AB70">
            <v>0.14465682770098476</v>
          </cell>
          <cell r="AC70">
            <v>0.32130563997515016</v>
          </cell>
          <cell r="AD70">
            <v>0.22644260104010105</v>
          </cell>
          <cell r="AE70">
            <v>0.53020134228187921</v>
          </cell>
          <cell r="AF70">
            <v>0.1385010418921766</v>
          </cell>
          <cell r="AG70">
            <v>0.30736853417395071</v>
          </cell>
          <cell r="AH70">
            <v>0.19775008619205248</v>
          </cell>
          <cell r="AI70">
            <v>0.29388875783728285</v>
          </cell>
          <cell r="AJ70">
            <v>1.0418033432177731E-2</v>
          </cell>
        </row>
        <row r="71">
          <cell r="C71" t="str">
            <v>4Q, 02/01</v>
          </cell>
          <cell r="D71">
            <v>0.13014397599990168</v>
          </cell>
          <cell r="E71">
            <v>1.0667559723152489</v>
          </cell>
          <cell r="F71">
            <v>2.1797802982941863</v>
          </cell>
          <cell r="G71">
            <v>0.33843962723306897</v>
          </cell>
          <cell r="H71">
            <v>0.10389589930210952</v>
          </cell>
          <cell r="I71">
            <v>0.16686831849747175</v>
          </cell>
          <cell r="J71">
            <v>0.22345430107526876</v>
          </cell>
          <cell r="K71">
            <v>-0.10958033064857997</v>
          </cell>
          <cell r="L71">
            <v>0.38379575174704228</v>
          </cell>
          <cell r="N71">
            <v>0.30939090208172715</v>
          </cell>
          <cell r="O71">
            <v>0.51355788717580353</v>
          </cell>
          <cell r="P71">
            <v>0.45701762605282559</v>
          </cell>
          <cell r="Q71">
            <v>1.4238393977415309</v>
          </cell>
          <cell r="R71">
            <v>0.85462586489763881</v>
          </cell>
          <cell r="S71">
            <v>0.35527237230227282</v>
          </cell>
          <cell r="T71">
            <v>0.3195752473363771</v>
          </cell>
          <cell r="AB71">
            <v>0.21768938064938115</v>
          </cell>
          <cell r="AC71">
            <v>0.29293897945793113</v>
          </cell>
          <cell r="AD71">
            <v>0.39208257488846332</v>
          </cell>
          <cell r="AE71">
            <v>0.29090909090909078</v>
          </cell>
          <cell r="AF71">
            <v>0.20456744760778123</v>
          </cell>
          <cell r="AG71">
            <v>0.29309035687167762</v>
          </cell>
          <cell r="AH71">
            <v>0.22743713667300436</v>
          </cell>
          <cell r="AI71">
            <v>0.30436918597322826</v>
          </cell>
          <cell r="AJ71">
            <v>-8.6469607093142553E-3</v>
          </cell>
          <cell r="AK71">
            <v>-4.2043809649654929E-2</v>
          </cell>
        </row>
        <row r="72">
          <cell r="C72" t="str">
            <v>FY 02/01</v>
          </cell>
          <cell r="D72">
            <v>0.23990110548872012</v>
          </cell>
          <cell r="E72">
            <v>0.80158947656892288</v>
          </cell>
          <cell r="F72">
            <v>2.741095499381522</v>
          </cell>
          <cell r="G72">
            <v>0.38916235043196634</v>
          </cell>
          <cell r="H72">
            <v>0.21924245335564541</v>
          </cell>
          <cell r="I72">
            <v>0.12600425782177926</v>
          </cell>
          <cell r="J72">
            <v>0.30731378229294815</v>
          </cell>
          <cell r="K72">
            <v>4.3585181038446885E-2</v>
          </cell>
          <cell r="L72">
            <v>0.36742786817995365</v>
          </cell>
          <cell r="N72">
            <v>0.50514078110808369</v>
          </cell>
          <cell r="O72">
            <v>0.22434441921552928</v>
          </cell>
          <cell r="P72">
            <v>0.3688017261464589</v>
          </cell>
          <cell r="Q72">
            <v>0.60624985959157995</v>
          </cell>
          <cell r="R72">
            <v>6.2898586970113746E-2</v>
          </cell>
          <cell r="S72">
            <v>0.36939917075009432</v>
          </cell>
          <cell r="T72">
            <v>0.41520756006644466</v>
          </cell>
          <cell r="AB72">
            <v>0.46303112450309203</v>
          </cell>
          <cell r="AC72">
            <v>0.50206291430195549</v>
          </cell>
          <cell r="AD72">
            <v>0.61676746175438546</v>
          </cell>
          <cell r="AE72">
            <v>0.40660778541053322</v>
          </cell>
          <cell r="AF72">
            <v>0.45103313550666058</v>
          </cell>
          <cell r="AG72">
            <v>0.50925547071031718</v>
          </cell>
          <cell r="AH72">
            <v>0.40932713744198268</v>
          </cell>
          <cell r="AI72">
            <v>0.32446752673331525</v>
          </cell>
          <cell r="AJ72">
            <v>6.4855000331806911E-2</v>
          </cell>
          <cell r="AK72">
            <v>-6.163929551550873E-3</v>
          </cell>
        </row>
        <row r="73">
          <cell r="C73" t="str">
            <v>3Q, 03/02</v>
          </cell>
          <cell r="D73">
            <v>3.1385380612923175E-2</v>
          </cell>
          <cell r="E73">
            <v>-0.40650725205801641</v>
          </cell>
          <cell r="F73">
            <v>0.83441577787046395</v>
          </cell>
          <cell r="G73">
            <v>3.0703685974150297E-2</v>
          </cell>
          <cell r="H73">
            <v>7.2068413268863818E-2</v>
          </cell>
          <cell r="I73">
            <v>0.10950124443429599</v>
          </cell>
          <cell r="J73">
            <v>-8.9258527052514358E-2</v>
          </cell>
          <cell r="K73">
            <v>0.4089976753726241</v>
          </cell>
          <cell r="L73">
            <v>0.62659684202174093</v>
          </cell>
          <cell r="N73">
            <v>0.70813855126664005</v>
          </cell>
          <cell r="O73">
            <v>0.31898155781143278</v>
          </cell>
          <cell r="P73">
            <v>-0.26058189757463557</v>
          </cell>
          <cell r="Q73">
            <v>0.76584969363511313</v>
          </cell>
          <cell r="R73">
            <v>-0.48234806915829798</v>
          </cell>
          <cell r="S73">
            <v>0.38573304670051622</v>
          </cell>
          <cell r="T73">
            <v>-0.44431511678660551</v>
          </cell>
          <cell r="AB73">
            <v>0.30561598985019223</v>
          </cell>
          <cell r="AC73">
            <v>-0.48785787808318382</v>
          </cell>
          <cell r="AD73">
            <v>0.6015908597183095</v>
          </cell>
          <cell r="AE73">
            <v>-0.48245614035087714</v>
          </cell>
          <cell r="AF73">
            <v>0.28358042569076636</v>
          </cell>
          <cell r="AG73">
            <v>-0.52666694066554331</v>
          </cell>
          <cell r="AH73">
            <v>0.27845891416550583</v>
          </cell>
          <cell r="AI73">
            <v>-0.54557949168803255</v>
          </cell>
          <cell r="AJ73">
            <v>1.6761753255871259E-2</v>
          </cell>
          <cell r="AK73">
            <v>4.1619052565967207E-2</v>
          </cell>
        </row>
        <row r="74">
          <cell r="C74" t="str">
            <v>1Q, 03/02</v>
          </cell>
          <cell r="D74">
            <v>-2.2640811988849152E-2</v>
          </cell>
          <cell r="E74">
            <v>-0.54489760196044101</v>
          </cell>
          <cell r="F74">
            <v>4.3557712161883124</v>
          </cell>
          <cell r="G74">
            <v>0.23245331616226661</v>
          </cell>
          <cell r="H74">
            <v>-4.9246850368607764E-2</v>
          </cell>
          <cell r="I74">
            <v>0.16310066204574225</v>
          </cell>
          <cell r="J74">
            <v>4.7485720685407129E-2</v>
          </cell>
          <cell r="K74">
            <v>0.72009935040122275</v>
          </cell>
          <cell r="L74">
            <v>0.48609779482262705</v>
          </cell>
          <cell r="N74">
            <v>0.17337366855632075</v>
          </cell>
          <cell r="O74">
            <v>0.33979492688461477</v>
          </cell>
          <cell r="P74">
            <v>0.64204130182433072</v>
          </cell>
          <cell r="Q74">
            <v>2.2393476696778318</v>
          </cell>
          <cell r="R74">
            <v>0.21680023496832135</v>
          </cell>
          <cell r="S74">
            <v>0.19699071712741012</v>
          </cell>
          <cell r="T74">
            <v>0.29315522961410823</v>
          </cell>
          <cell r="AB74">
            <v>0.29677289329113599</v>
          </cell>
          <cell r="AC74">
            <v>0.18496785833143559</v>
          </cell>
          <cell r="AD74">
            <v>0.49007384288154032</v>
          </cell>
          <cell r="AE74">
            <v>0.16453794139744571</v>
          </cell>
          <cell r="AF74">
            <v>0.28213970989550297</v>
          </cell>
          <cell r="AG74">
            <v>0.18650419978153576</v>
          </cell>
          <cell r="AH74">
            <v>0.28813076243355407</v>
          </cell>
          <cell r="AI74">
            <v>0.22287600286263132</v>
          </cell>
          <cell r="AJ74">
            <v>-4.2043809649654929E-2</v>
          </cell>
          <cell r="AK74">
            <v>1.4718625671256591E-2</v>
          </cell>
        </row>
        <row r="75">
          <cell r="C75" t="str">
            <v>2Q, 03/02</v>
          </cell>
          <cell r="D75">
            <v>-0.11286839145106864</v>
          </cell>
          <cell r="E75">
            <v>0</v>
          </cell>
          <cell r="F75">
            <v>0</v>
          </cell>
          <cell r="G75">
            <v>0.17387898433279303</v>
          </cell>
          <cell r="H75">
            <v>0.25665236051502149</v>
          </cell>
          <cell r="J75">
            <v>-0.7256174334140435</v>
          </cell>
          <cell r="K75">
            <v>0.5043448275862068</v>
          </cell>
          <cell r="N75">
            <v>0.46023076923076922</v>
          </cell>
          <cell r="P75">
            <v>0.57971207087486132</v>
          </cell>
          <cell r="Q75">
            <v>2.2731293244881949</v>
          </cell>
          <cell r="S75">
            <v>0.16413493967046211</v>
          </cell>
          <cell r="T75">
            <v>0.18777939460678272</v>
          </cell>
          <cell r="AC75">
            <v>0.32359510408290881</v>
          </cell>
          <cell r="AE75">
            <v>0.2109623964308478</v>
          </cell>
          <cell r="AG75">
            <v>0.33208435413364068</v>
          </cell>
          <cell r="AI75">
            <v>0.34034615339787733</v>
          </cell>
          <cell r="AJ75">
            <v>-6.163929551550873E-3</v>
          </cell>
          <cell r="AK75">
            <v>-1.6810728953092768E-3</v>
          </cell>
        </row>
        <row r="76">
          <cell r="C76" t="str">
            <v>3Q, 03/02</v>
          </cell>
          <cell r="D76">
            <v>3.1385380612923175E-2</v>
          </cell>
          <cell r="E76">
            <v>-0.40650725205801641</v>
          </cell>
          <cell r="F76">
            <v>0.83441577787046395</v>
          </cell>
          <cell r="G76">
            <v>3.0703685974150297E-2</v>
          </cell>
          <cell r="H76">
            <v>7.2068413268863818E-2</v>
          </cell>
          <cell r="I76">
            <v>0.17623898146472139</v>
          </cell>
          <cell r="J76">
            <v>-8.9258527052514358E-2</v>
          </cell>
          <cell r="K76">
            <v>0.4089976753726241</v>
          </cell>
          <cell r="L76">
            <v>0.17999999999999994</v>
          </cell>
          <cell r="N76">
            <v>0.70813855126664005</v>
          </cell>
          <cell r="O76">
            <v>0.17500000000000004</v>
          </cell>
          <cell r="P76">
            <v>-0.26058189757463557</v>
          </cell>
          <cell r="Q76">
            <v>0.76584969363511313</v>
          </cell>
          <cell r="R76">
            <v>-0.10344827586206895</v>
          </cell>
          <cell r="S76">
            <v>0.38573304670051622</v>
          </cell>
          <cell r="T76">
            <v>-0.44431511678660551</v>
          </cell>
          <cell r="AB76">
            <v>0.31651134764428512</v>
          </cell>
          <cell r="AC76">
            <v>-0.48785787808318382</v>
          </cell>
          <cell r="AD76">
            <v>0.38384240831815286</v>
          </cell>
          <cell r="AE76">
            <v>-0.48245614035087714</v>
          </cell>
          <cell r="AF76">
            <v>0.31058765217279216</v>
          </cell>
          <cell r="AG76">
            <v>-0.52666694066554331</v>
          </cell>
          <cell r="AH76">
            <v>0.29761153680474495</v>
          </cell>
          <cell r="AI76">
            <v>-0.54557949168803255</v>
          </cell>
          <cell r="AJ76">
            <v>4.1619052565967207E-2</v>
          </cell>
        </row>
        <row r="77">
          <cell r="C77" t="str">
            <v>4Q, 03E/02</v>
          </cell>
          <cell r="D77">
            <v>0.25001142322504832</v>
          </cell>
          <cell r="E77">
            <v>-0.51388138705844222</v>
          </cell>
          <cell r="F77">
            <v>-0.40343781597573303</v>
          </cell>
          <cell r="G77">
            <v>7.0536656891495797E-2</v>
          </cell>
          <cell r="H77">
            <v>0.31177702934124896</v>
          </cell>
          <cell r="I77">
            <v>0.17247444803201595</v>
          </cell>
          <cell r="J77">
            <v>5.1895541517898103E-2</v>
          </cell>
          <cell r="K77">
            <v>1.7771165595493139</v>
          </cell>
          <cell r="L77">
            <v>0.17999999999999994</v>
          </cell>
          <cell r="N77">
            <v>1.1904515156511293</v>
          </cell>
          <cell r="O77">
            <v>0.14500000000000002</v>
          </cell>
          <cell r="P77">
            <v>-0.41708577471632302</v>
          </cell>
          <cell r="Q77">
            <v>-0.13724678193049666</v>
          </cell>
          <cell r="R77">
            <v>0</v>
          </cell>
          <cell r="S77">
            <v>0.55766834469854132</v>
          </cell>
          <cell r="T77">
            <v>-0.49015796919915999</v>
          </cell>
          <cell r="AB77">
            <v>0.28331943960643757</v>
          </cell>
          <cell r="AC77">
            <v>-0.54095249248545874</v>
          </cell>
          <cell r="AD77">
            <v>0.28331943960643757</v>
          </cell>
          <cell r="AE77">
            <v>-0.56937335211267581</v>
          </cell>
          <cell r="AF77">
            <v>0.28331943960643757</v>
          </cell>
          <cell r="AG77">
            <v>-0.53883660347286289</v>
          </cell>
          <cell r="AH77">
            <v>0.27061330654102722</v>
          </cell>
          <cell r="AI77">
            <v>-0.54552583853275749</v>
          </cell>
          <cell r="AJ77">
            <v>1.4718625671256591E-2</v>
          </cell>
          <cell r="AK77">
            <v>6.8556362975176199E-3</v>
          </cell>
        </row>
        <row r="78">
          <cell r="C78" t="str">
            <v>FY 03E/02</v>
          </cell>
          <cell r="D78">
            <v>4.2687966029927971E-2</v>
          </cell>
          <cell r="E78">
            <v>-0.41759202920596294</v>
          </cell>
          <cell r="F78">
            <v>0.35463277746220956</v>
          </cell>
          <cell r="G78">
            <v>8.55160216575932E-2</v>
          </cell>
          <cell r="H78">
            <v>0.11642660932048376</v>
          </cell>
          <cell r="I78">
            <v>0.19367088607594929</v>
          </cell>
          <cell r="J78">
            <v>-0.18172346173693954</v>
          </cell>
          <cell r="K78">
            <v>0.8282085177309042</v>
          </cell>
          <cell r="L78">
            <v>0.10000000000000009</v>
          </cell>
          <cell r="N78">
            <v>0.64642520939438541</v>
          </cell>
          <cell r="O78">
            <v>0.14999999999999991</v>
          </cell>
          <cell r="P78">
            <v>2.7943913245118024E-2</v>
          </cell>
          <cell r="Q78">
            <v>0.95317417026811579</v>
          </cell>
          <cell r="S78">
            <v>0.34024935755856833</v>
          </cell>
          <cell r="T78">
            <v>-0.23932191396158597</v>
          </cell>
          <cell r="AB78">
            <v>0.20632181525543714</v>
          </cell>
          <cell r="AC78">
            <v>-0.25568298556112035</v>
          </cell>
          <cell r="AD78">
            <v>0.27728192203516833</v>
          </cell>
          <cell r="AE78">
            <v>-0.23918840930232554</v>
          </cell>
          <cell r="AF78">
            <v>0.19972989276770248</v>
          </cell>
          <cell r="AG78">
            <v>-0.26599349092132474</v>
          </cell>
          <cell r="AH78">
            <v>0.18785137897792348</v>
          </cell>
          <cell r="AI78">
            <v>-0.2132050284595175</v>
          </cell>
          <cell r="AJ78">
            <v>-1.6810728953092768E-3</v>
          </cell>
          <cell r="AK78">
            <v>1.9885084025228483E-3</v>
          </cell>
        </row>
        <row r="79">
          <cell r="C79" t="str">
            <v>3Q, 04E/03</v>
          </cell>
          <cell r="D79">
            <v>0.23927827318943229</v>
          </cell>
          <cell r="E79">
            <v>-0.33949801849405548</v>
          </cell>
          <cell r="F79">
            <v>-0.80511254750381656</v>
          </cell>
          <cell r="G79">
            <v>7.7735307504388951E-2</v>
          </cell>
          <cell r="H79">
            <v>0.24355045530570507</v>
          </cell>
          <cell r="I79">
            <v>0.14999999999999969</v>
          </cell>
          <cell r="J79">
            <v>0.22436512887048088</v>
          </cell>
          <cell r="K79">
            <v>0.1645962732919255</v>
          </cell>
          <cell r="L79">
            <v>0.10000000000000009</v>
          </cell>
          <cell r="N79">
            <v>4.257620580454291E-2</v>
          </cell>
          <cell r="O79">
            <v>0.10000000000000009</v>
          </cell>
          <cell r="P79">
            <v>1.3944206228977851E-2</v>
          </cell>
          <cell r="Q79">
            <v>-0.43348794391530643</v>
          </cell>
          <cell r="S79">
            <v>2.0573875880552484E-2</v>
          </cell>
          <cell r="T79">
            <v>0.26845723147570033</v>
          </cell>
          <cell r="AB79">
            <v>0.27007313180822767</v>
          </cell>
          <cell r="AC79">
            <v>0.36420450597985199</v>
          </cell>
          <cell r="AD79">
            <v>0.2700731318082279</v>
          </cell>
          <cell r="AE79">
            <v>-0.25450616949152527</v>
          </cell>
          <cell r="AF79">
            <v>0.27007313180822767</v>
          </cell>
          <cell r="AG79">
            <v>0.5276689782923305</v>
          </cell>
          <cell r="AH79">
            <v>0.25749815030517587</v>
          </cell>
          <cell r="AI79">
            <v>0.52309512211751685</v>
          </cell>
          <cell r="AJ79">
            <v>2.0100000000000007E-2</v>
          </cell>
          <cell r="AK79">
            <v>3.0030009999997276E-3</v>
          </cell>
        </row>
        <row r="80">
          <cell r="C80" t="str">
            <v>1Q, 04/03</v>
          </cell>
          <cell r="D80">
            <v>0.4679625573222812</v>
          </cell>
          <cell r="E80">
            <v>0</v>
          </cell>
          <cell r="F80">
            <v>-0.84578610532809007</v>
          </cell>
          <cell r="G80">
            <v>2.8761755485893437E-2</v>
          </cell>
          <cell r="H80">
            <v>0.60281166901298278</v>
          </cell>
          <cell r="I80">
            <v>0.14999999999999991</v>
          </cell>
          <cell r="J80">
            <v>0.14535844114187979</v>
          </cell>
          <cell r="K80">
            <v>-3.3322225924692361E-4</v>
          </cell>
          <cell r="L80">
            <v>6.0000000000000053E-2</v>
          </cell>
          <cell r="N80">
            <v>0.3865719175856317</v>
          </cell>
          <cell r="O80">
            <v>0.10000000000000009</v>
          </cell>
          <cell r="P80">
            <v>-0.37113937860010482</v>
          </cell>
          <cell r="Q80">
            <v>-0.60514301226524525</v>
          </cell>
          <cell r="S80">
            <v>0.20034898287895975</v>
          </cell>
          <cell r="T80">
            <v>-0.24310549696863326</v>
          </cell>
          <cell r="AB80">
            <v>3.6944519210510673E-2</v>
          </cell>
          <cell r="AC80">
            <v>-0.28956186900415382</v>
          </cell>
          <cell r="AD80">
            <v>3.6944519210510673E-2</v>
          </cell>
          <cell r="AE80">
            <v>-0.37984709677419382</v>
          </cell>
          <cell r="AF80">
            <v>3.6944519210510673E-2</v>
          </cell>
          <cell r="AG80">
            <v>-0.28289806511007776</v>
          </cell>
          <cell r="AH80">
            <v>2.6677741792584753E-2</v>
          </cell>
          <cell r="AI80">
            <v>-0.27863528109603708</v>
          </cell>
          <cell r="AJ80">
            <v>6.8556362975176199E-3</v>
          </cell>
          <cell r="AK80">
            <v>4.0060040009994857E-3</v>
          </cell>
        </row>
        <row r="81">
          <cell r="C81" t="str">
            <v>2Q, 04/03</v>
          </cell>
          <cell r="D81">
            <v>0.34300585803768424</v>
          </cell>
          <cell r="E81">
            <v>7.3509392866866197E-3</v>
          </cell>
          <cell r="F81">
            <v>-0.82999284180386546</v>
          </cell>
          <cell r="G81">
            <v>3.5667441378834264E-2</v>
          </cell>
          <cell r="H81">
            <v>0.12862909836065572</v>
          </cell>
          <cell r="J81">
            <v>3.1125750088245674</v>
          </cell>
          <cell r="K81">
            <v>8.5728693898134978E-3</v>
          </cell>
          <cell r="N81">
            <v>0.17649124655393433</v>
          </cell>
          <cell r="P81">
            <v>-0.37306306432617342</v>
          </cell>
          <cell r="Q81">
            <v>-0.65130976768513271</v>
          </cell>
          <cell r="S81">
            <v>0.19674534259551613</v>
          </cell>
          <cell r="T81">
            <v>-0.18954472711219017</v>
          </cell>
          <cell r="AC81">
            <v>-0.26390707616154785</v>
          </cell>
          <cell r="AE81">
            <v>-0.31124947368421063</v>
          </cell>
          <cell r="AG81">
            <v>-0.26066327683615798</v>
          </cell>
          <cell r="AI81">
            <v>-0.26213053646436357</v>
          </cell>
          <cell r="AJ81">
            <v>1.9885084025228483E-3</v>
          </cell>
          <cell r="AK81">
            <v>3.9590698457805384E-3</v>
          </cell>
        </row>
        <row r="82">
          <cell r="C82" t="str">
            <v>3Q, 04/03</v>
          </cell>
          <cell r="D82">
            <v>0.37095591299274933</v>
          </cell>
          <cell r="E82">
            <v>0</v>
          </cell>
          <cell r="F82" t="str">
            <v>3Year CAGR('02-'05):</v>
          </cell>
          <cell r="G82" t="str">
            <v>3Year CAGR('02-'05):</v>
          </cell>
          <cell r="H82">
            <v>0.20352453202238374</v>
          </cell>
          <cell r="J82">
            <v>0.16975935028319067</v>
          </cell>
          <cell r="K82">
            <v>0.1645962732919255</v>
          </cell>
          <cell r="N82">
            <v>-0.11381022506613847</v>
          </cell>
          <cell r="P82">
            <v>0.55866581508203383</v>
          </cell>
          <cell r="Q82">
            <v>-0.43348794391530643</v>
          </cell>
          <cell r="S82">
            <v>-6.5073160572970412E-2</v>
          </cell>
          <cell r="T82">
            <v>1.1230330708344236</v>
          </cell>
          <cell r="AC82">
            <v>1.4294257108828332</v>
          </cell>
          <cell r="AE82">
            <v>0.9914043728813553</v>
          </cell>
          <cell r="AG82">
            <v>1.6638515803183789</v>
          </cell>
          <cell r="AH82">
            <v>0.28540312007667112</v>
          </cell>
          <cell r="AI82">
            <v>1.6558759820882929</v>
          </cell>
          <cell r="AJ82">
            <v>3.0030009999997276E-3</v>
          </cell>
        </row>
        <row r="83">
          <cell r="C83" t="str">
            <v>4Q, 04/03</v>
          </cell>
          <cell r="D83">
            <v>0.21236440755779773</v>
          </cell>
          <cell r="E83">
            <v>0</v>
          </cell>
          <cell r="F83">
            <v>-0.43502824858757072</v>
          </cell>
          <cell r="G83">
            <v>0.15481401722098265</v>
          </cell>
          <cell r="H83">
            <v>0.24267351774674273</v>
          </cell>
          <cell r="J83">
            <v>9.1127966802017957E-2</v>
          </cell>
          <cell r="K83">
            <v>-0.37142857142857144</v>
          </cell>
          <cell r="N83">
            <v>-0.24731182795698925</v>
          </cell>
          <cell r="O83" t="str">
            <v>*Proforma restatement.  Quarters may not add.</v>
          </cell>
          <cell r="P83" t="str">
            <v>*Proforma restatement.  Quarters may not add.</v>
          </cell>
          <cell r="Q83">
            <v>-0.36</v>
          </cell>
          <cell r="S83">
            <v>-0.20512630917400143</v>
          </cell>
          <cell r="T83">
            <v>1.4205696751793284</v>
          </cell>
          <cell r="AC83">
            <v>1.7626833742650567</v>
          </cell>
          <cell r="AE83">
            <v>1.5501692685523598</v>
          </cell>
          <cell r="AG83">
            <v>1.7774570821488269</v>
          </cell>
          <cell r="AI83">
            <v>1.7663749729389688</v>
          </cell>
          <cell r="AJ83">
            <v>4.0060040009994857E-3</v>
          </cell>
          <cell r="AK83">
            <v>1.0000000000000009E-2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Balance Sheet"/>
      <sheetName val="FAC"/>
      <sheetName val="drug info"/>
    </sheetNames>
    <sheetDataSet>
      <sheetData sheetId="0" refreshError="1">
        <row r="1">
          <cell r="A1" t="str">
            <v>ANNTAYLOR STORES CORPORATION</v>
          </cell>
          <cell r="B1">
            <v>1997</v>
          </cell>
          <cell r="C1" t="str">
            <v>1998</v>
          </cell>
          <cell r="D1" t="str">
            <v>1999</v>
          </cell>
          <cell r="E1" t="str">
            <v>2000</v>
          </cell>
          <cell r="F1" t="str">
            <v>2001</v>
          </cell>
          <cell r="G1" t="str">
            <v>2002E</v>
          </cell>
          <cell r="H1" t="str">
            <v>2003E</v>
          </cell>
        </row>
        <row r="2">
          <cell r="A2" t="str">
            <v>ANNUAL RESULTS ($ in '000s)</v>
          </cell>
          <cell r="B2" t="str">
            <v>Yr. End</v>
          </cell>
          <cell r="C2" t="str">
            <v>Yr. End</v>
          </cell>
          <cell r="D2" t="str">
            <v>Yr. End</v>
          </cell>
          <cell r="E2" t="str">
            <v>Yr. End</v>
          </cell>
          <cell r="F2" t="str">
            <v>Yr. End</v>
          </cell>
          <cell r="G2" t="str">
            <v>Yr. End</v>
          </cell>
          <cell r="H2" t="str">
            <v>Yr. End</v>
          </cell>
        </row>
        <row r="3">
          <cell r="A3">
            <v>37573</v>
          </cell>
          <cell r="B3" t="str">
            <v>1/31/98</v>
          </cell>
          <cell r="C3" t="str">
            <v>1/30/99</v>
          </cell>
          <cell r="D3" t="str">
            <v>1/30/00</v>
          </cell>
          <cell r="E3" t="str">
            <v>1/30/01</v>
          </cell>
          <cell r="F3" t="str">
            <v>1/30/02</v>
          </cell>
          <cell r="G3" t="str">
            <v>1/30/03</v>
          </cell>
          <cell r="H3" t="str">
            <v>1/30/04</v>
          </cell>
        </row>
        <row r="4">
          <cell r="A4" t="str">
            <v xml:space="preserve">Net Sales </v>
          </cell>
          <cell r="B4">
            <v>781028</v>
          </cell>
          <cell r="C4">
            <v>911939</v>
          </cell>
          <cell r="D4">
            <v>1084519</v>
          </cell>
          <cell r="E4">
            <v>1232776</v>
          </cell>
          <cell r="F4">
            <v>1299572</v>
          </cell>
          <cell r="G4">
            <v>1419241.0581456709</v>
          </cell>
          <cell r="H4">
            <v>1585210.1721740873</v>
          </cell>
        </row>
        <row r="5">
          <cell r="A5" t="str">
            <v>Cost of Sales</v>
          </cell>
          <cell r="B5">
            <v>411756</v>
          </cell>
          <cell r="C5">
            <v>455724</v>
          </cell>
          <cell r="D5">
            <v>536014</v>
          </cell>
          <cell r="E5">
            <v>622036</v>
          </cell>
          <cell r="F5">
            <v>647707</v>
          </cell>
          <cell r="G5">
            <v>661359.98130541819</v>
          </cell>
          <cell r="H5">
            <v>738707.94023312465</v>
          </cell>
        </row>
        <row r="6">
          <cell r="A6" t="str">
            <v>Gross Profit</v>
          </cell>
          <cell r="B6">
            <v>369272</v>
          </cell>
          <cell r="C6">
            <v>456215</v>
          </cell>
          <cell r="D6">
            <v>548505</v>
          </cell>
          <cell r="E6">
            <v>610740</v>
          </cell>
          <cell r="F6">
            <v>651865</v>
          </cell>
          <cell r="G6">
            <v>757881.07684025273</v>
          </cell>
          <cell r="H6">
            <v>846502.23194096261</v>
          </cell>
        </row>
        <row r="7">
          <cell r="A7" t="str">
            <v>Sell, Gen., &amp; Adm. Exp.</v>
          </cell>
          <cell r="B7">
            <v>308232</v>
          </cell>
          <cell r="C7">
            <v>349955</v>
          </cell>
          <cell r="D7">
            <v>413058</v>
          </cell>
          <cell r="E7">
            <v>490826</v>
          </cell>
          <cell r="F7">
            <v>563684</v>
          </cell>
          <cell r="G7">
            <v>624712.35306078417</v>
          </cell>
          <cell r="H7">
            <v>694322.05541225022</v>
          </cell>
        </row>
        <row r="8">
          <cell r="A8" t="str">
            <v>Studio shoe stores closing expense</v>
          </cell>
          <cell r="B8" t="str">
            <v>--</v>
          </cell>
          <cell r="C8" t="str">
            <v>--</v>
          </cell>
          <cell r="D8" t="str">
            <v>--</v>
          </cell>
          <cell r="E8" t="str">
            <v>--</v>
          </cell>
          <cell r="F8">
            <v>0</v>
          </cell>
          <cell r="G8">
            <v>0</v>
          </cell>
        </row>
        <row r="9">
          <cell r="A9" t="str">
            <v>Employment contract sep. expense</v>
          </cell>
          <cell r="B9" t="str">
            <v>--</v>
          </cell>
          <cell r="C9" t="str">
            <v>--</v>
          </cell>
          <cell r="D9" t="str">
            <v>--</v>
          </cell>
          <cell r="E9" t="str">
            <v>--</v>
          </cell>
          <cell r="F9">
            <v>0</v>
          </cell>
          <cell r="G9">
            <v>0</v>
          </cell>
        </row>
        <row r="10">
          <cell r="A10" t="str">
            <v>Retirement of Assets</v>
          </cell>
          <cell r="B10">
            <v>0</v>
          </cell>
          <cell r="C10">
            <v>3633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A11" t="str">
            <v>Goodwill Amortization</v>
          </cell>
          <cell r="B11">
            <v>11040</v>
          </cell>
          <cell r="C11">
            <v>11040</v>
          </cell>
          <cell r="D11">
            <v>11040</v>
          </cell>
          <cell r="E11">
            <v>11040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Operating Income</v>
          </cell>
          <cell r="B12">
            <v>50000</v>
          </cell>
          <cell r="C12">
            <v>91587</v>
          </cell>
          <cell r="D12">
            <v>124407</v>
          </cell>
          <cell r="E12">
            <v>108874</v>
          </cell>
          <cell r="F12">
            <v>88181</v>
          </cell>
          <cell r="G12">
            <v>133168.72377946859</v>
          </cell>
          <cell r="H12">
            <v>152180.17652871239</v>
          </cell>
        </row>
        <row r="13">
          <cell r="A13" t="str">
            <v>Net Interest Expense (gain)</v>
          </cell>
          <cell r="B13">
            <v>19989</v>
          </cell>
          <cell r="C13">
            <v>18117</v>
          </cell>
          <cell r="D13">
            <v>7436</v>
          </cell>
          <cell r="E13">
            <v>4842</v>
          </cell>
          <cell r="F13">
            <v>5479</v>
          </cell>
          <cell r="G13">
            <v>3786</v>
          </cell>
          <cell r="H13">
            <v>4500</v>
          </cell>
        </row>
        <row r="14">
          <cell r="A14" t="str">
            <v>Other Expenses</v>
          </cell>
          <cell r="B14">
            <v>548</v>
          </cell>
          <cell r="C14">
            <v>567</v>
          </cell>
          <cell r="D14">
            <v>1257</v>
          </cell>
          <cell r="E14">
            <v>-13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Pretax Income</v>
          </cell>
          <cell r="B15">
            <v>29463</v>
          </cell>
          <cell r="C15">
            <v>72903</v>
          </cell>
          <cell r="D15">
            <v>115714</v>
          </cell>
          <cell r="E15">
            <v>104045</v>
          </cell>
          <cell r="F15">
            <v>82702</v>
          </cell>
          <cell r="G15">
            <v>129382.72377946859</v>
          </cell>
          <cell r="H15">
            <v>147680.17652871239</v>
          </cell>
        </row>
        <row r="16">
          <cell r="A16" t="str">
            <v>Income Taxes</v>
          </cell>
          <cell r="B16">
            <v>17466</v>
          </cell>
          <cell r="C16">
            <v>33579</v>
          </cell>
          <cell r="D16">
            <v>50221</v>
          </cell>
          <cell r="E16">
            <v>45099</v>
          </cell>
          <cell r="F16">
            <v>33367.380000000005</v>
          </cell>
          <cell r="G16">
            <v>50459.622273992754</v>
          </cell>
          <cell r="H16">
            <v>57595.268846197832</v>
          </cell>
        </row>
        <row r="17">
          <cell r="A17" t="str">
            <v>Net Income before dilution &amp; extra. loss</v>
          </cell>
          <cell r="B17">
            <v>11997</v>
          </cell>
          <cell r="C17">
            <v>39324</v>
          </cell>
          <cell r="D17">
            <v>65493</v>
          </cell>
          <cell r="E17">
            <v>58946</v>
          </cell>
          <cell r="F17">
            <v>49334.619999999995</v>
          </cell>
          <cell r="G17">
            <v>78923.101505475846</v>
          </cell>
          <cell r="H17">
            <v>90084.907682514546</v>
          </cell>
        </row>
        <row r="18">
          <cell r="A18" t="str">
            <v>Interest Effect of Convert Debt</v>
          </cell>
          <cell r="B18">
            <v>0</v>
          </cell>
          <cell r="C18">
            <v>1325</v>
          </cell>
          <cell r="D18">
            <v>2791</v>
          </cell>
          <cell r="E18">
            <v>2085</v>
          </cell>
          <cell r="F18">
            <v>2813</v>
          </cell>
          <cell r="G18">
            <v>2927</v>
          </cell>
          <cell r="H18">
            <v>3727</v>
          </cell>
        </row>
        <row r="19">
          <cell r="A19" t="str">
            <v>Net income including convert debt effect</v>
          </cell>
          <cell r="B19">
            <v>11824</v>
          </cell>
          <cell r="C19">
            <v>40649</v>
          </cell>
          <cell r="D19">
            <v>68284</v>
          </cell>
          <cell r="E19">
            <v>61031</v>
          </cell>
          <cell r="F19">
            <v>52147.619999999995</v>
          </cell>
          <cell r="G19">
            <v>81850.101505475846</v>
          </cell>
          <cell r="H19">
            <v>93811.907682514546</v>
          </cell>
        </row>
        <row r="20">
          <cell r="A20" t="str">
            <v>Extraordinary Loss (net of income taxes)</v>
          </cell>
          <cell r="B20">
            <v>173</v>
          </cell>
          <cell r="C20">
            <v>0</v>
          </cell>
          <cell r="D20">
            <v>962</v>
          </cell>
          <cell r="E20">
            <v>6488</v>
          </cell>
          <cell r="F20">
            <v>10370</v>
          </cell>
          <cell r="G20">
            <v>0</v>
          </cell>
          <cell r="H20">
            <v>0</v>
          </cell>
        </row>
        <row r="21">
          <cell r="A21" t="str">
            <v>Net income after extraordinary loss</v>
          </cell>
          <cell r="B21">
            <v>11651</v>
          </cell>
          <cell r="C21">
            <v>40649</v>
          </cell>
          <cell r="D21">
            <v>67322</v>
          </cell>
          <cell r="E21">
            <v>54543</v>
          </cell>
          <cell r="F21">
            <v>41777.619999999995</v>
          </cell>
          <cell r="G21">
            <v>81850.101505475846</v>
          </cell>
          <cell r="H21">
            <v>93811.907682514546</v>
          </cell>
        </row>
        <row r="22">
          <cell r="A22" t="str">
            <v>Operating EPS</v>
          </cell>
          <cell r="B22">
            <v>0.311291013116413</v>
          </cell>
          <cell r="C22">
            <v>0.87400288116278568</v>
          </cell>
          <cell r="D22">
            <v>1.3858159051011194</v>
          </cell>
          <cell r="E22">
            <v>1.314687279909647</v>
          </cell>
          <cell r="F22">
            <v>1.1199980949071715</v>
          </cell>
          <cell r="G22">
            <v>1.6940140737619762</v>
          </cell>
          <cell r="H22">
            <v>1.942275521377113</v>
          </cell>
        </row>
        <row r="23">
          <cell r="A23" t="str">
            <v>EPS After Extraordinary Item</v>
          </cell>
          <cell r="B23">
            <v>0.30680211211873532</v>
          </cell>
          <cell r="C23">
            <v>0.87400288116278568</v>
          </cell>
          <cell r="D23">
            <v>1.3858159051011194</v>
          </cell>
          <cell r="E23">
            <v>1.16375993397607</v>
          </cell>
          <cell r="F23">
            <v>0.8932157770891308</v>
          </cell>
          <cell r="G23">
            <v>1.6940140737619762</v>
          </cell>
          <cell r="H23">
            <v>1.942275521377113</v>
          </cell>
        </row>
        <row r="24">
          <cell r="A24" t="str">
            <v>Avg. Shares Outs. (millions)</v>
          </cell>
          <cell r="B24">
            <v>38.539500000000004</v>
          </cell>
          <cell r="C24">
            <v>46.509</v>
          </cell>
          <cell r="D24">
            <v>49.273499999999999</v>
          </cell>
          <cell r="E24">
            <v>46.831499999999998</v>
          </cell>
          <cell r="F24">
            <v>43.660499999999999</v>
          </cell>
          <cell r="G24">
            <v>48.317250000000001</v>
          </cell>
          <cell r="H24">
            <v>48.3</v>
          </cell>
        </row>
        <row r="25">
          <cell r="A25" t="str">
            <v>RATIO ANALYSIS</v>
          </cell>
          <cell r="B25">
            <v>1997</v>
          </cell>
          <cell r="C25" t="str">
            <v>1998</v>
          </cell>
          <cell r="D25" t="str">
            <v>1999</v>
          </cell>
          <cell r="E25">
            <v>2000</v>
          </cell>
          <cell r="F25" t="str">
            <v>2001</v>
          </cell>
          <cell r="G25" t="str">
            <v>2002E</v>
          </cell>
          <cell r="H25" t="str">
            <v>2003E</v>
          </cell>
        </row>
        <row r="26">
          <cell r="A26" t="str">
            <v>Cost of Goods</v>
          </cell>
          <cell r="B26">
            <v>0.5271974884383146</v>
          </cell>
          <cell r="C26">
            <v>0.49973079339736537</v>
          </cell>
          <cell r="D26">
            <v>0.49424122583375674</v>
          </cell>
          <cell r="E26">
            <v>0.50458152981563564</v>
          </cell>
          <cell r="F26">
            <v>0.49840024254139054</v>
          </cell>
          <cell r="G26">
            <v>0.46599552451612924</v>
          </cell>
          <cell r="H26">
            <v>0.46599999999999997</v>
          </cell>
        </row>
        <row r="27">
          <cell r="A27" t="str">
            <v>Sell, Gen. &amp; Adm.</v>
          </cell>
          <cell r="B27">
            <v>0.39464910348924748</v>
          </cell>
          <cell r="C27">
            <v>0.38374825509162347</v>
          </cell>
          <cell r="D27">
            <v>0.38086746290290902</v>
          </cell>
          <cell r="E27">
            <v>0.39814694640388848</v>
          </cell>
          <cell r="F27">
            <v>0.43374587941260662</v>
          </cell>
          <cell r="G27">
            <v>0.44017353463337</v>
          </cell>
          <cell r="H27">
            <v>0.438</v>
          </cell>
        </row>
        <row r="28">
          <cell r="A28" t="str">
            <v>Interest Exp., Net</v>
          </cell>
          <cell r="B28">
            <v>2.5593192561598303E-2</v>
          </cell>
          <cell r="C28">
            <v>1.986646036631836E-2</v>
          </cell>
          <cell r="D28">
            <v>6.8564958290265087E-3</v>
          </cell>
          <cell r="E28">
            <v>3.9277208511521965E-3</v>
          </cell>
          <cell r="F28">
            <v>4.2160034226653084E-3</v>
          </cell>
          <cell r="G28">
            <v>2.6676229371116497E-3</v>
          </cell>
          <cell r="H28">
            <v>2.8387403001763046E-3</v>
          </cell>
        </row>
        <row r="29">
          <cell r="A29" t="str">
            <v>Gross Margin</v>
          </cell>
          <cell r="B29">
            <v>0.47280251156168535</v>
          </cell>
          <cell r="C29">
            <v>0.50026920660263463</v>
          </cell>
          <cell r="D29">
            <v>0.50575877416624326</v>
          </cell>
          <cell r="E29">
            <v>0.49541847018436441</v>
          </cell>
          <cell r="F29">
            <v>0.50159975745860941</v>
          </cell>
          <cell r="G29">
            <v>0.53400447548387076</v>
          </cell>
          <cell r="H29">
            <v>0.53400000000000003</v>
          </cell>
        </row>
        <row r="30">
          <cell r="A30" t="str">
            <v>Operating Margin</v>
          </cell>
          <cell r="B30">
            <v>6.4018191409270855E-2</v>
          </cell>
          <cell r="C30">
            <v>0.10043105953358722</v>
          </cell>
          <cell r="D30">
            <v>0.11471168324390812</v>
          </cell>
          <cell r="E30">
            <v>8.8316125557278857E-2</v>
          </cell>
          <cell r="F30">
            <v>6.7853878046002833E-2</v>
          </cell>
          <cell r="G30">
            <v>9.3830940850500782E-2</v>
          </cell>
          <cell r="H30">
            <v>9.6000000000000002E-2</v>
          </cell>
        </row>
        <row r="31">
          <cell r="A31" t="str">
            <v>Pretax Margin</v>
          </cell>
          <cell r="B31">
            <v>3.7723359469826946E-2</v>
          </cell>
          <cell r="C31">
            <v>7.994284705446307E-2</v>
          </cell>
          <cell r="D31">
            <v>0.10669614824636543</v>
          </cell>
          <cell r="E31">
            <v>8.4398950012005425E-2</v>
          </cell>
          <cell r="F31">
            <v>6.3637874623337531E-2</v>
          </cell>
          <cell r="G31">
            <v>9.1163317913389136E-2</v>
          </cell>
          <cell r="H31">
            <v>9.3161259699823695E-2</v>
          </cell>
        </row>
        <row r="32">
          <cell r="A32" t="str">
            <v>Tax Rate</v>
          </cell>
          <cell r="B32">
            <v>0.59281132267589853</v>
          </cell>
          <cell r="C32">
            <v>0.46059832928686062</v>
          </cell>
          <cell r="D32">
            <v>0.43400971360423113</v>
          </cell>
          <cell r="E32">
            <v>0.43345667739920229</v>
          </cell>
          <cell r="F32">
            <v>0.40346521244951761</v>
          </cell>
          <cell r="G32">
            <v>0.39000278244258185</v>
          </cell>
          <cell r="H32">
            <v>0.39</v>
          </cell>
        </row>
        <row r="33">
          <cell r="A33" t="str">
            <v>Net Margin</v>
          </cell>
          <cell r="B33">
            <v>1.5139021904464372E-2</v>
          </cell>
          <cell r="C33">
            <v>4.4574253321768231E-2</v>
          </cell>
          <cell r="D33">
            <v>6.296247460855918E-2</v>
          </cell>
          <cell r="E33">
            <v>4.9506966391298986E-2</v>
          </cell>
          <cell r="F33">
            <v>4.0126764811799574E-2</v>
          </cell>
          <cell r="G33">
            <v>5.7671740142874836E-2</v>
          </cell>
          <cell r="H33">
            <v>5.9179476216616247E-2</v>
          </cell>
        </row>
        <row r="34">
          <cell r="A34" t="str">
            <v>Y-T-Y % CHANGE</v>
          </cell>
          <cell r="B34">
            <v>1997</v>
          </cell>
          <cell r="C34" t="str">
            <v>1998</v>
          </cell>
          <cell r="D34" t="str">
            <v>1999</v>
          </cell>
          <cell r="E34" t="str">
            <v>2000</v>
          </cell>
          <cell r="F34" t="str">
            <v>2001</v>
          </cell>
          <cell r="G34" t="str">
            <v>2002E</v>
          </cell>
          <cell r="H34" t="str">
            <v>2003E</v>
          </cell>
        </row>
        <row r="35">
          <cell r="A35" t="str">
            <v xml:space="preserve">Net Sales </v>
          </cell>
          <cell r="B35" t="str">
            <v>--</v>
          </cell>
          <cell r="C35">
            <v>0.16761370911158124</v>
          </cell>
          <cell r="D35">
            <v>0.18924511398240451</v>
          </cell>
          <cell r="E35">
            <v>0.1367029992097879</v>
          </cell>
          <cell r="F35">
            <v>5.4183403959843446E-2</v>
          </cell>
          <cell r="G35">
            <v>9.208343835175814E-2</v>
          </cell>
          <cell r="H35">
            <v>0.11694215938571118</v>
          </cell>
        </row>
        <row r="36">
          <cell r="A36" t="str">
            <v>Cost of Sales</v>
          </cell>
          <cell r="B36" t="str">
            <v>--</v>
          </cell>
          <cell r="C36">
            <v>0.10678168624136619</v>
          </cell>
          <cell r="D36">
            <v>0.17618119739140359</v>
          </cell>
          <cell r="E36">
            <v>0.16048461420783777</v>
          </cell>
          <cell r="F36">
            <v>4.1269315602312506E-2</v>
          </cell>
          <cell r="G36">
            <v>2.1078946661713172E-2</v>
          </cell>
          <cell r="H36">
            <v>0.1169528866488625</v>
          </cell>
        </row>
        <row r="37">
          <cell r="A37" t="str">
            <v>Gross Profit</v>
          </cell>
          <cell r="B37" t="str">
            <v>--</v>
          </cell>
          <cell r="C37">
            <v>0.23544433371606832</v>
          </cell>
          <cell r="D37">
            <v>0.20229497057308499</v>
          </cell>
          <cell r="E37">
            <v>0.11346295840511944</v>
          </cell>
          <cell r="F37">
            <v>6.7336346071978248E-2</v>
          </cell>
          <cell r="G37">
            <v>0.16263501927585122</v>
          </cell>
          <cell r="H37">
            <v>0.11693279830944969</v>
          </cell>
        </row>
        <row r="38">
          <cell r="A38" t="str">
            <v>Sell, Gen., &amp; Admin. Exp.</v>
          </cell>
          <cell r="B38" t="str">
            <v>--</v>
          </cell>
          <cell r="C38">
            <v>0.13536232448285701</v>
          </cell>
          <cell r="D38">
            <v>0.18031746938892135</v>
          </cell>
          <cell r="E38">
            <v>0.18827380174212816</v>
          </cell>
          <cell r="F38">
            <v>0.14843956921597479</v>
          </cell>
          <cell r="G38">
            <v>0.10826695996477498</v>
          </cell>
          <cell r="H38">
            <v>0.11142680628998725</v>
          </cell>
        </row>
        <row r="39">
          <cell r="A39" t="str">
            <v>Operating Profit</v>
          </cell>
          <cell r="B39" t="str">
            <v>--</v>
          </cell>
          <cell r="C39">
            <v>0.83173999999999992</v>
          </cell>
          <cell r="D39">
            <v>0.3583478004520293</v>
          </cell>
          <cell r="E39">
            <v>-0.12485631837436795</v>
          </cell>
          <cell r="F39">
            <v>-0.19006374340981314</v>
          </cell>
          <cell r="G39">
            <v>0.51017479705910107</v>
          </cell>
          <cell r="H39">
            <v>0.14276214571769374</v>
          </cell>
        </row>
        <row r="40">
          <cell r="A40" t="str">
            <v>Interest, Net</v>
          </cell>
          <cell r="B40" t="str">
            <v>--</v>
          </cell>
          <cell r="C40">
            <v>-9.3651508329581246E-2</v>
          </cell>
          <cell r="D40">
            <v>-0.58955676988463868</v>
          </cell>
          <cell r="E40">
            <v>-0.34884346422807966</v>
          </cell>
          <cell r="F40">
            <v>0.13155720776538615</v>
          </cell>
          <cell r="G40">
            <v>-0.30899799233436753</v>
          </cell>
          <cell r="H40">
            <v>0.18858954041204434</v>
          </cell>
        </row>
        <row r="41">
          <cell r="A41" t="str">
            <v>Pretax Income</v>
          </cell>
          <cell r="B41" t="str">
            <v>--</v>
          </cell>
          <cell r="C41">
            <v>1.4743916098157008</v>
          </cell>
          <cell r="D41">
            <v>0.58723234983471184</v>
          </cell>
          <cell r="E41">
            <v>-0.10084345887273793</v>
          </cell>
          <cell r="F41">
            <v>-0.20513239463693589</v>
          </cell>
          <cell r="G41">
            <v>0.5644449200680588</v>
          </cell>
          <cell r="H41">
            <v>0.14142114352478452</v>
          </cell>
        </row>
        <row r="42">
          <cell r="A42" t="str">
            <v>Income Taxes</v>
          </cell>
          <cell r="B42" t="str">
            <v>--</v>
          </cell>
          <cell r="C42">
            <v>0.92253521126760574</v>
          </cell>
          <cell r="D42">
            <v>0.49560737365615415</v>
          </cell>
          <cell r="E42">
            <v>-0.1019892077019573</v>
          </cell>
          <cell r="F42">
            <v>-0.26013037983103826</v>
          </cell>
          <cell r="G42">
            <v>0.51224406213471796</v>
          </cell>
          <cell r="H42">
            <v>0.14141300015007929</v>
          </cell>
        </row>
        <row r="43">
          <cell r="A43" t="str">
            <v>Net Income</v>
          </cell>
          <cell r="B43" t="str">
            <v>--</v>
          </cell>
          <cell r="C43">
            <v>2.437838294993234</v>
          </cell>
          <cell r="D43">
            <v>0.67984452262048256</v>
          </cell>
          <cell r="E43">
            <v>-0.10621814773592642</v>
          </cell>
          <cell r="F43">
            <v>-0.14555520964755619</v>
          </cell>
          <cell r="G43">
            <v>0.5695846043496493</v>
          </cell>
          <cell r="H43">
            <v>0.146142838640688</v>
          </cell>
        </row>
        <row r="44">
          <cell r="A44" t="str">
            <v>EPS (Operating)</v>
          </cell>
          <cell r="B44" t="str">
            <v>--</v>
          </cell>
          <cell r="C44">
            <v>1.8076714210696991</v>
          </cell>
          <cell r="D44">
            <v>0.58559649512529122</v>
          </cell>
          <cell r="E44">
            <v>-5.1326171773358631E-2</v>
          </cell>
          <cell r="F44">
            <v>-0.14808782892906336</v>
          </cell>
          <cell r="G44">
            <v>0.51251513861046405</v>
          </cell>
          <cell r="H44">
            <v>0.14655217536877418</v>
          </cell>
        </row>
        <row r="45">
          <cell r="A45" t="str">
            <v>Fully Diluted Shares Outstanding</v>
          </cell>
          <cell r="B45" t="str">
            <v>--</v>
          </cell>
          <cell r="C45">
            <v>0.20678784104619918</v>
          </cell>
          <cell r="D45">
            <v>5.9440108366122679E-2</v>
          </cell>
          <cell r="E45">
            <v>-4.9560108374684164E-2</v>
          </cell>
          <cell r="F45">
            <v>-6.77108356554883E-2</v>
          </cell>
          <cell r="G45">
            <v>0.10665819218744632</v>
          </cell>
          <cell r="H45">
            <v>-3.5701535166021703E-4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able "/>
      <sheetName val="Results"/>
      <sheetName val="Stats"/>
      <sheetName val="MHRS Q3"/>
      <sheetName val="RITZ Q3"/>
      <sheetName val="REN Q3"/>
      <sheetName val="Int'l MHRS Q3"/>
      <sheetName val="Int'l CY &amp; Ren Q3"/>
      <sheetName val="CY Q3"/>
      <sheetName val="FFI Q3"/>
      <sheetName val="SHS Q3"/>
      <sheetName val="RI Q3"/>
      <sheetName val="TPS Q3"/>
      <sheetName val="CL &amp; Other Q3"/>
      <sheetName val="MVCI Q3"/>
      <sheetName val="SLS Q3"/>
      <sheetName val="MDS Q3"/>
      <sheetName val="Int Exp &amp; Inc"/>
      <sheetName val="CorpExp Q3"/>
      <sheetName val="YTD Results"/>
      <sheetName val="YTD Stats"/>
      <sheetName val="MHRS YTD"/>
      <sheetName val="RITZ YTD"/>
      <sheetName val="REN YTD"/>
      <sheetName val="Int'l MHRS YTD"/>
      <sheetName val="Int'l CY &amp; Ren YTD"/>
      <sheetName val="CY YTD"/>
      <sheetName val="FFI YTD"/>
      <sheetName val="SHS YTD"/>
      <sheetName val="RI YTD"/>
      <sheetName val="TPS YTD"/>
      <sheetName val="CL &amp; Other Q3 YTD"/>
      <sheetName val="MVCI YTD"/>
      <sheetName val="SLS YTD"/>
      <sheetName val="MDS YTD"/>
      <sheetName val="Int Exp YTD"/>
      <sheetName val="CorpExp YTD"/>
    </sheetNames>
    <sheetDataSet>
      <sheetData sheetId="0" refreshError="1">
        <row r="1">
          <cell r="J1" t="str">
            <v>THIRD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Model"/>
      <sheetName val="1Q04"/>
      <sheetName val="Valuation"/>
      <sheetName val="Estimate Summary"/>
      <sheetName val="ROIC"/>
      <sheetName val="NPV Thunder Valley"/>
      <sheetName val="Thunder Valley"/>
      <sheetName val="Gun Lake NPV Conservative case"/>
      <sheetName val="Chico NPV"/>
      <sheetName val="Mono Prop Math"/>
      <sheetName val="Mono NPV"/>
      <sheetName val="Gun Lake Math"/>
      <sheetName val="Charts"/>
      <sheetName val="Gun Lake NPV Optimistic Case"/>
      <sheetName val="DCF Model"/>
      <sheetName val="Props"/>
      <sheetName val="4Q03"/>
      <sheetName val="3Q03"/>
      <sheetName val="2Q03"/>
      <sheetName val="1Q03"/>
      <sheetName val="Mono"/>
      <sheetName val="3Q03 Comp"/>
      <sheetName val="2Q03 Comp"/>
      <sheetName val="1Q03 Comp"/>
      <sheetName val="Earnings Model"/>
      <sheetName val="Cover"/>
      <sheetName val="quarterly incom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s"/>
      <sheetName val="Annual p&amp;l"/>
      <sheetName val="Quarterly income"/>
      <sheetName val="Qtr. Product Sales"/>
      <sheetName val="Annual Product Sales"/>
      <sheetName val="BSCF"/>
      <sheetName val="duration"/>
      <sheetName val="Variance"/>
      <sheetName val="duration 07"/>
      <sheetName val="Links"/>
      <sheetName val="Zetia Vytorin JV"/>
      <sheetName val="Astra JV"/>
      <sheetName val="Price Volume"/>
      <sheetName val="Other income"/>
      <sheetName val="Catalysts"/>
      <sheetName val="Pipeline"/>
      <sheetName val="COGS"/>
      <sheetName val="Vioxx"/>
      <sheetName val="Guidance"/>
      <sheetName val="FCF"/>
      <sheetName val="R&amp;D Efficiency"/>
      <sheetName val="__FDSCACHE__"/>
      <sheetName val="Share Buyback History"/>
      <sheetName val="reports--&gt;"/>
      <sheetName val="Vaccine Penetration"/>
      <sheetName val="Handout Tables"/>
      <sheetName val="Charts for Report"/>
      <sheetName val="Charts"/>
      <sheetName val="Table of Contents"/>
      <sheetName val="EarningsModel"/>
    </sheetNames>
    <sheetDataSet>
      <sheetData sheetId="0" refreshError="1"/>
      <sheetData sheetId="1" refreshError="1"/>
      <sheetData sheetId="2" refreshError="1"/>
      <sheetData sheetId="3" refreshError="1">
        <row r="14">
          <cell r="U14">
            <v>5238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berg Data"/>
      <sheetName val="YOY FX"/>
      <sheetName val="10-K Geographic Info"/>
      <sheetName val="Zoetis - livestock"/>
      <sheetName val="Zoetis - companion"/>
      <sheetName val="Sheet1"/>
    </sheetNames>
    <sheetDataSet>
      <sheetData sheetId="0">
        <row r="2452">
          <cell r="Q2452">
            <v>0.45419999999999999</v>
          </cell>
        </row>
      </sheetData>
      <sheetData sheetId="1">
        <row r="28">
          <cell r="D28">
            <v>1.3703984375</v>
          </cell>
          <cell r="G28">
            <v>1.6548953125000005</v>
          </cell>
          <cell r="J28">
            <v>9.7260156250000025E-3</v>
          </cell>
          <cell r="M28">
            <v>0.9068921875</v>
          </cell>
          <cell r="P28">
            <v>0.16392578124999999</v>
          </cell>
          <cell r="S28">
            <v>7.5579375000000018E-2</v>
          </cell>
          <cell r="V28">
            <v>0.89676718750000017</v>
          </cell>
        </row>
        <row r="29">
          <cell r="D29">
            <v>1.3716461538461537</v>
          </cell>
          <cell r="G29">
            <v>1.6833799999999999</v>
          </cell>
          <cell r="J29">
            <v>9.7910153846153865E-3</v>
          </cell>
          <cell r="M29">
            <v>0.91722307692307714</v>
          </cell>
          <cell r="P29">
            <v>0.1604693846153846</v>
          </cell>
          <cell r="S29">
            <v>7.6964153846153821E-2</v>
          </cell>
          <cell r="V29">
            <v>0.93308615384615379</v>
          </cell>
        </row>
        <row r="30">
          <cell r="D30">
            <v>1.3252287878787878</v>
          </cell>
          <cell r="G30">
            <v>1.6698621212121216</v>
          </cell>
          <cell r="J30">
            <v>9.6196666666666653E-3</v>
          </cell>
          <cell r="M30">
            <v>0.91874242424242447</v>
          </cell>
          <cell r="P30">
            <v>0.16220303030303032</v>
          </cell>
          <cell r="S30">
            <v>7.6218484848484855E-2</v>
          </cell>
          <cell r="V30">
            <v>0.92502272727272705</v>
          </cell>
        </row>
        <row r="31">
          <cell r="D31">
            <v>1.2490507462686564</v>
          </cell>
          <cell r="G31">
            <v>1.5834477611940301</v>
          </cell>
          <cell r="J31">
            <v>9.1789083969465602E-3</v>
          </cell>
          <cell r="M31">
            <v>0.88010303030303028</v>
          </cell>
          <cell r="P31">
            <v>0.16264787878787876</v>
          </cell>
          <cell r="S31">
            <v>7.2030606060606073E-2</v>
          </cell>
          <cell r="V31">
            <v>0.85467878787878782</v>
          </cell>
        </row>
        <row r="32">
          <cell r="D32">
            <v>1.1268124999999998</v>
          </cell>
          <cell r="G32">
            <v>1.5148874999999999</v>
          </cell>
          <cell r="J32">
            <v>8.3919375000000001E-3</v>
          </cell>
          <cell r="M32">
            <v>0.80674687499999986</v>
          </cell>
          <cell r="P32">
            <v>0.16035671874999999</v>
          </cell>
          <cell r="S32">
            <v>6.6899375000000011E-2</v>
          </cell>
          <cell r="V32">
            <v>0.78656249999999994</v>
          </cell>
        </row>
        <row r="33">
          <cell r="D33">
            <v>1.1068600000000002</v>
          </cell>
          <cell r="G33">
            <v>1.5332723076923076</v>
          </cell>
          <cell r="J33">
            <v>8.2425230769230771E-3</v>
          </cell>
          <cell r="M33">
            <v>0.81361538461538452</v>
          </cell>
          <cell r="P33">
            <v>0.16123369230769236</v>
          </cell>
          <cell r="S33">
            <v>6.5268307692307681E-2</v>
          </cell>
          <cell r="V33">
            <v>0.77799230769230765</v>
          </cell>
        </row>
        <row r="34">
          <cell r="D34">
            <v>1.1124636363636364</v>
          </cell>
          <cell r="G34">
            <v>1.5489969696969699</v>
          </cell>
          <cell r="J34">
            <v>8.1879545454545434E-3</v>
          </cell>
          <cell r="M34">
            <v>0.76449696969696956</v>
          </cell>
          <cell r="P34">
            <v>0.1586698484848485</v>
          </cell>
          <cell r="S34">
            <v>6.0861363636363644E-2</v>
          </cell>
          <cell r="V34">
            <v>0.72545606060606072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Comparison"/>
      <sheetName val="Lipitor (US and Int'l)"/>
      <sheetName val="Lipitor (US Only)"/>
      <sheetName val="Lipitor Sensitivity for Note"/>
      <sheetName val="Lipitor EPS and DivPO Model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Revenues"/>
      <sheetName val="Inc Stmt"/>
      <sheetName val="Scenario Builder"/>
      <sheetName val="LRP Scenarios"/>
      <sheetName val="DATA"/>
      <sheetName val="Income Stmt"/>
      <sheetName val="IS"/>
      <sheetName val="&lt;EuroCF&gt;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ed capital_VDF"/>
      <sheetName val="NOPAT_VDF"/>
    </sheetNames>
    <sheetDataSet>
      <sheetData sheetId="0" refreshError="1">
        <row r="13">
          <cell r="T13">
            <v>0</v>
          </cell>
        </row>
        <row r="28">
          <cell r="T28">
            <v>837.7509249206081</v>
          </cell>
        </row>
        <row r="29">
          <cell r="T29">
            <v>817.72377756204344</v>
          </cell>
        </row>
        <row r="30">
          <cell r="T30">
            <v>837.7509249206081</v>
          </cell>
        </row>
        <row r="31">
          <cell r="T31">
            <v>817.72377756204344</v>
          </cell>
        </row>
        <row r="32">
          <cell r="T32">
            <v>0</v>
          </cell>
        </row>
        <row r="79">
          <cell r="T79">
            <v>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7 - Pfizer Inc."/>
      <sheetName val="GPSVAL7-150448-1493"/>
      <sheetName val="GPS - Pfizer Inc."/>
      <sheetName val="GPSVAL7-150448-171"/>
      <sheetName val="GPSVAL-PFE-GPS6NR"/>
      <sheetName val="CoverSheet"/>
      <sheetName val="Annual p&amp;l"/>
      <sheetName val="quarterly income"/>
      <sheetName val="Variance"/>
      <sheetName val="Guidance"/>
      <sheetName val="Qtr. Product Sales"/>
      <sheetName val="Annual Product Sales"/>
      <sheetName val="Price Volume"/>
      <sheetName val="HSP Accretion"/>
      <sheetName val="new bscf"/>
      <sheetName val="DCF new"/>
      <sheetName val="new AGN Accretion"/>
      <sheetName val="SHPG Accretion"/>
      <sheetName val="BMY Accretion"/>
      <sheetName val="AZN Accretion"/>
      <sheetName val="old ACT Accretion"/>
      <sheetName val="MYL Accretion"/>
      <sheetName val="Accretion Charts"/>
      <sheetName val="DCF wo pipeline2"/>
      <sheetName val="DCF wopipeline"/>
      <sheetName val="DCF winddown"/>
      <sheetName val="Divisional P&amp;L -NEW"/>
      <sheetName val="Celebrex NPV"/>
      <sheetName val="Alliance Revenues"/>
      <sheetName val="BD Charts"/>
      <sheetName val="SOTP - 3 segments"/>
      <sheetName val="Balance Sheet Cash Flow"/>
      <sheetName val="Links"/>
      <sheetName val="CDK 46"/>
      <sheetName val="PFE Pipeline"/>
      <sheetName val="Biz Units"/>
      <sheetName val="Crizotinib"/>
      <sheetName val="Intl Breakdown_new"/>
      <sheetName val="PFE Catalysts"/>
      <sheetName val="handout tables"/>
      <sheetName val="Sales breakdown"/>
      <sheetName val="OLD ---&gt;"/>
      <sheetName val="AGN Accretion"/>
      <sheetName val="Divisional P&amp;L_old"/>
      <sheetName val="Charts"/>
      <sheetName val="Lipitor P&amp;L"/>
      <sheetName val="SOTP_old1"/>
      <sheetName val="SOTP"/>
      <sheetName val="SOTP_new"/>
      <sheetName val="R&amp;D efficiency"/>
      <sheetName val="SOTP_old"/>
      <sheetName val="DCF"/>
      <sheetName val="Price Volume_old6"/>
      <sheetName val="ACT Accretion"/>
      <sheetName val="Sheet1"/>
      <sheetName val="GPSVAL7-150448-1428"/>
      <sheetName val="SHP Accretion"/>
      <sheetName val="GPSVAL7-150448-1271"/>
      <sheetName val="Divisional P&amp;L"/>
      <sheetName val="GEP P&amp;L wHSP"/>
      <sheetName val="GPSVAL7-150448-1774"/>
      <sheetName val="20% AGN Accretion"/>
      <sheetName val="40% AGN Accretion"/>
      <sheetName val="Divisional P&amp;L- 3BUs"/>
      <sheetName val="Divisional P&amp;L- 2BUs"/>
      <sheetName val="AGN Accretion Charts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P13" t="str">
            <v>FY 2013</v>
          </cell>
        </row>
      </sheetData>
      <sheetData sheetId="7">
        <row r="16">
          <cell r="L16">
            <v>51241</v>
          </cell>
          <cell r="Q16">
            <v>49284</v>
          </cell>
          <cell r="V16">
            <v>48189</v>
          </cell>
        </row>
        <row r="37">
          <cell r="L37">
            <v>2.0090854810416947</v>
          </cell>
        </row>
      </sheetData>
      <sheetData sheetId="8">
        <row r="216">
          <cell r="J216">
            <v>-1772.5352700000003</v>
          </cell>
        </row>
      </sheetData>
      <sheetData sheetId="9"/>
      <sheetData sheetId="10">
        <row r="19">
          <cell r="L19">
            <v>12187</v>
          </cell>
        </row>
      </sheetData>
      <sheetData sheetId="11">
        <row r="120">
          <cell r="L120" t="str">
            <v>Ends</v>
          </cell>
        </row>
      </sheetData>
      <sheetData sheetId="12"/>
      <sheetData sheetId="13"/>
      <sheetData sheetId="14">
        <row r="47">
          <cell r="R47">
            <v>36527.206661500568</v>
          </cell>
        </row>
      </sheetData>
      <sheetData sheetId="15">
        <row r="79">
          <cell r="C79">
            <v>70764.05951937272</v>
          </cell>
        </row>
      </sheetData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0">
          <cell r="G20">
            <v>4856</v>
          </cell>
        </row>
      </sheetData>
      <sheetData sheetId="26"/>
      <sheetData sheetId="27"/>
      <sheetData sheetId="28">
        <row r="25">
          <cell r="BA25">
            <v>83.749301999999986</v>
          </cell>
        </row>
      </sheetData>
      <sheetData sheetId="29"/>
      <sheetData sheetId="30">
        <row r="14">
          <cell r="B14" t="str">
            <v>Celebrex</v>
          </cell>
        </row>
      </sheetData>
      <sheetData sheetId="31">
        <row r="16">
          <cell r="J16">
            <v>10733</v>
          </cell>
        </row>
        <row r="20">
          <cell r="G20">
            <v>4856</v>
          </cell>
        </row>
      </sheetData>
      <sheetData sheetId="32">
        <row r="25">
          <cell r="I25">
            <v>2.0201258756178215</v>
          </cell>
        </row>
      </sheetData>
      <sheetData sheetId="33">
        <row r="14">
          <cell r="B14" t="str">
            <v>Celebrex</v>
          </cell>
        </row>
      </sheetData>
      <sheetData sheetId="34">
        <row r="20">
          <cell r="G20">
            <v>4856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>
        <row r="4">
          <cell r="BA4" t="str">
            <v>2013A</v>
          </cell>
        </row>
      </sheetData>
      <sheetData sheetId="64"/>
      <sheetData sheetId="6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p&amp;l"/>
      <sheetName val="quarterly income"/>
      <sheetName val="Qtr. Product Sales"/>
      <sheetName val="Annual Product Sales"/>
      <sheetName val="Alliances"/>
      <sheetName val="BSCF"/>
      <sheetName val="DCF Combined"/>
      <sheetName val="Catalysts"/>
      <sheetName val="Pipeline"/>
      <sheetName val="Gross Margin"/>
      <sheetName val="Variance"/>
      <sheetName val="Links"/>
      <sheetName val="Generic Exposure 2007"/>
      <sheetName val="Price_volume"/>
      <sheetName val="__FDSCACHE__"/>
      <sheetName val="R&amp;D Efficiency"/>
      <sheetName val="Guidance"/>
      <sheetName val="Incremental spend"/>
      <sheetName val="handout tables"/>
      <sheetName val="Charts for report"/>
      <sheetName val="Charts"/>
      <sheetName val="Generic Exposure"/>
      <sheetName val="FCF Analysis"/>
      <sheetName val="DCF Existing"/>
      <sheetName val="DCF Pipeline"/>
      <sheetName val="Generic Exposure (2)"/>
      <sheetName val="LLY-model"/>
      <sheetName val="To Do"/>
      <sheetName val="ROIIC Template"/>
      <sheetName val="OLD --&gt;"/>
      <sheetName val="TRx"/>
      <sheetName val="D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wallstreetoasis.com/industry-reports-wall-street-oasis" TargetMode="External"/><Relationship Id="rId4" Type="http://schemas.openxmlformats.org/officeDocument/2006/relationships/hyperlink" Target="https://www.wallstreetoasis.com/finance-interview-courses-wall-street-oasis" TargetMode="External"/><Relationship Id="rId5" Type="http://schemas.openxmlformats.org/officeDocument/2006/relationships/hyperlink" Target="https://www.wallstreetoasis.com/all-wso-templates" TargetMode="External"/><Relationship Id="rId6" Type="http://schemas.openxmlformats.org/officeDocument/2006/relationships/hyperlink" Target="https://www.wallstreetoasis.com/best-resume-review-service-finance-pros-help-your-cv" TargetMode="External"/><Relationship Id="rId7" Type="http://schemas.openxmlformats.org/officeDocument/2006/relationships/hyperlink" Target="https://www.wallstreetoasis.com/wall-street-mentors-finance-mock-interviews" TargetMode="External"/><Relationship Id="rId8" Type="http://schemas.openxmlformats.org/officeDocument/2006/relationships/hyperlink" Target="https://www.wallstreetoasis.com/the-talent-oasis" TargetMode="External"/><Relationship Id="rId9" Type="http://schemas.openxmlformats.org/officeDocument/2006/relationships/hyperlink" Target="https://www.wallstreetoasis.com/gmat-pill-promo-code-333-off-gmat-prep-discount" TargetMode="External"/><Relationship Id="rId10" Type="http://schemas.openxmlformats.org/officeDocument/2006/relationships/drawing" Target="../drawings/drawing1.xml"/><Relationship Id="rId1" Type="http://schemas.openxmlformats.org/officeDocument/2006/relationships/hyperlink" Target="https://www.wallstreetoasis.com/user/register" TargetMode="External"/><Relationship Id="rId2" Type="http://schemas.openxmlformats.org/officeDocument/2006/relationships/hyperlink" Target="https://www.wallstreetoasis.com/top-frequently-asked-question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CF173"/>
  <sheetViews>
    <sheetView showGridLines="0" workbookViewId="0">
      <pane xSplit="2" ySplit="8" topLeftCell="AU147" activePane="bottomRight" state="frozen"/>
      <selection activeCell="L4" sqref="L4"/>
      <selection pane="topRight" activeCell="L4" sqref="L4"/>
      <selection pane="bottomLeft" activeCell="L4" sqref="L4"/>
      <selection pane="bottomRight" activeCell="B4" sqref="B4:B5"/>
    </sheetView>
  </sheetViews>
  <sheetFormatPr baseColWidth="10" defaultColWidth="9.1640625" defaultRowHeight="12" outlineLevelRow="2" outlineLevelCol="1" x14ac:dyDescent="0.15"/>
  <cols>
    <col min="1" max="1" width="2" style="208" customWidth="1"/>
    <col min="2" max="2" width="35.5" style="217" customWidth="1"/>
    <col min="3" max="3" width="9.5" style="218" hidden="1" customWidth="1" outlineLevel="1"/>
    <col min="4" max="6" width="9.1640625" style="218" hidden="1" customWidth="1" outlineLevel="1"/>
    <col min="7" max="7" width="0" style="218" hidden="1" customWidth="1" collapsed="1"/>
    <col min="8" max="11" width="9.1640625" style="218" hidden="1" customWidth="1" outlineLevel="1"/>
    <col min="12" max="12" width="0" style="218" hidden="1" customWidth="1" collapsed="1"/>
    <col min="13" max="16" width="9.1640625" style="218" hidden="1" customWidth="1" outlineLevel="1"/>
    <col min="17" max="17" width="0" style="218" hidden="1" customWidth="1" collapsed="1"/>
    <col min="18" max="21" width="9.1640625" style="218" hidden="1" customWidth="1" outlineLevel="1"/>
    <col min="22" max="22" width="10.83203125" style="218" hidden="1" customWidth="1" collapsed="1"/>
    <col min="23" max="26" width="9.1640625" style="218" hidden="1" customWidth="1" outlineLevel="1"/>
    <col min="27" max="27" width="11.1640625" style="218" hidden="1" customWidth="1" collapsed="1"/>
    <col min="28" max="31" width="9.1640625" style="218" hidden="1" customWidth="1" outlineLevel="1"/>
    <col min="32" max="32" width="11.1640625" style="218" hidden="1" customWidth="1" collapsed="1"/>
    <col min="33" max="36" width="9.1640625" style="218" hidden="1" customWidth="1" outlineLevel="1"/>
    <col min="37" max="37" width="11.1640625" style="218" hidden="1" customWidth="1" collapsed="1"/>
    <col min="38" max="41" width="9.1640625" style="218" hidden="1" customWidth="1" outlineLevel="1"/>
    <col min="42" max="42" width="11.33203125" style="218" hidden="1" customWidth="1" collapsed="1"/>
    <col min="43" max="46" width="9.1640625" style="218" hidden="1" customWidth="1" outlineLevel="1"/>
    <col min="47" max="47" width="11.1640625" style="218" bestFit="1" customWidth="1" collapsed="1"/>
    <col min="48" max="51" width="9.1640625" style="218" hidden="1" customWidth="1" outlineLevel="1"/>
    <col min="52" max="52" width="10.83203125" style="218" bestFit="1" customWidth="1" collapsed="1"/>
    <col min="53" max="56" width="9.1640625" style="218" hidden="1" customWidth="1" outlineLevel="1"/>
    <col min="57" max="57" width="9.1640625" style="218" collapsed="1"/>
    <col min="58" max="61" width="9.1640625" style="218" hidden="1" customWidth="1" outlineLevel="1"/>
    <col min="62" max="62" width="9.1640625" style="218" collapsed="1"/>
    <col min="63" max="66" width="9.1640625" style="218" hidden="1" customWidth="1" outlineLevel="1"/>
    <col min="67" max="67" width="9.1640625" style="218" collapsed="1"/>
    <col min="68" max="71" width="9.1640625" style="218" hidden="1" customWidth="1" outlineLevel="1"/>
    <col min="72" max="72" width="9.1640625" style="218" collapsed="1"/>
    <col min="73" max="76" width="9.1640625" style="218" hidden="1" customWidth="1" outlineLevel="1"/>
    <col min="77" max="77" width="9.1640625" style="218" collapsed="1"/>
    <col min="78" max="81" width="9.1640625" style="218" hidden="1" customWidth="1" outlineLevel="1"/>
    <col min="82" max="82" width="9.1640625" style="218" collapsed="1"/>
    <col min="83" max="83" width="1" style="208" customWidth="1"/>
    <col min="84" max="84" width="37.33203125" style="217" hidden="1" customWidth="1"/>
    <col min="85" max="16384" width="9.1640625" style="218"/>
  </cols>
  <sheetData>
    <row r="2" spans="1:84" s="197" customFormat="1" x14ac:dyDescent="0.15">
      <c r="A2" s="2"/>
      <c r="B2" s="192" t="s">
        <v>1</v>
      </c>
      <c r="C2" s="193"/>
      <c r="D2" s="193"/>
      <c r="E2" s="193"/>
      <c r="F2" s="194"/>
      <c r="G2" s="195"/>
      <c r="H2" s="194"/>
      <c r="I2" s="193"/>
      <c r="J2" s="193"/>
      <c r="K2" s="194"/>
      <c r="L2" s="195"/>
      <c r="M2" s="194"/>
      <c r="N2" s="193"/>
      <c r="O2" s="193"/>
      <c r="P2" s="194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6"/>
      <c r="AS2" s="195"/>
      <c r="AT2" s="195"/>
      <c r="AU2" s="195"/>
      <c r="AV2" s="195"/>
      <c r="AW2" s="195"/>
      <c r="AX2" s="195"/>
      <c r="CE2" s="2"/>
      <c r="CF2" s="198"/>
    </row>
    <row r="3" spans="1:84" s="197" customFormat="1" x14ac:dyDescent="0.15">
      <c r="A3" s="2"/>
      <c r="B3" s="192" t="s">
        <v>121</v>
      </c>
      <c r="C3" s="193"/>
      <c r="D3" s="193"/>
      <c r="E3" s="193"/>
      <c r="F3" s="194"/>
      <c r="G3" s="195"/>
      <c r="H3" s="194"/>
      <c r="I3" s="193"/>
      <c r="J3" s="193"/>
      <c r="K3" s="194"/>
      <c r="L3" s="195"/>
      <c r="M3" s="194"/>
      <c r="N3" s="193"/>
      <c r="O3" s="193"/>
      <c r="P3" s="194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9"/>
      <c r="AJ3" s="195"/>
      <c r="AK3" s="195"/>
      <c r="AL3" s="195"/>
      <c r="AM3" s="195"/>
      <c r="AN3" s="195"/>
      <c r="AO3" s="195"/>
      <c r="AP3" s="195"/>
      <c r="AQ3" s="195"/>
      <c r="AR3" s="196"/>
      <c r="AS3" s="195"/>
      <c r="AT3" s="195"/>
      <c r="AU3" s="195"/>
      <c r="AV3" s="195"/>
      <c r="AW3" s="195"/>
      <c r="AX3" s="195"/>
      <c r="BE3" s="200"/>
      <c r="BO3" s="201"/>
      <c r="BY3" s="201"/>
      <c r="CE3" s="2"/>
      <c r="CF3" s="198"/>
    </row>
    <row r="4" spans="1:84" s="197" customFormat="1" x14ac:dyDescent="0.15">
      <c r="A4" s="2"/>
      <c r="B4" s="198"/>
      <c r="C4" s="193"/>
      <c r="D4" s="193"/>
      <c r="E4" s="193"/>
      <c r="F4" s="194"/>
      <c r="G4" s="202"/>
      <c r="H4" s="194"/>
      <c r="I4" s="193"/>
      <c r="J4" s="193"/>
      <c r="K4" s="194"/>
      <c r="L4" s="203"/>
      <c r="M4" s="194"/>
      <c r="N4" s="193"/>
      <c r="O4" s="193"/>
      <c r="P4" s="194"/>
      <c r="Q4" s="203"/>
      <c r="R4" s="203"/>
      <c r="S4" s="203"/>
      <c r="T4" s="203"/>
      <c r="U4" s="203"/>
      <c r="V4" s="203"/>
      <c r="W4" s="203"/>
      <c r="Y4" s="203"/>
      <c r="Z4" s="203"/>
      <c r="AA4" s="203"/>
      <c r="AB4" s="203"/>
      <c r="AC4" s="203"/>
      <c r="AD4" s="203"/>
      <c r="AE4" s="203"/>
      <c r="AF4" s="203"/>
      <c r="AG4" s="204"/>
      <c r="AH4" s="204"/>
      <c r="AI4" s="204"/>
      <c r="AJ4" s="204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5"/>
      <c r="AY4" s="203"/>
      <c r="AZ4" s="203"/>
      <c r="BA4" s="203"/>
      <c r="BB4" s="203"/>
      <c r="BC4" s="203"/>
      <c r="BD4" s="203"/>
      <c r="BE4" s="204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"/>
      <c r="CF4" s="198"/>
    </row>
    <row r="5" spans="1:84" s="197" customFormat="1" x14ac:dyDescent="0.15">
      <c r="A5" s="2"/>
      <c r="B5" s="198"/>
      <c r="C5" s="193"/>
      <c r="D5" s="193"/>
      <c r="E5" s="193"/>
      <c r="F5" s="193"/>
      <c r="G5" s="203"/>
      <c r="H5" s="193"/>
      <c r="I5" s="193"/>
      <c r="J5" s="193"/>
      <c r="K5" s="193"/>
      <c r="L5" s="203"/>
      <c r="M5" s="193"/>
      <c r="N5" s="193"/>
      <c r="O5" s="193"/>
      <c r="P5" s="193"/>
      <c r="Q5" s="203" t="s">
        <v>39</v>
      </c>
      <c r="R5" s="203"/>
      <c r="S5" s="203"/>
      <c r="T5" s="203"/>
      <c r="U5" s="203"/>
      <c r="V5" s="203" t="s">
        <v>39</v>
      </c>
      <c r="W5" s="203"/>
      <c r="X5" s="203"/>
      <c r="Y5" s="203"/>
      <c r="Z5" s="203"/>
      <c r="AA5" s="203" t="s">
        <v>39</v>
      </c>
      <c r="AB5" s="203"/>
      <c r="AC5" s="203"/>
      <c r="AD5" s="203"/>
      <c r="AE5" s="203"/>
      <c r="AF5" s="203" t="s">
        <v>39</v>
      </c>
      <c r="AG5" s="203" t="s">
        <v>39</v>
      </c>
      <c r="AH5" s="203" t="s">
        <v>39</v>
      </c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5"/>
      <c r="AT5" s="203"/>
      <c r="AU5" s="206"/>
      <c r="AV5" s="203"/>
      <c r="AW5" s="203"/>
      <c r="AX5" s="203"/>
      <c r="AY5" s="203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"/>
      <c r="CF5" s="198"/>
    </row>
    <row r="6" spans="1:84" x14ac:dyDescent="0.15">
      <c r="B6" s="209"/>
      <c r="C6" s="210"/>
      <c r="D6" s="210"/>
      <c r="E6" s="210"/>
      <c r="F6" s="211"/>
      <c r="G6" s="212"/>
      <c r="H6" s="210"/>
      <c r="I6" s="210"/>
      <c r="J6" s="210"/>
      <c r="K6" s="211"/>
      <c r="L6" s="212"/>
      <c r="M6" s="210"/>
      <c r="N6" s="210"/>
      <c r="O6" s="210"/>
      <c r="P6" s="211"/>
      <c r="Q6" s="212"/>
      <c r="R6" s="213"/>
      <c r="S6" s="210"/>
      <c r="T6" s="210"/>
      <c r="U6" s="211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5"/>
      <c r="BA6" s="215"/>
      <c r="BB6" s="216"/>
      <c r="BC6" s="215"/>
      <c r="BD6" s="215"/>
      <c r="BE6" s="215"/>
      <c r="BF6" s="215"/>
      <c r="BG6" s="215"/>
      <c r="BH6" s="215"/>
      <c r="BI6" s="215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</row>
    <row r="7" spans="1:84" x14ac:dyDescent="0.15">
      <c r="B7" s="22" t="s">
        <v>5</v>
      </c>
      <c r="C7" s="23">
        <v>38412</v>
      </c>
      <c r="D7" s="23">
        <v>38504</v>
      </c>
      <c r="E7" s="23">
        <v>38596</v>
      </c>
      <c r="F7" s="23">
        <v>38687</v>
      </c>
      <c r="G7" s="24"/>
      <c r="H7" s="23">
        <v>38777</v>
      </c>
      <c r="I7" s="23">
        <v>38869</v>
      </c>
      <c r="J7" s="23">
        <v>38961</v>
      </c>
      <c r="K7" s="23">
        <v>39052</v>
      </c>
      <c r="L7" s="24"/>
      <c r="M7" s="23">
        <v>39142</v>
      </c>
      <c r="N7" s="23">
        <v>39234</v>
      </c>
      <c r="O7" s="23">
        <v>39326</v>
      </c>
      <c r="P7" s="23">
        <v>39417</v>
      </c>
      <c r="Q7" s="24"/>
      <c r="R7" s="23">
        <v>39508</v>
      </c>
      <c r="S7" s="23">
        <v>39600</v>
      </c>
      <c r="T7" s="23">
        <v>39692</v>
      </c>
      <c r="U7" s="23">
        <v>39783</v>
      </c>
      <c r="V7" s="24"/>
      <c r="W7" s="23">
        <v>39873</v>
      </c>
      <c r="X7" s="23">
        <v>39965</v>
      </c>
      <c r="Y7" s="23">
        <v>40057</v>
      </c>
      <c r="Z7" s="23">
        <v>40148</v>
      </c>
      <c r="AA7" s="24"/>
      <c r="AB7" s="23">
        <v>40238</v>
      </c>
      <c r="AC7" s="23">
        <v>40330</v>
      </c>
      <c r="AD7" s="23">
        <v>40422</v>
      </c>
      <c r="AE7" s="23">
        <v>40513</v>
      </c>
      <c r="AF7" s="24"/>
      <c r="AG7" s="23">
        <v>40603</v>
      </c>
      <c r="AH7" s="23">
        <v>40695</v>
      </c>
      <c r="AI7" s="23">
        <v>40787</v>
      </c>
      <c r="AJ7" s="23">
        <v>40878</v>
      </c>
      <c r="AK7" s="24"/>
      <c r="AL7" s="23">
        <v>40969</v>
      </c>
      <c r="AM7" s="23">
        <v>41061</v>
      </c>
      <c r="AN7" s="23">
        <v>41153</v>
      </c>
      <c r="AO7" s="23">
        <v>41244</v>
      </c>
      <c r="AP7" s="24"/>
      <c r="AQ7" s="23">
        <v>41334</v>
      </c>
      <c r="AR7" s="23">
        <v>41426</v>
      </c>
      <c r="AS7" s="23">
        <v>41518</v>
      </c>
      <c r="AT7" s="23">
        <v>41609</v>
      </c>
      <c r="AU7" s="24"/>
      <c r="AV7" s="23">
        <v>41699</v>
      </c>
      <c r="AW7" s="23">
        <v>41791</v>
      </c>
      <c r="AX7" s="23">
        <v>41883</v>
      </c>
      <c r="AY7" s="23">
        <v>41974</v>
      </c>
      <c r="AZ7" s="219">
        <v>2014</v>
      </c>
      <c r="BA7" s="23">
        <v>42064</v>
      </c>
      <c r="BB7" s="23">
        <v>42156</v>
      </c>
      <c r="BC7" s="23">
        <v>42248</v>
      </c>
      <c r="BD7" s="23">
        <v>42339</v>
      </c>
      <c r="BE7" s="219">
        <v>2015</v>
      </c>
      <c r="BF7" s="23">
        <v>42430</v>
      </c>
      <c r="BG7" s="23">
        <v>42522</v>
      </c>
      <c r="BH7" s="23">
        <v>42614</v>
      </c>
      <c r="BI7" s="23">
        <v>42705</v>
      </c>
      <c r="BJ7" s="219">
        <v>2016</v>
      </c>
      <c r="BK7" s="219">
        <v>42066</v>
      </c>
      <c r="BL7" s="219">
        <v>42158</v>
      </c>
      <c r="BM7" s="219">
        <v>42250</v>
      </c>
      <c r="BN7" s="219">
        <v>42341</v>
      </c>
      <c r="BO7" s="219">
        <v>2017</v>
      </c>
      <c r="BP7" s="219">
        <v>42067</v>
      </c>
      <c r="BQ7" s="219">
        <v>42159</v>
      </c>
      <c r="BR7" s="219">
        <v>42251</v>
      </c>
      <c r="BS7" s="219">
        <v>42342</v>
      </c>
      <c r="BT7" s="219">
        <v>2018</v>
      </c>
      <c r="BU7" s="219">
        <v>42068</v>
      </c>
      <c r="BV7" s="219">
        <v>42160</v>
      </c>
      <c r="BW7" s="219">
        <v>42252</v>
      </c>
      <c r="BX7" s="219">
        <v>42343</v>
      </c>
      <c r="BY7" s="219">
        <v>2019</v>
      </c>
      <c r="BZ7" s="219">
        <v>42069</v>
      </c>
      <c r="CA7" s="219">
        <v>42161</v>
      </c>
      <c r="CB7" s="219">
        <v>42253</v>
      </c>
      <c r="CC7" s="219">
        <v>42344</v>
      </c>
      <c r="CD7" s="219">
        <v>2020</v>
      </c>
      <c r="CF7" s="27"/>
    </row>
    <row r="8" spans="1:84" x14ac:dyDescent="0.15">
      <c r="B8" s="220" t="s">
        <v>6</v>
      </c>
      <c r="C8" s="221" t="s">
        <v>7</v>
      </c>
      <c r="D8" s="221" t="s">
        <v>8</v>
      </c>
      <c r="E8" s="221" t="s">
        <v>9</v>
      </c>
      <c r="F8" s="221" t="s">
        <v>10</v>
      </c>
      <c r="G8" s="222" t="s">
        <v>11</v>
      </c>
      <c r="H8" s="221" t="s">
        <v>7</v>
      </c>
      <c r="I8" s="221" t="s">
        <v>8</v>
      </c>
      <c r="J8" s="221" t="s">
        <v>9</v>
      </c>
      <c r="K8" s="221" t="s">
        <v>10</v>
      </c>
      <c r="L8" s="222" t="s">
        <v>12</v>
      </c>
      <c r="M8" s="221" t="s">
        <v>7</v>
      </c>
      <c r="N8" s="221" t="s">
        <v>8</v>
      </c>
      <c r="O8" s="221" t="s">
        <v>9</v>
      </c>
      <c r="P8" s="221" t="s">
        <v>10</v>
      </c>
      <c r="Q8" s="222" t="s">
        <v>13</v>
      </c>
      <c r="R8" s="221" t="s">
        <v>7</v>
      </c>
      <c r="S8" s="221" t="s">
        <v>8</v>
      </c>
      <c r="T8" s="221" t="s">
        <v>9</v>
      </c>
      <c r="U8" s="221" t="s">
        <v>10</v>
      </c>
      <c r="V8" s="222" t="s">
        <v>14</v>
      </c>
      <c r="W8" s="221" t="s">
        <v>7</v>
      </c>
      <c r="X8" s="221" t="s">
        <v>8</v>
      </c>
      <c r="Y8" s="221" t="s">
        <v>9</v>
      </c>
      <c r="Z8" s="221" t="s">
        <v>10</v>
      </c>
      <c r="AA8" s="222" t="s">
        <v>122</v>
      </c>
      <c r="AB8" s="221" t="s">
        <v>7</v>
      </c>
      <c r="AC8" s="221" t="s">
        <v>8</v>
      </c>
      <c r="AD8" s="221" t="s">
        <v>9</v>
      </c>
      <c r="AE8" s="221" t="s">
        <v>10</v>
      </c>
      <c r="AF8" s="222" t="s">
        <v>16</v>
      </c>
      <c r="AG8" s="221" t="s">
        <v>7</v>
      </c>
      <c r="AH8" s="221" t="s">
        <v>8</v>
      </c>
      <c r="AI8" s="221" t="s">
        <v>9</v>
      </c>
      <c r="AJ8" s="221" t="s">
        <v>10</v>
      </c>
      <c r="AK8" s="222" t="s">
        <v>17</v>
      </c>
      <c r="AL8" s="221" t="s">
        <v>7</v>
      </c>
      <c r="AM8" s="221" t="s">
        <v>8</v>
      </c>
      <c r="AN8" s="221" t="s">
        <v>9</v>
      </c>
      <c r="AO8" s="221" t="s">
        <v>10</v>
      </c>
      <c r="AP8" s="222" t="s">
        <v>18</v>
      </c>
      <c r="AQ8" s="221" t="s">
        <v>7</v>
      </c>
      <c r="AR8" s="221" t="s">
        <v>8</v>
      </c>
      <c r="AS8" s="221" t="s">
        <v>9</v>
      </c>
      <c r="AT8" s="221" t="s">
        <v>10</v>
      </c>
      <c r="AU8" s="222" t="s">
        <v>19</v>
      </c>
      <c r="AV8" s="221" t="s">
        <v>7</v>
      </c>
      <c r="AW8" s="221" t="s">
        <v>8</v>
      </c>
      <c r="AX8" s="221" t="s">
        <v>9</v>
      </c>
      <c r="AY8" s="221" t="s">
        <v>10</v>
      </c>
      <c r="AZ8" s="223" t="s">
        <v>20</v>
      </c>
      <c r="BA8" s="221" t="s">
        <v>7</v>
      </c>
      <c r="BB8" s="221" t="s">
        <v>8</v>
      </c>
      <c r="BC8" s="221" t="s">
        <v>9</v>
      </c>
      <c r="BD8" s="221" t="s">
        <v>10</v>
      </c>
      <c r="BE8" s="223" t="s">
        <v>21</v>
      </c>
      <c r="BF8" s="221" t="s">
        <v>22</v>
      </c>
      <c r="BG8" s="221" t="s">
        <v>23</v>
      </c>
      <c r="BH8" s="221" t="s">
        <v>24</v>
      </c>
      <c r="BI8" s="221" t="s">
        <v>25</v>
      </c>
      <c r="BJ8" s="223" t="s">
        <v>26</v>
      </c>
      <c r="BK8" s="221" t="s">
        <v>22</v>
      </c>
      <c r="BL8" s="221" t="s">
        <v>23</v>
      </c>
      <c r="BM8" s="221" t="s">
        <v>24</v>
      </c>
      <c r="BN8" s="221" t="s">
        <v>25</v>
      </c>
      <c r="BO8" s="223" t="s">
        <v>27</v>
      </c>
      <c r="BP8" s="221" t="s">
        <v>22</v>
      </c>
      <c r="BQ8" s="221" t="s">
        <v>23</v>
      </c>
      <c r="BR8" s="221" t="s">
        <v>24</v>
      </c>
      <c r="BS8" s="221" t="s">
        <v>25</v>
      </c>
      <c r="BT8" s="223" t="s">
        <v>28</v>
      </c>
      <c r="BU8" s="221" t="s">
        <v>22</v>
      </c>
      <c r="BV8" s="221" t="s">
        <v>23</v>
      </c>
      <c r="BW8" s="221" t="s">
        <v>24</v>
      </c>
      <c r="BX8" s="221" t="s">
        <v>25</v>
      </c>
      <c r="BY8" s="223" t="s">
        <v>29</v>
      </c>
      <c r="BZ8" s="221" t="s">
        <v>22</v>
      </c>
      <c r="CA8" s="221" t="s">
        <v>23</v>
      </c>
      <c r="CB8" s="221" t="s">
        <v>24</v>
      </c>
      <c r="CC8" s="221" t="s">
        <v>25</v>
      </c>
      <c r="CD8" s="223" t="s">
        <v>30</v>
      </c>
      <c r="CF8" s="27" t="s">
        <v>31</v>
      </c>
    </row>
    <row r="9" spans="1:84" x14ac:dyDescent="0.15">
      <c r="B9" s="225" t="s">
        <v>123</v>
      </c>
      <c r="C9" s="226"/>
      <c r="D9" s="226"/>
      <c r="E9" s="226"/>
      <c r="F9" s="226"/>
      <c r="G9" s="227"/>
      <c r="H9" s="226"/>
      <c r="I9" s="226"/>
      <c r="J9" s="226"/>
      <c r="K9" s="226"/>
      <c r="L9" s="227"/>
      <c r="M9" s="226"/>
      <c r="N9" s="226"/>
      <c r="O9" s="226"/>
      <c r="P9" s="226"/>
      <c r="Q9" s="227"/>
      <c r="R9" s="226"/>
      <c r="S9" s="226"/>
      <c r="T9" s="226"/>
      <c r="U9" s="226"/>
      <c r="V9" s="227"/>
      <c r="W9" s="226"/>
      <c r="X9" s="226"/>
      <c r="Y9" s="226"/>
      <c r="Z9" s="226"/>
      <c r="AA9" s="227"/>
      <c r="AB9" s="226"/>
      <c r="AC9" s="226"/>
      <c r="AD9" s="226"/>
      <c r="AE9" s="226"/>
      <c r="AF9" s="227"/>
      <c r="AG9" s="226"/>
      <c r="AH9" s="226"/>
      <c r="AI9" s="226"/>
      <c r="AJ9" s="226"/>
      <c r="AK9" s="227"/>
      <c r="AL9" s="226"/>
      <c r="AM9" s="226"/>
      <c r="AN9" s="226"/>
      <c r="AO9" s="226"/>
      <c r="AP9" s="227"/>
      <c r="AQ9" s="226"/>
      <c r="AR9" s="226"/>
      <c r="AS9" s="226"/>
      <c r="AT9" s="226"/>
      <c r="AU9" s="227"/>
      <c r="AV9" s="226"/>
      <c r="AW9" s="226"/>
      <c r="AX9" s="226"/>
      <c r="AY9" s="226"/>
      <c r="AZ9" s="227"/>
      <c r="BA9" s="226"/>
      <c r="BB9" s="226"/>
      <c r="BC9" s="226"/>
      <c r="BD9" s="226"/>
      <c r="BE9" s="227"/>
      <c r="BF9" s="228"/>
      <c r="BG9" s="228"/>
      <c r="BH9" s="228"/>
      <c r="BI9" s="228"/>
      <c r="BJ9" s="227"/>
      <c r="BK9" s="228"/>
      <c r="BL9" s="228"/>
      <c r="BM9" s="228"/>
      <c r="BN9" s="228"/>
      <c r="BO9" s="227"/>
      <c r="BP9" s="228"/>
      <c r="BQ9" s="228"/>
      <c r="BR9" s="228"/>
      <c r="BS9" s="228"/>
      <c r="BT9" s="227"/>
      <c r="BU9" s="228"/>
      <c r="BV9" s="228"/>
      <c r="BW9" s="228"/>
      <c r="BX9" s="228"/>
      <c r="BY9" s="227"/>
      <c r="BZ9" s="228"/>
      <c r="CA9" s="228"/>
      <c r="CB9" s="228"/>
      <c r="CC9" s="228"/>
      <c r="CD9" s="227"/>
      <c r="CF9" s="229"/>
    </row>
    <row r="10" spans="1:84" s="198" customFormat="1" outlineLevel="1" x14ac:dyDescent="0.15">
      <c r="A10" s="12"/>
      <c r="B10" s="230" t="s">
        <v>124</v>
      </c>
      <c r="C10" s="231"/>
      <c r="D10" s="231"/>
      <c r="E10" s="231"/>
      <c r="F10" s="231"/>
      <c r="G10" s="232"/>
      <c r="H10" s="231"/>
      <c r="I10" s="231"/>
      <c r="J10" s="231"/>
      <c r="K10" s="231"/>
      <c r="L10" s="232"/>
      <c r="M10" s="231"/>
      <c r="N10" s="231"/>
      <c r="O10" s="231"/>
      <c r="P10" s="231"/>
      <c r="Q10" s="232"/>
      <c r="R10" s="231"/>
      <c r="S10" s="231"/>
      <c r="T10" s="231"/>
      <c r="U10" s="231"/>
      <c r="V10" s="233"/>
      <c r="W10" s="234"/>
      <c r="X10" s="234"/>
      <c r="Y10" s="234"/>
      <c r="Z10" s="234"/>
      <c r="AA10" s="233"/>
      <c r="AB10" s="234"/>
      <c r="AC10" s="234"/>
      <c r="AD10" s="234"/>
      <c r="AE10" s="234"/>
      <c r="AF10" s="233"/>
      <c r="AG10" s="234"/>
      <c r="AH10" s="234"/>
      <c r="AI10" s="234"/>
      <c r="AJ10" s="234"/>
      <c r="AK10" s="233"/>
      <c r="AL10" s="234"/>
      <c r="AM10" s="234"/>
      <c r="AN10" s="234"/>
      <c r="AO10" s="234"/>
      <c r="AP10" s="233"/>
      <c r="AQ10" s="231"/>
      <c r="AR10" s="231"/>
      <c r="AS10" s="231"/>
      <c r="AT10" s="231"/>
      <c r="AU10" s="235"/>
      <c r="AV10" s="236"/>
      <c r="AW10" s="236"/>
      <c r="AX10" s="236"/>
      <c r="AY10" s="236"/>
      <c r="AZ10" s="235"/>
      <c r="BA10" s="236"/>
      <c r="BB10" s="236"/>
      <c r="BC10" s="236"/>
      <c r="BD10" s="236"/>
      <c r="BE10" s="235"/>
      <c r="BF10" s="237"/>
      <c r="BG10" s="237"/>
      <c r="BH10" s="237"/>
      <c r="BI10" s="237"/>
      <c r="BJ10" s="235"/>
      <c r="BK10" s="237"/>
      <c r="BL10" s="237"/>
      <c r="BM10" s="237"/>
      <c r="BN10" s="237"/>
      <c r="BO10" s="235"/>
      <c r="BP10" s="237"/>
      <c r="BQ10" s="237"/>
      <c r="BR10" s="237"/>
      <c r="BS10" s="237"/>
      <c r="BT10" s="235"/>
      <c r="BU10" s="237"/>
      <c r="BV10" s="237"/>
      <c r="BW10" s="237"/>
      <c r="BX10" s="237"/>
      <c r="BY10" s="235"/>
      <c r="BZ10" s="237"/>
      <c r="CA10" s="237"/>
      <c r="CB10" s="237"/>
      <c r="CC10" s="237"/>
      <c r="CD10" s="235"/>
      <c r="CE10" s="12"/>
      <c r="CF10" s="229"/>
    </row>
    <row r="11" spans="1:84" s="243" customFormat="1" outlineLevel="1" x14ac:dyDescent="0.15">
      <c r="A11" s="157"/>
      <c r="B11" s="238" t="s">
        <v>125</v>
      </c>
      <c r="C11" s="236"/>
      <c r="D11" s="236"/>
      <c r="E11" s="236"/>
      <c r="F11" s="236"/>
      <c r="G11" s="235"/>
      <c r="H11" s="236"/>
      <c r="I11" s="236"/>
      <c r="J11" s="236"/>
      <c r="K11" s="236"/>
      <c r="L11" s="235"/>
      <c r="M11" s="236"/>
      <c r="N11" s="236"/>
      <c r="O11" s="236"/>
      <c r="P11" s="236"/>
      <c r="Q11" s="235"/>
      <c r="R11" s="236"/>
      <c r="S11" s="236"/>
      <c r="T11" s="236"/>
      <c r="U11" s="236"/>
      <c r="V11" s="235"/>
      <c r="W11" s="236"/>
      <c r="X11" s="236"/>
      <c r="Y11" s="236"/>
      <c r="Z11" s="236"/>
      <c r="AA11" s="235"/>
      <c r="AB11" s="236"/>
      <c r="AC11" s="236"/>
      <c r="AD11" s="236"/>
      <c r="AE11" s="236"/>
      <c r="AF11" s="235"/>
      <c r="AG11" s="236"/>
      <c r="AH11" s="236"/>
      <c r="AI11" s="236"/>
      <c r="AJ11" s="236"/>
      <c r="AK11" s="235"/>
      <c r="AL11" s="236"/>
      <c r="AM11" s="236"/>
      <c r="AN11" s="236"/>
      <c r="AO11" s="236">
        <v>18</v>
      </c>
      <c r="AP11" s="235">
        <f>SUM(AL11:AO11)</f>
        <v>18</v>
      </c>
      <c r="AQ11" s="239">
        <v>60</v>
      </c>
      <c r="AR11" s="239">
        <v>55</v>
      </c>
      <c r="AS11" s="239">
        <v>50</v>
      </c>
      <c r="AT11" s="239">
        <v>50</v>
      </c>
      <c r="AU11" s="235">
        <f>SUM(AQ11:AT11)</f>
        <v>215</v>
      </c>
      <c r="AV11" s="239">
        <v>51</v>
      </c>
      <c r="AW11" s="239">
        <v>43</v>
      </c>
      <c r="AX11" s="239">
        <v>53</v>
      </c>
      <c r="AY11" s="239">
        <v>61</v>
      </c>
      <c r="AZ11" s="235">
        <f>SUM(AV11:AY11)</f>
        <v>208</v>
      </c>
      <c r="BA11" s="239">
        <v>57</v>
      </c>
      <c r="BB11" s="239">
        <v>65</v>
      </c>
      <c r="BC11" s="239">
        <v>66</v>
      </c>
      <c r="BD11" s="239">
        <v>26</v>
      </c>
      <c r="BE11" s="235">
        <f>SUM(BA11:BD11)</f>
        <v>214</v>
      </c>
      <c r="BF11" s="240">
        <v>20</v>
      </c>
      <c r="BG11" s="240">
        <v>48</v>
      </c>
      <c r="BH11" s="240">
        <v>48</v>
      </c>
      <c r="BI11" s="240">
        <v>50</v>
      </c>
      <c r="BJ11" s="235">
        <f>SUM(BF11:BI11)</f>
        <v>166</v>
      </c>
      <c r="BK11" s="241"/>
      <c r="BL11" s="241"/>
      <c r="BM11" s="241"/>
      <c r="BN11" s="241"/>
      <c r="BO11" s="235">
        <f>BJ11*(1+BO12)</f>
        <v>175.96</v>
      </c>
      <c r="BP11" s="241"/>
      <c r="BQ11" s="241"/>
      <c r="BR11" s="241"/>
      <c r="BS11" s="241"/>
      <c r="BT11" s="235">
        <f>BO11*(1+BT12)</f>
        <v>87.98</v>
      </c>
      <c r="BU11" s="241"/>
      <c r="BV11" s="241"/>
      <c r="BW11" s="241"/>
      <c r="BX11" s="241"/>
      <c r="BY11" s="235">
        <f>BT11*(1+BY12)</f>
        <v>43.99</v>
      </c>
      <c r="BZ11" s="241"/>
      <c r="CA11" s="241"/>
      <c r="CB11" s="241"/>
      <c r="CC11" s="241"/>
      <c r="CD11" s="235">
        <f>BY11*(1+CD12)</f>
        <v>21.995000000000001</v>
      </c>
      <c r="CE11" s="28"/>
      <c r="CF11" s="242"/>
    </row>
    <row r="12" spans="1:84" s="243" customFormat="1" outlineLevel="1" x14ac:dyDescent="0.15">
      <c r="A12" s="157"/>
      <c r="B12" s="245" t="s">
        <v>126</v>
      </c>
      <c r="C12" s="236"/>
      <c r="D12" s="236"/>
      <c r="E12" s="236"/>
      <c r="F12" s="236"/>
      <c r="G12" s="235"/>
      <c r="H12" s="236"/>
      <c r="I12" s="236"/>
      <c r="J12" s="236"/>
      <c r="K12" s="236"/>
      <c r="L12" s="235"/>
      <c r="M12" s="236"/>
      <c r="N12" s="236"/>
      <c r="O12" s="236"/>
      <c r="P12" s="236"/>
      <c r="Q12" s="235"/>
      <c r="R12" s="236"/>
      <c r="S12" s="236"/>
      <c r="T12" s="236"/>
      <c r="U12" s="236"/>
      <c r="V12" s="235"/>
      <c r="W12" s="236"/>
      <c r="X12" s="236"/>
      <c r="Y12" s="236"/>
      <c r="Z12" s="236"/>
      <c r="AA12" s="235"/>
      <c r="AB12" s="236"/>
      <c r="AC12" s="236"/>
      <c r="AD12" s="236"/>
      <c r="AE12" s="236"/>
      <c r="AF12" s="235"/>
      <c r="AG12" s="236"/>
      <c r="AH12" s="236"/>
      <c r="AI12" s="236"/>
      <c r="AJ12" s="236"/>
      <c r="AK12" s="235"/>
      <c r="AL12" s="236"/>
      <c r="AM12" s="236"/>
      <c r="AN12" s="236"/>
      <c r="AO12" s="236"/>
      <c r="AP12" s="235"/>
      <c r="AQ12" s="236"/>
      <c r="AR12" s="236"/>
      <c r="AS12" s="236"/>
      <c r="AT12" s="236"/>
      <c r="AU12" s="246">
        <f t="shared" ref="AU12" si="0">AU11/AP11-1</f>
        <v>10.944444444444445</v>
      </c>
      <c r="AV12" s="247">
        <f>AV11/AQ11-1</f>
        <v>-0.15000000000000002</v>
      </c>
      <c r="AW12" s="247">
        <f>AW11/AR11-1</f>
        <v>-0.21818181818181814</v>
      </c>
      <c r="AX12" s="247">
        <f>AX11/AS11-1</f>
        <v>6.0000000000000053E-2</v>
      </c>
      <c r="AY12" s="247">
        <f>AY11/AT11-1</f>
        <v>0.21999999999999997</v>
      </c>
      <c r="AZ12" s="246">
        <f t="shared" ref="AZ12:BJ14" si="1">AZ11/AU11-1</f>
        <v>-3.2558139534883734E-2</v>
      </c>
      <c r="BA12" s="247">
        <f t="shared" si="1"/>
        <v>0.11764705882352944</v>
      </c>
      <c r="BB12" s="247">
        <f t="shared" si="1"/>
        <v>0.51162790697674421</v>
      </c>
      <c r="BC12" s="247">
        <f t="shared" si="1"/>
        <v>0.24528301886792447</v>
      </c>
      <c r="BD12" s="247">
        <f t="shared" si="1"/>
        <v>-0.57377049180327866</v>
      </c>
      <c r="BE12" s="246">
        <f t="shared" si="1"/>
        <v>2.8846153846153744E-2</v>
      </c>
      <c r="BF12" s="247">
        <f t="shared" si="1"/>
        <v>-0.64912280701754388</v>
      </c>
      <c r="BG12" s="247">
        <f t="shared" si="1"/>
        <v>-0.2615384615384615</v>
      </c>
      <c r="BH12" s="247">
        <f t="shared" si="1"/>
        <v>-0.27272727272727271</v>
      </c>
      <c r="BI12" s="247">
        <f t="shared" si="1"/>
        <v>0.92307692307692313</v>
      </c>
      <c r="BJ12" s="246">
        <f t="shared" si="1"/>
        <v>-0.22429906542056077</v>
      </c>
      <c r="BK12" s="237"/>
      <c r="BL12" s="237"/>
      <c r="BM12" s="237"/>
      <c r="BN12" s="237"/>
      <c r="BO12" s="248">
        <v>0.06</v>
      </c>
      <c r="BP12" s="237"/>
      <c r="BQ12" s="237"/>
      <c r="BR12" s="237"/>
      <c r="BS12" s="237"/>
      <c r="BT12" s="248">
        <v>-0.5</v>
      </c>
      <c r="BU12" s="237"/>
      <c r="BV12" s="237"/>
      <c r="BW12" s="237"/>
      <c r="BX12" s="237"/>
      <c r="BY12" s="248">
        <v>-0.5</v>
      </c>
      <c r="BZ12" s="237"/>
      <c r="CA12" s="237"/>
      <c r="CB12" s="237"/>
      <c r="CC12" s="237"/>
      <c r="CD12" s="248">
        <v>-0.5</v>
      </c>
      <c r="CE12" s="28"/>
      <c r="CF12" s="242"/>
    </row>
    <row r="13" spans="1:84" outlineLevel="1" x14ac:dyDescent="0.15">
      <c r="B13" s="238" t="s">
        <v>127</v>
      </c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35"/>
      <c r="AG13" s="249"/>
      <c r="AH13" s="249"/>
      <c r="AI13" s="249"/>
      <c r="AJ13" s="249"/>
      <c r="AK13" s="235"/>
      <c r="AL13" s="249"/>
      <c r="AM13" s="249"/>
      <c r="AN13" s="249"/>
      <c r="AO13" s="249"/>
      <c r="AP13" s="235"/>
      <c r="AQ13" s="249"/>
      <c r="AR13" s="249"/>
      <c r="AS13" s="249"/>
      <c r="AT13" s="249"/>
      <c r="AU13" s="235"/>
      <c r="AV13" s="239">
        <v>26</v>
      </c>
      <c r="AW13" s="239">
        <v>25</v>
      </c>
      <c r="AX13" s="239">
        <v>22</v>
      </c>
      <c r="AY13" s="239">
        <v>31</v>
      </c>
      <c r="AZ13" s="235">
        <f>SUM(AV13:AY13)</f>
        <v>104</v>
      </c>
      <c r="BA13" s="239">
        <v>26</v>
      </c>
      <c r="BB13" s="239">
        <v>31</v>
      </c>
      <c r="BC13" s="239">
        <v>32</v>
      </c>
      <c r="BD13" s="239">
        <v>25</v>
      </c>
      <c r="BE13" s="235">
        <f>SUM(BA13:BD13)</f>
        <v>114</v>
      </c>
      <c r="BF13" s="240">
        <v>25</v>
      </c>
      <c r="BG13" s="240">
        <v>27</v>
      </c>
      <c r="BH13" s="240">
        <v>28</v>
      </c>
      <c r="BI13" s="240">
        <v>25</v>
      </c>
      <c r="BJ13" s="235">
        <f>SUM(BF13:BI13)</f>
        <v>105</v>
      </c>
      <c r="BK13" s="241"/>
      <c r="BL13" s="241"/>
      <c r="BM13" s="241"/>
      <c r="BN13" s="241"/>
      <c r="BO13" s="235">
        <f>BJ13*(1+BO14)</f>
        <v>10.499999999999998</v>
      </c>
      <c r="BP13" s="241"/>
      <c r="BQ13" s="241"/>
      <c r="BR13" s="241"/>
      <c r="BS13" s="241"/>
      <c r="BT13" s="235">
        <f>BO13*(1+BT14)</f>
        <v>2.6249999999999996</v>
      </c>
      <c r="BU13" s="241"/>
      <c r="BV13" s="241"/>
      <c r="BW13" s="241"/>
      <c r="BX13" s="241"/>
      <c r="BY13" s="235">
        <f>BT13*(1+BY14)</f>
        <v>1.9687499999999996</v>
      </c>
      <c r="BZ13" s="241"/>
      <c r="CA13" s="241"/>
      <c r="CB13" s="241"/>
      <c r="CC13" s="241"/>
      <c r="CD13" s="235">
        <f>BY13*(1+CD14)</f>
        <v>1.4765624999999996</v>
      </c>
      <c r="CF13" s="250"/>
    </row>
    <row r="14" spans="1:84" outlineLevel="1" x14ac:dyDescent="0.15">
      <c r="B14" s="245" t="s">
        <v>126</v>
      </c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35"/>
      <c r="AG14" s="249"/>
      <c r="AH14" s="249"/>
      <c r="AI14" s="249"/>
      <c r="AJ14" s="249"/>
      <c r="AK14" s="235"/>
      <c r="AL14" s="249"/>
      <c r="AM14" s="249"/>
      <c r="AN14" s="249"/>
      <c r="AO14" s="249"/>
      <c r="AP14" s="235"/>
      <c r="AQ14" s="249"/>
      <c r="AR14" s="249"/>
      <c r="AS14" s="249"/>
      <c r="AT14" s="249"/>
      <c r="AU14" s="235"/>
      <c r="AV14" s="249"/>
      <c r="AW14" s="249"/>
      <c r="AX14" s="249"/>
      <c r="AY14" s="249"/>
      <c r="AZ14" s="246"/>
      <c r="BA14" s="247">
        <f t="shared" si="1"/>
        <v>0</v>
      </c>
      <c r="BB14" s="247">
        <f t="shared" si="1"/>
        <v>0.24</v>
      </c>
      <c r="BC14" s="247">
        <f t="shared" si="1"/>
        <v>0.45454545454545459</v>
      </c>
      <c r="BD14" s="247">
        <f t="shared" si="1"/>
        <v>-0.19354838709677424</v>
      </c>
      <c r="BE14" s="251">
        <f t="shared" si="1"/>
        <v>9.6153846153846256E-2</v>
      </c>
      <c r="BF14" s="247">
        <f t="shared" si="1"/>
        <v>-3.8461538461538436E-2</v>
      </c>
      <c r="BG14" s="247">
        <f t="shared" si="1"/>
        <v>-0.12903225806451613</v>
      </c>
      <c r="BH14" s="247">
        <f t="shared" si="1"/>
        <v>-0.125</v>
      </c>
      <c r="BI14" s="247">
        <f t="shared" si="1"/>
        <v>0</v>
      </c>
      <c r="BJ14" s="246">
        <f t="shared" si="1"/>
        <v>-7.8947368421052655E-2</v>
      </c>
      <c r="BK14" s="237"/>
      <c r="BL14" s="237"/>
      <c r="BM14" s="237"/>
      <c r="BN14" s="237"/>
      <c r="BO14" s="248">
        <v>-0.9</v>
      </c>
      <c r="BP14" s="237"/>
      <c r="BQ14" s="237"/>
      <c r="BR14" s="237"/>
      <c r="BS14" s="237"/>
      <c r="BT14" s="248">
        <v>-0.75</v>
      </c>
      <c r="BU14" s="237"/>
      <c r="BV14" s="237"/>
      <c r="BW14" s="237"/>
      <c r="BX14" s="237"/>
      <c r="BY14" s="248">
        <v>-0.25</v>
      </c>
      <c r="BZ14" s="237"/>
      <c r="CA14" s="237"/>
      <c r="CB14" s="237"/>
      <c r="CC14" s="237"/>
      <c r="CD14" s="248">
        <v>-0.25</v>
      </c>
      <c r="CF14" s="250"/>
    </row>
    <row r="15" spans="1:84" s="252" customFormat="1" outlineLevel="1" x14ac:dyDescent="0.15">
      <c r="B15" s="238" t="s">
        <v>128</v>
      </c>
      <c r="C15" s="253"/>
      <c r="D15" s="254"/>
      <c r="E15" s="254"/>
      <c r="F15" s="254"/>
      <c r="G15" s="255"/>
      <c r="H15" s="254"/>
      <c r="I15" s="254"/>
      <c r="J15" s="254"/>
      <c r="K15" s="254"/>
      <c r="L15" s="255"/>
      <c r="M15" s="254"/>
      <c r="N15" s="254"/>
      <c r="O15" s="254"/>
      <c r="P15" s="254"/>
      <c r="Q15" s="255"/>
      <c r="R15" s="254"/>
      <c r="S15" s="254"/>
      <c r="T15" s="254"/>
      <c r="U15" s="254"/>
      <c r="V15" s="255"/>
      <c r="W15" s="256"/>
      <c r="X15" s="257"/>
      <c r="Y15" s="257"/>
      <c r="Z15" s="257"/>
      <c r="AA15" s="258"/>
      <c r="AB15" s="256"/>
      <c r="AC15" s="256"/>
      <c r="AD15" s="256"/>
      <c r="AE15" s="256"/>
      <c r="AF15" s="235"/>
      <c r="AG15" s="256"/>
      <c r="AH15" s="256"/>
      <c r="AI15" s="256"/>
      <c r="AJ15" s="256"/>
      <c r="AK15" s="235"/>
      <c r="AL15" s="257"/>
      <c r="AM15" s="257"/>
      <c r="AN15" s="257"/>
      <c r="AO15" s="257"/>
      <c r="AP15" s="235"/>
      <c r="AQ15" s="257"/>
      <c r="AR15" s="257"/>
      <c r="AS15" s="259"/>
      <c r="AT15" s="259">
        <v>0</v>
      </c>
      <c r="AU15" s="235">
        <f>SUM(AQ15:AT15)</f>
        <v>0</v>
      </c>
      <c r="AV15" s="236">
        <v>0</v>
      </c>
      <c r="AW15" s="239">
        <v>3</v>
      </c>
      <c r="AX15" s="239">
        <v>12</v>
      </c>
      <c r="AY15" s="239">
        <v>54</v>
      </c>
      <c r="AZ15" s="235">
        <f>SUM(AV15:AY15)</f>
        <v>69</v>
      </c>
      <c r="BA15" s="239">
        <v>62</v>
      </c>
      <c r="BB15" s="239">
        <v>102</v>
      </c>
      <c r="BC15" s="239">
        <v>106</v>
      </c>
      <c r="BD15" s="239">
        <v>68</v>
      </c>
      <c r="BE15" s="235">
        <f>SUM(BA15:BD15)</f>
        <v>338</v>
      </c>
      <c r="BF15" s="240">
        <v>55</v>
      </c>
      <c r="BG15" s="240">
        <v>85</v>
      </c>
      <c r="BH15" s="240">
        <v>105</v>
      </c>
      <c r="BI15" s="240">
        <v>120</v>
      </c>
      <c r="BJ15" s="235">
        <f>SUM(BF15:BI15)</f>
        <v>365</v>
      </c>
      <c r="BK15" s="241"/>
      <c r="BL15" s="241"/>
      <c r="BM15" s="241"/>
      <c r="BN15" s="241"/>
      <c r="BO15" s="260">
        <v>450</v>
      </c>
      <c r="BP15" s="241"/>
      <c r="BQ15" s="241"/>
      <c r="BR15" s="241"/>
      <c r="BS15" s="241"/>
      <c r="BT15" s="260">
        <v>500</v>
      </c>
      <c r="BU15" s="241"/>
      <c r="BV15" s="241"/>
      <c r="BW15" s="241"/>
      <c r="BX15" s="241"/>
      <c r="BY15" s="260">
        <v>550</v>
      </c>
      <c r="BZ15" s="241"/>
      <c r="CA15" s="241"/>
      <c r="CB15" s="241"/>
      <c r="CC15" s="241"/>
      <c r="CD15" s="260">
        <v>600</v>
      </c>
      <c r="CF15" s="242"/>
    </row>
    <row r="16" spans="1:84" s="252" customFormat="1" outlineLevel="1" x14ac:dyDescent="0.15">
      <c r="B16" s="245" t="s">
        <v>126</v>
      </c>
      <c r="C16" s="253"/>
      <c r="D16" s="254"/>
      <c r="E16" s="254"/>
      <c r="F16" s="254"/>
      <c r="G16" s="255"/>
      <c r="H16" s="254"/>
      <c r="I16" s="254"/>
      <c r="J16" s="254"/>
      <c r="K16" s="254"/>
      <c r="L16" s="255"/>
      <c r="M16" s="254"/>
      <c r="N16" s="254"/>
      <c r="O16" s="254"/>
      <c r="P16" s="254"/>
      <c r="Q16" s="255"/>
      <c r="R16" s="254"/>
      <c r="S16" s="254"/>
      <c r="T16" s="254"/>
      <c r="U16" s="254"/>
      <c r="V16" s="255"/>
      <c r="W16" s="256"/>
      <c r="X16" s="257"/>
      <c r="Y16" s="257"/>
      <c r="Z16" s="257"/>
      <c r="AA16" s="258"/>
      <c r="AB16" s="256"/>
      <c r="AC16" s="256"/>
      <c r="AD16" s="256"/>
      <c r="AE16" s="256"/>
      <c r="AF16" s="258"/>
      <c r="AG16" s="256"/>
      <c r="AH16" s="256"/>
      <c r="AI16" s="256"/>
      <c r="AJ16" s="256"/>
      <c r="AK16" s="235"/>
      <c r="AL16" s="257"/>
      <c r="AM16" s="257"/>
      <c r="AN16" s="257"/>
      <c r="AO16" s="257"/>
      <c r="AP16" s="235"/>
      <c r="AQ16" s="257"/>
      <c r="AR16" s="257"/>
      <c r="AS16" s="257"/>
      <c r="AT16" s="257"/>
      <c r="AU16" s="258"/>
      <c r="AV16" s="257"/>
      <c r="AW16" s="257"/>
      <c r="AX16" s="257"/>
      <c r="AY16" s="257"/>
      <c r="AZ16" s="246"/>
      <c r="BA16" s="257"/>
      <c r="BB16" s="257" t="s">
        <v>39</v>
      </c>
      <c r="BC16" s="247">
        <f>BC15/AX15-1</f>
        <v>7.8333333333333339</v>
      </c>
      <c r="BD16" s="247">
        <f>BD15/AY15-1</f>
        <v>0.2592592592592593</v>
      </c>
      <c r="BE16" s="246">
        <f>BE15/AZ15-1</f>
        <v>3.8985507246376816</v>
      </c>
      <c r="BF16" s="247">
        <f t="shared" ref="BF16:BI16" si="2">BF15/BA15-1</f>
        <v>-0.11290322580645162</v>
      </c>
      <c r="BG16" s="247">
        <f t="shared" si="2"/>
        <v>-0.16666666666666663</v>
      </c>
      <c r="BH16" s="247">
        <f t="shared" si="2"/>
        <v>-9.4339622641509413E-3</v>
      </c>
      <c r="BI16" s="247">
        <f t="shared" si="2"/>
        <v>0.76470588235294112</v>
      </c>
      <c r="BJ16" s="246">
        <f>BJ15/BE15-1</f>
        <v>7.9881656804733803E-2</v>
      </c>
      <c r="BK16" s="237"/>
      <c r="BL16" s="237"/>
      <c r="BM16" s="237"/>
      <c r="BN16" s="237"/>
      <c r="BO16" s="246">
        <f>BO15/BJ15-1</f>
        <v>0.23287671232876717</v>
      </c>
      <c r="BP16" s="237"/>
      <c r="BQ16" s="237"/>
      <c r="BR16" s="237"/>
      <c r="BS16" s="237"/>
      <c r="BT16" s="246">
        <f>BT15/BO15-1</f>
        <v>0.11111111111111116</v>
      </c>
      <c r="BU16" s="237"/>
      <c r="BV16" s="237"/>
      <c r="BW16" s="237"/>
      <c r="BX16" s="237"/>
      <c r="BY16" s="246">
        <f>BY15/BT15-1</f>
        <v>0.10000000000000009</v>
      </c>
      <c r="BZ16" s="237"/>
      <c r="CA16" s="237"/>
      <c r="CB16" s="237"/>
      <c r="CC16" s="237"/>
      <c r="CD16" s="246">
        <f>CD15/BY15-1</f>
        <v>9.0909090909090828E-2</v>
      </c>
      <c r="CF16" s="242"/>
    </row>
    <row r="17" spans="1:84" s="252" customFormat="1" outlineLevel="1" x14ac:dyDescent="0.15">
      <c r="B17" s="238" t="s">
        <v>129</v>
      </c>
      <c r="C17" s="253"/>
      <c r="D17" s="254"/>
      <c r="E17" s="254"/>
      <c r="F17" s="254"/>
      <c r="G17" s="255"/>
      <c r="H17" s="254"/>
      <c r="I17" s="254"/>
      <c r="J17" s="254"/>
      <c r="K17" s="254"/>
      <c r="L17" s="255"/>
      <c r="M17" s="254"/>
      <c r="N17" s="254"/>
      <c r="O17" s="254"/>
      <c r="P17" s="254"/>
      <c r="Q17" s="255"/>
      <c r="R17" s="254"/>
      <c r="S17" s="254"/>
      <c r="T17" s="254"/>
      <c r="U17" s="254"/>
      <c r="V17" s="255"/>
      <c r="W17" s="256"/>
      <c r="X17" s="257"/>
      <c r="Y17" s="257"/>
      <c r="Z17" s="257"/>
      <c r="AA17" s="258"/>
      <c r="AB17" s="256"/>
      <c r="AC17" s="256"/>
      <c r="AD17" s="256"/>
      <c r="AE17" s="256"/>
      <c r="AF17" s="258"/>
      <c r="AG17" s="256"/>
      <c r="AH17" s="256"/>
      <c r="AI17" s="256"/>
      <c r="AJ17" s="256"/>
      <c r="AK17" s="258"/>
      <c r="AL17" s="257"/>
      <c r="AM17" s="257"/>
      <c r="AN17" s="257"/>
      <c r="AO17" s="257"/>
      <c r="AP17" s="258"/>
      <c r="AQ17" s="257"/>
      <c r="AR17" s="257"/>
      <c r="AS17" s="259"/>
      <c r="AT17" s="259"/>
      <c r="AU17" s="235"/>
      <c r="AV17" s="240">
        <v>0</v>
      </c>
      <c r="AW17" s="239">
        <v>2</v>
      </c>
      <c r="AX17" s="239">
        <v>3</v>
      </c>
      <c r="AY17" s="239">
        <v>5</v>
      </c>
      <c r="AZ17" s="235">
        <f>SUM(AV17:AY17)</f>
        <v>10</v>
      </c>
      <c r="BA17" s="239">
        <v>5</v>
      </c>
      <c r="BB17" s="240">
        <v>6</v>
      </c>
      <c r="BC17" s="240">
        <v>8</v>
      </c>
      <c r="BD17" s="240">
        <v>4</v>
      </c>
      <c r="BE17" s="235">
        <f>SUM(BA17:BD17)</f>
        <v>23</v>
      </c>
      <c r="BF17" s="240">
        <v>5</v>
      </c>
      <c r="BG17" s="240">
        <v>8</v>
      </c>
      <c r="BH17" s="240">
        <v>9</v>
      </c>
      <c r="BI17" s="240">
        <v>10</v>
      </c>
      <c r="BJ17" s="235">
        <f>SUM(BF17:BI17)</f>
        <v>32</v>
      </c>
      <c r="BK17" s="241"/>
      <c r="BL17" s="241"/>
      <c r="BM17" s="241"/>
      <c r="BN17" s="241"/>
      <c r="BO17" s="260">
        <v>40</v>
      </c>
      <c r="BP17" s="241"/>
      <c r="BQ17" s="241"/>
      <c r="BR17" s="241"/>
      <c r="BS17" s="241"/>
      <c r="BT17" s="260">
        <v>45</v>
      </c>
      <c r="BU17" s="241"/>
      <c r="BV17" s="241"/>
      <c r="BW17" s="241"/>
      <c r="BX17" s="241"/>
      <c r="BY17" s="260">
        <v>50</v>
      </c>
      <c r="BZ17" s="241"/>
      <c r="CA17" s="241"/>
      <c r="CB17" s="241"/>
      <c r="CC17" s="241"/>
      <c r="CD17" s="260">
        <v>55</v>
      </c>
      <c r="CF17" s="242"/>
    </row>
    <row r="18" spans="1:84" s="252" customFormat="1" outlineLevel="1" x14ac:dyDescent="0.15">
      <c r="B18" s="245" t="s">
        <v>126</v>
      </c>
      <c r="C18" s="253"/>
      <c r="D18" s="254"/>
      <c r="E18" s="254"/>
      <c r="F18" s="254"/>
      <c r="G18" s="255"/>
      <c r="H18" s="254"/>
      <c r="I18" s="254"/>
      <c r="J18" s="254"/>
      <c r="K18" s="254"/>
      <c r="L18" s="255"/>
      <c r="M18" s="254"/>
      <c r="N18" s="254"/>
      <c r="O18" s="254"/>
      <c r="P18" s="254"/>
      <c r="Q18" s="255"/>
      <c r="R18" s="254"/>
      <c r="S18" s="254"/>
      <c r="T18" s="254"/>
      <c r="U18" s="254"/>
      <c r="V18" s="255"/>
      <c r="W18" s="256"/>
      <c r="X18" s="257"/>
      <c r="Y18" s="257"/>
      <c r="Z18" s="257"/>
      <c r="AA18" s="258"/>
      <c r="AB18" s="256"/>
      <c r="AC18" s="256"/>
      <c r="AD18" s="256"/>
      <c r="AE18" s="256"/>
      <c r="AF18" s="258"/>
      <c r="AG18" s="256"/>
      <c r="AH18" s="256"/>
      <c r="AI18" s="256"/>
      <c r="AJ18" s="256"/>
      <c r="AK18" s="258"/>
      <c r="AL18" s="257"/>
      <c r="AM18" s="257"/>
      <c r="AN18" s="257"/>
      <c r="AO18" s="257"/>
      <c r="AP18" s="258"/>
      <c r="AQ18" s="257"/>
      <c r="AR18" s="257"/>
      <c r="AS18" s="257"/>
      <c r="AT18" s="257"/>
      <c r="AU18" s="258"/>
      <c r="AV18" s="257"/>
      <c r="AW18" s="257"/>
      <c r="AX18" s="257"/>
      <c r="AY18" s="257"/>
      <c r="AZ18" s="258"/>
      <c r="BA18" s="257"/>
      <c r="BB18" s="247">
        <f>BB17/AW17-1</f>
        <v>2</v>
      </c>
      <c r="BC18" s="247">
        <f>BC17/AX17-1</f>
        <v>1.6666666666666665</v>
      </c>
      <c r="BD18" s="247">
        <f>BD17/AY17-1</f>
        <v>-0.19999999999999996</v>
      </c>
      <c r="BE18" s="246">
        <f>BE17/AZ17-1</f>
        <v>1.2999999999999998</v>
      </c>
      <c r="BF18" s="247">
        <f t="shared" ref="BF18:BI18" si="3">BF17/BA17-1</f>
        <v>0</v>
      </c>
      <c r="BG18" s="247">
        <f t="shared" si="3"/>
        <v>0.33333333333333326</v>
      </c>
      <c r="BH18" s="247">
        <f t="shared" si="3"/>
        <v>0.125</v>
      </c>
      <c r="BI18" s="247">
        <f t="shared" si="3"/>
        <v>1.5</v>
      </c>
      <c r="BJ18" s="246">
        <f>BJ17/BE17-1</f>
        <v>0.39130434782608692</v>
      </c>
      <c r="BK18" s="241"/>
      <c r="BL18" s="241"/>
      <c r="BM18" s="241"/>
      <c r="BN18" s="241"/>
      <c r="BO18" s="246">
        <f>BO17/BJ17-1</f>
        <v>0.25</v>
      </c>
      <c r="BP18" s="241"/>
      <c r="BQ18" s="241"/>
      <c r="BR18" s="241"/>
      <c r="BS18" s="241"/>
      <c r="BT18" s="246">
        <f>BT17/BO17-1</f>
        <v>0.125</v>
      </c>
      <c r="BU18" s="241"/>
      <c r="BV18" s="241"/>
      <c r="BW18" s="241"/>
      <c r="BX18" s="241"/>
      <c r="BY18" s="246">
        <f>BY17/BT17-1</f>
        <v>0.11111111111111116</v>
      </c>
      <c r="BZ18" s="241"/>
      <c r="CA18" s="241"/>
      <c r="CB18" s="241"/>
      <c r="CC18" s="241"/>
      <c r="CD18" s="246">
        <f>CD17/BY17-1</f>
        <v>0.10000000000000009</v>
      </c>
      <c r="CF18" s="242"/>
    </row>
    <row r="19" spans="1:84" s="252" customFormat="1" outlineLevel="1" x14ac:dyDescent="0.15">
      <c r="B19" s="238" t="s">
        <v>130</v>
      </c>
      <c r="C19" s="253"/>
      <c r="D19" s="254"/>
      <c r="E19" s="254"/>
      <c r="F19" s="254"/>
      <c r="G19" s="255"/>
      <c r="H19" s="254"/>
      <c r="I19" s="254"/>
      <c r="J19" s="254"/>
      <c r="K19" s="254"/>
      <c r="L19" s="255"/>
      <c r="M19" s="254"/>
      <c r="N19" s="254"/>
      <c r="O19" s="254"/>
      <c r="P19" s="254"/>
      <c r="Q19" s="255"/>
      <c r="R19" s="254"/>
      <c r="S19" s="254"/>
      <c r="T19" s="254"/>
      <c r="U19" s="254"/>
      <c r="V19" s="255"/>
      <c r="W19" s="256"/>
      <c r="X19" s="257"/>
      <c r="Y19" s="257"/>
      <c r="Z19" s="257"/>
      <c r="AA19" s="258"/>
      <c r="AB19" s="256"/>
      <c r="AC19" s="256"/>
      <c r="AD19" s="256"/>
      <c r="AE19" s="256"/>
      <c r="AF19" s="258"/>
      <c r="AG19" s="256"/>
      <c r="AH19" s="256"/>
      <c r="AI19" s="256"/>
      <c r="AJ19" s="256"/>
      <c r="AK19" s="258"/>
      <c r="AL19" s="257"/>
      <c r="AM19" s="257"/>
      <c r="AN19" s="257"/>
      <c r="AO19" s="257"/>
      <c r="AP19" s="258"/>
      <c r="AQ19" s="257"/>
      <c r="AR19" s="257"/>
      <c r="AS19" s="257"/>
      <c r="AT19" s="257"/>
      <c r="AU19" s="258"/>
      <c r="AV19" s="257"/>
      <c r="AW19" s="257"/>
      <c r="AX19" s="257"/>
      <c r="AY19" s="257"/>
      <c r="AZ19" s="258"/>
      <c r="BA19" s="240">
        <v>3</v>
      </c>
      <c r="BB19" s="240">
        <v>10</v>
      </c>
      <c r="BC19" s="240">
        <v>20</v>
      </c>
      <c r="BD19" s="240">
        <v>10</v>
      </c>
      <c r="BE19" s="235">
        <f>SUM(BA19:BD19)</f>
        <v>43</v>
      </c>
      <c r="BF19" s="240">
        <v>10</v>
      </c>
      <c r="BG19" s="240">
        <v>15</v>
      </c>
      <c r="BH19" s="240">
        <v>20</v>
      </c>
      <c r="BI19" s="240">
        <v>22</v>
      </c>
      <c r="BJ19" s="235">
        <f>SUM(BF19:BI19)</f>
        <v>67</v>
      </c>
      <c r="BK19" s="241"/>
      <c r="BL19" s="241"/>
      <c r="BM19" s="241"/>
      <c r="BN19" s="241"/>
      <c r="BO19" s="260">
        <v>100</v>
      </c>
      <c r="BP19" s="241"/>
      <c r="BQ19" s="241"/>
      <c r="BR19" s="241"/>
      <c r="BS19" s="241"/>
      <c r="BT19" s="260">
        <v>135</v>
      </c>
      <c r="BU19" s="241"/>
      <c r="BV19" s="241"/>
      <c r="BW19" s="241"/>
      <c r="BX19" s="241"/>
      <c r="BY19" s="260">
        <v>160</v>
      </c>
      <c r="BZ19" s="241"/>
      <c r="CA19" s="241"/>
      <c r="CB19" s="241"/>
      <c r="CC19" s="241"/>
      <c r="CD19" s="260">
        <v>175</v>
      </c>
      <c r="CF19" s="242"/>
    </row>
    <row r="20" spans="1:84" s="252" customFormat="1" outlineLevel="1" x14ac:dyDescent="0.15">
      <c r="B20" s="245" t="s">
        <v>126</v>
      </c>
      <c r="C20" s="253"/>
      <c r="D20" s="254"/>
      <c r="E20" s="254"/>
      <c r="F20" s="254"/>
      <c r="G20" s="255"/>
      <c r="H20" s="254"/>
      <c r="I20" s="254"/>
      <c r="J20" s="254"/>
      <c r="K20" s="254"/>
      <c r="L20" s="255"/>
      <c r="M20" s="254"/>
      <c r="N20" s="254"/>
      <c r="O20" s="254"/>
      <c r="P20" s="254"/>
      <c r="Q20" s="255"/>
      <c r="R20" s="254"/>
      <c r="S20" s="254"/>
      <c r="T20" s="254"/>
      <c r="U20" s="254"/>
      <c r="V20" s="255"/>
      <c r="W20" s="256"/>
      <c r="X20" s="257"/>
      <c r="Y20" s="257"/>
      <c r="Z20" s="257"/>
      <c r="AA20" s="258"/>
      <c r="AB20" s="256"/>
      <c r="AC20" s="256"/>
      <c r="AD20" s="256"/>
      <c r="AE20" s="256"/>
      <c r="AF20" s="258"/>
      <c r="AG20" s="256"/>
      <c r="AH20" s="256"/>
      <c r="AI20" s="256"/>
      <c r="AJ20" s="256"/>
      <c r="AK20" s="258"/>
      <c r="AL20" s="257"/>
      <c r="AM20" s="257"/>
      <c r="AN20" s="257"/>
      <c r="AO20" s="257"/>
      <c r="AP20" s="258"/>
      <c r="AQ20" s="257"/>
      <c r="AR20" s="257"/>
      <c r="AS20" s="257"/>
      <c r="AT20" s="257"/>
      <c r="AU20" s="258"/>
      <c r="AV20" s="257"/>
      <c r="AW20" s="257"/>
      <c r="AX20" s="257"/>
      <c r="AY20" s="257"/>
      <c r="AZ20" s="258"/>
      <c r="BA20" s="257"/>
      <c r="BB20" s="247"/>
      <c r="BC20" s="247"/>
      <c r="BD20" s="247"/>
      <c r="BE20" s="246"/>
      <c r="BF20" s="247"/>
      <c r="BG20" s="247"/>
      <c r="BH20" s="247"/>
      <c r="BI20" s="247"/>
      <c r="BJ20" s="246"/>
      <c r="BK20" s="241"/>
      <c r="BL20" s="241"/>
      <c r="BM20" s="241"/>
      <c r="BN20" s="241"/>
      <c r="BO20" s="246">
        <f>BO19/BJ19-1</f>
        <v>0.49253731343283591</v>
      </c>
      <c r="BP20" s="241"/>
      <c r="BQ20" s="241"/>
      <c r="BR20" s="241"/>
      <c r="BS20" s="241"/>
      <c r="BT20" s="246">
        <f>BT19/BO19-1</f>
        <v>0.35000000000000009</v>
      </c>
      <c r="BU20" s="241"/>
      <c r="BV20" s="241"/>
      <c r="BW20" s="241"/>
      <c r="BX20" s="241"/>
      <c r="BY20" s="246">
        <f>BY19/BT19-1</f>
        <v>0.18518518518518512</v>
      </c>
      <c r="BZ20" s="241"/>
      <c r="CA20" s="241"/>
      <c r="CB20" s="241"/>
      <c r="CC20" s="241"/>
      <c r="CD20" s="246">
        <f>CD19/BY19-1</f>
        <v>9.375E-2</v>
      </c>
      <c r="CF20" s="242"/>
    </row>
    <row r="21" spans="1:84" s="252" customFormat="1" outlineLevel="1" x14ac:dyDescent="0.15">
      <c r="B21" s="238" t="s">
        <v>131</v>
      </c>
      <c r="C21" s="253"/>
      <c r="D21" s="254"/>
      <c r="E21" s="254"/>
      <c r="F21" s="254"/>
      <c r="G21" s="255"/>
      <c r="H21" s="254"/>
      <c r="I21" s="254"/>
      <c r="J21" s="254"/>
      <c r="K21" s="254"/>
      <c r="L21" s="255"/>
      <c r="M21" s="254"/>
      <c r="N21" s="254"/>
      <c r="O21" s="254"/>
      <c r="P21" s="254"/>
      <c r="Q21" s="255"/>
      <c r="R21" s="254"/>
      <c r="S21" s="254"/>
      <c r="T21" s="254"/>
      <c r="U21" s="254"/>
      <c r="V21" s="255"/>
      <c r="W21" s="256"/>
      <c r="X21" s="257"/>
      <c r="Y21" s="257"/>
      <c r="Z21" s="257"/>
      <c r="AA21" s="258"/>
      <c r="AB21" s="256"/>
      <c r="AC21" s="256"/>
      <c r="AD21" s="256"/>
      <c r="AE21" s="256"/>
      <c r="AF21" s="258"/>
      <c r="AG21" s="256"/>
      <c r="AH21" s="256"/>
      <c r="AI21" s="256"/>
      <c r="AJ21" s="256"/>
      <c r="AK21" s="258"/>
      <c r="AL21" s="257"/>
      <c r="AM21" s="257"/>
      <c r="AN21" s="257"/>
      <c r="AO21" s="257"/>
      <c r="AP21" s="258"/>
      <c r="AQ21" s="257"/>
      <c r="AR21" s="257"/>
      <c r="AS21" s="259"/>
      <c r="AT21" s="259"/>
      <c r="AU21" s="235"/>
      <c r="AV21" s="240"/>
      <c r="AW21" s="240"/>
      <c r="AX21" s="240"/>
      <c r="AY21" s="240"/>
      <c r="AZ21" s="235"/>
      <c r="BA21" s="240">
        <v>0</v>
      </c>
      <c r="BB21" s="240">
        <v>0</v>
      </c>
      <c r="BC21" s="240">
        <v>0</v>
      </c>
      <c r="BD21" s="240">
        <v>0</v>
      </c>
      <c r="BE21" s="235">
        <f>SUM(BA21:BD21)</f>
        <v>0</v>
      </c>
      <c r="BF21" s="240">
        <v>0</v>
      </c>
      <c r="BG21" s="240">
        <v>0</v>
      </c>
      <c r="BH21" s="240">
        <v>0</v>
      </c>
      <c r="BI21" s="240">
        <v>0</v>
      </c>
      <c r="BJ21" s="235">
        <f>SUM(BF21:BI21)</f>
        <v>0</v>
      </c>
      <c r="BK21" s="241"/>
      <c r="BL21" s="241"/>
      <c r="BM21" s="241"/>
      <c r="BN21" s="241"/>
      <c r="BO21" s="260">
        <v>50</v>
      </c>
      <c r="BP21" s="241"/>
      <c r="BQ21" s="241"/>
      <c r="BR21" s="241"/>
      <c r="BS21" s="241"/>
      <c r="BT21" s="260">
        <v>100</v>
      </c>
      <c r="BU21" s="241"/>
      <c r="BV21" s="241"/>
      <c r="BW21" s="241"/>
      <c r="BX21" s="241"/>
      <c r="BY21" s="260">
        <v>150</v>
      </c>
      <c r="BZ21" s="241"/>
      <c r="CA21" s="241"/>
      <c r="CB21" s="241"/>
      <c r="CC21" s="241"/>
      <c r="CD21" s="260">
        <v>200</v>
      </c>
      <c r="CF21" s="242"/>
    </row>
    <row r="22" spans="1:84" s="252" customFormat="1" outlineLevel="1" x14ac:dyDescent="0.15">
      <c r="B22" s="245" t="s">
        <v>126</v>
      </c>
      <c r="C22" s="253"/>
      <c r="D22" s="254"/>
      <c r="E22" s="254"/>
      <c r="F22" s="254"/>
      <c r="G22" s="255"/>
      <c r="H22" s="254"/>
      <c r="I22" s="254"/>
      <c r="J22" s="254"/>
      <c r="K22" s="254"/>
      <c r="L22" s="255"/>
      <c r="M22" s="254"/>
      <c r="N22" s="254"/>
      <c r="O22" s="254"/>
      <c r="P22" s="254"/>
      <c r="Q22" s="255"/>
      <c r="R22" s="254"/>
      <c r="S22" s="254"/>
      <c r="T22" s="254"/>
      <c r="U22" s="254"/>
      <c r="V22" s="255"/>
      <c r="W22" s="256"/>
      <c r="X22" s="257"/>
      <c r="Y22" s="257"/>
      <c r="Z22" s="257"/>
      <c r="AA22" s="258"/>
      <c r="AB22" s="256"/>
      <c r="AC22" s="256"/>
      <c r="AD22" s="256"/>
      <c r="AE22" s="256"/>
      <c r="AF22" s="258"/>
      <c r="AG22" s="256"/>
      <c r="AH22" s="256"/>
      <c r="AI22" s="256"/>
      <c r="AJ22" s="256"/>
      <c r="AK22" s="258"/>
      <c r="AL22" s="257"/>
      <c r="AM22" s="257"/>
      <c r="AN22" s="257"/>
      <c r="AO22" s="257"/>
      <c r="AP22" s="258"/>
      <c r="AQ22" s="257"/>
      <c r="AR22" s="257"/>
      <c r="AS22" s="257"/>
      <c r="AT22" s="257"/>
      <c r="AU22" s="258"/>
      <c r="AV22" s="257"/>
      <c r="AW22" s="257"/>
      <c r="AX22" s="257"/>
      <c r="AY22" s="257"/>
      <c r="AZ22" s="258"/>
      <c r="BA22" s="257"/>
      <c r="BB22" s="247"/>
      <c r="BC22" s="247"/>
      <c r="BD22" s="247"/>
      <c r="BE22" s="246"/>
      <c r="BF22" s="247"/>
      <c r="BG22" s="247"/>
      <c r="BH22" s="247"/>
      <c r="BI22" s="247"/>
      <c r="BJ22" s="246"/>
      <c r="BK22" s="241"/>
      <c r="BL22" s="241"/>
      <c r="BM22" s="241"/>
      <c r="BN22" s="241"/>
      <c r="BO22" s="246"/>
      <c r="BP22" s="241"/>
      <c r="BQ22" s="241"/>
      <c r="BR22" s="241"/>
      <c r="BS22" s="241"/>
      <c r="BT22" s="246">
        <f>BT21/BO21-1</f>
        <v>1</v>
      </c>
      <c r="BU22" s="241"/>
      <c r="BV22" s="241"/>
      <c r="BW22" s="241"/>
      <c r="BX22" s="241"/>
      <c r="BY22" s="246">
        <f>BY21/BT21-1</f>
        <v>0.5</v>
      </c>
      <c r="BZ22" s="241"/>
      <c r="CA22" s="241"/>
      <c r="CB22" s="241"/>
      <c r="CC22" s="241"/>
      <c r="CD22" s="246">
        <f>CD21/BY21-1</f>
        <v>0.33333333333333326</v>
      </c>
      <c r="CF22" s="242"/>
    </row>
    <row r="23" spans="1:84" s="252" customFormat="1" outlineLevel="1" x14ac:dyDescent="0.15">
      <c r="B23" s="238" t="s">
        <v>132</v>
      </c>
      <c r="C23" s="253"/>
      <c r="D23" s="254"/>
      <c r="E23" s="254"/>
      <c r="F23" s="254"/>
      <c r="G23" s="255"/>
      <c r="H23" s="254"/>
      <c r="I23" s="254"/>
      <c r="J23" s="254"/>
      <c r="K23" s="254"/>
      <c r="L23" s="255"/>
      <c r="M23" s="254"/>
      <c r="N23" s="254"/>
      <c r="O23" s="254"/>
      <c r="P23" s="254"/>
      <c r="Q23" s="255"/>
      <c r="R23" s="254"/>
      <c r="S23" s="254"/>
      <c r="T23" s="254"/>
      <c r="U23" s="254"/>
      <c r="V23" s="255"/>
      <c r="W23" s="256"/>
      <c r="X23" s="257"/>
      <c r="Y23" s="257"/>
      <c r="Z23" s="257"/>
      <c r="AA23" s="258"/>
      <c r="AB23" s="256"/>
      <c r="AC23" s="256"/>
      <c r="AD23" s="256"/>
      <c r="AE23" s="256"/>
      <c r="AF23" s="258"/>
      <c r="AG23" s="256"/>
      <c r="AH23" s="256"/>
      <c r="AI23" s="256"/>
      <c r="AJ23" s="256"/>
      <c r="AK23" s="258"/>
      <c r="AL23" s="257"/>
      <c r="AM23" s="257"/>
      <c r="AN23" s="257"/>
      <c r="AO23" s="257"/>
      <c r="AP23" s="258"/>
      <c r="AQ23" s="257"/>
      <c r="AR23" s="257"/>
      <c r="AS23" s="259"/>
      <c r="AT23" s="259"/>
      <c r="AU23" s="235"/>
      <c r="AV23" s="240"/>
      <c r="AW23" s="240"/>
      <c r="AX23" s="240"/>
      <c r="AY23" s="240"/>
      <c r="AZ23" s="235"/>
      <c r="BA23" s="240">
        <v>0</v>
      </c>
      <c r="BB23" s="240">
        <v>0</v>
      </c>
      <c r="BC23" s="240">
        <v>0</v>
      </c>
      <c r="BD23" s="240">
        <v>0</v>
      </c>
      <c r="BE23" s="235">
        <f>SUM(BA23:BD23)</f>
        <v>0</v>
      </c>
      <c r="BF23" s="240">
        <v>0</v>
      </c>
      <c r="BG23" s="240">
        <v>0</v>
      </c>
      <c r="BH23" s="240">
        <v>0</v>
      </c>
      <c r="BI23" s="240">
        <v>0</v>
      </c>
      <c r="BJ23" s="235">
        <f>SUM(BF23:BI23)</f>
        <v>0</v>
      </c>
      <c r="BK23" s="241"/>
      <c r="BL23" s="241"/>
      <c r="BM23" s="241"/>
      <c r="BN23" s="241"/>
      <c r="BO23" s="260">
        <v>0</v>
      </c>
      <c r="BP23" s="241"/>
      <c r="BQ23" s="241"/>
      <c r="BR23" s="241"/>
      <c r="BS23" s="241"/>
      <c r="BT23" s="260">
        <v>0</v>
      </c>
      <c r="BU23" s="241"/>
      <c r="BV23" s="241"/>
      <c r="BW23" s="241"/>
      <c r="BX23" s="241"/>
      <c r="BY23" s="260">
        <v>0</v>
      </c>
      <c r="BZ23" s="241"/>
      <c r="CA23" s="241"/>
      <c r="CB23" s="241"/>
      <c r="CC23" s="241"/>
      <c r="CD23" s="260">
        <v>0</v>
      </c>
      <c r="CE23" s="252">
        <v>0</v>
      </c>
      <c r="CF23" s="242" t="s">
        <v>133</v>
      </c>
    </row>
    <row r="24" spans="1:84" s="252" customFormat="1" outlineLevel="1" x14ac:dyDescent="0.15">
      <c r="B24" s="245" t="s">
        <v>126</v>
      </c>
      <c r="C24" s="253"/>
      <c r="D24" s="254"/>
      <c r="E24" s="254"/>
      <c r="F24" s="254"/>
      <c r="G24" s="255"/>
      <c r="H24" s="254"/>
      <c r="I24" s="254"/>
      <c r="J24" s="254"/>
      <c r="K24" s="254"/>
      <c r="L24" s="255"/>
      <c r="M24" s="254"/>
      <c r="N24" s="254"/>
      <c r="O24" s="254"/>
      <c r="P24" s="254"/>
      <c r="Q24" s="255"/>
      <c r="R24" s="254"/>
      <c r="S24" s="254"/>
      <c r="T24" s="254"/>
      <c r="U24" s="254"/>
      <c r="V24" s="255"/>
      <c r="W24" s="256"/>
      <c r="X24" s="257"/>
      <c r="Y24" s="257"/>
      <c r="Z24" s="257"/>
      <c r="AA24" s="258"/>
      <c r="AB24" s="256"/>
      <c r="AC24" s="256"/>
      <c r="AD24" s="256"/>
      <c r="AE24" s="256"/>
      <c r="AF24" s="258"/>
      <c r="AG24" s="256"/>
      <c r="AH24" s="256"/>
      <c r="AI24" s="256"/>
      <c r="AJ24" s="256"/>
      <c r="AK24" s="258"/>
      <c r="AL24" s="257"/>
      <c r="AM24" s="257"/>
      <c r="AN24" s="257"/>
      <c r="AO24" s="257"/>
      <c r="AP24" s="258"/>
      <c r="AQ24" s="257"/>
      <c r="AR24" s="257"/>
      <c r="AS24" s="257"/>
      <c r="AT24" s="257"/>
      <c r="AU24" s="258"/>
      <c r="AV24" s="257"/>
      <c r="AW24" s="257"/>
      <c r="AX24" s="257"/>
      <c r="AY24" s="257"/>
      <c r="AZ24" s="258"/>
      <c r="BA24" s="257"/>
      <c r="BB24" s="247"/>
      <c r="BC24" s="247"/>
      <c r="BD24" s="247"/>
      <c r="BE24" s="246"/>
      <c r="BF24" s="247"/>
      <c r="BG24" s="247"/>
      <c r="BH24" s="247"/>
      <c r="BI24" s="247"/>
      <c r="BJ24" s="246"/>
      <c r="BK24" s="241"/>
      <c r="BL24" s="241"/>
      <c r="BM24" s="241"/>
      <c r="BN24" s="241"/>
      <c r="BO24" s="246"/>
      <c r="BP24" s="241"/>
      <c r="BQ24" s="241"/>
      <c r="BR24" s="241"/>
      <c r="BS24" s="241"/>
      <c r="BT24" s="246"/>
      <c r="BU24" s="241"/>
      <c r="BV24" s="241"/>
      <c r="BW24" s="241"/>
      <c r="BX24" s="241"/>
      <c r="BY24" s="246"/>
      <c r="BZ24" s="241"/>
      <c r="CA24" s="241"/>
      <c r="CB24" s="241"/>
      <c r="CC24" s="241"/>
      <c r="CD24" s="246"/>
      <c r="CF24" s="242"/>
    </row>
    <row r="25" spans="1:84" s="198" customFormat="1" outlineLevel="1" x14ac:dyDescent="0.15">
      <c r="A25" s="12"/>
      <c r="B25" s="238" t="s">
        <v>134</v>
      </c>
      <c r="C25" s="231"/>
      <c r="D25" s="231"/>
      <c r="E25" s="231"/>
      <c r="F25" s="231"/>
      <c r="G25" s="232"/>
      <c r="H25" s="231"/>
      <c r="I25" s="231"/>
      <c r="J25" s="231"/>
      <c r="K25" s="231"/>
      <c r="L25" s="232"/>
      <c r="M25" s="231"/>
      <c r="N25" s="231"/>
      <c r="O25" s="231"/>
      <c r="P25" s="231"/>
      <c r="Q25" s="232"/>
      <c r="R25" s="231"/>
      <c r="S25" s="231"/>
      <c r="T25" s="231"/>
      <c r="U25" s="231"/>
      <c r="V25" s="233"/>
      <c r="W25" s="234"/>
      <c r="X25" s="234"/>
      <c r="Y25" s="234"/>
      <c r="Z25" s="234"/>
      <c r="AA25" s="233"/>
      <c r="AB25" s="234"/>
      <c r="AC25" s="234"/>
      <c r="AD25" s="234"/>
      <c r="AE25" s="234"/>
      <c r="AF25" s="233"/>
      <c r="AG25" s="234"/>
      <c r="AH25" s="234"/>
      <c r="AI25" s="234"/>
      <c r="AJ25" s="234"/>
      <c r="AK25" s="233"/>
      <c r="AL25" s="234"/>
      <c r="AM25" s="234"/>
      <c r="AN25" s="234"/>
      <c r="AO25" s="234"/>
      <c r="AP25" s="233"/>
      <c r="AQ25" s="231"/>
      <c r="AR25" s="231"/>
      <c r="AS25" s="236">
        <f>AS27-SUM(AS11,AS15,AS17,AS19,AS21,AS13)</f>
        <v>155.5</v>
      </c>
      <c r="AT25" s="236">
        <f>AT27-SUM(AT11,AT15,AT17,AT19,AT21,AT13)</f>
        <v>199.2</v>
      </c>
      <c r="AU25" s="235"/>
      <c r="AV25" s="236">
        <f t="shared" ref="AV25:BD25" si="4">AV27-SUM(AV11,AV15,AV17,AV19,AV21,AV13)</f>
        <v>227.2</v>
      </c>
      <c r="AW25" s="236">
        <f t="shared" si="4"/>
        <v>225.3</v>
      </c>
      <c r="AX25" s="236">
        <f t="shared" si="4"/>
        <v>182.8</v>
      </c>
      <c r="AY25" s="236">
        <f t="shared" si="4"/>
        <v>273.7</v>
      </c>
      <c r="AZ25" s="235">
        <f t="shared" si="4"/>
        <v>909</v>
      </c>
      <c r="BA25" s="236">
        <f t="shared" si="4"/>
        <v>266.3</v>
      </c>
      <c r="BB25" s="236">
        <f t="shared" si="4"/>
        <v>247.8</v>
      </c>
      <c r="BC25" s="236">
        <f t="shared" si="4"/>
        <v>233.5</v>
      </c>
      <c r="BD25" s="236">
        <f t="shared" si="4"/>
        <v>186.60000000000002</v>
      </c>
      <c r="BE25" s="235">
        <f>SUM(BA25:BD25)</f>
        <v>934.2</v>
      </c>
      <c r="BF25" s="236">
        <f t="shared" ref="BF25:BI25" si="5">BA25*(1+BF26)</f>
        <v>173.09500000000003</v>
      </c>
      <c r="BG25" s="236">
        <f t="shared" si="5"/>
        <v>198.24</v>
      </c>
      <c r="BH25" s="236">
        <f t="shared" si="5"/>
        <v>210.15</v>
      </c>
      <c r="BI25" s="236">
        <f t="shared" si="5"/>
        <v>205.26000000000005</v>
      </c>
      <c r="BJ25" s="235">
        <f>SUM(BF25:BI25)</f>
        <v>786.74500000000012</v>
      </c>
      <c r="BK25" s="241"/>
      <c r="BL25" s="241"/>
      <c r="BM25" s="241"/>
      <c r="BN25" s="241"/>
      <c r="BO25" s="235">
        <f>BJ25*(1+BO26)</f>
        <v>771.01010000000008</v>
      </c>
      <c r="BP25" s="241"/>
      <c r="BQ25" s="241"/>
      <c r="BR25" s="241"/>
      <c r="BS25" s="241"/>
      <c r="BT25" s="235">
        <f>BO25*(1+BT26)</f>
        <v>786.4303020000001</v>
      </c>
      <c r="BU25" s="241"/>
      <c r="BV25" s="241"/>
      <c r="BW25" s="241"/>
      <c r="BX25" s="241"/>
      <c r="BY25" s="235">
        <f>BT25*(1+BY26)</f>
        <v>802.15890804000014</v>
      </c>
      <c r="BZ25" s="241"/>
      <c r="CA25" s="241"/>
      <c r="CB25" s="241"/>
      <c r="CC25" s="241"/>
      <c r="CD25" s="235">
        <f>BY25*(1+CD26)</f>
        <v>818.20208620080018</v>
      </c>
      <c r="CE25" s="12"/>
      <c r="CF25" s="229"/>
    </row>
    <row r="26" spans="1:84" s="198" customFormat="1" ht="15" outlineLevel="1" x14ac:dyDescent="0.3">
      <c r="A26" s="12"/>
      <c r="B26" s="262" t="s">
        <v>126</v>
      </c>
      <c r="C26" s="263"/>
      <c r="D26" s="263"/>
      <c r="E26" s="263"/>
      <c r="F26" s="263"/>
      <c r="G26" s="264"/>
      <c r="H26" s="263"/>
      <c r="I26" s="263"/>
      <c r="J26" s="263"/>
      <c r="K26" s="263"/>
      <c r="L26" s="264"/>
      <c r="M26" s="263"/>
      <c r="N26" s="263"/>
      <c r="O26" s="263"/>
      <c r="P26" s="263"/>
      <c r="Q26" s="264"/>
      <c r="R26" s="263"/>
      <c r="S26" s="263"/>
      <c r="T26" s="263"/>
      <c r="U26" s="263"/>
      <c r="V26" s="265"/>
      <c r="W26" s="266"/>
      <c r="X26" s="266"/>
      <c r="Y26" s="266"/>
      <c r="Z26" s="266"/>
      <c r="AA26" s="265"/>
      <c r="AB26" s="266"/>
      <c r="AC26" s="266"/>
      <c r="AD26" s="266"/>
      <c r="AE26" s="266"/>
      <c r="AF26" s="265"/>
      <c r="AG26" s="266"/>
      <c r="AH26" s="266"/>
      <c r="AI26" s="266"/>
      <c r="AJ26" s="266"/>
      <c r="AK26" s="265"/>
      <c r="AL26" s="266"/>
      <c r="AM26" s="266"/>
      <c r="AN26" s="266"/>
      <c r="AO26" s="266"/>
      <c r="AP26" s="233"/>
      <c r="AQ26" s="231"/>
      <c r="AR26" s="231"/>
      <c r="AS26" s="231"/>
      <c r="AT26" s="231"/>
      <c r="AU26" s="235"/>
      <c r="AV26" s="236"/>
      <c r="AW26" s="236"/>
      <c r="AX26" s="247">
        <f>AX25/AS25-1</f>
        <v>0.17556270096463034</v>
      </c>
      <c r="AY26" s="247">
        <f>AY25/AT25-1</f>
        <v>0.37399598393574296</v>
      </c>
      <c r="AZ26" s="251"/>
      <c r="BA26" s="247">
        <f>BA25/AV25-1</f>
        <v>0.17209507042253525</v>
      </c>
      <c r="BB26" s="247">
        <f>BB25/AW25-1</f>
        <v>9.9866844207723071E-2</v>
      </c>
      <c r="BC26" s="247">
        <f>BC25/AX25-1</f>
        <v>0.27735229759299784</v>
      </c>
      <c r="BD26" s="247">
        <f>BD25/AY25-1</f>
        <v>-0.31823164048227981</v>
      </c>
      <c r="BE26" s="246">
        <f>BE25/AZ25-1</f>
        <v>2.7722772277227747E-2</v>
      </c>
      <c r="BF26" s="267">
        <v>-0.35</v>
      </c>
      <c r="BG26" s="267">
        <v>-0.2</v>
      </c>
      <c r="BH26" s="267">
        <v>-0.1</v>
      </c>
      <c r="BI26" s="267">
        <v>0.1</v>
      </c>
      <c r="BJ26" s="246">
        <f>BJ25/BE25-1</f>
        <v>-0.15784093341896799</v>
      </c>
      <c r="BK26" s="237"/>
      <c r="BL26" s="237"/>
      <c r="BM26" s="237"/>
      <c r="BN26" s="237"/>
      <c r="BO26" s="248">
        <v>-0.02</v>
      </c>
      <c r="BP26" s="237"/>
      <c r="BQ26" s="237"/>
      <c r="BR26" s="237"/>
      <c r="BS26" s="237"/>
      <c r="BT26" s="248">
        <v>0.02</v>
      </c>
      <c r="BU26" s="237"/>
      <c r="BV26" s="237"/>
      <c r="BW26" s="237"/>
      <c r="BX26" s="237"/>
      <c r="BY26" s="248">
        <v>0.02</v>
      </c>
      <c r="BZ26" s="237"/>
      <c r="CA26" s="237"/>
      <c r="CB26" s="237"/>
      <c r="CC26" s="237"/>
      <c r="CD26" s="248">
        <v>0.02</v>
      </c>
      <c r="CE26" s="12"/>
      <c r="CF26" s="229"/>
    </row>
    <row r="27" spans="1:84" s="198" customFormat="1" x14ac:dyDescent="0.15">
      <c r="A27" s="12"/>
      <c r="B27" s="268" t="s">
        <v>135</v>
      </c>
      <c r="C27" s="269"/>
      <c r="D27" s="269"/>
      <c r="E27" s="269"/>
      <c r="F27" s="269"/>
      <c r="G27" s="270"/>
      <c r="H27" s="269"/>
      <c r="I27" s="269"/>
      <c r="J27" s="269"/>
      <c r="K27" s="269"/>
      <c r="L27" s="270"/>
      <c r="M27" s="269"/>
      <c r="N27" s="269"/>
      <c r="O27" s="269"/>
      <c r="P27" s="269"/>
      <c r="Q27" s="270"/>
      <c r="R27" s="269"/>
      <c r="S27" s="269"/>
      <c r="T27" s="269"/>
      <c r="U27" s="269"/>
      <c r="V27" s="271"/>
      <c r="W27" s="272"/>
      <c r="X27" s="272"/>
      <c r="Y27" s="272"/>
      <c r="Z27" s="272"/>
      <c r="AA27" s="271"/>
      <c r="AB27" s="272"/>
      <c r="AC27" s="272"/>
      <c r="AD27" s="272"/>
      <c r="AE27" s="272"/>
      <c r="AF27" s="271"/>
      <c r="AG27" s="272"/>
      <c r="AH27" s="272"/>
      <c r="AI27" s="272"/>
      <c r="AJ27" s="272"/>
      <c r="AK27" s="271"/>
      <c r="AL27" s="272"/>
      <c r="AM27" s="272"/>
      <c r="AN27" s="272"/>
      <c r="AO27" s="272"/>
      <c r="AP27" s="273"/>
      <c r="AQ27" s="274"/>
      <c r="AR27" s="269"/>
      <c r="AS27" s="275">
        <v>205.5</v>
      </c>
      <c r="AT27" s="275">
        <v>249.2</v>
      </c>
      <c r="AU27" s="276"/>
      <c r="AV27" s="275">
        <v>304.2</v>
      </c>
      <c r="AW27" s="275">
        <v>298.3</v>
      </c>
      <c r="AX27" s="275">
        <v>272.8</v>
      </c>
      <c r="AY27" s="275">
        <v>424.7</v>
      </c>
      <c r="AZ27" s="277">
        <f>SUM(AV27:AY27)</f>
        <v>1300</v>
      </c>
      <c r="BA27" s="275">
        <v>419.3</v>
      </c>
      <c r="BB27" s="275">
        <v>461.8</v>
      </c>
      <c r="BC27" s="275">
        <v>465.5</v>
      </c>
      <c r="BD27" s="275">
        <v>319.60000000000002</v>
      </c>
      <c r="BE27" s="277">
        <f>SUM(BA27:BD27)</f>
        <v>1666.1999999999998</v>
      </c>
      <c r="BF27" s="275">
        <f t="shared" ref="BF27:BI27" si="6">SUM(BF11,BF13,BF15,BF17,BF19,BF21,BF25,BF23)</f>
        <v>288.09500000000003</v>
      </c>
      <c r="BG27" s="275">
        <f t="shared" si="6"/>
        <v>381.24</v>
      </c>
      <c r="BH27" s="275">
        <f t="shared" si="6"/>
        <v>420.15</v>
      </c>
      <c r="BI27" s="275">
        <f t="shared" si="6"/>
        <v>432.26000000000005</v>
      </c>
      <c r="BJ27" s="277">
        <f>SUM(BJ11,BJ13,BJ15,BJ17,BJ19,BJ21,BJ25,BJ23)</f>
        <v>1521.7450000000001</v>
      </c>
      <c r="BK27" s="191"/>
      <c r="BL27" s="191"/>
      <c r="BM27" s="191"/>
      <c r="BN27" s="191"/>
      <c r="BO27" s="277">
        <f>SUM(BO11,BO13,BO15,BO17,BO19,BO21,BO25,BO23)</f>
        <v>1597.4701</v>
      </c>
      <c r="BP27" s="191"/>
      <c r="BQ27" s="191"/>
      <c r="BR27" s="191"/>
      <c r="BS27" s="191"/>
      <c r="BT27" s="277">
        <f>SUM(BT11,BT13,BT15,BT17,BT19,BT21,BT25,BT23)</f>
        <v>1657.0353020000002</v>
      </c>
      <c r="BU27" s="191"/>
      <c r="BV27" s="191"/>
      <c r="BW27" s="191"/>
      <c r="BX27" s="191"/>
      <c r="BY27" s="277">
        <f>SUM(BY11,BY13,BY15,BY17,BY19,BY21,BY25,BY23)</f>
        <v>1758.1176580400002</v>
      </c>
      <c r="BZ27" s="191"/>
      <c r="CA27" s="191"/>
      <c r="CB27" s="191"/>
      <c r="CC27" s="191"/>
      <c r="CD27" s="277">
        <f>SUM(CD11,CD13,CD15,CD17,CD19,CD21,CD25,CD23)</f>
        <v>1871.6736487008002</v>
      </c>
      <c r="CE27" s="12"/>
      <c r="CF27" s="278">
        <f>BJ27/$BJ$142</f>
        <v>0.13875987519001753</v>
      </c>
    </row>
    <row r="28" spans="1:84" s="198" customFormat="1" x14ac:dyDescent="0.15">
      <c r="A28" s="12"/>
      <c r="B28" s="279" t="s">
        <v>126</v>
      </c>
      <c r="C28" s="269"/>
      <c r="D28" s="269"/>
      <c r="E28" s="269"/>
      <c r="F28" s="269"/>
      <c r="G28" s="270"/>
      <c r="H28" s="269"/>
      <c r="I28" s="269"/>
      <c r="J28" s="269"/>
      <c r="K28" s="269"/>
      <c r="L28" s="270"/>
      <c r="M28" s="269"/>
      <c r="N28" s="269"/>
      <c r="O28" s="269"/>
      <c r="P28" s="269"/>
      <c r="Q28" s="270"/>
      <c r="R28" s="269"/>
      <c r="S28" s="269"/>
      <c r="T28" s="269"/>
      <c r="U28" s="269"/>
      <c r="V28" s="271"/>
      <c r="W28" s="272"/>
      <c r="X28" s="272"/>
      <c r="Y28" s="272"/>
      <c r="Z28" s="272"/>
      <c r="AA28" s="271"/>
      <c r="AB28" s="272"/>
      <c r="AC28" s="272"/>
      <c r="AD28" s="272"/>
      <c r="AE28" s="272"/>
      <c r="AF28" s="271"/>
      <c r="AG28" s="272"/>
      <c r="AH28" s="272"/>
      <c r="AI28" s="272"/>
      <c r="AJ28" s="272"/>
      <c r="AK28" s="271"/>
      <c r="AL28" s="272"/>
      <c r="AM28" s="272"/>
      <c r="AN28" s="272"/>
      <c r="AO28" s="272"/>
      <c r="AP28" s="273"/>
      <c r="AQ28" s="274"/>
      <c r="AR28" s="269"/>
      <c r="AS28" s="280"/>
      <c r="AT28" s="280"/>
      <c r="AU28" s="276"/>
      <c r="AV28" s="280"/>
      <c r="AW28" s="280"/>
      <c r="AX28" s="281">
        <f t="shared" ref="AX28:AY28" si="7">AX27/AS27-1</f>
        <v>0.32749391727493915</v>
      </c>
      <c r="AY28" s="281">
        <f t="shared" si="7"/>
        <v>0.70425361155698241</v>
      </c>
      <c r="AZ28" s="276"/>
      <c r="BA28" s="281">
        <f>BA27/AV27-1</f>
        <v>0.37836949375410933</v>
      </c>
      <c r="BB28" s="281">
        <f>BB27/AW27-1</f>
        <v>0.5481059336238685</v>
      </c>
      <c r="BC28" s="281">
        <f t="shared" ref="BC28:BD28" si="8">BC27/AX27-1</f>
        <v>0.70637829912023453</v>
      </c>
      <c r="BD28" s="281">
        <f t="shared" si="8"/>
        <v>-0.24746880150694606</v>
      </c>
      <c r="BE28" s="282">
        <f>BE27/AZ27-1</f>
        <v>0.28169230769230746</v>
      </c>
      <c r="BF28" s="281">
        <f t="shared" ref="BF28:BI28" si="9">BF27/BA27-1</f>
        <v>-0.31291438111137604</v>
      </c>
      <c r="BG28" s="281">
        <f t="shared" si="9"/>
        <v>-0.17444781290601996</v>
      </c>
      <c r="BH28" s="281">
        <f t="shared" si="9"/>
        <v>-9.7422126745435045E-2</v>
      </c>
      <c r="BI28" s="281">
        <f t="shared" si="9"/>
        <v>0.35250312891113889</v>
      </c>
      <c r="BJ28" s="282">
        <f>BJ27/BE27-1</f>
        <v>-8.6697275237066163E-2</v>
      </c>
      <c r="BK28" s="191"/>
      <c r="BL28" s="191"/>
      <c r="BM28" s="191"/>
      <c r="BN28" s="191"/>
      <c r="BO28" s="282">
        <f>BO27/BJ27-1</f>
        <v>4.9762016632221462E-2</v>
      </c>
      <c r="BP28" s="191"/>
      <c r="BQ28" s="191"/>
      <c r="BR28" s="191"/>
      <c r="BS28" s="191"/>
      <c r="BT28" s="282">
        <f>BT27/BO27-1</f>
        <v>3.7287209319285752E-2</v>
      </c>
      <c r="BU28" s="191"/>
      <c r="BV28" s="191"/>
      <c r="BW28" s="191"/>
      <c r="BX28" s="191"/>
      <c r="BY28" s="282">
        <f>BY27/BT27-1</f>
        <v>6.1001932739752851E-2</v>
      </c>
      <c r="BZ28" s="191"/>
      <c r="CA28" s="191"/>
      <c r="CB28" s="191"/>
      <c r="CC28" s="191"/>
      <c r="CD28" s="282">
        <f>CD27/BY27-1</f>
        <v>6.4589528545771824E-2</v>
      </c>
      <c r="CE28" s="12"/>
      <c r="CF28" s="229"/>
    </row>
    <row r="29" spans="1:84" s="198" customFormat="1" x14ac:dyDescent="0.15">
      <c r="A29" s="12"/>
      <c r="B29" s="268"/>
      <c r="C29" s="269"/>
      <c r="D29" s="269"/>
      <c r="E29" s="269"/>
      <c r="F29" s="269"/>
      <c r="G29" s="270"/>
      <c r="H29" s="269"/>
      <c r="I29" s="269"/>
      <c r="J29" s="269"/>
      <c r="K29" s="269"/>
      <c r="L29" s="270"/>
      <c r="M29" s="269"/>
      <c r="N29" s="269"/>
      <c r="O29" s="269"/>
      <c r="P29" s="269"/>
      <c r="Q29" s="270"/>
      <c r="R29" s="269"/>
      <c r="S29" s="269"/>
      <c r="T29" s="269"/>
      <c r="U29" s="269"/>
      <c r="V29" s="271"/>
      <c r="W29" s="272"/>
      <c r="X29" s="272"/>
      <c r="Y29" s="272"/>
      <c r="Z29" s="272"/>
      <c r="AA29" s="271"/>
      <c r="AB29" s="272"/>
      <c r="AC29" s="272"/>
      <c r="AD29" s="272"/>
      <c r="AE29" s="272"/>
      <c r="AF29" s="271"/>
      <c r="AG29" s="272"/>
      <c r="AH29" s="272"/>
      <c r="AI29" s="272"/>
      <c r="AJ29" s="272"/>
      <c r="AK29" s="271"/>
      <c r="AL29" s="272"/>
      <c r="AM29" s="272"/>
      <c r="AN29" s="272"/>
      <c r="AO29" s="272"/>
      <c r="AP29" s="273"/>
      <c r="AQ29" s="274"/>
      <c r="AR29" s="269"/>
      <c r="AS29" s="280"/>
      <c r="AT29" s="280"/>
      <c r="AU29" s="276"/>
      <c r="AV29" s="280"/>
      <c r="AW29" s="280"/>
      <c r="AX29" s="280"/>
      <c r="AY29" s="280"/>
      <c r="AZ29" s="276"/>
      <c r="BA29" s="280"/>
      <c r="BB29" s="280"/>
      <c r="BC29" s="280"/>
      <c r="BD29" s="280"/>
      <c r="BE29" s="276"/>
      <c r="BF29" s="191"/>
      <c r="BG29" s="191"/>
      <c r="BH29" s="191"/>
      <c r="BI29" s="28"/>
      <c r="BJ29" s="276"/>
      <c r="BK29" s="191"/>
      <c r="BL29" s="191"/>
      <c r="BM29" s="191"/>
      <c r="BN29" s="191"/>
      <c r="BO29" s="276"/>
      <c r="BP29" s="191"/>
      <c r="BQ29" s="191"/>
      <c r="BR29" s="191"/>
      <c r="BS29" s="191"/>
      <c r="BT29" s="276"/>
      <c r="BU29" s="191"/>
      <c r="BV29" s="191"/>
      <c r="BW29" s="191"/>
      <c r="BX29" s="191"/>
      <c r="BY29" s="276"/>
      <c r="BZ29" s="191"/>
      <c r="CA29" s="191"/>
      <c r="CB29" s="191"/>
      <c r="CC29" s="191"/>
      <c r="CD29" s="276"/>
      <c r="CE29" s="12"/>
      <c r="CF29" s="229"/>
    </row>
    <row r="30" spans="1:84" s="198" customFormat="1" outlineLevel="1" x14ac:dyDescent="0.15">
      <c r="A30" s="12"/>
      <c r="B30" s="230" t="s">
        <v>136</v>
      </c>
      <c r="C30" s="231"/>
      <c r="D30" s="231"/>
      <c r="E30" s="231"/>
      <c r="F30" s="231"/>
      <c r="G30" s="232"/>
      <c r="H30" s="231"/>
      <c r="I30" s="231"/>
      <c r="J30" s="231"/>
      <c r="K30" s="231"/>
      <c r="L30" s="232"/>
      <c r="M30" s="231"/>
      <c r="N30" s="231"/>
      <c r="O30" s="231"/>
      <c r="P30" s="231"/>
      <c r="Q30" s="232"/>
      <c r="R30" s="231"/>
      <c r="S30" s="231"/>
      <c r="T30" s="231"/>
      <c r="U30" s="231"/>
      <c r="V30" s="233"/>
      <c r="W30" s="234"/>
      <c r="X30" s="234"/>
      <c r="Y30" s="234"/>
      <c r="Z30" s="234"/>
      <c r="AA30" s="233"/>
      <c r="AB30" s="234"/>
      <c r="AC30" s="234"/>
      <c r="AD30" s="234"/>
      <c r="AE30" s="234"/>
      <c r="AF30" s="233"/>
      <c r="AG30" s="234"/>
      <c r="AH30" s="234"/>
      <c r="AI30" s="234"/>
      <c r="AJ30" s="234"/>
      <c r="AK30" s="233"/>
      <c r="AL30" s="234"/>
      <c r="AM30" s="234"/>
      <c r="AN30" s="234"/>
      <c r="AO30" s="234"/>
      <c r="AP30" s="233"/>
      <c r="AQ30" s="283"/>
      <c r="AR30" s="231"/>
      <c r="AS30" s="236"/>
      <c r="AT30" s="236"/>
      <c r="AU30" s="235"/>
      <c r="AV30" s="236"/>
      <c r="AW30" s="236"/>
      <c r="AX30" s="236"/>
      <c r="AY30" s="236"/>
      <c r="AZ30" s="235"/>
      <c r="BA30" s="236"/>
      <c r="BB30" s="236"/>
      <c r="BC30" s="236"/>
      <c r="BD30" s="236"/>
      <c r="BE30" s="235"/>
      <c r="BF30" s="237"/>
      <c r="BG30" s="237"/>
      <c r="BH30" s="237"/>
      <c r="BI30" s="237"/>
      <c r="BJ30" s="235"/>
      <c r="BK30" s="237"/>
      <c r="BL30" s="237"/>
      <c r="BM30" s="237"/>
      <c r="BN30" s="237"/>
      <c r="BO30" s="235"/>
      <c r="BP30" s="237"/>
      <c r="BQ30" s="237"/>
      <c r="BR30" s="237"/>
      <c r="BS30" s="237"/>
      <c r="BT30" s="235"/>
      <c r="BU30" s="237"/>
      <c r="BV30" s="237"/>
      <c r="BW30" s="237"/>
      <c r="BX30" s="237"/>
      <c r="BY30" s="235"/>
      <c r="BZ30" s="237"/>
      <c r="CA30" s="237"/>
      <c r="CB30" s="237"/>
      <c r="CC30" s="237"/>
      <c r="CD30" s="235"/>
      <c r="CE30" s="12"/>
      <c r="CF30" s="229"/>
    </row>
    <row r="31" spans="1:84" s="198" customFormat="1" outlineLevel="2" x14ac:dyDescent="0.15">
      <c r="A31" s="12"/>
      <c r="B31" s="238" t="s">
        <v>137</v>
      </c>
      <c r="C31" s="231"/>
      <c r="D31" s="231"/>
      <c r="E31" s="231"/>
      <c r="F31" s="231"/>
      <c r="G31" s="232"/>
      <c r="H31" s="231"/>
      <c r="I31" s="231"/>
      <c r="J31" s="231"/>
      <c r="K31" s="231"/>
      <c r="L31" s="232"/>
      <c r="M31" s="231"/>
      <c r="N31" s="231"/>
      <c r="O31" s="231"/>
      <c r="P31" s="231"/>
      <c r="Q31" s="232"/>
      <c r="R31" s="231"/>
      <c r="S31" s="231"/>
      <c r="T31" s="231"/>
      <c r="U31" s="231"/>
      <c r="V31" s="233"/>
      <c r="W31" s="234"/>
      <c r="X31" s="234"/>
      <c r="Y31" s="234"/>
      <c r="Z31" s="234"/>
      <c r="AA31" s="233"/>
      <c r="AB31" s="234"/>
      <c r="AC31" s="234"/>
      <c r="AD31" s="234"/>
      <c r="AE31" s="234"/>
      <c r="AF31" s="233"/>
      <c r="AG31" s="234"/>
      <c r="AH31" s="234"/>
      <c r="AI31" s="234"/>
      <c r="AJ31" s="234"/>
      <c r="AK31" s="233"/>
      <c r="AL31" s="234"/>
      <c r="AM31" s="234"/>
      <c r="AN31" s="234"/>
      <c r="AO31" s="234"/>
      <c r="AP31" s="233"/>
      <c r="AQ31" s="283"/>
      <c r="AR31" s="231"/>
      <c r="AS31" s="236"/>
      <c r="AT31" s="236"/>
      <c r="AU31" s="235"/>
      <c r="AV31" s="236">
        <v>60</v>
      </c>
      <c r="AW31" s="236">
        <v>66</v>
      </c>
      <c r="AX31" s="236">
        <v>62</v>
      </c>
      <c r="AY31" s="236">
        <v>62</v>
      </c>
      <c r="AZ31" s="235">
        <f>SUM(AV31:AY31)</f>
        <v>250</v>
      </c>
      <c r="BA31" s="236">
        <v>60</v>
      </c>
      <c r="BB31" s="236">
        <v>59</v>
      </c>
      <c r="BC31" s="239">
        <v>57</v>
      </c>
      <c r="BD31" s="239">
        <v>61</v>
      </c>
      <c r="BE31" s="235">
        <f>SUM(BA31:BD31)</f>
        <v>237</v>
      </c>
      <c r="BF31" s="240">
        <v>57</v>
      </c>
      <c r="BG31" s="240">
        <v>57</v>
      </c>
      <c r="BH31" s="240">
        <v>57</v>
      </c>
      <c r="BI31" s="240">
        <v>57</v>
      </c>
      <c r="BJ31" s="235">
        <f>SUM(BF31:BI31)</f>
        <v>228</v>
      </c>
      <c r="BK31" s="241"/>
      <c r="BL31" s="241"/>
      <c r="BM31" s="241"/>
      <c r="BN31" s="241"/>
      <c r="BO31" s="235">
        <f>BJ31*(1+BO32)</f>
        <v>218.88</v>
      </c>
      <c r="BP31" s="241"/>
      <c r="BQ31" s="241"/>
      <c r="BR31" s="241"/>
      <c r="BS31" s="241"/>
      <c r="BT31" s="235">
        <f>BO31*(1+BT32)</f>
        <v>210.12479999999999</v>
      </c>
      <c r="BU31" s="241"/>
      <c r="BV31" s="241"/>
      <c r="BW31" s="241"/>
      <c r="BX31" s="241"/>
      <c r="BY31" s="235">
        <f>BT31*(1+BY32)</f>
        <v>201.71980799999997</v>
      </c>
      <c r="BZ31" s="241"/>
      <c r="CA31" s="241"/>
      <c r="CB31" s="241"/>
      <c r="CC31" s="241"/>
      <c r="CD31" s="235">
        <f>BY31*(1+CD32)</f>
        <v>193.65101567999997</v>
      </c>
      <c r="CE31" s="12"/>
      <c r="CF31" s="229"/>
    </row>
    <row r="32" spans="1:84" s="198" customFormat="1" outlineLevel="2" x14ac:dyDescent="0.15">
      <c r="A32" s="12"/>
      <c r="B32" s="245" t="s">
        <v>126</v>
      </c>
      <c r="C32" s="231"/>
      <c r="D32" s="231"/>
      <c r="E32" s="231"/>
      <c r="F32" s="231"/>
      <c r="G32" s="232"/>
      <c r="H32" s="231"/>
      <c r="I32" s="231"/>
      <c r="J32" s="231"/>
      <c r="K32" s="231"/>
      <c r="L32" s="232"/>
      <c r="M32" s="231"/>
      <c r="N32" s="231"/>
      <c r="O32" s="231"/>
      <c r="P32" s="231"/>
      <c r="Q32" s="232"/>
      <c r="R32" s="231"/>
      <c r="S32" s="231"/>
      <c r="T32" s="231"/>
      <c r="U32" s="231"/>
      <c r="V32" s="233"/>
      <c r="W32" s="234"/>
      <c r="X32" s="234"/>
      <c r="Y32" s="234"/>
      <c r="Z32" s="234"/>
      <c r="AA32" s="233"/>
      <c r="AB32" s="234"/>
      <c r="AC32" s="234"/>
      <c r="AD32" s="234"/>
      <c r="AE32" s="234"/>
      <c r="AF32" s="233"/>
      <c r="AG32" s="234"/>
      <c r="AH32" s="234"/>
      <c r="AI32" s="234"/>
      <c r="AJ32" s="234"/>
      <c r="AK32" s="233"/>
      <c r="AL32" s="234"/>
      <c r="AM32" s="234"/>
      <c r="AN32" s="234"/>
      <c r="AO32" s="234"/>
      <c r="AP32" s="233"/>
      <c r="AQ32" s="283"/>
      <c r="AR32" s="231"/>
      <c r="AS32" s="236"/>
      <c r="AT32" s="236"/>
      <c r="AU32" s="235"/>
      <c r="AV32" s="236"/>
      <c r="AW32" s="236"/>
      <c r="AX32" s="236"/>
      <c r="AY32" s="236"/>
      <c r="AZ32" s="235"/>
      <c r="BA32" s="284">
        <f>BA31/AV31-1</f>
        <v>0</v>
      </c>
      <c r="BB32" s="284">
        <f>BB31/AW31-1</f>
        <v>-0.10606060606060608</v>
      </c>
      <c r="BC32" s="247">
        <f t="shared" ref="BC32:BJ36" si="10">BC31/AX31-1</f>
        <v>-8.064516129032262E-2</v>
      </c>
      <c r="BD32" s="247">
        <f t="shared" si="10"/>
        <v>-1.6129032258064502E-2</v>
      </c>
      <c r="BE32" s="246">
        <f t="shared" si="10"/>
        <v>-5.2000000000000046E-2</v>
      </c>
      <c r="BF32" s="247">
        <f t="shared" si="10"/>
        <v>-5.0000000000000044E-2</v>
      </c>
      <c r="BG32" s="247">
        <f t="shared" si="10"/>
        <v>-3.3898305084745783E-2</v>
      </c>
      <c r="BH32" s="247">
        <f t="shared" si="10"/>
        <v>0</v>
      </c>
      <c r="BI32" s="247">
        <f t="shared" si="10"/>
        <v>-6.557377049180324E-2</v>
      </c>
      <c r="BJ32" s="246">
        <f t="shared" si="10"/>
        <v>-3.7974683544303778E-2</v>
      </c>
      <c r="BK32" s="237"/>
      <c r="BL32" s="237"/>
      <c r="BM32" s="237"/>
      <c r="BN32" s="237"/>
      <c r="BO32" s="248">
        <v>-0.04</v>
      </c>
      <c r="BP32" s="237"/>
      <c r="BQ32" s="237"/>
      <c r="BR32" s="237"/>
      <c r="BS32" s="237"/>
      <c r="BT32" s="248">
        <v>-0.04</v>
      </c>
      <c r="BU32" s="237"/>
      <c r="BV32" s="237"/>
      <c r="BW32" s="237"/>
      <c r="BX32" s="237"/>
      <c r="BY32" s="248">
        <v>-0.04</v>
      </c>
      <c r="BZ32" s="237"/>
      <c r="CA32" s="237"/>
      <c r="CB32" s="237"/>
      <c r="CC32" s="237"/>
      <c r="CD32" s="248">
        <v>-0.04</v>
      </c>
      <c r="CE32" s="12"/>
      <c r="CF32" s="229"/>
    </row>
    <row r="33" spans="1:84" s="198" customFormat="1" outlineLevel="2" x14ac:dyDescent="0.15">
      <c r="A33" s="12"/>
      <c r="B33" s="238" t="s">
        <v>138</v>
      </c>
      <c r="C33" s="231"/>
      <c r="D33" s="231"/>
      <c r="E33" s="231"/>
      <c r="F33" s="231"/>
      <c r="G33" s="232"/>
      <c r="H33" s="231"/>
      <c r="I33" s="231"/>
      <c r="J33" s="231"/>
      <c r="K33" s="231"/>
      <c r="L33" s="232"/>
      <c r="M33" s="231"/>
      <c r="N33" s="231"/>
      <c r="O33" s="231"/>
      <c r="P33" s="231"/>
      <c r="Q33" s="232"/>
      <c r="R33" s="231"/>
      <c r="S33" s="231"/>
      <c r="T33" s="231"/>
      <c r="U33" s="231"/>
      <c r="V33" s="233"/>
      <c r="W33" s="234"/>
      <c r="X33" s="234"/>
      <c r="Y33" s="234"/>
      <c r="Z33" s="234"/>
      <c r="AA33" s="233"/>
      <c r="AB33" s="234"/>
      <c r="AC33" s="234"/>
      <c r="AD33" s="234"/>
      <c r="AE33" s="234"/>
      <c r="AF33" s="233"/>
      <c r="AG33" s="234"/>
      <c r="AH33" s="234"/>
      <c r="AI33" s="234"/>
      <c r="AJ33" s="234"/>
      <c r="AK33" s="233"/>
      <c r="AL33" s="234"/>
      <c r="AM33" s="234"/>
      <c r="AN33" s="234"/>
      <c r="AO33" s="234"/>
      <c r="AP33" s="233"/>
      <c r="AQ33" s="283"/>
      <c r="AR33" s="231"/>
      <c r="AS33" s="236"/>
      <c r="AT33" s="236"/>
      <c r="AU33" s="235"/>
      <c r="AV33" s="236">
        <v>55</v>
      </c>
      <c r="AW33" s="236">
        <v>49</v>
      </c>
      <c r="AX33" s="236">
        <v>41</v>
      </c>
      <c r="AY33" s="236">
        <v>46</v>
      </c>
      <c r="AZ33" s="235">
        <f>SUM(AV33:AY33)</f>
        <v>191</v>
      </c>
      <c r="BA33" s="236">
        <v>42</v>
      </c>
      <c r="BB33" s="236">
        <v>46</v>
      </c>
      <c r="BC33" s="239">
        <v>54</v>
      </c>
      <c r="BD33" s="239">
        <v>54</v>
      </c>
      <c r="BE33" s="235">
        <f>SUM(BA33:BD33)</f>
        <v>196</v>
      </c>
      <c r="BF33" s="240">
        <v>45</v>
      </c>
      <c r="BG33" s="240">
        <v>50</v>
      </c>
      <c r="BH33" s="240">
        <v>55</v>
      </c>
      <c r="BI33" s="240">
        <v>55</v>
      </c>
      <c r="BJ33" s="235">
        <f>SUM(BF33:BI33)</f>
        <v>205</v>
      </c>
      <c r="BK33" s="241"/>
      <c r="BL33" s="241"/>
      <c r="BM33" s="241"/>
      <c r="BN33" s="241"/>
      <c r="BO33" s="235">
        <f>BJ33*(1+BO34)</f>
        <v>211.15</v>
      </c>
      <c r="BP33" s="241"/>
      <c r="BQ33" s="241"/>
      <c r="BR33" s="241"/>
      <c r="BS33" s="241"/>
      <c r="BT33" s="235">
        <f>BO33*(1+BT34)</f>
        <v>211.15</v>
      </c>
      <c r="BU33" s="241"/>
      <c r="BV33" s="241"/>
      <c r="BW33" s="241"/>
      <c r="BX33" s="241"/>
      <c r="BY33" s="235">
        <f>BT33*(1+BY34)</f>
        <v>211.15</v>
      </c>
      <c r="BZ33" s="241"/>
      <c r="CA33" s="241"/>
      <c r="CB33" s="241"/>
      <c r="CC33" s="241"/>
      <c r="CD33" s="235">
        <f>BY33*(1+CD34)</f>
        <v>211.15</v>
      </c>
      <c r="CE33" s="12"/>
      <c r="CF33" s="229"/>
    </row>
    <row r="34" spans="1:84" s="198" customFormat="1" outlineLevel="2" x14ac:dyDescent="0.15">
      <c r="A34" s="12"/>
      <c r="B34" s="245" t="s">
        <v>126</v>
      </c>
      <c r="C34" s="231"/>
      <c r="D34" s="231"/>
      <c r="E34" s="231"/>
      <c r="F34" s="231"/>
      <c r="G34" s="232"/>
      <c r="H34" s="231"/>
      <c r="I34" s="231"/>
      <c r="J34" s="231"/>
      <c r="K34" s="231"/>
      <c r="L34" s="232"/>
      <c r="M34" s="231"/>
      <c r="N34" s="231"/>
      <c r="O34" s="231"/>
      <c r="P34" s="231"/>
      <c r="Q34" s="232"/>
      <c r="R34" s="231"/>
      <c r="S34" s="231"/>
      <c r="T34" s="231"/>
      <c r="U34" s="231"/>
      <c r="V34" s="233"/>
      <c r="W34" s="234"/>
      <c r="X34" s="234"/>
      <c r="Y34" s="234"/>
      <c r="Z34" s="234"/>
      <c r="AA34" s="233"/>
      <c r="AB34" s="234"/>
      <c r="AC34" s="234"/>
      <c r="AD34" s="234"/>
      <c r="AE34" s="234"/>
      <c r="AF34" s="233"/>
      <c r="AG34" s="234"/>
      <c r="AH34" s="234"/>
      <c r="AI34" s="234"/>
      <c r="AJ34" s="234"/>
      <c r="AK34" s="233"/>
      <c r="AL34" s="234"/>
      <c r="AM34" s="234"/>
      <c r="AN34" s="234"/>
      <c r="AO34" s="234"/>
      <c r="AP34" s="233"/>
      <c r="AQ34" s="283"/>
      <c r="AR34" s="231"/>
      <c r="AS34" s="236"/>
      <c r="AT34" s="236"/>
      <c r="AU34" s="235"/>
      <c r="AV34" s="236"/>
      <c r="AW34" s="236"/>
      <c r="AX34" s="236"/>
      <c r="AY34" s="236"/>
      <c r="AZ34" s="235"/>
      <c r="BA34" s="284">
        <f>BA33/AV33-1</f>
        <v>-0.23636363636363633</v>
      </c>
      <c r="BB34" s="284">
        <f>BB33/AW33-1</f>
        <v>-6.1224489795918324E-2</v>
      </c>
      <c r="BC34" s="247">
        <f t="shared" ref="BC34:BI34" si="11">BC33/AX33-1</f>
        <v>0.31707317073170738</v>
      </c>
      <c r="BD34" s="247">
        <f t="shared" si="11"/>
        <v>0.17391304347826098</v>
      </c>
      <c r="BE34" s="246">
        <f t="shared" si="11"/>
        <v>2.6178010471204161E-2</v>
      </c>
      <c r="BF34" s="247">
        <f t="shared" si="11"/>
        <v>7.1428571428571397E-2</v>
      </c>
      <c r="BG34" s="247">
        <f t="shared" si="11"/>
        <v>8.6956521739130377E-2</v>
      </c>
      <c r="BH34" s="247">
        <f t="shared" si="11"/>
        <v>1.8518518518518601E-2</v>
      </c>
      <c r="BI34" s="247">
        <f t="shared" si="11"/>
        <v>1.8518518518518601E-2</v>
      </c>
      <c r="BJ34" s="246">
        <f t="shared" si="10"/>
        <v>4.5918367346938771E-2</v>
      </c>
      <c r="BK34" s="237"/>
      <c r="BL34" s="237"/>
      <c r="BM34" s="237"/>
      <c r="BN34" s="237"/>
      <c r="BO34" s="248">
        <v>0.03</v>
      </c>
      <c r="BP34" s="237"/>
      <c r="BQ34" s="237"/>
      <c r="BR34" s="237"/>
      <c r="BS34" s="237"/>
      <c r="BT34" s="248">
        <v>0</v>
      </c>
      <c r="BU34" s="237"/>
      <c r="BV34" s="237"/>
      <c r="BW34" s="237"/>
      <c r="BX34" s="237"/>
      <c r="BY34" s="248">
        <v>0</v>
      </c>
      <c r="BZ34" s="237"/>
      <c r="CA34" s="237"/>
      <c r="CB34" s="237"/>
      <c r="CC34" s="237"/>
      <c r="CD34" s="248">
        <v>0</v>
      </c>
      <c r="CE34" s="12"/>
      <c r="CF34" s="229"/>
    </row>
    <row r="35" spans="1:84" s="198" customFormat="1" outlineLevel="2" x14ac:dyDescent="0.15">
      <c r="A35" s="12"/>
      <c r="B35" s="238" t="s">
        <v>139</v>
      </c>
      <c r="C35" s="231"/>
      <c r="D35" s="231"/>
      <c r="E35" s="231"/>
      <c r="F35" s="231"/>
      <c r="G35" s="232"/>
      <c r="H35" s="231"/>
      <c r="I35" s="231"/>
      <c r="J35" s="231"/>
      <c r="K35" s="231"/>
      <c r="L35" s="232"/>
      <c r="M35" s="231"/>
      <c r="N35" s="231"/>
      <c r="O35" s="231"/>
      <c r="P35" s="231"/>
      <c r="Q35" s="232"/>
      <c r="R35" s="231"/>
      <c r="S35" s="231"/>
      <c r="T35" s="231"/>
      <c r="U35" s="231"/>
      <c r="V35" s="233"/>
      <c r="W35" s="234"/>
      <c r="X35" s="234"/>
      <c r="Y35" s="234"/>
      <c r="Z35" s="234"/>
      <c r="AA35" s="233"/>
      <c r="AB35" s="234"/>
      <c r="AC35" s="234"/>
      <c r="AD35" s="234"/>
      <c r="AE35" s="234"/>
      <c r="AF35" s="233"/>
      <c r="AG35" s="234"/>
      <c r="AH35" s="234"/>
      <c r="AI35" s="234"/>
      <c r="AJ35" s="234"/>
      <c r="AK35" s="233"/>
      <c r="AL35" s="234"/>
      <c r="AM35" s="234"/>
      <c r="AN35" s="234"/>
      <c r="AO35" s="234"/>
      <c r="AP35" s="233"/>
      <c r="AQ35" s="283"/>
      <c r="AR35" s="231"/>
      <c r="AS35" s="236"/>
      <c r="AT35" s="236"/>
      <c r="AU35" s="235"/>
      <c r="AV35" s="236">
        <v>22</v>
      </c>
      <c r="AW35" s="236">
        <v>26</v>
      </c>
      <c r="AX35" s="236">
        <v>20</v>
      </c>
      <c r="AY35" s="236">
        <v>27</v>
      </c>
      <c r="AZ35" s="235">
        <f>SUM(AV35:AY35)</f>
        <v>95</v>
      </c>
      <c r="BA35" s="236">
        <v>30</v>
      </c>
      <c r="BB35" s="236">
        <v>30</v>
      </c>
      <c r="BC35" s="239">
        <v>26</v>
      </c>
      <c r="BD35" s="239">
        <v>39</v>
      </c>
      <c r="BE35" s="235">
        <f>SUM(BA35:BD35)</f>
        <v>125</v>
      </c>
      <c r="BF35" s="240">
        <v>34</v>
      </c>
      <c r="BG35" s="240">
        <v>34</v>
      </c>
      <c r="BH35" s="240">
        <v>30</v>
      </c>
      <c r="BI35" s="240">
        <v>40</v>
      </c>
      <c r="BJ35" s="235">
        <f>SUM(BF35:BI35)</f>
        <v>138</v>
      </c>
      <c r="BK35" s="241"/>
      <c r="BL35" s="241"/>
      <c r="BM35" s="241"/>
      <c r="BN35" s="241"/>
      <c r="BO35" s="235">
        <f>BJ35*(1+BO36)</f>
        <v>146.28</v>
      </c>
      <c r="BP35" s="241"/>
      <c r="BQ35" s="241"/>
      <c r="BR35" s="241"/>
      <c r="BS35" s="241"/>
      <c r="BT35" s="235">
        <f>BO35*(1+BT36)</f>
        <v>153.59399999999999</v>
      </c>
      <c r="BU35" s="241"/>
      <c r="BV35" s="241"/>
      <c r="BW35" s="241"/>
      <c r="BX35" s="241"/>
      <c r="BY35" s="235">
        <f>BT35*(1+BY36)</f>
        <v>159.73776000000001</v>
      </c>
      <c r="BZ35" s="241"/>
      <c r="CA35" s="241"/>
      <c r="CB35" s="241"/>
      <c r="CC35" s="241"/>
      <c r="CD35" s="235">
        <f>BY35*(1+CD36)</f>
        <v>164.5298928</v>
      </c>
      <c r="CE35" s="12"/>
      <c r="CF35" s="229"/>
    </row>
    <row r="36" spans="1:84" s="198" customFormat="1" outlineLevel="2" x14ac:dyDescent="0.15">
      <c r="A36" s="12"/>
      <c r="B36" s="245" t="s">
        <v>126</v>
      </c>
      <c r="C36" s="231"/>
      <c r="D36" s="231"/>
      <c r="E36" s="231"/>
      <c r="F36" s="231"/>
      <c r="G36" s="232"/>
      <c r="H36" s="231"/>
      <c r="I36" s="231"/>
      <c r="J36" s="231"/>
      <c r="K36" s="231"/>
      <c r="L36" s="232"/>
      <c r="M36" s="231"/>
      <c r="N36" s="231"/>
      <c r="O36" s="231"/>
      <c r="P36" s="231"/>
      <c r="Q36" s="232"/>
      <c r="R36" s="231"/>
      <c r="S36" s="231"/>
      <c r="T36" s="231"/>
      <c r="U36" s="231"/>
      <c r="V36" s="233"/>
      <c r="W36" s="234"/>
      <c r="X36" s="234"/>
      <c r="Y36" s="234"/>
      <c r="Z36" s="234"/>
      <c r="AA36" s="233"/>
      <c r="AB36" s="234"/>
      <c r="AC36" s="234"/>
      <c r="AD36" s="234"/>
      <c r="AE36" s="234"/>
      <c r="AF36" s="233"/>
      <c r="AG36" s="234"/>
      <c r="AH36" s="234"/>
      <c r="AI36" s="234"/>
      <c r="AJ36" s="234"/>
      <c r="AK36" s="233"/>
      <c r="AL36" s="234"/>
      <c r="AM36" s="234"/>
      <c r="AN36" s="234"/>
      <c r="AO36" s="234"/>
      <c r="AP36" s="233"/>
      <c r="AQ36" s="283"/>
      <c r="AR36" s="231"/>
      <c r="AS36" s="236"/>
      <c r="AT36" s="236"/>
      <c r="AU36" s="235"/>
      <c r="AV36" s="236"/>
      <c r="AW36" s="236"/>
      <c r="AX36" s="236"/>
      <c r="AY36" s="236"/>
      <c r="AZ36" s="235"/>
      <c r="BA36" s="284">
        <f>BA35/AV35-1</f>
        <v>0.36363636363636354</v>
      </c>
      <c r="BB36" s="284">
        <f>BB35/AW35-1</f>
        <v>0.15384615384615374</v>
      </c>
      <c r="BC36" s="247">
        <f>BC35/AX35-1</f>
        <v>0.30000000000000004</v>
      </c>
      <c r="BD36" s="247">
        <f>BD35/AY35-1</f>
        <v>0.44444444444444442</v>
      </c>
      <c r="BE36" s="246">
        <f t="shared" ref="BE36:BI36" si="12">BE35/AZ35-1</f>
        <v>0.31578947368421062</v>
      </c>
      <c r="BF36" s="247">
        <f t="shared" si="12"/>
        <v>0.1333333333333333</v>
      </c>
      <c r="BG36" s="247">
        <f t="shared" si="12"/>
        <v>0.1333333333333333</v>
      </c>
      <c r="BH36" s="247">
        <f t="shared" si="12"/>
        <v>0.15384615384615374</v>
      </c>
      <c r="BI36" s="247">
        <f t="shared" si="12"/>
        <v>2.564102564102555E-2</v>
      </c>
      <c r="BJ36" s="246">
        <f t="shared" si="10"/>
        <v>0.10400000000000009</v>
      </c>
      <c r="BK36" s="237"/>
      <c r="BL36" s="237"/>
      <c r="BM36" s="237"/>
      <c r="BN36" s="237"/>
      <c r="BO36" s="248">
        <v>0.06</v>
      </c>
      <c r="BP36" s="237"/>
      <c r="BQ36" s="237"/>
      <c r="BR36" s="237"/>
      <c r="BS36" s="237"/>
      <c r="BT36" s="248">
        <v>0.05</v>
      </c>
      <c r="BU36" s="237"/>
      <c r="BV36" s="237"/>
      <c r="BW36" s="237"/>
      <c r="BX36" s="237"/>
      <c r="BY36" s="248">
        <v>0.04</v>
      </c>
      <c r="BZ36" s="237"/>
      <c r="CA36" s="237"/>
      <c r="CB36" s="237"/>
      <c r="CC36" s="237"/>
      <c r="CD36" s="248">
        <v>0.03</v>
      </c>
      <c r="CE36" s="12"/>
      <c r="CF36" s="229"/>
    </row>
    <row r="37" spans="1:84" s="198" customFormat="1" outlineLevel="2" x14ac:dyDescent="0.15">
      <c r="A37" s="12"/>
      <c r="B37" s="238" t="s">
        <v>140</v>
      </c>
      <c r="C37" s="231"/>
      <c r="D37" s="231"/>
      <c r="E37" s="231"/>
      <c r="F37" s="231"/>
      <c r="G37" s="232"/>
      <c r="H37" s="231"/>
      <c r="I37" s="231"/>
      <c r="J37" s="231"/>
      <c r="K37" s="231"/>
      <c r="L37" s="232"/>
      <c r="M37" s="231"/>
      <c r="N37" s="231"/>
      <c r="O37" s="231"/>
      <c r="P37" s="231"/>
      <c r="Q37" s="232"/>
      <c r="R37" s="231"/>
      <c r="S37" s="231"/>
      <c r="T37" s="231"/>
      <c r="U37" s="231"/>
      <c r="V37" s="233"/>
      <c r="W37" s="234"/>
      <c r="X37" s="234"/>
      <c r="Y37" s="234"/>
      <c r="Z37" s="234"/>
      <c r="AA37" s="233"/>
      <c r="AB37" s="234"/>
      <c r="AC37" s="234"/>
      <c r="AD37" s="234"/>
      <c r="AE37" s="234"/>
      <c r="AF37" s="233"/>
      <c r="AG37" s="234"/>
      <c r="AH37" s="234"/>
      <c r="AI37" s="234"/>
      <c r="AJ37" s="234"/>
      <c r="AK37" s="233"/>
      <c r="AL37" s="234"/>
      <c r="AM37" s="234"/>
      <c r="AN37" s="234"/>
      <c r="AO37" s="234"/>
      <c r="AP37" s="233"/>
      <c r="AQ37" s="283"/>
      <c r="AR37" s="231"/>
      <c r="AS37" s="236"/>
      <c r="AT37" s="236"/>
      <c r="AU37" s="235"/>
      <c r="AV37" s="236">
        <v>24</v>
      </c>
      <c r="AW37" s="236">
        <v>27</v>
      </c>
      <c r="AX37" s="236">
        <v>26</v>
      </c>
      <c r="AY37" s="236">
        <v>25</v>
      </c>
      <c r="AZ37" s="235">
        <f>SUM(AV37:AY37)</f>
        <v>102</v>
      </c>
      <c r="BA37" s="236">
        <v>28</v>
      </c>
      <c r="BB37" s="236">
        <v>29</v>
      </c>
      <c r="BC37" s="239">
        <v>31</v>
      </c>
      <c r="BD37" s="239">
        <v>28</v>
      </c>
      <c r="BE37" s="235">
        <f>SUM(BA37:BD37)</f>
        <v>116</v>
      </c>
      <c r="BF37" s="240">
        <v>28</v>
      </c>
      <c r="BG37" s="240">
        <v>32</v>
      </c>
      <c r="BH37" s="240">
        <v>34</v>
      </c>
      <c r="BI37" s="240">
        <v>33</v>
      </c>
      <c r="BJ37" s="235">
        <f>SUM(BF37:BI37)</f>
        <v>127</v>
      </c>
      <c r="BK37" s="241"/>
      <c r="BL37" s="241"/>
      <c r="BM37" s="241"/>
      <c r="BN37" s="241"/>
      <c r="BO37" s="235">
        <f>BJ37*(1+BO38)</f>
        <v>137.16</v>
      </c>
      <c r="BP37" s="241"/>
      <c r="BQ37" s="241"/>
      <c r="BR37" s="241"/>
      <c r="BS37" s="241"/>
      <c r="BT37" s="235">
        <f>BO37*(1+BT38)</f>
        <v>145.3896</v>
      </c>
      <c r="BU37" s="241"/>
      <c r="BV37" s="241"/>
      <c r="BW37" s="241"/>
      <c r="BX37" s="241"/>
      <c r="BY37" s="235">
        <f>BT37*(1+BY38)</f>
        <v>152.65908000000002</v>
      </c>
      <c r="BZ37" s="241"/>
      <c r="CA37" s="241"/>
      <c r="CB37" s="241"/>
      <c r="CC37" s="241"/>
      <c r="CD37" s="235">
        <f>BY37*(1+CD38)</f>
        <v>158.76544320000002</v>
      </c>
      <c r="CE37" s="12"/>
      <c r="CF37" s="229"/>
    </row>
    <row r="38" spans="1:84" s="285" customFormat="1" outlineLevel="2" x14ac:dyDescent="0.15">
      <c r="B38" s="245" t="s">
        <v>126</v>
      </c>
      <c r="C38" s="236"/>
      <c r="D38" s="236"/>
      <c r="E38" s="236"/>
      <c r="F38" s="236"/>
      <c r="G38" s="235"/>
      <c r="H38" s="236"/>
      <c r="I38" s="236"/>
      <c r="J38" s="236"/>
      <c r="K38" s="236"/>
      <c r="L38" s="235"/>
      <c r="M38" s="236"/>
      <c r="N38" s="236"/>
      <c r="O38" s="236"/>
      <c r="P38" s="236"/>
      <c r="Q38" s="235"/>
      <c r="R38" s="236"/>
      <c r="S38" s="236"/>
      <c r="T38" s="236"/>
      <c r="U38" s="236"/>
      <c r="V38" s="235"/>
      <c r="W38" s="236"/>
      <c r="X38" s="236"/>
      <c r="Y38" s="236"/>
      <c r="Z38" s="236"/>
      <c r="AA38" s="235"/>
      <c r="AB38" s="236"/>
      <c r="AC38" s="236"/>
      <c r="AD38" s="236"/>
      <c r="AE38" s="236"/>
      <c r="AF38" s="235"/>
      <c r="AG38" s="236"/>
      <c r="AH38" s="236"/>
      <c r="AI38" s="236"/>
      <c r="AJ38" s="286"/>
      <c r="AK38" s="235"/>
      <c r="AL38" s="287"/>
      <c r="AM38" s="239"/>
      <c r="AN38" s="288"/>
      <c r="AO38" s="240"/>
      <c r="AP38" s="235"/>
      <c r="AQ38" s="289"/>
      <c r="AR38" s="236"/>
      <c r="AS38" s="236"/>
      <c r="AT38" s="236"/>
      <c r="AU38" s="235"/>
      <c r="AV38" s="236"/>
      <c r="AW38" s="236"/>
      <c r="AX38" s="236"/>
      <c r="AY38" s="236"/>
      <c r="AZ38" s="235"/>
      <c r="BA38" s="284">
        <f>BA37/AV37-1</f>
        <v>0.16666666666666674</v>
      </c>
      <c r="BB38" s="284">
        <f>BB37/AW37-1</f>
        <v>7.4074074074074181E-2</v>
      </c>
      <c r="BC38" s="247">
        <f>BC37/AX37-1</f>
        <v>0.19230769230769229</v>
      </c>
      <c r="BD38" s="247">
        <f>BD37/AY37-1</f>
        <v>0.12000000000000011</v>
      </c>
      <c r="BE38" s="246">
        <f t="shared" ref="BE38:BJ42" si="13">BE37/AZ37-1</f>
        <v>0.13725490196078427</v>
      </c>
      <c r="BF38" s="247">
        <f t="shared" si="13"/>
        <v>0</v>
      </c>
      <c r="BG38" s="247">
        <f t="shared" si="13"/>
        <v>0.10344827586206895</v>
      </c>
      <c r="BH38" s="247">
        <f t="shared" si="13"/>
        <v>9.6774193548387011E-2</v>
      </c>
      <c r="BI38" s="247">
        <f t="shared" si="13"/>
        <v>0.1785714285714286</v>
      </c>
      <c r="BJ38" s="246">
        <f t="shared" si="13"/>
        <v>9.4827586206896575E-2</v>
      </c>
      <c r="BK38" s="237"/>
      <c r="BL38" s="237"/>
      <c r="BM38" s="237"/>
      <c r="BN38" s="237"/>
      <c r="BO38" s="248">
        <v>0.08</v>
      </c>
      <c r="BP38" s="237"/>
      <c r="BQ38" s="237"/>
      <c r="BR38" s="237"/>
      <c r="BS38" s="237"/>
      <c r="BT38" s="248">
        <v>0.06</v>
      </c>
      <c r="BU38" s="237"/>
      <c r="BV38" s="237"/>
      <c r="BW38" s="237"/>
      <c r="BX38" s="237"/>
      <c r="BY38" s="248">
        <v>0.05</v>
      </c>
      <c r="BZ38" s="237"/>
      <c r="CA38" s="237"/>
      <c r="CB38" s="237"/>
      <c r="CC38" s="237"/>
      <c r="CD38" s="248">
        <v>0.04</v>
      </c>
      <c r="CF38" s="229"/>
    </row>
    <row r="39" spans="1:84" s="252" customFormat="1" outlineLevel="2" x14ac:dyDescent="0.15">
      <c r="B39" s="238" t="s">
        <v>141</v>
      </c>
      <c r="C39" s="253"/>
      <c r="D39" s="254"/>
      <c r="E39" s="254"/>
      <c r="F39" s="254"/>
      <c r="G39" s="255"/>
      <c r="H39" s="254"/>
      <c r="I39" s="254"/>
      <c r="J39" s="254"/>
      <c r="K39" s="254"/>
      <c r="L39" s="255"/>
      <c r="M39" s="254"/>
      <c r="N39" s="254"/>
      <c r="O39" s="254"/>
      <c r="P39" s="254"/>
      <c r="Q39" s="255"/>
      <c r="R39" s="254"/>
      <c r="S39" s="254"/>
      <c r="T39" s="254"/>
      <c r="U39" s="254"/>
      <c r="V39" s="255"/>
      <c r="W39" s="256"/>
      <c r="X39" s="257"/>
      <c r="Y39" s="257"/>
      <c r="Z39" s="257"/>
      <c r="AA39" s="258"/>
      <c r="AB39" s="256"/>
      <c r="AC39" s="256"/>
      <c r="AD39" s="256"/>
      <c r="AE39" s="256"/>
      <c r="AF39" s="258"/>
      <c r="AG39" s="256"/>
      <c r="AH39" s="256"/>
      <c r="AI39" s="256"/>
      <c r="AJ39" s="256"/>
      <c r="AK39" s="258"/>
      <c r="AL39" s="257"/>
      <c r="AM39" s="257"/>
      <c r="AN39" s="257"/>
      <c r="AO39" s="257"/>
      <c r="AP39" s="258"/>
      <c r="AQ39" s="290"/>
      <c r="AR39" s="257"/>
      <c r="AS39" s="240"/>
      <c r="AT39" s="240"/>
      <c r="AU39" s="235"/>
      <c r="AV39" s="240"/>
      <c r="AW39" s="240"/>
      <c r="AX39" s="240"/>
      <c r="AY39" s="240"/>
      <c r="AZ39" s="235"/>
      <c r="BA39" s="240"/>
      <c r="BB39" s="240"/>
      <c r="BC39" s="240"/>
      <c r="BD39" s="240"/>
      <c r="BE39" s="235"/>
      <c r="BF39" s="240"/>
      <c r="BG39" s="240">
        <v>0</v>
      </c>
      <c r="BH39" s="240">
        <v>5</v>
      </c>
      <c r="BI39" s="240">
        <v>10</v>
      </c>
      <c r="BJ39" s="235">
        <f>SUM(BF39:BI39)</f>
        <v>15</v>
      </c>
      <c r="BK39" s="241"/>
      <c r="BL39" s="241"/>
      <c r="BM39" s="241"/>
      <c r="BN39" s="241"/>
      <c r="BO39" s="260">
        <v>50</v>
      </c>
      <c r="BP39" s="241"/>
      <c r="BQ39" s="241"/>
      <c r="BR39" s="241"/>
      <c r="BS39" s="241"/>
      <c r="BT39" s="260">
        <v>75</v>
      </c>
      <c r="BU39" s="241"/>
      <c r="BV39" s="241"/>
      <c r="BW39" s="241"/>
      <c r="BX39" s="241"/>
      <c r="BY39" s="260">
        <v>100</v>
      </c>
      <c r="BZ39" s="241"/>
      <c r="CA39" s="241"/>
      <c r="CB39" s="241"/>
      <c r="CC39" s="241"/>
      <c r="CD39" s="260">
        <v>125</v>
      </c>
      <c r="CF39" s="242"/>
    </row>
    <row r="40" spans="1:84" s="252" customFormat="1" outlineLevel="2" x14ac:dyDescent="0.15">
      <c r="B40" s="245" t="s">
        <v>126</v>
      </c>
      <c r="C40" s="253"/>
      <c r="D40" s="254"/>
      <c r="E40" s="254"/>
      <c r="F40" s="254"/>
      <c r="G40" s="255"/>
      <c r="H40" s="254"/>
      <c r="I40" s="254"/>
      <c r="J40" s="254"/>
      <c r="K40" s="254"/>
      <c r="L40" s="255"/>
      <c r="M40" s="254"/>
      <c r="N40" s="254"/>
      <c r="O40" s="254"/>
      <c r="P40" s="254"/>
      <c r="Q40" s="255"/>
      <c r="R40" s="254"/>
      <c r="S40" s="254"/>
      <c r="T40" s="254"/>
      <c r="U40" s="254"/>
      <c r="V40" s="255"/>
      <c r="W40" s="256"/>
      <c r="X40" s="257"/>
      <c r="Y40" s="257"/>
      <c r="Z40" s="257"/>
      <c r="AA40" s="258"/>
      <c r="AB40" s="256"/>
      <c r="AC40" s="256"/>
      <c r="AD40" s="256"/>
      <c r="AE40" s="256"/>
      <c r="AF40" s="258"/>
      <c r="AG40" s="256"/>
      <c r="AH40" s="256"/>
      <c r="AI40" s="256"/>
      <c r="AJ40" s="256"/>
      <c r="AK40" s="258"/>
      <c r="AL40" s="257"/>
      <c r="AM40" s="257"/>
      <c r="AN40" s="257"/>
      <c r="AO40" s="257"/>
      <c r="AP40" s="258"/>
      <c r="AQ40" s="290"/>
      <c r="AR40" s="257"/>
      <c r="AS40" s="247"/>
      <c r="AT40" s="247"/>
      <c r="AU40" s="258"/>
      <c r="AV40" s="257"/>
      <c r="AW40" s="247"/>
      <c r="AX40" s="247"/>
      <c r="AY40" s="247"/>
      <c r="AZ40" s="258"/>
      <c r="BA40" s="257"/>
      <c r="BB40" s="247"/>
      <c r="BC40" s="247"/>
      <c r="BD40" s="247"/>
      <c r="BE40" s="246"/>
      <c r="BF40" s="247"/>
      <c r="BG40" s="247"/>
      <c r="BH40" s="247"/>
      <c r="BI40" s="247"/>
      <c r="BJ40" s="235"/>
      <c r="BK40" s="241"/>
      <c r="BL40" s="241"/>
      <c r="BM40" s="241"/>
      <c r="BN40" s="241"/>
      <c r="BO40" s="246">
        <f>BO39/BJ39-1</f>
        <v>2.3333333333333335</v>
      </c>
      <c r="BP40" s="241"/>
      <c r="BQ40" s="241"/>
      <c r="BR40" s="241"/>
      <c r="BS40" s="241"/>
      <c r="BT40" s="246">
        <f>BT39/BO39-1</f>
        <v>0.5</v>
      </c>
      <c r="BU40" s="241"/>
      <c r="BV40" s="241"/>
      <c r="BW40" s="241"/>
      <c r="BX40" s="241"/>
      <c r="BY40" s="246">
        <f>BY39/BT39-1</f>
        <v>0.33333333333333326</v>
      </c>
      <c r="BZ40" s="241"/>
      <c r="CA40" s="241"/>
      <c r="CB40" s="241"/>
      <c r="CC40" s="241"/>
      <c r="CD40" s="246">
        <f>CD39/BY39-1</f>
        <v>0.25</v>
      </c>
      <c r="CF40" s="242"/>
    </row>
    <row r="41" spans="1:84" s="291" customFormat="1" outlineLevel="2" x14ac:dyDescent="0.15">
      <c r="B41" s="238" t="s">
        <v>142</v>
      </c>
      <c r="C41" s="292"/>
      <c r="D41" s="292"/>
      <c r="E41" s="292"/>
      <c r="F41" s="293"/>
      <c r="G41" s="294"/>
      <c r="H41" s="293"/>
      <c r="I41" s="293"/>
      <c r="J41" s="293"/>
      <c r="K41" s="293"/>
      <c r="L41" s="294"/>
      <c r="M41" s="293"/>
      <c r="N41" s="293"/>
      <c r="O41" s="293"/>
      <c r="P41" s="293"/>
      <c r="Q41" s="294"/>
      <c r="R41" s="247"/>
      <c r="S41" s="247"/>
      <c r="T41" s="247"/>
      <c r="U41" s="247"/>
      <c r="V41" s="258"/>
      <c r="W41" s="247"/>
      <c r="X41" s="247"/>
      <c r="Y41" s="247"/>
      <c r="Z41" s="247"/>
      <c r="AA41" s="258"/>
      <c r="AB41" s="247"/>
      <c r="AC41" s="247"/>
      <c r="AD41" s="247"/>
      <c r="AE41" s="247"/>
      <c r="AF41" s="258"/>
      <c r="AG41" s="247"/>
      <c r="AH41" s="247"/>
      <c r="AI41" s="247"/>
      <c r="AJ41" s="295"/>
      <c r="AK41" s="258"/>
      <c r="AL41" s="296"/>
      <c r="AM41" s="257"/>
      <c r="AN41" s="296"/>
      <c r="AO41" s="257"/>
      <c r="AP41" s="258"/>
      <c r="AQ41" s="290"/>
      <c r="AR41" s="257"/>
      <c r="AS41" s="257"/>
      <c r="AT41" s="257"/>
      <c r="AU41" s="297"/>
      <c r="AV41" s="236">
        <f t="shared" ref="AV41:BD41" si="14">AV43-SUM(AV31,AV33,AV35,AV37)</f>
        <v>-17</v>
      </c>
      <c r="AW41" s="236">
        <f t="shared" si="14"/>
        <v>-7.4000000000000057</v>
      </c>
      <c r="AX41" s="236">
        <f t="shared" si="14"/>
        <v>-7.5999999999999943</v>
      </c>
      <c r="AY41" s="236">
        <f t="shared" si="14"/>
        <v>-18.599999999999994</v>
      </c>
      <c r="AZ41" s="235">
        <f t="shared" si="14"/>
        <v>-50.600000000000023</v>
      </c>
      <c r="BA41" s="236">
        <f t="shared" si="14"/>
        <v>-4.5</v>
      </c>
      <c r="BB41" s="236">
        <f t="shared" si="14"/>
        <v>-0.80000000000001137</v>
      </c>
      <c r="BC41" s="236">
        <f t="shared" si="14"/>
        <v>-17</v>
      </c>
      <c r="BD41" s="236">
        <f t="shared" si="14"/>
        <v>-26.099999999999994</v>
      </c>
      <c r="BE41" s="235">
        <f>SUM(BA41:BD41)</f>
        <v>-48.400000000000006</v>
      </c>
      <c r="BF41" s="240">
        <v>-25</v>
      </c>
      <c r="BG41" s="240">
        <v>-25</v>
      </c>
      <c r="BH41" s="240">
        <v>-25</v>
      </c>
      <c r="BI41" s="240">
        <v>-25</v>
      </c>
      <c r="BJ41" s="235">
        <f>SUM(BF41:BI41)</f>
        <v>-100</v>
      </c>
      <c r="BK41" s="241"/>
      <c r="BL41" s="241"/>
      <c r="BM41" s="241"/>
      <c r="BN41" s="241"/>
      <c r="BO41" s="235">
        <f>BJ41*(1+BO42)</f>
        <v>-100</v>
      </c>
      <c r="BP41" s="241"/>
      <c r="BQ41" s="241"/>
      <c r="BR41" s="241"/>
      <c r="BS41" s="241"/>
      <c r="BT41" s="235">
        <f>BO41*(1+BT42)</f>
        <v>-100</v>
      </c>
      <c r="BU41" s="241"/>
      <c r="BV41" s="241"/>
      <c r="BW41" s="241"/>
      <c r="BX41" s="241"/>
      <c r="BY41" s="235">
        <f>BT41*(1+BY42)</f>
        <v>-100</v>
      </c>
      <c r="BZ41" s="241"/>
      <c r="CA41" s="241"/>
      <c r="CB41" s="241"/>
      <c r="CC41" s="241"/>
      <c r="CD41" s="235">
        <f>BY41*(1+CD42)</f>
        <v>-100</v>
      </c>
      <c r="CF41" s="242"/>
    </row>
    <row r="42" spans="1:84" s="285" customFormat="1" ht="15" outlineLevel="2" x14ac:dyDescent="0.3">
      <c r="B42" s="262" t="s">
        <v>126</v>
      </c>
      <c r="C42" s="236"/>
      <c r="D42" s="236"/>
      <c r="E42" s="236"/>
      <c r="F42" s="236"/>
      <c r="G42" s="235"/>
      <c r="H42" s="236"/>
      <c r="I42" s="236"/>
      <c r="J42" s="236"/>
      <c r="K42" s="236"/>
      <c r="L42" s="235"/>
      <c r="M42" s="236"/>
      <c r="N42" s="236"/>
      <c r="O42" s="236"/>
      <c r="P42" s="236"/>
      <c r="Q42" s="235"/>
      <c r="R42" s="236"/>
      <c r="S42" s="236"/>
      <c r="T42" s="236"/>
      <c r="U42" s="236"/>
      <c r="V42" s="235"/>
      <c r="W42" s="236"/>
      <c r="X42" s="236"/>
      <c r="Y42" s="236"/>
      <c r="Z42" s="236"/>
      <c r="AA42" s="235"/>
      <c r="AB42" s="236"/>
      <c r="AC42" s="236"/>
      <c r="AD42" s="236"/>
      <c r="AE42" s="236"/>
      <c r="AF42" s="235"/>
      <c r="AG42" s="236"/>
      <c r="AH42" s="236"/>
      <c r="AI42" s="236"/>
      <c r="AJ42" s="236"/>
      <c r="AK42" s="235"/>
      <c r="AL42" s="287"/>
      <c r="AM42" s="239"/>
      <c r="AN42" s="288"/>
      <c r="AO42" s="240"/>
      <c r="AP42" s="235"/>
      <c r="AQ42" s="289"/>
      <c r="AR42" s="236"/>
      <c r="AS42" s="236"/>
      <c r="AT42" s="236"/>
      <c r="AU42" s="235"/>
      <c r="AV42" s="236"/>
      <c r="AW42" s="236"/>
      <c r="AX42" s="236"/>
      <c r="AY42" s="236"/>
      <c r="AZ42" s="235"/>
      <c r="BA42" s="236"/>
      <c r="BB42" s="236"/>
      <c r="BC42" s="236"/>
      <c r="BD42" s="236"/>
      <c r="BE42" s="246"/>
      <c r="BF42" s="236"/>
      <c r="BG42" s="236"/>
      <c r="BH42" s="236"/>
      <c r="BI42" s="236"/>
      <c r="BJ42" s="246">
        <f t="shared" si="13"/>
        <v>1.0661157024793386</v>
      </c>
      <c r="BK42" s="237"/>
      <c r="BL42" s="237"/>
      <c r="BM42" s="237"/>
      <c r="BN42" s="237"/>
      <c r="BO42" s="248">
        <v>0</v>
      </c>
      <c r="BP42" s="237"/>
      <c r="BQ42" s="237"/>
      <c r="BR42" s="237"/>
      <c r="BS42" s="237"/>
      <c r="BT42" s="248">
        <v>0</v>
      </c>
      <c r="BU42" s="237"/>
      <c r="BV42" s="237"/>
      <c r="BW42" s="237"/>
      <c r="BX42" s="237"/>
      <c r="BY42" s="248">
        <v>0</v>
      </c>
      <c r="BZ42" s="237"/>
      <c r="CA42" s="237"/>
      <c r="CB42" s="237"/>
      <c r="CC42" s="237"/>
      <c r="CD42" s="248">
        <v>0</v>
      </c>
      <c r="CF42" s="229"/>
    </row>
    <row r="43" spans="1:84" s="291" customFormat="1" x14ac:dyDescent="0.15">
      <c r="B43" s="298" t="s">
        <v>143</v>
      </c>
      <c r="C43" s="299"/>
      <c r="D43" s="299"/>
      <c r="E43" s="299"/>
      <c r="F43" s="300"/>
      <c r="G43" s="301"/>
      <c r="H43" s="300"/>
      <c r="I43" s="300"/>
      <c r="J43" s="300"/>
      <c r="K43" s="300"/>
      <c r="L43" s="301"/>
      <c r="M43" s="300"/>
      <c r="N43" s="300"/>
      <c r="O43" s="300"/>
      <c r="P43" s="300"/>
      <c r="Q43" s="301"/>
      <c r="R43" s="302"/>
      <c r="S43" s="302"/>
      <c r="T43" s="302"/>
      <c r="U43" s="302"/>
      <c r="V43" s="303"/>
      <c r="W43" s="302"/>
      <c r="X43" s="302"/>
      <c r="Y43" s="302"/>
      <c r="Z43" s="302"/>
      <c r="AA43" s="303"/>
      <c r="AB43" s="302"/>
      <c r="AC43" s="302"/>
      <c r="AD43" s="302"/>
      <c r="AE43" s="302"/>
      <c r="AF43" s="303"/>
      <c r="AG43" s="302"/>
      <c r="AH43" s="302"/>
      <c r="AI43" s="302"/>
      <c r="AJ43" s="304"/>
      <c r="AK43" s="303"/>
      <c r="AL43" s="305"/>
      <c r="AM43" s="306"/>
      <c r="AN43" s="305"/>
      <c r="AO43" s="306"/>
      <c r="AP43" s="307"/>
      <c r="AQ43" s="308"/>
      <c r="AR43" s="306"/>
      <c r="AS43" s="275">
        <v>98.8</v>
      </c>
      <c r="AT43" s="275">
        <v>133.30000000000001</v>
      </c>
      <c r="AU43" s="307"/>
      <c r="AV43" s="275">
        <v>144</v>
      </c>
      <c r="AW43" s="275">
        <v>160.6</v>
      </c>
      <c r="AX43" s="275">
        <v>141.4</v>
      </c>
      <c r="AY43" s="275">
        <v>141.4</v>
      </c>
      <c r="AZ43" s="277">
        <f>SUM(AV43:AY43)</f>
        <v>587.4</v>
      </c>
      <c r="BA43" s="275">
        <v>155.5</v>
      </c>
      <c r="BB43" s="275">
        <v>163.19999999999999</v>
      </c>
      <c r="BC43" s="275">
        <v>151</v>
      </c>
      <c r="BD43" s="275">
        <v>155.9</v>
      </c>
      <c r="BE43" s="277">
        <f>SUM(BA43:BD43)</f>
        <v>625.6</v>
      </c>
      <c r="BF43" s="275">
        <f t="shared" ref="BF43:BI43" si="15">SUM(BF31,BF33,BF35,BF37,BF41)+BF39</f>
        <v>139</v>
      </c>
      <c r="BG43" s="275">
        <f t="shared" si="15"/>
        <v>148</v>
      </c>
      <c r="BH43" s="275">
        <f t="shared" si="15"/>
        <v>156</v>
      </c>
      <c r="BI43" s="275">
        <f t="shared" si="15"/>
        <v>170</v>
      </c>
      <c r="BJ43" s="277">
        <f>SUM(BJ31,BJ33,BJ35,BJ37,BJ41)+BJ39</f>
        <v>613</v>
      </c>
      <c r="BK43" s="285"/>
      <c r="BL43" s="285"/>
      <c r="BM43" s="285"/>
      <c r="BN43" s="285"/>
      <c r="BO43" s="277">
        <f>SUM(BO31,BO33,BO35,BO37,BO41)+BO39</f>
        <v>663.46999999999991</v>
      </c>
      <c r="BP43" s="285"/>
      <c r="BQ43" s="285"/>
      <c r="BR43" s="285"/>
      <c r="BS43" s="285"/>
      <c r="BT43" s="277">
        <f>SUM(BT31,BT33,BT35,BT37,BT41)+BT39</f>
        <v>695.25839999999994</v>
      </c>
      <c r="BU43" s="285"/>
      <c r="BV43" s="285"/>
      <c r="BW43" s="285"/>
      <c r="BX43" s="285"/>
      <c r="BY43" s="277">
        <f>SUM(BY31,BY33,BY35,BY37,BY41)+BY39</f>
        <v>725.26664800000003</v>
      </c>
      <c r="BZ43" s="285"/>
      <c r="CA43" s="285"/>
      <c r="CB43" s="285"/>
      <c r="CC43" s="285"/>
      <c r="CD43" s="277">
        <f>SUM(CD31,CD33,CD35,CD37,CD41)+CD39</f>
        <v>753.09635168</v>
      </c>
      <c r="CF43" s="278">
        <f>BJ43/$BJ$142</f>
        <v>5.5896226694670099E-2</v>
      </c>
    </row>
    <row r="44" spans="1:84" s="285" customFormat="1" x14ac:dyDescent="0.15">
      <c r="B44" s="309" t="s">
        <v>126</v>
      </c>
      <c r="C44" s="310"/>
      <c r="D44" s="310"/>
      <c r="E44" s="310"/>
      <c r="F44" s="310"/>
      <c r="G44" s="311"/>
      <c r="H44" s="310"/>
      <c r="I44" s="310"/>
      <c r="J44" s="310"/>
      <c r="K44" s="310"/>
      <c r="L44" s="311"/>
      <c r="M44" s="310"/>
      <c r="N44" s="310"/>
      <c r="O44" s="310"/>
      <c r="P44" s="310"/>
      <c r="Q44" s="311"/>
      <c r="R44" s="310"/>
      <c r="S44" s="310"/>
      <c r="T44" s="310"/>
      <c r="U44" s="310"/>
      <c r="V44" s="311"/>
      <c r="W44" s="310"/>
      <c r="X44" s="310"/>
      <c r="Y44" s="310"/>
      <c r="Z44" s="310"/>
      <c r="AA44" s="311"/>
      <c r="AB44" s="310"/>
      <c r="AC44" s="310"/>
      <c r="AD44" s="310"/>
      <c r="AE44" s="310"/>
      <c r="AF44" s="311"/>
      <c r="AG44" s="310"/>
      <c r="AH44" s="310"/>
      <c r="AI44" s="310"/>
      <c r="AJ44" s="310"/>
      <c r="AK44" s="311"/>
      <c r="AL44" s="312"/>
      <c r="AM44" s="313"/>
      <c r="AN44" s="314"/>
      <c r="AO44" s="315"/>
      <c r="AP44" s="311"/>
      <c r="AQ44" s="316"/>
      <c r="AR44" s="310"/>
      <c r="AS44" s="310"/>
      <c r="AT44" s="310"/>
      <c r="AU44" s="311"/>
      <c r="AV44" s="310"/>
      <c r="AW44" s="310"/>
      <c r="AX44" s="281">
        <f t="shared" ref="AX44:AY44" si="16">AX43/AS43-1</f>
        <v>0.43117408906882604</v>
      </c>
      <c r="AY44" s="281">
        <f t="shared" si="16"/>
        <v>6.0765191297824428E-2</v>
      </c>
      <c r="AZ44" s="311"/>
      <c r="BA44" s="281">
        <f t="shared" ref="BA44:BJ44" si="17">BA43/AV43-1</f>
        <v>7.986111111111116E-2</v>
      </c>
      <c r="BB44" s="281">
        <f t="shared" si="17"/>
        <v>1.6189290161892966E-2</v>
      </c>
      <c r="BC44" s="281">
        <f t="shared" si="17"/>
        <v>6.7892503536067794E-2</v>
      </c>
      <c r="BD44" s="281">
        <f t="shared" si="17"/>
        <v>0.10254596888260248</v>
      </c>
      <c r="BE44" s="282">
        <f t="shared" si="17"/>
        <v>6.5032345931222313E-2</v>
      </c>
      <c r="BF44" s="281">
        <f t="shared" si="17"/>
        <v>-0.10610932475884249</v>
      </c>
      <c r="BG44" s="281">
        <f t="shared" si="17"/>
        <v>-9.3137254901960675E-2</v>
      </c>
      <c r="BH44" s="281">
        <f t="shared" si="17"/>
        <v>3.3112582781456901E-2</v>
      </c>
      <c r="BI44" s="281">
        <f t="shared" si="17"/>
        <v>9.0442591404746642E-2</v>
      </c>
      <c r="BJ44" s="282">
        <f t="shared" si="17"/>
        <v>-2.0140664961636912E-2</v>
      </c>
      <c r="BO44" s="282">
        <f>BO43/BJ43-1</f>
        <v>8.2332789559543151E-2</v>
      </c>
      <c r="BT44" s="282">
        <f>BT43/BO43-1</f>
        <v>4.7912339668711557E-2</v>
      </c>
      <c r="BY44" s="282">
        <f>BY43/BT43-1</f>
        <v>4.3161287947042659E-2</v>
      </c>
      <c r="CD44" s="282">
        <f>CD43/BY43-1</f>
        <v>3.8371685443889358E-2</v>
      </c>
      <c r="CF44" s="229"/>
    </row>
    <row r="45" spans="1:84" s="285" customFormat="1" x14ac:dyDescent="0.15">
      <c r="B45" s="309"/>
      <c r="C45" s="310"/>
      <c r="D45" s="310"/>
      <c r="E45" s="310"/>
      <c r="F45" s="310"/>
      <c r="G45" s="311"/>
      <c r="H45" s="310"/>
      <c r="I45" s="310"/>
      <c r="J45" s="310"/>
      <c r="K45" s="310"/>
      <c r="L45" s="311"/>
      <c r="M45" s="310"/>
      <c r="N45" s="310"/>
      <c r="O45" s="310"/>
      <c r="P45" s="310"/>
      <c r="Q45" s="311"/>
      <c r="R45" s="310"/>
      <c r="S45" s="310"/>
      <c r="T45" s="310"/>
      <c r="U45" s="310"/>
      <c r="V45" s="311"/>
      <c r="W45" s="310"/>
      <c r="X45" s="310"/>
      <c r="Y45" s="310"/>
      <c r="Z45" s="310"/>
      <c r="AA45" s="311"/>
      <c r="AB45" s="310"/>
      <c r="AC45" s="310"/>
      <c r="AD45" s="310"/>
      <c r="AE45" s="310"/>
      <c r="AF45" s="311"/>
      <c r="AG45" s="310"/>
      <c r="AH45" s="310"/>
      <c r="AI45" s="310"/>
      <c r="AJ45" s="310"/>
      <c r="AK45" s="311"/>
      <c r="AL45" s="314"/>
      <c r="AM45" s="313"/>
      <c r="AN45" s="314"/>
      <c r="AO45" s="315"/>
      <c r="AP45" s="311"/>
      <c r="AQ45" s="316"/>
      <c r="AR45" s="310"/>
      <c r="AS45" s="310"/>
      <c r="AT45" s="310"/>
      <c r="AU45" s="311"/>
      <c r="AV45" s="310"/>
      <c r="AW45" s="310"/>
      <c r="AX45" s="310"/>
      <c r="AY45" s="310"/>
      <c r="AZ45" s="311"/>
      <c r="BA45" s="310"/>
      <c r="BB45" s="310"/>
      <c r="BC45" s="310"/>
      <c r="BD45" s="310"/>
      <c r="BE45" s="311"/>
      <c r="BJ45" s="311"/>
      <c r="BO45" s="311"/>
      <c r="BT45" s="311"/>
      <c r="BY45" s="311"/>
      <c r="CD45" s="311"/>
      <c r="CF45" s="229"/>
    </row>
    <row r="46" spans="1:84" s="285" customFormat="1" outlineLevel="1" x14ac:dyDescent="0.15">
      <c r="B46" s="230" t="s">
        <v>144</v>
      </c>
      <c r="C46" s="236"/>
      <c r="D46" s="236"/>
      <c r="E46" s="236"/>
      <c r="F46" s="236"/>
      <c r="G46" s="235"/>
      <c r="H46" s="236"/>
      <c r="I46" s="236"/>
      <c r="J46" s="236"/>
      <c r="K46" s="236"/>
      <c r="L46" s="235"/>
      <c r="M46" s="236"/>
      <c r="N46" s="236"/>
      <c r="O46" s="236"/>
      <c r="P46" s="236"/>
      <c r="Q46" s="235"/>
      <c r="R46" s="236"/>
      <c r="S46" s="236"/>
      <c r="T46" s="236"/>
      <c r="U46" s="236"/>
      <c r="V46" s="235"/>
      <c r="W46" s="236"/>
      <c r="X46" s="236"/>
      <c r="Y46" s="236"/>
      <c r="Z46" s="236"/>
      <c r="AA46" s="235"/>
      <c r="AB46" s="236"/>
      <c r="AC46" s="236"/>
      <c r="AD46" s="236"/>
      <c r="AE46" s="236"/>
      <c r="AF46" s="235"/>
      <c r="AG46" s="236"/>
      <c r="AH46" s="236"/>
      <c r="AI46" s="236"/>
      <c r="AJ46" s="236"/>
      <c r="AK46" s="235"/>
      <c r="AL46" s="288"/>
      <c r="AM46" s="239"/>
      <c r="AN46" s="288"/>
      <c r="AO46" s="240"/>
      <c r="AP46" s="235"/>
      <c r="AQ46" s="289"/>
      <c r="AR46" s="236"/>
      <c r="AS46" s="236"/>
      <c r="AT46" s="236"/>
      <c r="AU46" s="235"/>
      <c r="AV46" s="236"/>
      <c r="AW46" s="236"/>
      <c r="AX46" s="236"/>
      <c r="AY46" s="236"/>
      <c r="AZ46" s="235"/>
      <c r="BA46" s="236"/>
      <c r="BB46" s="236"/>
      <c r="BC46" s="236"/>
      <c r="BD46" s="236"/>
      <c r="BE46" s="235"/>
      <c r="BF46" s="241"/>
      <c r="BG46" s="241"/>
      <c r="BH46" s="241"/>
      <c r="BI46" s="237"/>
      <c r="BJ46" s="235"/>
      <c r="BK46" s="241"/>
      <c r="BL46" s="241"/>
      <c r="BM46" s="241"/>
      <c r="BN46" s="241"/>
      <c r="BO46" s="235"/>
      <c r="BP46" s="241"/>
      <c r="BQ46" s="241"/>
      <c r="BR46" s="241"/>
      <c r="BS46" s="241"/>
      <c r="BT46" s="235"/>
      <c r="BU46" s="241"/>
      <c r="BV46" s="241"/>
      <c r="BW46" s="241"/>
      <c r="BX46" s="241"/>
      <c r="BY46" s="235"/>
      <c r="BZ46" s="241"/>
      <c r="CA46" s="241"/>
      <c r="CB46" s="241"/>
      <c r="CC46" s="241"/>
      <c r="CD46" s="235"/>
      <c r="CF46" s="229"/>
    </row>
    <row r="47" spans="1:84" s="285" customFormat="1" outlineLevel="2" x14ac:dyDescent="0.15">
      <c r="B47" s="238" t="s">
        <v>145</v>
      </c>
      <c r="C47" s="236"/>
      <c r="D47" s="236"/>
      <c r="E47" s="236"/>
      <c r="F47" s="236"/>
      <c r="G47" s="235"/>
      <c r="H47" s="236"/>
      <c r="I47" s="236"/>
      <c r="J47" s="236"/>
      <c r="K47" s="236"/>
      <c r="L47" s="235"/>
      <c r="M47" s="236"/>
      <c r="N47" s="236"/>
      <c r="O47" s="236"/>
      <c r="P47" s="236"/>
      <c r="Q47" s="235"/>
      <c r="R47" s="236"/>
      <c r="S47" s="236"/>
      <c r="T47" s="236"/>
      <c r="U47" s="236"/>
      <c r="V47" s="235"/>
      <c r="W47" s="236"/>
      <c r="X47" s="236"/>
      <c r="Y47" s="236"/>
      <c r="Z47" s="236"/>
      <c r="AA47" s="235"/>
      <c r="AB47" s="236"/>
      <c r="AC47" s="236"/>
      <c r="AD47" s="236"/>
      <c r="AE47" s="236"/>
      <c r="AF47" s="235"/>
      <c r="AG47" s="236"/>
      <c r="AH47" s="236"/>
      <c r="AI47" s="236"/>
      <c r="AJ47" s="236"/>
      <c r="AK47" s="235"/>
      <c r="AL47" s="288"/>
      <c r="AM47" s="239"/>
      <c r="AN47" s="288"/>
      <c r="AO47" s="240"/>
      <c r="AP47" s="235"/>
      <c r="AQ47" s="289"/>
      <c r="AR47" s="236"/>
      <c r="AS47" s="236"/>
      <c r="AT47" s="236"/>
      <c r="AU47" s="235"/>
      <c r="AV47" s="236">
        <v>26</v>
      </c>
      <c r="AW47" s="236">
        <v>45</v>
      </c>
      <c r="AX47" s="236">
        <v>35</v>
      </c>
      <c r="AY47" s="236">
        <v>45</v>
      </c>
      <c r="AZ47" s="235">
        <f>SUM(AV47:AY47)</f>
        <v>151</v>
      </c>
      <c r="BA47" s="236">
        <v>43</v>
      </c>
      <c r="BB47" s="236">
        <v>53</v>
      </c>
      <c r="BC47" s="239">
        <v>44</v>
      </c>
      <c r="BD47" s="239">
        <v>43</v>
      </c>
      <c r="BE47" s="235">
        <f>SUM(BA47:BD47)</f>
        <v>183</v>
      </c>
      <c r="BF47" s="240">
        <v>40</v>
      </c>
      <c r="BG47" s="240">
        <v>45</v>
      </c>
      <c r="BH47" s="240">
        <v>40</v>
      </c>
      <c r="BI47" s="240">
        <v>45</v>
      </c>
      <c r="BJ47" s="235">
        <f>SUM(BF47:BI47)</f>
        <v>170</v>
      </c>
      <c r="BK47" s="241"/>
      <c r="BL47" s="241"/>
      <c r="BM47" s="241"/>
      <c r="BN47" s="241"/>
      <c r="BO47" s="235">
        <f>BJ47*(1+BO48)</f>
        <v>176.8</v>
      </c>
      <c r="BP47" s="241"/>
      <c r="BQ47" s="241"/>
      <c r="BR47" s="241"/>
      <c r="BS47" s="241"/>
      <c r="BT47" s="235">
        <f>BO47*(1+BT48)</f>
        <v>183.87200000000001</v>
      </c>
      <c r="BU47" s="241"/>
      <c r="BV47" s="241"/>
      <c r="BW47" s="241"/>
      <c r="BX47" s="241"/>
      <c r="BY47" s="235">
        <f>BT47*(1+BY48)</f>
        <v>187.54944</v>
      </c>
      <c r="BZ47" s="241"/>
      <c r="CA47" s="241"/>
      <c r="CB47" s="241"/>
      <c r="CC47" s="241"/>
      <c r="CD47" s="235">
        <f>BY47*(1+CD48)</f>
        <v>191.30042880000002</v>
      </c>
      <c r="CF47" s="229"/>
    </row>
    <row r="48" spans="1:84" s="285" customFormat="1" outlineLevel="2" x14ac:dyDescent="0.15">
      <c r="B48" s="245" t="s">
        <v>126</v>
      </c>
      <c r="C48" s="236"/>
      <c r="D48" s="236"/>
      <c r="E48" s="236"/>
      <c r="F48" s="236"/>
      <c r="G48" s="235"/>
      <c r="H48" s="236"/>
      <c r="I48" s="236"/>
      <c r="J48" s="236"/>
      <c r="K48" s="236"/>
      <c r="L48" s="235"/>
      <c r="M48" s="236"/>
      <c r="N48" s="236"/>
      <c r="O48" s="236"/>
      <c r="P48" s="236"/>
      <c r="Q48" s="235"/>
      <c r="R48" s="236"/>
      <c r="S48" s="236"/>
      <c r="T48" s="236"/>
      <c r="U48" s="236"/>
      <c r="V48" s="235"/>
      <c r="W48" s="236"/>
      <c r="X48" s="236"/>
      <c r="Y48" s="236"/>
      <c r="Z48" s="236"/>
      <c r="AA48" s="235"/>
      <c r="AB48" s="236"/>
      <c r="AC48" s="236"/>
      <c r="AD48" s="236"/>
      <c r="AE48" s="236"/>
      <c r="AF48" s="235"/>
      <c r="AG48" s="236"/>
      <c r="AH48" s="236"/>
      <c r="AI48" s="236"/>
      <c r="AJ48" s="236"/>
      <c r="AK48" s="235"/>
      <c r="AL48" s="288"/>
      <c r="AM48" s="239"/>
      <c r="AN48" s="288"/>
      <c r="AO48" s="240"/>
      <c r="AP48" s="235"/>
      <c r="AQ48" s="289"/>
      <c r="AR48" s="236"/>
      <c r="AS48" s="236"/>
      <c r="AT48" s="236"/>
      <c r="AU48" s="235"/>
      <c r="AV48" s="236"/>
      <c r="AW48" s="236"/>
      <c r="AX48" s="236"/>
      <c r="AY48" s="236"/>
      <c r="AZ48" s="235"/>
      <c r="BA48" s="284">
        <f>BA47/AV47-1</f>
        <v>0.65384615384615374</v>
      </c>
      <c r="BB48" s="284">
        <f>BB47/AW47-1</f>
        <v>0.17777777777777781</v>
      </c>
      <c r="BC48" s="247">
        <f t="shared" ref="BC48:BJ48" si="18">BC47/AX47-1</f>
        <v>0.25714285714285712</v>
      </c>
      <c r="BD48" s="247">
        <f t="shared" si="18"/>
        <v>-4.4444444444444398E-2</v>
      </c>
      <c r="BE48" s="246">
        <f t="shared" si="18"/>
        <v>0.21192052980132448</v>
      </c>
      <c r="BF48" s="247">
        <f t="shared" si="18"/>
        <v>-6.9767441860465129E-2</v>
      </c>
      <c r="BG48" s="247">
        <f t="shared" si="18"/>
        <v>-0.15094339622641506</v>
      </c>
      <c r="BH48" s="247">
        <f t="shared" si="18"/>
        <v>-9.0909090909090939E-2</v>
      </c>
      <c r="BI48" s="247">
        <f t="shared" si="18"/>
        <v>4.6511627906976827E-2</v>
      </c>
      <c r="BJ48" s="246">
        <f t="shared" si="18"/>
        <v>-7.1038251366120186E-2</v>
      </c>
      <c r="BK48" s="237"/>
      <c r="BL48" s="237"/>
      <c r="BM48" s="237"/>
      <c r="BN48" s="237"/>
      <c r="BO48" s="248">
        <v>0.04</v>
      </c>
      <c r="BP48" s="237"/>
      <c r="BQ48" s="237"/>
      <c r="BR48" s="237"/>
      <c r="BS48" s="237"/>
      <c r="BT48" s="248">
        <v>0.04</v>
      </c>
      <c r="BU48" s="237"/>
      <c r="BV48" s="237"/>
      <c r="BW48" s="237"/>
      <c r="BX48" s="237"/>
      <c r="BY48" s="248">
        <v>0.02</v>
      </c>
      <c r="BZ48" s="237"/>
      <c r="CA48" s="237"/>
      <c r="CB48" s="237"/>
      <c r="CC48" s="237"/>
      <c r="CD48" s="248">
        <v>0.02</v>
      </c>
      <c r="CF48" s="229"/>
    </row>
    <row r="49" spans="2:84" s="252" customFormat="1" outlineLevel="2" x14ac:dyDescent="0.15">
      <c r="B49" s="238" t="s">
        <v>146</v>
      </c>
      <c r="C49" s="253"/>
      <c r="D49" s="254"/>
      <c r="E49" s="254"/>
      <c r="F49" s="254"/>
      <c r="G49" s="255"/>
      <c r="H49" s="254"/>
      <c r="I49" s="254"/>
      <c r="J49" s="254"/>
      <c r="K49" s="254"/>
      <c r="L49" s="255"/>
      <c r="M49" s="254"/>
      <c r="N49" s="254"/>
      <c r="O49" s="254"/>
      <c r="P49" s="254"/>
      <c r="Q49" s="255"/>
      <c r="R49" s="254"/>
      <c r="S49" s="254"/>
      <c r="T49" s="254"/>
      <c r="U49" s="254"/>
      <c r="V49" s="255"/>
      <c r="W49" s="256"/>
      <c r="X49" s="257"/>
      <c r="Y49" s="257"/>
      <c r="Z49" s="257"/>
      <c r="AA49" s="258"/>
      <c r="AB49" s="256"/>
      <c r="AC49" s="256"/>
      <c r="AD49" s="256"/>
      <c r="AE49" s="256"/>
      <c r="AF49" s="258"/>
      <c r="AG49" s="256"/>
      <c r="AH49" s="256"/>
      <c r="AI49" s="256"/>
      <c r="AJ49" s="256"/>
      <c r="AK49" s="258"/>
      <c r="AL49" s="257"/>
      <c r="AM49" s="257"/>
      <c r="AN49" s="257"/>
      <c r="AO49" s="257"/>
      <c r="AP49" s="258"/>
      <c r="AQ49" s="290"/>
      <c r="AR49" s="257"/>
      <c r="AS49" s="240"/>
      <c r="AT49" s="240"/>
      <c r="AU49" s="235"/>
      <c r="AV49" s="240"/>
      <c r="AW49" s="240"/>
      <c r="AX49" s="240"/>
      <c r="AY49" s="240"/>
      <c r="AZ49" s="235"/>
      <c r="BA49" s="240"/>
      <c r="BB49" s="240"/>
      <c r="BC49" s="240"/>
      <c r="BD49" s="240"/>
      <c r="BE49" s="235"/>
      <c r="BF49" s="240"/>
      <c r="BG49" s="240"/>
      <c r="BH49" s="240">
        <v>15</v>
      </c>
      <c r="BI49" s="240">
        <v>12</v>
      </c>
      <c r="BJ49" s="235">
        <f>SUM(BF49:BI49)</f>
        <v>27</v>
      </c>
      <c r="BK49" s="241"/>
      <c r="BL49" s="241"/>
      <c r="BM49" s="241"/>
      <c r="BN49" s="241"/>
      <c r="BO49" s="260">
        <v>125</v>
      </c>
      <c r="BP49" s="241"/>
      <c r="BQ49" s="241"/>
      <c r="BR49" s="241"/>
      <c r="BS49" s="241"/>
      <c r="BT49" s="260">
        <v>200</v>
      </c>
      <c r="BU49" s="241"/>
      <c r="BV49" s="241"/>
      <c r="BW49" s="241"/>
      <c r="BX49" s="241"/>
      <c r="BY49" s="260">
        <v>300</v>
      </c>
      <c r="BZ49" s="241"/>
      <c r="CA49" s="241"/>
      <c r="CB49" s="241"/>
      <c r="CC49" s="241"/>
      <c r="CD49" s="260">
        <v>375</v>
      </c>
      <c r="CF49" s="242"/>
    </row>
    <row r="50" spans="2:84" s="252" customFormat="1" outlineLevel="2" x14ac:dyDescent="0.15">
      <c r="B50" s="245" t="s">
        <v>126</v>
      </c>
      <c r="C50" s="253"/>
      <c r="D50" s="254"/>
      <c r="E50" s="254"/>
      <c r="F50" s="254"/>
      <c r="G50" s="255"/>
      <c r="H50" s="254"/>
      <c r="I50" s="254"/>
      <c r="J50" s="254"/>
      <c r="K50" s="254"/>
      <c r="L50" s="255"/>
      <c r="M50" s="254"/>
      <c r="N50" s="254"/>
      <c r="O50" s="254"/>
      <c r="P50" s="254"/>
      <c r="Q50" s="255"/>
      <c r="R50" s="254"/>
      <c r="S50" s="254"/>
      <c r="T50" s="254"/>
      <c r="U50" s="254"/>
      <c r="V50" s="255"/>
      <c r="W50" s="256"/>
      <c r="X50" s="257"/>
      <c r="Y50" s="257"/>
      <c r="Z50" s="257"/>
      <c r="AA50" s="258"/>
      <c r="AB50" s="256"/>
      <c r="AC50" s="256"/>
      <c r="AD50" s="256"/>
      <c r="AE50" s="256"/>
      <c r="AF50" s="258"/>
      <c r="AG50" s="256"/>
      <c r="AH50" s="256"/>
      <c r="AI50" s="256"/>
      <c r="AJ50" s="256"/>
      <c r="AK50" s="258"/>
      <c r="AL50" s="257"/>
      <c r="AM50" s="257"/>
      <c r="AN50" s="257"/>
      <c r="AO50" s="257"/>
      <c r="AP50" s="258"/>
      <c r="AQ50" s="290"/>
      <c r="AR50" s="257"/>
      <c r="AS50" s="247"/>
      <c r="AT50" s="247"/>
      <c r="AU50" s="258"/>
      <c r="AV50" s="257"/>
      <c r="AW50" s="247"/>
      <c r="AX50" s="247"/>
      <c r="AY50" s="247"/>
      <c r="AZ50" s="258"/>
      <c r="BA50" s="257"/>
      <c r="BB50" s="247"/>
      <c r="BC50" s="247"/>
      <c r="BD50" s="247"/>
      <c r="BE50" s="246"/>
      <c r="BF50" s="247"/>
      <c r="BG50" s="247"/>
      <c r="BH50" s="247"/>
      <c r="BI50" s="247"/>
      <c r="BJ50" s="246"/>
      <c r="BK50" s="241"/>
      <c r="BL50" s="241"/>
      <c r="BM50" s="241"/>
      <c r="BN50" s="241"/>
      <c r="BO50" s="246">
        <f>BO49/BJ49-1</f>
        <v>3.6296296296296298</v>
      </c>
      <c r="BP50" s="241"/>
      <c r="BQ50" s="241"/>
      <c r="BR50" s="241"/>
      <c r="BS50" s="241"/>
      <c r="BT50" s="246">
        <f>BT49/BO49-1</f>
        <v>0.60000000000000009</v>
      </c>
      <c r="BU50" s="241"/>
      <c r="BV50" s="241"/>
      <c r="BW50" s="241"/>
      <c r="BX50" s="241"/>
      <c r="BY50" s="246">
        <f>BY49/BT49-1</f>
        <v>0.5</v>
      </c>
      <c r="BZ50" s="241"/>
      <c r="CA50" s="241"/>
      <c r="CB50" s="241"/>
      <c r="CC50" s="241"/>
      <c r="CD50" s="246">
        <f>CD49/BY49-1</f>
        <v>0.25</v>
      </c>
      <c r="CF50" s="242"/>
    </row>
    <row r="51" spans="2:84" s="252" customFormat="1" outlineLevel="2" x14ac:dyDescent="0.15">
      <c r="B51" s="238" t="s">
        <v>147</v>
      </c>
      <c r="C51" s="253"/>
      <c r="D51" s="254"/>
      <c r="E51" s="254"/>
      <c r="F51" s="254"/>
      <c r="G51" s="255"/>
      <c r="H51" s="254"/>
      <c r="I51" s="254"/>
      <c r="J51" s="254"/>
      <c r="K51" s="254"/>
      <c r="L51" s="255"/>
      <c r="M51" s="254"/>
      <c r="N51" s="254"/>
      <c r="O51" s="254"/>
      <c r="P51" s="254"/>
      <c r="Q51" s="255"/>
      <c r="R51" s="254"/>
      <c r="S51" s="254"/>
      <c r="T51" s="254"/>
      <c r="U51" s="254"/>
      <c r="V51" s="255"/>
      <c r="W51" s="256"/>
      <c r="X51" s="257"/>
      <c r="Y51" s="257"/>
      <c r="Z51" s="257"/>
      <c r="AA51" s="258"/>
      <c r="AB51" s="256"/>
      <c r="AC51" s="256"/>
      <c r="AD51" s="256"/>
      <c r="AE51" s="256"/>
      <c r="AF51" s="258"/>
      <c r="AG51" s="256"/>
      <c r="AH51" s="256"/>
      <c r="AI51" s="256"/>
      <c r="AJ51" s="256"/>
      <c r="AK51" s="258"/>
      <c r="AL51" s="257"/>
      <c r="AM51" s="257"/>
      <c r="AN51" s="257"/>
      <c r="AO51" s="257"/>
      <c r="AP51" s="258"/>
      <c r="AQ51" s="290"/>
      <c r="AR51" s="257"/>
      <c r="AS51" s="247"/>
      <c r="AT51" s="247"/>
      <c r="AU51" s="258"/>
      <c r="AV51" s="236">
        <f t="shared" ref="AV51:AZ51" si="19">AV53-SUM(AV47,AV49)</f>
        <v>73.3</v>
      </c>
      <c r="AW51" s="236">
        <f t="shared" si="19"/>
        <v>71.5</v>
      </c>
      <c r="AX51" s="236">
        <f t="shared" si="19"/>
        <v>82.8</v>
      </c>
      <c r="AY51" s="236">
        <f t="shared" si="19"/>
        <v>86.800000000000011</v>
      </c>
      <c r="AZ51" s="235">
        <f t="shared" si="19"/>
        <v>314.40000000000003</v>
      </c>
      <c r="BA51" s="236">
        <f>BA53-SUM(BA47,BA49)</f>
        <v>86.1</v>
      </c>
      <c r="BB51" s="236">
        <f>BB53-SUM(BB47,BB49)</f>
        <v>82.4</v>
      </c>
      <c r="BC51" s="236">
        <f>BC53-SUM(BC47,BC49)</f>
        <v>70.3</v>
      </c>
      <c r="BD51" s="236">
        <f>BD53-SUM(BD47,BD49)</f>
        <v>69</v>
      </c>
      <c r="BE51" s="235">
        <f>SUM(BA51:BD51)</f>
        <v>307.8</v>
      </c>
      <c r="BF51" s="240">
        <v>70</v>
      </c>
      <c r="BG51" s="240">
        <v>75</v>
      </c>
      <c r="BH51" s="240">
        <v>75</v>
      </c>
      <c r="BI51" s="240">
        <v>75</v>
      </c>
      <c r="BJ51" s="235">
        <f>SUM(BF51:BI51)</f>
        <v>295</v>
      </c>
      <c r="BK51" s="241"/>
      <c r="BL51" s="241"/>
      <c r="BM51" s="241"/>
      <c r="BN51" s="241"/>
      <c r="BO51" s="235">
        <f>BJ51*(1+BO52)</f>
        <v>306.8</v>
      </c>
      <c r="BP51" s="241"/>
      <c r="BQ51" s="241"/>
      <c r="BR51" s="241"/>
      <c r="BS51" s="241"/>
      <c r="BT51" s="235">
        <f>BO51*(1+BT52)</f>
        <v>319.072</v>
      </c>
      <c r="BU51" s="241"/>
      <c r="BV51" s="241"/>
      <c r="BW51" s="241"/>
      <c r="BX51" s="241"/>
      <c r="BY51" s="235">
        <f>BT51*(1+BY52)</f>
        <v>328.64416</v>
      </c>
      <c r="BZ51" s="241"/>
      <c r="CA51" s="241"/>
      <c r="CB51" s="241"/>
      <c r="CC51" s="241"/>
      <c r="CD51" s="235">
        <f>BY51*(1+CD52)</f>
        <v>335.21704319999998</v>
      </c>
      <c r="CF51" s="242"/>
    </row>
    <row r="52" spans="2:84" s="252" customFormat="1" ht="15" outlineLevel="2" x14ac:dyDescent="0.3">
      <c r="B52" s="262" t="s">
        <v>126</v>
      </c>
      <c r="C52" s="253"/>
      <c r="D52" s="254"/>
      <c r="E52" s="254"/>
      <c r="F52" s="254"/>
      <c r="G52" s="255"/>
      <c r="H52" s="254"/>
      <c r="I52" s="254"/>
      <c r="J52" s="254"/>
      <c r="K52" s="254"/>
      <c r="L52" s="255"/>
      <c r="M52" s="254"/>
      <c r="N52" s="254"/>
      <c r="O52" s="254"/>
      <c r="P52" s="254"/>
      <c r="Q52" s="255"/>
      <c r="R52" s="254"/>
      <c r="S52" s="254"/>
      <c r="T52" s="254"/>
      <c r="U52" s="254"/>
      <c r="V52" s="255"/>
      <c r="W52" s="256"/>
      <c r="X52" s="257"/>
      <c r="Y52" s="257"/>
      <c r="Z52" s="257"/>
      <c r="AA52" s="258"/>
      <c r="AB52" s="256"/>
      <c r="AC52" s="256"/>
      <c r="AD52" s="256"/>
      <c r="AE52" s="256"/>
      <c r="AF52" s="258"/>
      <c r="AG52" s="256"/>
      <c r="AH52" s="256"/>
      <c r="AI52" s="256"/>
      <c r="AJ52" s="256"/>
      <c r="AK52" s="258"/>
      <c r="AL52" s="257"/>
      <c r="AM52" s="257"/>
      <c r="AN52" s="257"/>
      <c r="AO52" s="257"/>
      <c r="AP52" s="258"/>
      <c r="AQ52" s="290"/>
      <c r="AR52" s="257"/>
      <c r="AS52" s="247"/>
      <c r="AT52" s="247"/>
      <c r="AU52" s="258"/>
      <c r="AV52" s="257"/>
      <c r="AW52" s="247"/>
      <c r="AX52" s="247"/>
      <c r="AY52" s="247"/>
      <c r="AZ52" s="258"/>
      <c r="BA52" s="284">
        <f>BA51/AV51-1</f>
        <v>0.17462482946794</v>
      </c>
      <c r="BB52" s="284">
        <f>BB51/AW51-1</f>
        <v>0.15244755244755259</v>
      </c>
      <c r="BC52" s="247">
        <f t="shared" ref="BC52:BJ52" si="20">BC51/AX51-1</f>
        <v>-0.15096618357487923</v>
      </c>
      <c r="BD52" s="247">
        <f t="shared" si="20"/>
        <v>-0.20506912442396319</v>
      </c>
      <c r="BE52" s="246">
        <f t="shared" si="20"/>
        <v>-2.0992366412213803E-2</v>
      </c>
      <c r="BF52" s="247">
        <f t="shared" si="20"/>
        <v>-0.18699186991869909</v>
      </c>
      <c r="BG52" s="247">
        <f t="shared" si="20"/>
        <v>-8.9805825242718518E-2</v>
      </c>
      <c r="BH52" s="247">
        <f t="shared" si="20"/>
        <v>6.6856330014224863E-2</v>
      </c>
      <c r="BI52" s="247">
        <f t="shared" si="20"/>
        <v>8.6956521739130377E-2</v>
      </c>
      <c r="BJ52" s="246">
        <f t="shared" si="20"/>
        <v>-4.1585445094217022E-2</v>
      </c>
      <c r="BK52" s="237"/>
      <c r="BL52" s="237"/>
      <c r="BM52" s="237"/>
      <c r="BN52" s="237"/>
      <c r="BO52" s="248">
        <v>0.04</v>
      </c>
      <c r="BP52" s="237"/>
      <c r="BQ52" s="237"/>
      <c r="BR52" s="237"/>
      <c r="BS52" s="237"/>
      <c r="BT52" s="248">
        <v>0.04</v>
      </c>
      <c r="BU52" s="237"/>
      <c r="BV52" s="237"/>
      <c r="BW52" s="237"/>
      <c r="BX52" s="237"/>
      <c r="BY52" s="248">
        <v>0.03</v>
      </c>
      <c r="BZ52" s="237"/>
      <c r="CA52" s="237"/>
      <c r="CB52" s="237"/>
      <c r="CC52" s="237"/>
      <c r="CD52" s="248">
        <v>0.02</v>
      </c>
      <c r="CF52" s="242"/>
    </row>
    <row r="53" spans="2:84" s="252" customFormat="1" x14ac:dyDescent="0.15">
      <c r="B53" s="298" t="s">
        <v>148</v>
      </c>
      <c r="C53" s="317"/>
      <c r="D53" s="318"/>
      <c r="E53" s="318"/>
      <c r="F53" s="318"/>
      <c r="G53" s="319"/>
      <c r="H53" s="318"/>
      <c r="I53" s="318"/>
      <c r="J53" s="318"/>
      <c r="K53" s="318"/>
      <c r="L53" s="319"/>
      <c r="M53" s="318"/>
      <c r="N53" s="318"/>
      <c r="O53" s="318"/>
      <c r="P53" s="318"/>
      <c r="Q53" s="319"/>
      <c r="R53" s="318"/>
      <c r="S53" s="318"/>
      <c r="T53" s="318"/>
      <c r="U53" s="318"/>
      <c r="V53" s="319"/>
      <c r="W53" s="320"/>
      <c r="X53" s="321"/>
      <c r="Y53" s="321"/>
      <c r="Z53" s="321"/>
      <c r="AA53" s="322"/>
      <c r="AB53" s="320"/>
      <c r="AC53" s="320"/>
      <c r="AD53" s="320"/>
      <c r="AE53" s="320"/>
      <c r="AF53" s="322"/>
      <c r="AG53" s="320"/>
      <c r="AH53" s="320"/>
      <c r="AI53" s="320"/>
      <c r="AJ53" s="320"/>
      <c r="AK53" s="322"/>
      <c r="AL53" s="321"/>
      <c r="AM53" s="321"/>
      <c r="AN53" s="321"/>
      <c r="AO53" s="321"/>
      <c r="AP53" s="322"/>
      <c r="AQ53" s="323"/>
      <c r="AR53" s="321"/>
      <c r="AS53" s="275">
        <v>74.8</v>
      </c>
      <c r="AT53" s="275">
        <v>122.6</v>
      </c>
      <c r="AU53" s="322"/>
      <c r="AV53" s="275">
        <v>99.3</v>
      </c>
      <c r="AW53" s="275">
        <v>116.5</v>
      </c>
      <c r="AX53" s="275">
        <v>117.8</v>
      </c>
      <c r="AY53" s="275">
        <v>131.80000000000001</v>
      </c>
      <c r="AZ53" s="277">
        <f>SUM(AV53:AY53)</f>
        <v>465.40000000000003</v>
      </c>
      <c r="BA53" s="275">
        <v>129.1</v>
      </c>
      <c r="BB53" s="275">
        <v>135.4</v>
      </c>
      <c r="BC53" s="275">
        <v>114.3</v>
      </c>
      <c r="BD53" s="275">
        <v>112</v>
      </c>
      <c r="BE53" s="277">
        <f>SUM(BA53:BD53)</f>
        <v>490.8</v>
      </c>
      <c r="BF53" s="275">
        <f t="shared" ref="BF53:CD53" si="21">SUM(BF47,BF49,,BF51)</f>
        <v>110</v>
      </c>
      <c r="BG53" s="275">
        <f t="shared" si="21"/>
        <v>120</v>
      </c>
      <c r="BH53" s="275">
        <f t="shared" si="21"/>
        <v>130</v>
      </c>
      <c r="BI53" s="275">
        <f t="shared" si="21"/>
        <v>132</v>
      </c>
      <c r="BJ53" s="277">
        <f t="shared" si="21"/>
        <v>492</v>
      </c>
      <c r="BK53" s="28">
        <f t="shared" si="21"/>
        <v>0</v>
      </c>
      <c r="BL53" s="28">
        <f t="shared" si="21"/>
        <v>0</v>
      </c>
      <c r="BM53" s="28">
        <f t="shared" si="21"/>
        <v>0</v>
      </c>
      <c r="BN53" s="28">
        <f t="shared" si="21"/>
        <v>0</v>
      </c>
      <c r="BO53" s="277">
        <f t="shared" si="21"/>
        <v>608.6</v>
      </c>
      <c r="BP53" s="28">
        <f t="shared" si="21"/>
        <v>0</v>
      </c>
      <c r="BQ53" s="28">
        <f t="shared" si="21"/>
        <v>0</v>
      </c>
      <c r="BR53" s="28">
        <f t="shared" si="21"/>
        <v>0</v>
      </c>
      <c r="BS53" s="28">
        <f t="shared" si="21"/>
        <v>0</v>
      </c>
      <c r="BT53" s="277">
        <f t="shared" si="21"/>
        <v>702.94399999999996</v>
      </c>
      <c r="BU53" s="28">
        <f t="shared" si="21"/>
        <v>0</v>
      </c>
      <c r="BV53" s="28">
        <f t="shared" si="21"/>
        <v>0</v>
      </c>
      <c r="BW53" s="28">
        <f t="shared" si="21"/>
        <v>0</v>
      </c>
      <c r="BX53" s="28">
        <f t="shared" si="21"/>
        <v>0</v>
      </c>
      <c r="BY53" s="277">
        <f t="shared" si="21"/>
        <v>816.19360000000006</v>
      </c>
      <c r="BZ53" s="28">
        <f t="shared" si="21"/>
        <v>0</v>
      </c>
      <c r="CA53" s="28">
        <f t="shared" si="21"/>
        <v>0</v>
      </c>
      <c r="CB53" s="28">
        <f t="shared" si="21"/>
        <v>0</v>
      </c>
      <c r="CC53" s="28">
        <f t="shared" si="21"/>
        <v>0</v>
      </c>
      <c r="CD53" s="277">
        <f t="shared" si="21"/>
        <v>901.517472</v>
      </c>
      <c r="CF53" s="278">
        <f>BJ53/$BJ$142</f>
        <v>4.4862876890338806E-2</v>
      </c>
    </row>
    <row r="54" spans="2:84" s="252" customFormat="1" x14ac:dyDescent="0.15">
      <c r="B54" s="309" t="s">
        <v>126</v>
      </c>
      <c r="C54" s="317"/>
      <c r="D54" s="318"/>
      <c r="E54" s="318"/>
      <c r="F54" s="318"/>
      <c r="G54" s="319"/>
      <c r="H54" s="318"/>
      <c r="I54" s="318"/>
      <c r="J54" s="318"/>
      <c r="K54" s="318"/>
      <c r="L54" s="319"/>
      <c r="M54" s="318"/>
      <c r="N54" s="318"/>
      <c r="O54" s="318"/>
      <c r="P54" s="318"/>
      <c r="Q54" s="319"/>
      <c r="R54" s="318"/>
      <c r="S54" s="318"/>
      <c r="T54" s="318"/>
      <c r="U54" s="318"/>
      <c r="V54" s="319"/>
      <c r="W54" s="320"/>
      <c r="X54" s="321"/>
      <c r="Y54" s="321"/>
      <c r="Z54" s="321"/>
      <c r="AA54" s="322"/>
      <c r="AB54" s="320"/>
      <c r="AC54" s="320"/>
      <c r="AD54" s="320"/>
      <c r="AE54" s="320"/>
      <c r="AF54" s="322"/>
      <c r="AG54" s="320"/>
      <c r="AH54" s="320"/>
      <c r="AI54" s="320"/>
      <c r="AJ54" s="320"/>
      <c r="AK54" s="322"/>
      <c r="AL54" s="321"/>
      <c r="AM54" s="321"/>
      <c r="AN54" s="321"/>
      <c r="AO54" s="321"/>
      <c r="AP54" s="322"/>
      <c r="AQ54" s="323"/>
      <c r="AR54" s="321"/>
      <c r="AS54" s="324"/>
      <c r="AT54" s="324"/>
      <c r="AU54" s="322"/>
      <c r="AV54" s="321"/>
      <c r="AW54" s="324"/>
      <c r="AX54" s="281">
        <f t="shared" ref="AX54:AY54" si="22">AX53/AS53-1</f>
        <v>0.57486631016042788</v>
      </c>
      <c r="AY54" s="281">
        <f t="shared" si="22"/>
        <v>7.5040783034257874E-2</v>
      </c>
      <c r="AZ54" s="322"/>
      <c r="BA54" s="281">
        <f>BA53/AV53-1</f>
        <v>0.30010070493454166</v>
      </c>
      <c r="BB54" s="281">
        <f>BB53/AW53-1</f>
        <v>0.16223175965665249</v>
      </c>
      <c r="BC54" s="281">
        <f>BC53/AX53-1</f>
        <v>-2.9711375212224111E-2</v>
      </c>
      <c r="BD54" s="281">
        <f>BD53/AY53-1</f>
        <v>-0.15022761760242798</v>
      </c>
      <c r="BE54" s="282">
        <f>BE53/AZ53-1</f>
        <v>5.4576708207993097E-2</v>
      </c>
      <c r="BF54" s="281">
        <f t="shared" ref="BF54:BI54" si="23">BF53/BA53-1</f>
        <v>-0.14794732765298213</v>
      </c>
      <c r="BG54" s="281">
        <f t="shared" si="23"/>
        <v>-0.11373707533234867</v>
      </c>
      <c r="BH54" s="281">
        <f t="shared" si="23"/>
        <v>0.13735783027121617</v>
      </c>
      <c r="BI54" s="281">
        <f t="shared" si="23"/>
        <v>0.1785714285714286</v>
      </c>
      <c r="BJ54" s="282">
        <f>BJ53/BE53-1</f>
        <v>2.4449877750611915E-3</v>
      </c>
      <c r="BK54" s="28"/>
      <c r="BL54" s="28"/>
      <c r="BM54" s="28"/>
      <c r="BN54" s="28"/>
      <c r="BO54" s="282">
        <f>BO53/BJ53-1</f>
        <v>0.23699186991869925</v>
      </c>
      <c r="BP54" s="28"/>
      <c r="BQ54" s="28"/>
      <c r="BR54" s="28"/>
      <c r="BS54" s="28"/>
      <c r="BT54" s="282">
        <f>BT53/BO53-1</f>
        <v>0.15501807426881364</v>
      </c>
      <c r="BU54" s="28"/>
      <c r="BV54" s="28"/>
      <c r="BW54" s="28"/>
      <c r="BX54" s="28"/>
      <c r="BY54" s="282">
        <f>BY53/BT53-1</f>
        <v>0.1611075704465792</v>
      </c>
      <c r="BZ54" s="28"/>
      <c r="CA54" s="28"/>
      <c r="CB54" s="28"/>
      <c r="CC54" s="28"/>
      <c r="CD54" s="282">
        <f>CD53/BY53-1</f>
        <v>0.10453876629270309</v>
      </c>
      <c r="CF54" s="242"/>
    </row>
    <row r="55" spans="2:84" s="252" customFormat="1" x14ac:dyDescent="0.15">
      <c r="B55" s="325"/>
      <c r="C55" s="317"/>
      <c r="D55" s="318"/>
      <c r="E55" s="318"/>
      <c r="F55" s="318"/>
      <c r="G55" s="319"/>
      <c r="H55" s="318"/>
      <c r="I55" s="318"/>
      <c r="J55" s="318"/>
      <c r="K55" s="318"/>
      <c r="L55" s="319"/>
      <c r="M55" s="318"/>
      <c r="N55" s="318"/>
      <c r="O55" s="318"/>
      <c r="P55" s="318"/>
      <c r="Q55" s="319"/>
      <c r="R55" s="318"/>
      <c r="S55" s="318"/>
      <c r="T55" s="318"/>
      <c r="U55" s="318"/>
      <c r="V55" s="319"/>
      <c r="W55" s="320"/>
      <c r="X55" s="321"/>
      <c r="Y55" s="321"/>
      <c r="Z55" s="321"/>
      <c r="AA55" s="322"/>
      <c r="AB55" s="320"/>
      <c r="AC55" s="320"/>
      <c r="AD55" s="320"/>
      <c r="AE55" s="320"/>
      <c r="AF55" s="322"/>
      <c r="AG55" s="320"/>
      <c r="AH55" s="320"/>
      <c r="AI55" s="320"/>
      <c r="AJ55" s="320"/>
      <c r="AK55" s="322"/>
      <c r="AL55" s="321"/>
      <c r="AM55" s="321"/>
      <c r="AN55" s="321"/>
      <c r="AO55" s="321"/>
      <c r="AP55" s="322"/>
      <c r="AQ55" s="323"/>
      <c r="AR55" s="321"/>
      <c r="AS55" s="324"/>
      <c r="AT55" s="324"/>
      <c r="AU55" s="322"/>
      <c r="AV55" s="321"/>
      <c r="AW55" s="324"/>
      <c r="AX55" s="324"/>
      <c r="AY55" s="324"/>
      <c r="AZ55" s="322"/>
      <c r="BA55" s="321"/>
      <c r="BB55" s="324"/>
      <c r="BC55" s="326"/>
      <c r="BD55" s="326"/>
      <c r="BE55" s="327"/>
      <c r="BF55" s="328"/>
      <c r="BG55" s="328"/>
      <c r="BH55" s="328"/>
      <c r="BI55" s="328"/>
      <c r="BJ55" s="327"/>
      <c r="BK55" s="328"/>
      <c r="BL55" s="328"/>
      <c r="BM55" s="328"/>
      <c r="BN55" s="328"/>
      <c r="BO55" s="327"/>
      <c r="BP55" s="328"/>
      <c r="BQ55" s="328"/>
      <c r="BR55" s="328"/>
      <c r="BS55" s="328"/>
      <c r="BT55" s="327"/>
      <c r="BU55" s="328"/>
      <c r="BV55" s="328"/>
      <c r="BW55" s="328"/>
      <c r="BX55" s="328"/>
      <c r="BY55" s="327"/>
      <c r="BZ55" s="328"/>
      <c r="CA55" s="328"/>
      <c r="CB55" s="328"/>
      <c r="CC55" s="328"/>
      <c r="CD55" s="327"/>
      <c r="CF55" s="242"/>
    </row>
    <row r="56" spans="2:84" s="252" customFormat="1" x14ac:dyDescent="0.15">
      <c r="B56" s="268" t="s">
        <v>149</v>
      </c>
      <c r="C56" s="317"/>
      <c r="D56" s="318"/>
      <c r="E56" s="318"/>
      <c r="F56" s="318"/>
      <c r="G56" s="319"/>
      <c r="H56" s="318"/>
      <c r="I56" s="318"/>
      <c r="J56" s="318"/>
      <c r="K56" s="318"/>
      <c r="L56" s="319"/>
      <c r="M56" s="318"/>
      <c r="N56" s="318"/>
      <c r="O56" s="318"/>
      <c r="P56" s="318"/>
      <c r="Q56" s="319"/>
      <c r="R56" s="318"/>
      <c r="S56" s="318"/>
      <c r="T56" s="318"/>
      <c r="U56" s="318"/>
      <c r="V56" s="319"/>
      <c r="W56" s="320"/>
      <c r="X56" s="321"/>
      <c r="Y56" s="321"/>
      <c r="Z56" s="321"/>
      <c r="AA56" s="322"/>
      <c r="AB56" s="320"/>
      <c r="AC56" s="320"/>
      <c r="AD56" s="320"/>
      <c r="AE56" s="320"/>
      <c r="AF56" s="322"/>
      <c r="AG56" s="320"/>
      <c r="AH56" s="320"/>
      <c r="AI56" s="320"/>
      <c r="AJ56" s="320"/>
      <c r="AK56" s="322"/>
      <c r="AL56" s="321"/>
      <c r="AM56" s="321"/>
      <c r="AN56" s="321"/>
      <c r="AO56" s="321"/>
      <c r="AP56" s="322"/>
      <c r="AQ56" s="323"/>
      <c r="AR56" s="321"/>
      <c r="AS56" s="275">
        <v>24.6</v>
      </c>
      <c r="AT56" s="275">
        <v>37.6</v>
      </c>
      <c r="AU56" s="322"/>
      <c r="AV56" s="275">
        <v>40.9</v>
      </c>
      <c r="AW56" s="275">
        <v>42.1</v>
      </c>
      <c r="AX56" s="275">
        <v>44.8</v>
      </c>
      <c r="AY56" s="275">
        <v>42.6</v>
      </c>
      <c r="AZ56" s="277">
        <f>SUM(AV56:AY56)</f>
        <v>170.4</v>
      </c>
      <c r="BA56" s="275">
        <v>47.7</v>
      </c>
      <c r="BB56" s="275">
        <v>51.2</v>
      </c>
      <c r="BC56" s="329">
        <v>60.4</v>
      </c>
      <c r="BD56" s="329">
        <v>53.5</v>
      </c>
      <c r="BE56" s="277">
        <f>SUM(BA56:BD56)</f>
        <v>212.8</v>
      </c>
      <c r="BF56" s="315">
        <v>55</v>
      </c>
      <c r="BG56" s="315">
        <v>57</v>
      </c>
      <c r="BH56" s="315">
        <v>60</v>
      </c>
      <c r="BI56" s="315">
        <v>65</v>
      </c>
      <c r="BJ56" s="277">
        <f>SUM(BF56:BI56)</f>
        <v>237</v>
      </c>
      <c r="BK56" s="28"/>
      <c r="BL56" s="28"/>
      <c r="BM56" s="28"/>
      <c r="BN56" s="28"/>
      <c r="BO56" s="277">
        <f>BJ56*(1+BO57)</f>
        <v>265.44</v>
      </c>
      <c r="BP56" s="28"/>
      <c r="BQ56" s="28"/>
      <c r="BR56" s="28"/>
      <c r="BS56" s="28"/>
      <c r="BT56" s="277">
        <f>BO56*(1+BT57)</f>
        <v>291.98400000000004</v>
      </c>
      <c r="BU56" s="28"/>
      <c r="BV56" s="28"/>
      <c r="BW56" s="28"/>
      <c r="BX56" s="28"/>
      <c r="BY56" s="277">
        <f>BT56*(1+BY57)</f>
        <v>321.18240000000009</v>
      </c>
      <c r="BZ56" s="28"/>
      <c r="CA56" s="28"/>
      <c r="CB56" s="28"/>
      <c r="CC56" s="28"/>
      <c r="CD56" s="277">
        <f>BY56*(1+CD57)</f>
        <v>353.3006400000001</v>
      </c>
      <c r="CF56" s="278">
        <f>BJ56/$BJ$142</f>
        <v>2.1610776063029059E-2</v>
      </c>
    </row>
    <row r="57" spans="2:84" s="252" customFormat="1" x14ac:dyDescent="0.15">
      <c r="B57" s="309" t="s">
        <v>126</v>
      </c>
      <c r="C57" s="317"/>
      <c r="D57" s="318"/>
      <c r="E57" s="318"/>
      <c r="F57" s="318"/>
      <c r="G57" s="319"/>
      <c r="H57" s="318"/>
      <c r="I57" s="318"/>
      <c r="J57" s="318"/>
      <c r="K57" s="318"/>
      <c r="L57" s="319"/>
      <c r="M57" s="318"/>
      <c r="N57" s="318"/>
      <c r="O57" s="318"/>
      <c r="P57" s="318"/>
      <c r="Q57" s="319"/>
      <c r="R57" s="318"/>
      <c r="S57" s="318"/>
      <c r="T57" s="318"/>
      <c r="U57" s="318"/>
      <c r="V57" s="319"/>
      <c r="W57" s="320"/>
      <c r="X57" s="321"/>
      <c r="Y57" s="321"/>
      <c r="Z57" s="321"/>
      <c r="AA57" s="322"/>
      <c r="AB57" s="320"/>
      <c r="AC57" s="320"/>
      <c r="AD57" s="320"/>
      <c r="AE57" s="320"/>
      <c r="AF57" s="322"/>
      <c r="AG57" s="320"/>
      <c r="AH57" s="320"/>
      <c r="AI57" s="320"/>
      <c r="AJ57" s="320"/>
      <c r="AK57" s="322"/>
      <c r="AL57" s="321"/>
      <c r="AM57" s="321"/>
      <c r="AN57" s="321"/>
      <c r="AO57" s="321"/>
      <c r="AP57" s="322"/>
      <c r="AQ57" s="323"/>
      <c r="AR57" s="321"/>
      <c r="AS57" s="324"/>
      <c r="AT57" s="324"/>
      <c r="AU57" s="322"/>
      <c r="AV57" s="321"/>
      <c r="AW57" s="324"/>
      <c r="AX57" s="281">
        <f t="shared" ref="AX57:AY57" si="24">AX56/AS56-1</f>
        <v>0.82113821138211351</v>
      </c>
      <c r="AY57" s="281">
        <f t="shared" si="24"/>
        <v>0.13297872340425521</v>
      </c>
      <c r="AZ57" s="322"/>
      <c r="BA57" s="281">
        <f>BA56/AV56-1</f>
        <v>0.16625916870415658</v>
      </c>
      <c r="BB57" s="281">
        <f>BB56/AW56-1</f>
        <v>0.21615201900237535</v>
      </c>
      <c r="BC57" s="281">
        <f>BC56/AX56-1</f>
        <v>0.34821428571428581</v>
      </c>
      <c r="BD57" s="324">
        <f t="shared" ref="BD57" si="25">BD56/AY56-1</f>
        <v>0.255868544600939</v>
      </c>
      <c r="BE57" s="282">
        <f>BE56/AZ56-1</f>
        <v>0.24882629107981225</v>
      </c>
      <c r="BF57" s="324">
        <f t="shared" ref="BF57:BI57" si="26">BF56/BA56-1</f>
        <v>0.1530398322851152</v>
      </c>
      <c r="BG57" s="324">
        <f t="shared" si="26"/>
        <v>0.11328125</v>
      </c>
      <c r="BH57" s="324">
        <f t="shared" si="26"/>
        <v>-6.6225165562913135E-3</v>
      </c>
      <c r="BI57" s="324">
        <f t="shared" si="26"/>
        <v>0.2149532710280373</v>
      </c>
      <c r="BJ57" s="282">
        <f>BJ56/BE56-1</f>
        <v>0.11372180451127822</v>
      </c>
      <c r="BK57" s="330"/>
      <c r="BL57" s="330"/>
      <c r="BM57" s="330"/>
      <c r="BN57" s="330"/>
      <c r="BO57" s="331">
        <v>0.12</v>
      </c>
      <c r="BP57" s="330"/>
      <c r="BQ57" s="330"/>
      <c r="BR57" s="330"/>
      <c r="BS57" s="330"/>
      <c r="BT57" s="331">
        <v>0.1</v>
      </c>
      <c r="BU57" s="330"/>
      <c r="BV57" s="330"/>
      <c r="BW57" s="330"/>
      <c r="BX57" s="330"/>
      <c r="BY57" s="331">
        <v>0.1</v>
      </c>
      <c r="BZ57" s="330"/>
      <c r="CA57" s="330"/>
      <c r="CB57" s="330"/>
      <c r="CC57" s="330"/>
      <c r="CD57" s="331">
        <v>0.1</v>
      </c>
      <c r="CF57" s="242"/>
    </row>
    <row r="58" spans="2:84" s="252" customFormat="1" x14ac:dyDescent="0.15">
      <c r="B58" s="325"/>
      <c r="C58" s="317"/>
      <c r="D58" s="318"/>
      <c r="E58" s="318"/>
      <c r="F58" s="318"/>
      <c r="G58" s="319"/>
      <c r="H58" s="318"/>
      <c r="I58" s="318"/>
      <c r="J58" s="318"/>
      <c r="K58" s="318"/>
      <c r="L58" s="319"/>
      <c r="M58" s="318"/>
      <c r="N58" s="318"/>
      <c r="O58" s="318"/>
      <c r="P58" s="318"/>
      <c r="Q58" s="319"/>
      <c r="R58" s="318"/>
      <c r="S58" s="318"/>
      <c r="T58" s="318"/>
      <c r="U58" s="318"/>
      <c r="V58" s="319"/>
      <c r="W58" s="320"/>
      <c r="X58" s="321"/>
      <c r="Y58" s="321"/>
      <c r="Z58" s="321"/>
      <c r="AA58" s="322"/>
      <c r="AB58" s="320"/>
      <c r="AC58" s="320"/>
      <c r="AD58" s="320"/>
      <c r="AE58" s="320"/>
      <c r="AF58" s="322"/>
      <c r="AG58" s="320"/>
      <c r="AH58" s="320"/>
      <c r="AI58" s="320"/>
      <c r="AJ58" s="320"/>
      <c r="AK58" s="322"/>
      <c r="AL58" s="321"/>
      <c r="AM58" s="321"/>
      <c r="AN58" s="321"/>
      <c r="AO58" s="321"/>
      <c r="AP58" s="322"/>
      <c r="AQ58" s="323"/>
      <c r="AR58" s="321"/>
      <c r="AS58" s="324"/>
      <c r="AT58" s="324"/>
      <c r="AU58" s="322"/>
      <c r="AV58" s="321"/>
      <c r="AW58" s="324"/>
      <c r="AX58" s="324"/>
      <c r="AY58" s="324"/>
      <c r="AZ58" s="322"/>
      <c r="BA58" s="321"/>
      <c r="BB58" s="324"/>
      <c r="BC58" s="324"/>
      <c r="BD58" s="324"/>
      <c r="BE58" s="282"/>
      <c r="BF58" s="28"/>
      <c r="BG58" s="28"/>
      <c r="BH58" s="28"/>
      <c r="BI58" s="28"/>
      <c r="BJ58" s="276"/>
      <c r="BK58" s="28"/>
      <c r="BL58" s="28"/>
      <c r="BM58" s="28"/>
      <c r="BN58" s="28"/>
      <c r="BO58" s="276"/>
      <c r="BP58" s="28"/>
      <c r="BQ58" s="28"/>
      <c r="BR58" s="28"/>
      <c r="BS58" s="28"/>
      <c r="BT58" s="276"/>
      <c r="BU58" s="28"/>
      <c r="BV58" s="28"/>
      <c r="BW58" s="28"/>
      <c r="BX58" s="28"/>
      <c r="BY58" s="276"/>
      <c r="BZ58" s="28"/>
      <c r="CA58" s="28"/>
      <c r="CB58" s="28"/>
      <c r="CC58" s="28"/>
      <c r="CD58" s="276"/>
      <c r="CF58" s="242"/>
    </row>
    <row r="59" spans="2:84" s="285" customFormat="1" x14ac:dyDescent="0.15">
      <c r="B59" s="298" t="s">
        <v>150</v>
      </c>
      <c r="C59" s="310"/>
      <c r="D59" s="310"/>
      <c r="E59" s="310"/>
      <c r="F59" s="310"/>
      <c r="G59" s="311"/>
      <c r="H59" s="310"/>
      <c r="I59" s="310"/>
      <c r="J59" s="310"/>
      <c r="K59" s="310"/>
      <c r="L59" s="311"/>
      <c r="M59" s="310"/>
      <c r="N59" s="310"/>
      <c r="O59" s="310"/>
      <c r="P59" s="310"/>
      <c r="Q59" s="311"/>
      <c r="R59" s="310"/>
      <c r="S59" s="310"/>
      <c r="T59" s="310"/>
      <c r="U59" s="310"/>
      <c r="V59" s="311"/>
      <c r="W59" s="310"/>
      <c r="X59" s="310"/>
      <c r="Y59" s="310"/>
      <c r="Z59" s="310"/>
      <c r="AA59" s="311"/>
      <c r="AB59" s="310"/>
      <c r="AC59" s="310"/>
      <c r="AD59" s="310"/>
      <c r="AE59" s="310"/>
      <c r="AF59" s="311"/>
      <c r="AG59" s="310"/>
      <c r="AH59" s="310"/>
      <c r="AI59" s="310"/>
      <c r="AJ59" s="310"/>
      <c r="AK59" s="311"/>
      <c r="AL59" s="314"/>
      <c r="AM59" s="313"/>
      <c r="AN59" s="314"/>
      <c r="AO59" s="315"/>
      <c r="AP59" s="311"/>
      <c r="AQ59" s="316"/>
      <c r="AR59" s="310"/>
      <c r="AS59" s="275">
        <v>31.1</v>
      </c>
      <c r="AT59" s="275">
        <v>59.3</v>
      </c>
      <c r="AU59" s="311"/>
      <c r="AV59" s="275">
        <v>48.3</v>
      </c>
      <c r="AW59" s="275">
        <v>56.2</v>
      </c>
      <c r="AX59" s="275">
        <v>54</v>
      </c>
      <c r="AY59" s="275">
        <v>56.6</v>
      </c>
      <c r="AZ59" s="277">
        <f>SUM(AV59:AY59)</f>
        <v>215.1</v>
      </c>
      <c r="BA59" s="275">
        <v>48.1</v>
      </c>
      <c r="BB59" s="275">
        <v>56.5</v>
      </c>
      <c r="BC59" s="329">
        <v>54.6</v>
      </c>
      <c r="BD59" s="329">
        <v>65.400000000000006</v>
      </c>
      <c r="BE59" s="277">
        <f>SUM(BA59:BD59)</f>
        <v>224.6</v>
      </c>
      <c r="BF59" s="315">
        <v>75</v>
      </c>
      <c r="BG59" s="315">
        <v>77</v>
      </c>
      <c r="BH59" s="315">
        <v>78</v>
      </c>
      <c r="BI59" s="315">
        <v>80</v>
      </c>
      <c r="BJ59" s="332">
        <f>SUM(BF59:BI59)</f>
        <v>310</v>
      </c>
      <c r="BO59" s="332">
        <f>BJ59*(1+BO60)</f>
        <v>319.3</v>
      </c>
      <c r="BT59" s="332">
        <f>BO59*(1+BT60)</f>
        <v>328.87900000000002</v>
      </c>
      <c r="BY59" s="332">
        <f>BT59*(1+BY60)</f>
        <v>335.45658000000003</v>
      </c>
      <c r="CD59" s="332">
        <f>BY59*(1+CD60)</f>
        <v>342.16571160000007</v>
      </c>
      <c r="CF59" s="278">
        <f>BJ59/$BJ$142</f>
        <v>2.8267259829278517E-2</v>
      </c>
    </row>
    <row r="60" spans="2:84" s="285" customFormat="1" x14ac:dyDescent="0.15">
      <c r="B60" s="309" t="s">
        <v>126</v>
      </c>
      <c r="C60" s="310"/>
      <c r="D60" s="310"/>
      <c r="E60" s="310"/>
      <c r="F60" s="310"/>
      <c r="G60" s="311"/>
      <c r="H60" s="310"/>
      <c r="I60" s="310"/>
      <c r="J60" s="310"/>
      <c r="K60" s="310"/>
      <c r="L60" s="311"/>
      <c r="M60" s="310"/>
      <c r="N60" s="310"/>
      <c r="O60" s="310"/>
      <c r="P60" s="310"/>
      <c r="Q60" s="311"/>
      <c r="R60" s="310"/>
      <c r="S60" s="310"/>
      <c r="T60" s="310"/>
      <c r="U60" s="310"/>
      <c r="V60" s="311"/>
      <c r="W60" s="310"/>
      <c r="X60" s="310"/>
      <c r="Y60" s="310"/>
      <c r="Z60" s="310"/>
      <c r="AA60" s="311"/>
      <c r="AB60" s="310"/>
      <c r="AC60" s="310"/>
      <c r="AD60" s="310"/>
      <c r="AE60" s="310"/>
      <c r="AF60" s="311"/>
      <c r="AG60" s="310"/>
      <c r="AH60" s="310"/>
      <c r="AI60" s="310"/>
      <c r="AJ60" s="310"/>
      <c r="AK60" s="311"/>
      <c r="AL60" s="314"/>
      <c r="AM60" s="313"/>
      <c r="AN60" s="314"/>
      <c r="AO60" s="315"/>
      <c r="AP60" s="311"/>
      <c r="AQ60" s="316"/>
      <c r="AR60" s="310"/>
      <c r="AS60" s="310"/>
      <c r="AT60" s="310"/>
      <c r="AU60" s="311"/>
      <c r="AV60" s="310"/>
      <c r="AW60" s="310"/>
      <c r="AX60" s="281">
        <f t="shared" ref="AX60:AY60" si="27">AX59/AS59-1</f>
        <v>0.7363344051446945</v>
      </c>
      <c r="AY60" s="281">
        <f t="shared" si="27"/>
        <v>-4.5531197301854953E-2</v>
      </c>
      <c r="AZ60" s="311"/>
      <c r="BA60" s="281">
        <f>BA59/AV59-1</f>
        <v>-4.1407867494822614E-3</v>
      </c>
      <c r="BB60" s="281">
        <f>BB59/AW59-1</f>
        <v>5.3380782918148739E-3</v>
      </c>
      <c r="BC60" s="281">
        <f>BC59/AX59-1</f>
        <v>1.1111111111111072E-2</v>
      </c>
      <c r="BD60" s="324">
        <f t="shared" ref="BD60" si="28">BD59/AY59-1</f>
        <v>0.15547703180212014</v>
      </c>
      <c r="BE60" s="282">
        <f>BE59/AZ59-1</f>
        <v>4.4165504416550538E-2</v>
      </c>
      <c r="BF60" s="324">
        <f t="shared" ref="BF60:BI60" si="29">BF59/BA59-1</f>
        <v>0.55925155925155923</v>
      </c>
      <c r="BG60" s="324">
        <f t="shared" si="29"/>
        <v>0.36283185840707954</v>
      </c>
      <c r="BH60" s="324">
        <f t="shared" si="29"/>
        <v>0.4285714285714286</v>
      </c>
      <c r="BI60" s="324">
        <f t="shared" si="29"/>
        <v>0.2232415902140672</v>
      </c>
      <c r="BJ60" s="282">
        <f>BJ59/BE59-1</f>
        <v>0.38023152270703475</v>
      </c>
      <c r="BK60" s="333"/>
      <c r="BL60" s="333"/>
      <c r="BM60" s="333"/>
      <c r="BN60" s="333"/>
      <c r="BO60" s="334">
        <v>0.03</v>
      </c>
      <c r="BP60" s="333"/>
      <c r="BQ60" s="333"/>
      <c r="BR60" s="333"/>
      <c r="BS60" s="333"/>
      <c r="BT60" s="334">
        <v>0.03</v>
      </c>
      <c r="BU60" s="333"/>
      <c r="BV60" s="333"/>
      <c r="BW60" s="333"/>
      <c r="BX60" s="333"/>
      <c r="BY60" s="334">
        <v>0.02</v>
      </c>
      <c r="BZ60" s="333"/>
      <c r="CA60" s="333"/>
      <c r="CB60" s="333"/>
      <c r="CC60" s="333"/>
      <c r="CD60" s="334">
        <v>0.02</v>
      </c>
      <c r="CF60" s="229"/>
    </row>
    <row r="61" spans="2:84" s="285" customFormat="1" x14ac:dyDescent="0.15">
      <c r="B61" s="309"/>
      <c r="C61" s="310"/>
      <c r="D61" s="310"/>
      <c r="E61" s="310"/>
      <c r="F61" s="310"/>
      <c r="G61" s="311"/>
      <c r="H61" s="310"/>
      <c r="I61" s="310"/>
      <c r="J61" s="310"/>
      <c r="K61" s="310"/>
      <c r="L61" s="311"/>
      <c r="M61" s="310"/>
      <c r="N61" s="310"/>
      <c r="O61" s="310"/>
      <c r="P61" s="310"/>
      <c r="Q61" s="311"/>
      <c r="R61" s="310"/>
      <c r="S61" s="310"/>
      <c r="T61" s="310"/>
      <c r="U61" s="310"/>
      <c r="V61" s="311"/>
      <c r="W61" s="310"/>
      <c r="X61" s="310"/>
      <c r="Y61" s="310"/>
      <c r="Z61" s="310"/>
      <c r="AA61" s="311"/>
      <c r="AB61" s="310"/>
      <c r="AC61" s="310"/>
      <c r="AD61" s="310"/>
      <c r="AE61" s="310"/>
      <c r="AF61" s="311"/>
      <c r="AG61" s="310"/>
      <c r="AH61" s="310"/>
      <c r="AI61" s="310"/>
      <c r="AJ61" s="310"/>
      <c r="AK61" s="311"/>
      <c r="AL61" s="314"/>
      <c r="AM61" s="313"/>
      <c r="AN61" s="314"/>
      <c r="AO61" s="315"/>
      <c r="AP61" s="311"/>
      <c r="AQ61" s="316"/>
      <c r="AR61" s="310"/>
      <c r="AS61" s="310"/>
      <c r="AT61" s="310"/>
      <c r="AU61" s="311"/>
      <c r="AV61" s="310"/>
      <c r="AW61" s="310"/>
      <c r="AX61" s="310"/>
      <c r="AY61" s="310"/>
      <c r="AZ61" s="311"/>
      <c r="BA61" s="310"/>
      <c r="BB61" s="310"/>
      <c r="BC61" s="310"/>
      <c r="BD61" s="310"/>
      <c r="BE61" s="311"/>
      <c r="BJ61" s="311"/>
      <c r="BO61" s="311"/>
      <c r="BT61" s="311"/>
      <c r="BY61" s="311"/>
      <c r="CD61" s="311"/>
      <c r="CF61" s="229"/>
    </row>
    <row r="62" spans="2:84" s="285" customFormat="1" outlineLevel="1" x14ac:dyDescent="0.15">
      <c r="B62" s="230" t="s">
        <v>151</v>
      </c>
      <c r="C62" s="236"/>
      <c r="D62" s="236"/>
      <c r="E62" s="236"/>
      <c r="F62" s="236"/>
      <c r="G62" s="235"/>
      <c r="H62" s="236"/>
      <c r="I62" s="236"/>
      <c r="J62" s="236"/>
      <c r="K62" s="236"/>
      <c r="L62" s="235"/>
      <c r="M62" s="236"/>
      <c r="N62" s="236"/>
      <c r="O62" s="236"/>
      <c r="P62" s="236"/>
      <c r="Q62" s="235"/>
      <c r="R62" s="236"/>
      <c r="S62" s="236"/>
      <c r="T62" s="236"/>
      <c r="U62" s="236"/>
      <c r="V62" s="235"/>
      <c r="W62" s="236"/>
      <c r="X62" s="236"/>
      <c r="Y62" s="236"/>
      <c r="Z62" s="236"/>
      <c r="AA62" s="235"/>
      <c r="AB62" s="236"/>
      <c r="AC62" s="236"/>
      <c r="AD62" s="236"/>
      <c r="AE62" s="236"/>
      <c r="AF62" s="235"/>
      <c r="AG62" s="236"/>
      <c r="AH62" s="236"/>
      <c r="AI62" s="236"/>
      <c r="AJ62" s="236"/>
      <c r="AK62" s="235"/>
      <c r="AL62" s="288"/>
      <c r="AM62" s="239"/>
      <c r="AN62" s="288"/>
      <c r="AO62" s="240"/>
      <c r="AP62" s="235"/>
      <c r="AQ62" s="289"/>
      <c r="AR62" s="236"/>
      <c r="AS62" s="236"/>
      <c r="AT62" s="236"/>
      <c r="AU62" s="235"/>
      <c r="AV62" s="236"/>
      <c r="AW62" s="236"/>
      <c r="AX62" s="236"/>
      <c r="AY62" s="236"/>
      <c r="AZ62" s="235"/>
      <c r="BA62" s="236"/>
      <c r="BB62" s="236"/>
      <c r="BC62" s="236"/>
      <c r="BD62" s="335"/>
      <c r="BE62" s="235"/>
      <c r="BF62" s="241"/>
      <c r="BG62" s="241"/>
      <c r="BH62" s="241"/>
      <c r="BI62" s="241"/>
      <c r="BJ62" s="235"/>
      <c r="BK62" s="241"/>
      <c r="BL62" s="241"/>
      <c r="BM62" s="241"/>
      <c r="BN62" s="241"/>
      <c r="BO62" s="235"/>
      <c r="BP62" s="241"/>
      <c r="BQ62" s="241"/>
      <c r="BR62" s="241"/>
      <c r="BS62" s="241"/>
      <c r="BT62" s="235"/>
      <c r="BU62" s="241"/>
      <c r="BV62" s="241"/>
      <c r="BW62" s="241"/>
      <c r="BX62" s="241"/>
      <c r="BY62" s="235"/>
      <c r="BZ62" s="241"/>
      <c r="CA62" s="241"/>
      <c r="CB62" s="241"/>
      <c r="CC62" s="241"/>
      <c r="CD62" s="235"/>
      <c r="CF62" s="229"/>
    </row>
    <row r="63" spans="2:84" s="28" customFormat="1" outlineLevel="2" x14ac:dyDescent="0.15">
      <c r="B63" s="238" t="s">
        <v>152</v>
      </c>
      <c r="C63" s="336">
        <v>36.799999999999997</v>
      </c>
      <c r="D63" s="336">
        <v>70.5</v>
      </c>
      <c r="E63" s="336">
        <v>109.3</v>
      </c>
      <c r="F63" s="336">
        <v>137.69999999999999</v>
      </c>
      <c r="G63" s="337">
        <f>SUM(C63:F63)</f>
        <v>354.29999999999995</v>
      </c>
      <c r="H63" s="336">
        <v>65</v>
      </c>
      <c r="I63" s="336">
        <v>114</v>
      </c>
      <c r="J63" s="336">
        <v>123.3</v>
      </c>
      <c r="K63" s="336">
        <v>148.1</v>
      </c>
      <c r="L63" s="337">
        <f>SUM(H63:K63)</f>
        <v>450.4</v>
      </c>
      <c r="M63" s="336">
        <v>61.405000000000001</v>
      </c>
      <c r="N63" s="336">
        <v>53.048000000000002</v>
      </c>
      <c r="O63" s="336">
        <v>53.515999999999998</v>
      </c>
      <c r="P63" s="336">
        <v>44.356000000000002</v>
      </c>
      <c r="Q63" s="337">
        <f>SUM(M63:P63)</f>
        <v>212.32499999999999</v>
      </c>
      <c r="R63" s="336">
        <v>58.856000000000002</v>
      </c>
      <c r="S63" s="336">
        <v>30.42</v>
      </c>
      <c r="T63" s="336">
        <v>16.587</v>
      </c>
      <c r="U63" s="336">
        <v>14.882</v>
      </c>
      <c r="V63" s="337">
        <f>SUM(R63:U63)</f>
        <v>120.74500000000002</v>
      </c>
      <c r="W63" s="236">
        <v>20.12</v>
      </c>
      <c r="X63" s="236">
        <v>37.134999999999998</v>
      </c>
      <c r="Y63" s="236">
        <v>58.606000000000002</v>
      </c>
      <c r="Z63" s="236">
        <v>57.427</v>
      </c>
      <c r="AA63" s="235">
        <f>SUM(W63:Z63)</f>
        <v>173.28799999999998</v>
      </c>
      <c r="AB63" s="236">
        <v>49.79</v>
      </c>
      <c r="AC63" s="236">
        <v>53.984000000000002</v>
      </c>
      <c r="AD63" s="236">
        <v>52.136000000000003</v>
      </c>
      <c r="AE63" s="236">
        <v>32.1</v>
      </c>
      <c r="AF63" s="235">
        <f>SUM(AB63:AE63)</f>
        <v>188.01</v>
      </c>
      <c r="AG63" s="236">
        <f>33.9+12.5</f>
        <v>46.4</v>
      </c>
      <c r="AH63" s="236">
        <v>39.799999999999997</v>
      </c>
      <c r="AI63" s="236">
        <v>35.1</v>
      </c>
      <c r="AJ63" s="236">
        <f>159.2-AG63-AH63-AI63</f>
        <v>37.899999999999984</v>
      </c>
      <c r="AK63" s="235">
        <f>SUM(AG63:AJ63)</f>
        <v>159.19999999999996</v>
      </c>
      <c r="AL63" s="287">
        <v>33.9</v>
      </c>
      <c r="AM63" s="236">
        <v>31.8</v>
      </c>
      <c r="AN63" s="236">
        <v>35.1</v>
      </c>
      <c r="AO63" s="236">
        <v>38</v>
      </c>
      <c r="AP63" s="235">
        <f>SUM(AL63:AO63)</f>
        <v>138.80000000000001</v>
      </c>
      <c r="AQ63" s="289">
        <v>38</v>
      </c>
      <c r="AR63" s="236">
        <v>40</v>
      </c>
      <c r="AS63" s="236">
        <v>40</v>
      </c>
      <c r="AT63" s="236">
        <v>40</v>
      </c>
      <c r="AU63" s="235">
        <f>SUM(AQ63:AT63)</f>
        <v>158</v>
      </c>
      <c r="AV63" s="239">
        <v>60</v>
      </c>
      <c r="AW63" s="239">
        <v>64</v>
      </c>
      <c r="AX63" s="239">
        <v>72</v>
      </c>
      <c r="AY63" s="239">
        <v>74</v>
      </c>
      <c r="AZ63" s="235">
        <f>SUM(AV63:AY63)</f>
        <v>270</v>
      </c>
      <c r="BA63" s="239">
        <v>68</v>
      </c>
      <c r="BB63" s="239">
        <v>67</v>
      </c>
      <c r="BC63" s="239">
        <v>92</v>
      </c>
      <c r="BD63" s="239">
        <v>93</v>
      </c>
      <c r="BE63" s="235">
        <f>SUM(BA63:BD63)</f>
        <v>320</v>
      </c>
      <c r="BF63" s="240">
        <v>75</v>
      </c>
      <c r="BG63" s="240">
        <v>80</v>
      </c>
      <c r="BH63" s="240">
        <v>80</v>
      </c>
      <c r="BI63" s="240">
        <v>80</v>
      </c>
      <c r="BJ63" s="235">
        <f>SUM(BF63:BI63)</f>
        <v>315</v>
      </c>
      <c r="BK63" s="241"/>
      <c r="BL63" s="241"/>
      <c r="BM63" s="241"/>
      <c r="BN63" s="241"/>
      <c r="BO63" s="235">
        <f>BJ63*(1+BO64)</f>
        <v>321.3</v>
      </c>
      <c r="BP63" s="241"/>
      <c r="BQ63" s="241"/>
      <c r="BR63" s="241"/>
      <c r="BS63" s="241"/>
      <c r="BT63" s="235">
        <f>BO63*(1+BT64)</f>
        <v>321.3</v>
      </c>
      <c r="BU63" s="241"/>
      <c r="BV63" s="241"/>
      <c r="BW63" s="241"/>
      <c r="BX63" s="241"/>
      <c r="BY63" s="235">
        <f>BT63*(1+BY64)</f>
        <v>305.23500000000001</v>
      </c>
      <c r="BZ63" s="241"/>
      <c r="CA63" s="241"/>
      <c r="CB63" s="241"/>
      <c r="CC63" s="241"/>
      <c r="CD63" s="235">
        <f>BY63*(1+CD64)</f>
        <v>289.97325000000001</v>
      </c>
      <c r="CF63" s="229"/>
    </row>
    <row r="64" spans="2:84" s="342" customFormat="1" outlineLevel="2" x14ac:dyDescent="0.15">
      <c r="B64" s="245" t="s">
        <v>126</v>
      </c>
      <c r="C64" s="338"/>
      <c r="D64" s="338"/>
      <c r="E64" s="338"/>
      <c r="F64" s="338"/>
      <c r="G64" s="251"/>
      <c r="H64" s="338">
        <f t="shared" ref="H64:AO64" si="30">H63/C63-1</f>
        <v>0.76630434782608714</v>
      </c>
      <c r="I64" s="338">
        <f t="shared" si="30"/>
        <v>0.61702127659574457</v>
      </c>
      <c r="J64" s="338">
        <f t="shared" si="30"/>
        <v>0.12808783165599258</v>
      </c>
      <c r="K64" s="338">
        <f t="shared" si="30"/>
        <v>7.5526506899056045E-2</v>
      </c>
      <c r="L64" s="251">
        <f t="shared" si="30"/>
        <v>0.27123906294101063</v>
      </c>
      <c r="M64" s="338">
        <f t="shared" si="30"/>
        <v>-5.530769230769228E-2</v>
      </c>
      <c r="N64" s="338">
        <f t="shared" si="30"/>
        <v>-0.53466666666666662</v>
      </c>
      <c r="O64" s="338">
        <f t="shared" si="30"/>
        <v>-0.56596918085969183</v>
      </c>
      <c r="P64" s="338">
        <f t="shared" si="30"/>
        <v>-0.70049966239027683</v>
      </c>
      <c r="Q64" s="251">
        <f t="shared" si="30"/>
        <v>-0.52858570159857909</v>
      </c>
      <c r="R64" s="338">
        <f t="shared" si="30"/>
        <v>-4.1511277583258677E-2</v>
      </c>
      <c r="S64" s="338">
        <f t="shared" si="30"/>
        <v>-0.42655708038003315</v>
      </c>
      <c r="T64" s="338">
        <f t="shared" si="30"/>
        <v>-0.69005531056132741</v>
      </c>
      <c r="U64" s="338">
        <f t="shared" si="30"/>
        <v>-0.66448732978627478</v>
      </c>
      <c r="V64" s="251">
        <f t="shared" si="30"/>
        <v>-0.43131991051454122</v>
      </c>
      <c r="W64" s="247">
        <f t="shared" si="30"/>
        <v>-0.65814870191654207</v>
      </c>
      <c r="X64" s="247">
        <f t="shared" si="30"/>
        <v>0.22074293228139363</v>
      </c>
      <c r="Y64" s="247">
        <f t="shared" si="30"/>
        <v>2.53324892988485</v>
      </c>
      <c r="Z64" s="247">
        <f t="shared" si="30"/>
        <v>2.8588227388791831</v>
      </c>
      <c r="AA64" s="251">
        <f t="shared" si="30"/>
        <v>0.43515673526854082</v>
      </c>
      <c r="AB64" s="247">
        <f t="shared" si="30"/>
        <v>1.4746520874751488</v>
      </c>
      <c r="AC64" s="247">
        <f t="shared" si="30"/>
        <v>0.45372290292177198</v>
      </c>
      <c r="AD64" s="247">
        <f t="shared" si="30"/>
        <v>-0.11039825273862747</v>
      </c>
      <c r="AE64" s="247">
        <f t="shared" si="30"/>
        <v>-0.44102948090619387</v>
      </c>
      <c r="AF64" s="251">
        <f t="shared" si="30"/>
        <v>8.4956834864503117E-2</v>
      </c>
      <c r="AG64" s="247">
        <f t="shared" si="30"/>
        <v>-6.8085961036352671E-2</v>
      </c>
      <c r="AH64" s="247">
        <f t="shared" si="30"/>
        <v>-0.26274451689389455</v>
      </c>
      <c r="AI64" s="247">
        <f t="shared" si="30"/>
        <v>-0.32676077949976989</v>
      </c>
      <c r="AJ64" s="247">
        <f t="shared" si="30"/>
        <v>0.18068535825545107</v>
      </c>
      <c r="AK64" s="251">
        <f t="shared" si="30"/>
        <v>-0.15323652997181014</v>
      </c>
      <c r="AL64" s="247">
        <f t="shared" si="30"/>
        <v>-0.2693965517241379</v>
      </c>
      <c r="AM64" s="247">
        <f t="shared" si="30"/>
        <v>-0.20100502512562801</v>
      </c>
      <c r="AN64" s="247">
        <f t="shared" si="30"/>
        <v>0</v>
      </c>
      <c r="AO64" s="247">
        <f t="shared" si="30"/>
        <v>2.6385224274410035E-3</v>
      </c>
      <c r="AP64" s="251">
        <f>AP63/AK63-1</f>
        <v>-0.12814070351758766</v>
      </c>
      <c r="AQ64" s="339">
        <v>0.1</v>
      </c>
      <c r="AR64" s="295">
        <v>0.1</v>
      </c>
      <c r="AS64" s="295">
        <v>0.1</v>
      </c>
      <c r="AT64" s="295">
        <v>0.1</v>
      </c>
      <c r="AU64" s="251">
        <f>AU63/AP63-1</f>
        <v>0.13832853025936598</v>
      </c>
      <c r="AV64" s="247">
        <v>0.57894736842105265</v>
      </c>
      <c r="AW64" s="247">
        <v>0.60000000000000009</v>
      </c>
      <c r="AX64" s="247">
        <v>0.8</v>
      </c>
      <c r="AY64" s="247">
        <v>0.85000000000000009</v>
      </c>
      <c r="AZ64" s="251">
        <f>AZ63/AU63-1</f>
        <v>0.70886075949367089</v>
      </c>
      <c r="BA64" s="247">
        <v>0.1333333333333333</v>
      </c>
      <c r="BB64" s="247">
        <v>4.6875E-2</v>
      </c>
      <c r="BC64" s="247">
        <f t="shared" ref="BC64:BD64" si="31">BC63/AX63-1</f>
        <v>0.27777777777777768</v>
      </c>
      <c r="BD64" s="247">
        <f t="shared" si="31"/>
        <v>0.2567567567567568</v>
      </c>
      <c r="BE64" s="251">
        <f>BE63/AZ63-1</f>
        <v>0.18518518518518512</v>
      </c>
      <c r="BF64" s="247">
        <f t="shared" ref="BF64:BI64" si="32">BF63/BA63-1</f>
        <v>0.10294117647058831</v>
      </c>
      <c r="BG64" s="247">
        <f t="shared" si="32"/>
        <v>0.19402985074626855</v>
      </c>
      <c r="BH64" s="247">
        <f t="shared" si="32"/>
        <v>-0.13043478260869568</v>
      </c>
      <c r="BI64" s="247">
        <f t="shared" si="32"/>
        <v>-0.13978494623655913</v>
      </c>
      <c r="BJ64" s="251">
        <f>BJ63/BE63-1</f>
        <v>-1.5625E-2</v>
      </c>
      <c r="BK64" s="340"/>
      <c r="BL64" s="340"/>
      <c r="BM64" s="340"/>
      <c r="BN64" s="340"/>
      <c r="BO64" s="341">
        <v>0.02</v>
      </c>
      <c r="BP64" s="340"/>
      <c r="BQ64" s="340"/>
      <c r="BR64" s="340"/>
      <c r="BS64" s="340"/>
      <c r="BT64" s="341">
        <v>0</v>
      </c>
      <c r="BU64" s="340"/>
      <c r="BV64" s="340"/>
      <c r="BW64" s="340"/>
      <c r="BX64" s="340"/>
      <c r="BY64" s="341">
        <v>-0.05</v>
      </c>
      <c r="BZ64" s="340"/>
      <c r="CA64" s="340"/>
      <c r="CB64" s="340"/>
      <c r="CC64" s="340"/>
      <c r="CD64" s="341">
        <v>-0.05</v>
      </c>
      <c r="CF64" s="343"/>
    </row>
    <row r="65" spans="1:84" s="28" customFormat="1" outlineLevel="2" x14ac:dyDescent="0.15">
      <c r="B65" s="238" t="s">
        <v>153</v>
      </c>
      <c r="C65" s="336"/>
      <c r="D65" s="336"/>
      <c r="E65" s="336"/>
      <c r="F65" s="336"/>
      <c r="G65" s="337"/>
      <c r="H65" s="336"/>
      <c r="I65" s="336"/>
      <c r="J65" s="336"/>
      <c r="K65" s="336"/>
      <c r="L65" s="337"/>
      <c r="M65" s="336">
        <v>0</v>
      </c>
      <c r="N65" s="336">
        <v>0</v>
      </c>
      <c r="O65" s="336">
        <v>0</v>
      </c>
      <c r="P65" s="336">
        <v>0</v>
      </c>
      <c r="Q65" s="337">
        <f>SUM(M65:P65)</f>
        <v>0</v>
      </c>
      <c r="R65" s="336">
        <v>0</v>
      </c>
      <c r="S65" s="336">
        <v>0</v>
      </c>
      <c r="T65" s="336">
        <v>0.46600000000000003</v>
      </c>
      <c r="U65" s="336">
        <v>3.27</v>
      </c>
      <c r="V65" s="337">
        <f>SUM(R65:U65)</f>
        <v>3.7360000000000002</v>
      </c>
      <c r="W65" s="236">
        <v>6.6829999999999998</v>
      </c>
      <c r="X65" s="236">
        <v>11.048</v>
      </c>
      <c r="Y65" s="236">
        <v>13.692</v>
      </c>
      <c r="Z65" s="236">
        <v>17.010000000000002</v>
      </c>
      <c r="AA65" s="235">
        <f>SUM(W65:Z65)</f>
        <v>48.433000000000007</v>
      </c>
      <c r="AB65" s="236">
        <v>16.11</v>
      </c>
      <c r="AC65" s="236">
        <v>20.216000000000001</v>
      </c>
      <c r="AD65" s="236">
        <v>21.852</v>
      </c>
      <c r="AE65" s="236">
        <v>13.6</v>
      </c>
      <c r="AF65" s="235">
        <f>SUM(AB65:AE65)</f>
        <v>71.777999999999992</v>
      </c>
      <c r="AG65" s="236">
        <f>31-9.6</f>
        <v>21.4</v>
      </c>
      <c r="AH65" s="236">
        <v>26.3</v>
      </c>
      <c r="AI65" s="236">
        <v>25.6</v>
      </c>
      <c r="AJ65" s="236">
        <f>105.2-AG65-AH65-AI65</f>
        <v>31.900000000000013</v>
      </c>
      <c r="AK65" s="235">
        <f>SUM(AG65:AJ65)</f>
        <v>105.20000000000002</v>
      </c>
      <c r="AL65" s="236">
        <v>31</v>
      </c>
      <c r="AM65" s="236">
        <v>30</v>
      </c>
      <c r="AN65" s="344">
        <v>32</v>
      </c>
      <c r="AO65" s="236">
        <v>34</v>
      </c>
      <c r="AP65" s="235">
        <f>SUM(AL65:AO65)</f>
        <v>127</v>
      </c>
      <c r="AQ65" s="345">
        <v>36</v>
      </c>
      <c r="AR65" s="240">
        <v>38</v>
      </c>
      <c r="AS65" s="240">
        <v>40</v>
      </c>
      <c r="AT65" s="240">
        <v>45</v>
      </c>
      <c r="AU65" s="235">
        <f>SUM(AQ65:AT65)</f>
        <v>159</v>
      </c>
      <c r="AV65" s="239">
        <v>50</v>
      </c>
      <c r="AW65" s="239">
        <v>54</v>
      </c>
      <c r="AX65" s="239">
        <v>56</v>
      </c>
      <c r="AY65" s="239">
        <v>52</v>
      </c>
      <c r="AZ65" s="235">
        <f>SUM(AV65:AY65)</f>
        <v>212</v>
      </c>
      <c r="BA65" s="236">
        <v>57</v>
      </c>
      <c r="BB65" s="236">
        <v>66</v>
      </c>
      <c r="BC65" s="236">
        <v>73</v>
      </c>
      <c r="BD65" s="236">
        <v>50</v>
      </c>
      <c r="BE65" s="235">
        <f>SUM(BA65:BD65)</f>
        <v>246</v>
      </c>
      <c r="BF65" s="240">
        <v>7</v>
      </c>
      <c r="BG65" s="240">
        <v>6</v>
      </c>
      <c r="BH65" s="240">
        <v>5</v>
      </c>
      <c r="BI65" s="240">
        <v>5</v>
      </c>
      <c r="BJ65" s="235">
        <f>SUM(BF65:BI65)</f>
        <v>23</v>
      </c>
      <c r="BK65" s="241"/>
      <c r="BL65" s="241"/>
      <c r="BM65" s="241"/>
      <c r="BN65" s="241"/>
      <c r="BO65" s="235">
        <f>BJ65*(1+BO66)</f>
        <v>23</v>
      </c>
      <c r="BP65" s="241"/>
      <c r="BQ65" s="241"/>
      <c r="BR65" s="241"/>
      <c r="BS65" s="241"/>
      <c r="BT65" s="235">
        <f>BO65*(1+BT66)</f>
        <v>23</v>
      </c>
      <c r="BU65" s="241"/>
      <c r="BV65" s="241"/>
      <c r="BW65" s="241"/>
      <c r="BX65" s="241"/>
      <c r="BY65" s="235">
        <f>BT65*(1+BY66)</f>
        <v>23</v>
      </c>
      <c r="BZ65" s="241"/>
      <c r="CA65" s="241"/>
      <c r="CB65" s="241"/>
      <c r="CC65" s="241"/>
      <c r="CD65" s="235">
        <f>BY65*(1+CD66)</f>
        <v>23</v>
      </c>
      <c r="CE65" s="28" t="s">
        <v>39</v>
      </c>
      <c r="CF65" s="229"/>
    </row>
    <row r="66" spans="1:84" s="342" customFormat="1" outlineLevel="2" x14ac:dyDescent="0.15">
      <c r="B66" s="245" t="s">
        <v>126</v>
      </c>
      <c r="C66" s="338"/>
      <c r="D66" s="338"/>
      <c r="E66" s="338"/>
      <c r="F66" s="338"/>
      <c r="G66" s="255"/>
      <c r="H66" s="338"/>
      <c r="I66" s="338"/>
      <c r="J66" s="338"/>
      <c r="K66" s="338"/>
      <c r="L66" s="255"/>
      <c r="M66" s="338"/>
      <c r="N66" s="338"/>
      <c r="O66" s="338"/>
      <c r="P66" s="338"/>
      <c r="Q66" s="255"/>
      <c r="R66" s="338"/>
      <c r="S66" s="338"/>
      <c r="T66" s="338"/>
      <c r="U66" s="338"/>
      <c r="V66" s="255"/>
      <c r="W66" s="247"/>
      <c r="X66" s="247"/>
      <c r="Y66" s="247"/>
      <c r="Z66" s="247"/>
      <c r="AA66" s="251"/>
      <c r="AB66" s="247">
        <f t="shared" ref="AB66:BD66" si="33">AB65/W65-1</f>
        <v>1.4105940445907525</v>
      </c>
      <c r="AC66" s="247">
        <f t="shared" si="33"/>
        <v>0.82983345401882702</v>
      </c>
      <c r="AD66" s="247">
        <f t="shared" si="33"/>
        <v>0.59596844872918497</v>
      </c>
      <c r="AE66" s="247">
        <f t="shared" si="33"/>
        <v>-0.20047031158142281</v>
      </c>
      <c r="AF66" s="251">
        <f t="shared" si="33"/>
        <v>0.48200607024136399</v>
      </c>
      <c r="AG66" s="247">
        <f t="shared" si="33"/>
        <v>0.3283674736188702</v>
      </c>
      <c r="AH66" s="247">
        <f t="shared" si="33"/>
        <v>0.30094974277799769</v>
      </c>
      <c r="AI66" s="247">
        <f t="shared" si="33"/>
        <v>0.17151748123741539</v>
      </c>
      <c r="AJ66" s="247">
        <f t="shared" si="33"/>
        <v>1.3455882352941186</v>
      </c>
      <c r="AK66" s="251">
        <f t="shared" si="33"/>
        <v>0.46563013736799608</v>
      </c>
      <c r="AL66" s="247">
        <f t="shared" si="33"/>
        <v>0.44859813084112155</v>
      </c>
      <c r="AM66" s="247">
        <f t="shared" si="33"/>
        <v>0.14068441064638781</v>
      </c>
      <c r="AN66" s="346">
        <f t="shared" si="33"/>
        <v>0.25</v>
      </c>
      <c r="AO66" s="247">
        <f t="shared" si="33"/>
        <v>6.5830721003134363E-2</v>
      </c>
      <c r="AP66" s="251">
        <f t="shared" si="33"/>
        <v>0.20722433460076028</v>
      </c>
      <c r="AQ66" s="347">
        <f t="shared" si="33"/>
        <v>0.16129032258064524</v>
      </c>
      <c r="AR66" s="247">
        <f t="shared" si="33"/>
        <v>0.26666666666666661</v>
      </c>
      <c r="AS66" s="247">
        <f t="shared" si="33"/>
        <v>0.25</v>
      </c>
      <c r="AT66" s="247">
        <f t="shared" si="33"/>
        <v>0.32352941176470584</v>
      </c>
      <c r="AU66" s="251">
        <f t="shared" si="33"/>
        <v>0.25196850393700787</v>
      </c>
      <c r="AV66" s="247">
        <f t="shared" si="33"/>
        <v>0.38888888888888884</v>
      </c>
      <c r="AW66" s="247">
        <f t="shared" si="33"/>
        <v>0.42105263157894735</v>
      </c>
      <c r="AX66" s="247">
        <f t="shared" si="33"/>
        <v>0.39999999999999991</v>
      </c>
      <c r="AY66" s="247">
        <f t="shared" si="33"/>
        <v>0.15555555555555545</v>
      </c>
      <c r="AZ66" s="251">
        <f>AZ65/AU65-1</f>
        <v>0.33333333333333326</v>
      </c>
      <c r="BA66" s="247">
        <f t="shared" si="33"/>
        <v>0.1399999999999999</v>
      </c>
      <c r="BB66" s="247">
        <f t="shared" si="33"/>
        <v>0.22222222222222232</v>
      </c>
      <c r="BC66" s="247">
        <f t="shared" si="33"/>
        <v>0.3035714285714286</v>
      </c>
      <c r="BD66" s="247">
        <f t="shared" si="33"/>
        <v>-3.8461538461538436E-2</v>
      </c>
      <c r="BE66" s="251">
        <f>BE65/AZ65-1</f>
        <v>0.16037735849056611</v>
      </c>
      <c r="BF66" s="247">
        <f t="shared" ref="BF66:BI66" si="34">BF65/BA65-1</f>
        <v>-0.87719298245614041</v>
      </c>
      <c r="BG66" s="247">
        <f t="shared" si="34"/>
        <v>-0.90909090909090906</v>
      </c>
      <c r="BH66" s="247">
        <f t="shared" si="34"/>
        <v>-0.93150684931506844</v>
      </c>
      <c r="BI66" s="247">
        <f t="shared" si="34"/>
        <v>-0.9</v>
      </c>
      <c r="BJ66" s="251">
        <f>BJ65/BE65-1</f>
        <v>-0.9065040650406504</v>
      </c>
      <c r="BK66" s="340"/>
      <c r="BL66" s="340"/>
      <c r="BM66" s="340"/>
      <c r="BN66" s="340"/>
      <c r="BO66" s="341">
        <v>0</v>
      </c>
      <c r="BP66" s="340"/>
      <c r="BQ66" s="340"/>
      <c r="BR66" s="340"/>
      <c r="BS66" s="340"/>
      <c r="BT66" s="341">
        <v>0</v>
      </c>
      <c r="BU66" s="340"/>
      <c r="BV66" s="340"/>
      <c r="BW66" s="340"/>
      <c r="BX66" s="340"/>
      <c r="BY66" s="341">
        <v>0</v>
      </c>
      <c r="BZ66" s="340"/>
      <c r="CA66" s="340"/>
      <c r="CB66" s="340"/>
      <c r="CC66" s="340"/>
      <c r="CD66" s="341">
        <v>0</v>
      </c>
      <c r="CF66" s="343"/>
    </row>
    <row r="67" spans="1:84" s="252" customFormat="1" outlineLevel="2" x14ac:dyDescent="0.15">
      <c r="B67" s="238" t="s">
        <v>154</v>
      </c>
      <c r="C67" s="253"/>
      <c r="D67" s="254"/>
      <c r="E67" s="254"/>
      <c r="F67" s="254"/>
      <c r="G67" s="255"/>
      <c r="H67" s="254"/>
      <c r="I67" s="254"/>
      <c r="J67" s="254"/>
      <c r="K67" s="254"/>
      <c r="L67" s="255"/>
      <c r="M67" s="254"/>
      <c r="N67" s="254"/>
      <c r="O67" s="254"/>
      <c r="P67" s="254"/>
      <c r="Q67" s="255"/>
      <c r="R67" s="254"/>
      <c r="S67" s="254"/>
      <c r="T67" s="254"/>
      <c r="U67" s="254"/>
      <c r="V67" s="255"/>
      <c r="W67" s="256"/>
      <c r="X67" s="257"/>
      <c r="Y67" s="257"/>
      <c r="Z67" s="257"/>
      <c r="AA67" s="258"/>
      <c r="AB67" s="256"/>
      <c r="AC67" s="256"/>
      <c r="AD67" s="256"/>
      <c r="AE67" s="256"/>
      <c r="AF67" s="258"/>
      <c r="AG67" s="256"/>
      <c r="AH67" s="256"/>
      <c r="AI67" s="256"/>
      <c r="AJ67" s="256"/>
      <c r="AK67" s="258"/>
      <c r="AL67" s="257"/>
      <c r="AM67" s="257"/>
      <c r="AN67" s="257"/>
      <c r="AO67" s="257"/>
      <c r="AP67" s="258"/>
      <c r="AQ67" s="290"/>
      <c r="AR67" s="257"/>
      <c r="AS67" s="247"/>
      <c r="AT67" s="247"/>
      <c r="AU67" s="258"/>
      <c r="AV67" s="257"/>
      <c r="AW67" s="247"/>
      <c r="AX67" s="247"/>
      <c r="AY67" s="247"/>
      <c r="AZ67" s="258"/>
      <c r="BA67" s="236">
        <v>62</v>
      </c>
      <c r="BB67" s="236">
        <v>64</v>
      </c>
      <c r="BC67" s="239">
        <v>35</v>
      </c>
      <c r="BD67" s="239">
        <v>58</v>
      </c>
      <c r="BE67" s="235">
        <f>SUM(BA67:BD67)</f>
        <v>219</v>
      </c>
      <c r="BF67" s="240">
        <v>30</v>
      </c>
      <c r="BG67" s="240">
        <v>30</v>
      </c>
      <c r="BH67" s="240">
        <v>30</v>
      </c>
      <c r="BI67" s="240">
        <v>30</v>
      </c>
      <c r="BJ67" s="235">
        <f>SUM(BF67:BI67)</f>
        <v>120</v>
      </c>
      <c r="BK67" s="241"/>
      <c r="BL67" s="241"/>
      <c r="BM67" s="241"/>
      <c r="BN67" s="241"/>
      <c r="BO67" s="235">
        <f>BJ67*(1+BO68)</f>
        <v>117.6</v>
      </c>
      <c r="BP67" s="241"/>
      <c r="BQ67" s="241"/>
      <c r="BR67" s="241"/>
      <c r="BS67" s="241"/>
      <c r="BT67" s="235">
        <f>BO67*(1+BT68)</f>
        <v>115.24799999999999</v>
      </c>
      <c r="BU67" s="241"/>
      <c r="BV67" s="241"/>
      <c r="BW67" s="241"/>
      <c r="BX67" s="241"/>
      <c r="BY67" s="235">
        <f>BT67*(1+BY68)</f>
        <v>112.94303999999998</v>
      </c>
      <c r="BZ67" s="241"/>
      <c r="CA67" s="241"/>
      <c r="CB67" s="241"/>
      <c r="CC67" s="241"/>
      <c r="CD67" s="235">
        <f>BY67*(1+CD68)</f>
        <v>110.68417919999997</v>
      </c>
      <c r="CF67" s="242"/>
    </row>
    <row r="68" spans="1:84" s="252" customFormat="1" outlineLevel="2" x14ac:dyDescent="0.15">
      <c r="B68" s="245" t="s">
        <v>126</v>
      </c>
      <c r="C68" s="253"/>
      <c r="D68" s="254"/>
      <c r="E68" s="254"/>
      <c r="F68" s="254"/>
      <c r="G68" s="255"/>
      <c r="H68" s="254"/>
      <c r="I68" s="254"/>
      <c r="J68" s="254"/>
      <c r="K68" s="254"/>
      <c r="L68" s="255"/>
      <c r="M68" s="254"/>
      <c r="N68" s="254"/>
      <c r="O68" s="254"/>
      <c r="P68" s="254"/>
      <c r="Q68" s="255"/>
      <c r="R68" s="254"/>
      <c r="S68" s="254"/>
      <c r="T68" s="254"/>
      <c r="U68" s="254"/>
      <c r="V68" s="255"/>
      <c r="W68" s="256"/>
      <c r="X68" s="257"/>
      <c r="Y68" s="257"/>
      <c r="Z68" s="257"/>
      <c r="AA68" s="258"/>
      <c r="AB68" s="256"/>
      <c r="AC68" s="256"/>
      <c r="AD68" s="256"/>
      <c r="AE68" s="256"/>
      <c r="AF68" s="258"/>
      <c r="AG68" s="256"/>
      <c r="AH68" s="256"/>
      <c r="AI68" s="256"/>
      <c r="AJ68" s="256"/>
      <c r="AK68" s="258"/>
      <c r="AL68" s="257"/>
      <c r="AM68" s="257"/>
      <c r="AN68" s="257"/>
      <c r="AO68" s="257"/>
      <c r="AP68" s="258"/>
      <c r="AQ68" s="290"/>
      <c r="AR68" s="257"/>
      <c r="AS68" s="247"/>
      <c r="AT68" s="247"/>
      <c r="AU68" s="258"/>
      <c r="AV68" s="257"/>
      <c r="AW68" s="247"/>
      <c r="AX68" s="247"/>
      <c r="AY68" s="247"/>
      <c r="AZ68" s="258"/>
      <c r="BA68" s="257"/>
      <c r="BB68" s="247"/>
      <c r="BC68" s="247"/>
      <c r="BD68" s="247"/>
      <c r="BE68" s="251"/>
      <c r="BF68" s="247"/>
      <c r="BG68" s="247"/>
      <c r="BH68" s="247"/>
      <c r="BI68" s="247"/>
      <c r="BJ68" s="251">
        <f>BJ67/BE67-1</f>
        <v>-0.45205479452054798</v>
      </c>
      <c r="BK68" s="340"/>
      <c r="BL68" s="340"/>
      <c r="BM68" s="340"/>
      <c r="BN68" s="340"/>
      <c r="BO68" s="341">
        <v>-0.02</v>
      </c>
      <c r="BP68" s="340"/>
      <c r="BQ68" s="340"/>
      <c r="BR68" s="340"/>
      <c r="BS68" s="340"/>
      <c r="BT68" s="341">
        <v>-0.02</v>
      </c>
      <c r="BU68" s="340"/>
      <c r="BV68" s="340"/>
      <c r="BW68" s="340"/>
      <c r="BX68" s="340"/>
      <c r="BY68" s="341">
        <v>-0.02</v>
      </c>
      <c r="BZ68" s="340"/>
      <c r="CA68" s="340"/>
      <c r="CB68" s="340"/>
      <c r="CC68" s="340"/>
      <c r="CD68" s="341">
        <v>-0.02</v>
      </c>
      <c r="CF68" s="242"/>
    </row>
    <row r="69" spans="1:84" s="252" customFormat="1" outlineLevel="2" x14ac:dyDescent="0.15">
      <c r="B69" s="238" t="s">
        <v>155</v>
      </c>
      <c r="C69" s="253"/>
      <c r="D69" s="254"/>
      <c r="E69" s="254"/>
      <c r="F69" s="254"/>
      <c r="G69" s="255"/>
      <c r="H69" s="254"/>
      <c r="I69" s="254"/>
      <c r="J69" s="254"/>
      <c r="K69" s="254"/>
      <c r="L69" s="255"/>
      <c r="M69" s="254"/>
      <c r="N69" s="254"/>
      <c r="O69" s="254"/>
      <c r="P69" s="254"/>
      <c r="Q69" s="255"/>
      <c r="R69" s="254"/>
      <c r="S69" s="254"/>
      <c r="T69" s="254"/>
      <c r="U69" s="254"/>
      <c r="V69" s="255"/>
      <c r="W69" s="256"/>
      <c r="X69" s="257"/>
      <c r="Y69" s="257"/>
      <c r="Z69" s="257"/>
      <c r="AA69" s="258"/>
      <c r="AB69" s="256"/>
      <c r="AC69" s="256"/>
      <c r="AD69" s="256"/>
      <c r="AE69" s="256"/>
      <c r="AF69" s="258"/>
      <c r="AG69" s="256"/>
      <c r="AH69" s="256"/>
      <c r="AI69" s="256"/>
      <c r="AJ69" s="256"/>
      <c r="AK69" s="258"/>
      <c r="AL69" s="257"/>
      <c r="AM69" s="257"/>
      <c r="AN69" s="257"/>
      <c r="AO69" s="257"/>
      <c r="AP69" s="258"/>
      <c r="AQ69" s="290"/>
      <c r="AR69" s="257"/>
      <c r="AS69" s="247"/>
      <c r="AT69" s="247"/>
      <c r="AU69" s="258"/>
      <c r="AV69" s="257"/>
      <c r="AW69" s="247"/>
      <c r="AX69" s="247"/>
      <c r="AY69" s="247"/>
      <c r="AZ69" s="258"/>
      <c r="BA69" s="236">
        <v>72</v>
      </c>
      <c r="BB69" s="236">
        <v>49</v>
      </c>
      <c r="BC69" s="239">
        <v>50</v>
      </c>
      <c r="BD69" s="239">
        <v>53</v>
      </c>
      <c r="BE69" s="235">
        <f>SUM(BA69:BD69)</f>
        <v>224</v>
      </c>
      <c r="BF69" s="240">
        <v>35</v>
      </c>
      <c r="BG69" s="240">
        <v>35</v>
      </c>
      <c r="BH69" s="240">
        <v>35</v>
      </c>
      <c r="BI69" s="240">
        <v>35</v>
      </c>
      <c r="BJ69" s="235">
        <f>SUM(BF69:BI69)</f>
        <v>140</v>
      </c>
      <c r="BK69" s="241"/>
      <c r="BL69" s="241"/>
      <c r="BM69" s="241"/>
      <c r="BN69" s="241"/>
      <c r="BO69" s="235">
        <f>BJ69*(1+BO70)</f>
        <v>137.19999999999999</v>
      </c>
      <c r="BP69" s="241"/>
      <c r="BQ69" s="241"/>
      <c r="BR69" s="241"/>
      <c r="BS69" s="241"/>
      <c r="BT69" s="235">
        <f>BO69*(1+BT70)</f>
        <v>134.45599999999999</v>
      </c>
      <c r="BU69" s="241"/>
      <c r="BV69" s="241"/>
      <c r="BW69" s="241"/>
      <c r="BX69" s="241"/>
      <c r="BY69" s="235">
        <f>BT69*(1+BY70)</f>
        <v>131.76687999999999</v>
      </c>
      <c r="BZ69" s="241"/>
      <c r="CA69" s="241"/>
      <c r="CB69" s="241"/>
      <c r="CC69" s="241"/>
      <c r="CD69" s="235">
        <f>BY69*(1+CD70)</f>
        <v>129.13154239999997</v>
      </c>
      <c r="CF69" s="242"/>
    </row>
    <row r="70" spans="1:84" s="285" customFormat="1" outlineLevel="2" x14ac:dyDescent="0.15">
      <c r="B70" s="245" t="s">
        <v>126</v>
      </c>
      <c r="C70" s="236"/>
      <c r="D70" s="236"/>
      <c r="E70" s="236"/>
      <c r="F70" s="236"/>
      <c r="G70" s="235"/>
      <c r="H70" s="236"/>
      <c r="I70" s="236"/>
      <c r="J70" s="236"/>
      <c r="K70" s="236"/>
      <c r="L70" s="235"/>
      <c r="M70" s="236"/>
      <c r="N70" s="236"/>
      <c r="O70" s="236"/>
      <c r="P70" s="236"/>
      <c r="Q70" s="235"/>
      <c r="R70" s="236"/>
      <c r="S70" s="236"/>
      <c r="T70" s="236"/>
      <c r="U70" s="236"/>
      <c r="V70" s="235"/>
      <c r="W70" s="236"/>
      <c r="X70" s="236"/>
      <c r="Y70" s="236"/>
      <c r="Z70" s="236"/>
      <c r="AA70" s="235"/>
      <c r="AB70" s="236"/>
      <c r="AC70" s="236"/>
      <c r="AD70" s="236"/>
      <c r="AE70" s="236"/>
      <c r="AF70" s="235"/>
      <c r="AG70" s="236"/>
      <c r="AH70" s="236"/>
      <c r="AI70" s="236"/>
      <c r="AJ70" s="236"/>
      <c r="AK70" s="235"/>
      <c r="AL70" s="288"/>
      <c r="AM70" s="239"/>
      <c r="AN70" s="288"/>
      <c r="AO70" s="240"/>
      <c r="AP70" s="235"/>
      <c r="AQ70" s="289"/>
      <c r="AR70" s="236"/>
      <c r="AS70" s="236"/>
      <c r="AT70" s="236"/>
      <c r="AU70" s="235"/>
      <c r="AV70" s="236"/>
      <c r="AW70" s="236"/>
      <c r="AX70" s="236"/>
      <c r="AY70" s="236"/>
      <c r="AZ70" s="235"/>
      <c r="BA70" s="236"/>
      <c r="BB70" s="236"/>
      <c r="BC70" s="247"/>
      <c r="BD70" s="247"/>
      <c r="BE70" s="235"/>
      <c r="BF70" s="247"/>
      <c r="BG70" s="247"/>
      <c r="BH70" s="247"/>
      <c r="BI70" s="247"/>
      <c r="BJ70" s="251">
        <f>BJ69/BE69-1</f>
        <v>-0.375</v>
      </c>
      <c r="BK70" s="340"/>
      <c r="BL70" s="340"/>
      <c r="BM70" s="340"/>
      <c r="BN70" s="340"/>
      <c r="BO70" s="341">
        <v>-0.02</v>
      </c>
      <c r="BP70" s="340"/>
      <c r="BQ70" s="340"/>
      <c r="BR70" s="340"/>
      <c r="BS70" s="340"/>
      <c r="BT70" s="341">
        <v>-0.02</v>
      </c>
      <c r="BU70" s="340"/>
      <c r="BV70" s="340"/>
      <c r="BW70" s="340"/>
      <c r="BX70" s="340"/>
      <c r="BY70" s="341">
        <v>-0.02</v>
      </c>
      <c r="BZ70" s="340"/>
      <c r="CA70" s="340"/>
      <c r="CB70" s="340"/>
      <c r="CC70" s="340"/>
      <c r="CD70" s="341">
        <v>-0.02</v>
      </c>
      <c r="CF70" s="229"/>
    </row>
    <row r="71" spans="1:84" s="285" customFormat="1" outlineLevel="2" x14ac:dyDescent="0.15">
      <c r="B71" s="238" t="s">
        <v>156</v>
      </c>
      <c r="C71" s="236"/>
      <c r="D71" s="236"/>
      <c r="E71" s="236"/>
      <c r="F71" s="236"/>
      <c r="G71" s="235"/>
      <c r="H71" s="236"/>
      <c r="I71" s="236"/>
      <c r="J71" s="236"/>
      <c r="K71" s="236"/>
      <c r="L71" s="235"/>
      <c r="M71" s="236"/>
      <c r="N71" s="236"/>
      <c r="O71" s="236"/>
      <c r="P71" s="236"/>
      <c r="Q71" s="235"/>
      <c r="R71" s="236"/>
      <c r="S71" s="236"/>
      <c r="T71" s="236"/>
      <c r="U71" s="236"/>
      <c r="V71" s="235"/>
      <c r="W71" s="236"/>
      <c r="X71" s="236"/>
      <c r="Y71" s="236"/>
      <c r="Z71" s="236"/>
      <c r="AA71" s="235"/>
      <c r="AB71" s="236"/>
      <c r="AC71" s="236"/>
      <c r="AD71" s="236"/>
      <c r="AE71" s="236"/>
      <c r="AF71" s="235"/>
      <c r="AG71" s="236"/>
      <c r="AH71" s="236"/>
      <c r="AI71" s="236"/>
      <c r="AJ71" s="236"/>
      <c r="AK71" s="235"/>
      <c r="AL71" s="288"/>
      <c r="AM71" s="239"/>
      <c r="AN71" s="288"/>
      <c r="AO71" s="240"/>
      <c r="AP71" s="235"/>
      <c r="AQ71" s="236"/>
      <c r="AR71" s="236"/>
      <c r="AS71" s="236">
        <f>AS73-SUM(AS63,AS65,AS67,AS69)</f>
        <v>274</v>
      </c>
      <c r="AT71" s="236">
        <f>AT73-SUM(AT63,AT65,AT67,AT69)</f>
        <v>368.79999999999995</v>
      </c>
      <c r="AU71" s="235"/>
      <c r="AV71" s="236">
        <f>AV73-SUM(AV63,AV65,AV67,AV69)</f>
        <v>241.5</v>
      </c>
      <c r="AW71" s="236">
        <f>AW73-SUM(AW63,AW65,AW67,AW69)</f>
        <v>214.7</v>
      </c>
      <c r="AX71" s="236">
        <f>AX73-SUM(AX63,AX65,AX67,AX69)</f>
        <v>296</v>
      </c>
      <c r="AY71" s="236">
        <f>AY73-SUM(AY63,AY65,AY67,AY69)</f>
        <v>370.5</v>
      </c>
      <c r="AZ71" s="235">
        <f>SUM(AV71:AY71)</f>
        <v>1122.7</v>
      </c>
      <c r="BA71" s="236">
        <f>BA73-SUM(BA63,BA65,BA67,BA69)</f>
        <v>280.10000000000002</v>
      </c>
      <c r="BB71" s="236">
        <f>BB73-SUM(BB63,BB65,BB67,BB69)</f>
        <v>280.20000000000005</v>
      </c>
      <c r="BC71" s="236">
        <f>BC73-SUM(BC63,BC65,BC67,BC69)</f>
        <v>296.5</v>
      </c>
      <c r="BD71" s="236">
        <f>BD73-SUM(BD63,BD65,BD67,BD69)</f>
        <v>303.5</v>
      </c>
      <c r="BE71" s="235">
        <f>SUM(BA71:BD71)</f>
        <v>1160.3000000000002</v>
      </c>
      <c r="BF71" s="236">
        <f t="shared" ref="BF71:BI71" si="35">BA71*(1+BF72)</f>
        <v>210.07500000000002</v>
      </c>
      <c r="BG71" s="236">
        <f t="shared" si="35"/>
        <v>238.17000000000004</v>
      </c>
      <c r="BH71" s="236">
        <f t="shared" si="35"/>
        <v>252.02500000000001</v>
      </c>
      <c r="BI71" s="236">
        <f t="shared" si="35"/>
        <v>288.32499999999999</v>
      </c>
      <c r="BJ71" s="235">
        <f>SUM(BF71:BI71)</f>
        <v>988.59500000000003</v>
      </c>
      <c r="BK71" s="241"/>
      <c r="BL71" s="241"/>
      <c r="BM71" s="241"/>
      <c r="BN71" s="241"/>
      <c r="BO71" s="235">
        <f>BJ71*(1+BO72)</f>
        <v>939.16525000000001</v>
      </c>
      <c r="BP71" s="241"/>
      <c r="BQ71" s="241"/>
      <c r="BR71" s="241"/>
      <c r="BS71" s="241"/>
      <c r="BT71" s="235">
        <f>BO71*(1+BT72)</f>
        <v>939.16525000000001</v>
      </c>
      <c r="BU71" s="241"/>
      <c r="BV71" s="241"/>
      <c r="BW71" s="241"/>
      <c r="BX71" s="241"/>
      <c r="BY71" s="235">
        <f>BT71*(1+BY72)</f>
        <v>939.16525000000001</v>
      </c>
      <c r="BZ71" s="241"/>
      <c r="CA71" s="241"/>
      <c r="CB71" s="241"/>
      <c r="CC71" s="241"/>
      <c r="CD71" s="235">
        <f>BY71*(1+CD72)</f>
        <v>939.16525000000001</v>
      </c>
      <c r="CF71" s="229"/>
    </row>
    <row r="72" spans="1:84" s="285" customFormat="1" ht="15" outlineLevel="2" x14ac:dyDescent="0.3">
      <c r="B72" s="262" t="s">
        <v>126</v>
      </c>
      <c r="C72" s="236"/>
      <c r="D72" s="236"/>
      <c r="E72" s="236"/>
      <c r="F72" s="236"/>
      <c r="G72" s="235"/>
      <c r="H72" s="236"/>
      <c r="I72" s="236"/>
      <c r="J72" s="236"/>
      <c r="K72" s="236"/>
      <c r="L72" s="235"/>
      <c r="M72" s="236"/>
      <c r="N72" s="236"/>
      <c r="O72" s="236"/>
      <c r="P72" s="236"/>
      <c r="Q72" s="235"/>
      <c r="R72" s="236"/>
      <c r="S72" s="236"/>
      <c r="T72" s="236"/>
      <c r="U72" s="236"/>
      <c r="V72" s="235"/>
      <c r="W72" s="236"/>
      <c r="X72" s="236"/>
      <c r="Y72" s="236"/>
      <c r="Z72" s="236"/>
      <c r="AA72" s="235"/>
      <c r="AB72" s="236"/>
      <c r="AC72" s="236"/>
      <c r="AD72" s="236"/>
      <c r="AE72" s="236"/>
      <c r="AF72" s="235"/>
      <c r="AG72" s="236"/>
      <c r="AH72" s="236"/>
      <c r="AI72" s="236"/>
      <c r="AJ72" s="236"/>
      <c r="AK72" s="235"/>
      <c r="AL72" s="288"/>
      <c r="AM72" s="239"/>
      <c r="AN72" s="288"/>
      <c r="AO72" s="240"/>
      <c r="AP72" s="235"/>
      <c r="AQ72" s="289"/>
      <c r="AR72" s="236"/>
      <c r="AS72" s="236"/>
      <c r="AT72" s="236"/>
      <c r="AU72" s="235"/>
      <c r="AV72" s="236"/>
      <c r="AW72" s="236"/>
      <c r="AX72" s="348">
        <f t="shared" ref="AX72:AY72" si="36">AX71/AS71-1</f>
        <v>8.0291970802919721E-2</v>
      </c>
      <c r="AY72" s="247">
        <f t="shared" si="36"/>
        <v>4.6095444685467779E-3</v>
      </c>
      <c r="AZ72" s="235"/>
      <c r="BA72" s="247">
        <f t="shared" ref="BA72:BD72" si="37">BA71/AV71-1</f>
        <v>0.15983436853002075</v>
      </c>
      <c r="BB72" s="247">
        <f t="shared" si="37"/>
        <v>0.30507685142058705</v>
      </c>
      <c r="BC72" s="247">
        <f t="shared" si="37"/>
        <v>1.6891891891892552E-3</v>
      </c>
      <c r="BD72" s="247">
        <f t="shared" si="37"/>
        <v>-0.18083670715249667</v>
      </c>
      <c r="BE72" s="251">
        <f>BE71/AZ71-1</f>
        <v>3.3490692081589168E-2</v>
      </c>
      <c r="BF72" s="267">
        <v>-0.25</v>
      </c>
      <c r="BG72" s="267">
        <v>-0.15</v>
      </c>
      <c r="BH72" s="267">
        <v>-0.15</v>
      </c>
      <c r="BI72" s="267">
        <v>-0.05</v>
      </c>
      <c r="BJ72" s="251">
        <f>BJ71/BE71-1</f>
        <v>-0.14798328018615892</v>
      </c>
      <c r="BK72" s="340"/>
      <c r="BL72" s="340"/>
      <c r="BM72" s="340"/>
      <c r="BN72" s="340"/>
      <c r="BO72" s="341">
        <v>-0.05</v>
      </c>
      <c r="BP72" s="340"/>
      <c r="BQ72" s="340"/>
      <c r="BR72" s="340"/>
      <c r="BS72" s="340"/>
      <c r="BT72" s="341">
        <v>0</v>
      </c>
      <c r="BU72" s="340"/>
      <c r="BV72" s="340"/>
      <c r="BW72" s="340"/>
      <c r="BX72" s="340"/>
      <c r="BY72" s="341">
        <v>0</v>
      </c>
      <c r="BZ72" s="340"/>
      <c r="CA72" s="340"/>
      <c r="CB72" s="340"/>
      <c r="CC72" s="340"/>
      <c r="CD72" s="341">
        <v>0</v>
      </c>
      <c r="CE72" s="285">
        <v>2</v>
      </c>
      <c r="CF72" s="229"/>
    </row>
    <row r="73" spans="1:84" s="355" customFormat="1" ht="13" x14ac:dyDescent="0.15">
      <c r="A73" s="349"/>
      <c r="B73" s="298" t="s">
        <v>157</v>
      </c>
      <c r="C73" s="350"/>
      <c r="D73" s="350"/>
      <c r="E73" s="350"/>
      <c r="F73" s="351"/>
      <c r="G73" s="352"/>
      <c r="H73" s="351"/>
      <c r="I73" s="351"/>
      <c r="J73" s="351"/>
      <c r="K73" s="351"/>
      <c r="L73" s="352"/>
      <c r="M73" s="351"/>
      <c r="N73" s="351"/>
      <c r="O73" s="351"/>
      <c r="P73" s="351"/>
      <c r="Q73" s="352"/>
      <c r="R73" s="353"/>
      <c r="S73" s="353"/>
      <c r="T73" s="353"/>
      <c r="U73" s="353"/>
      <c r="V73" s="354"/>
      <c r="W73" s="353"/>
      <c r="X73" s="353"/>
      <c r="Y73" s="353"/>
      <c r="Z73" s="353"/>
      <c r="AA73" s="354"/>
      <c r="AB73" s="302"/>
      <c r="AC73" s="302"/>
      <c r="AD73" s="302"/>
      <c r="AE73" s="302"/>
      <c r="AF73" s="311"/>
      <c r="AK73" s="311"/>
      <c r="AP73" s="311"/>
      <c r="AQ73" s="356"/>
      <c r="AS73" s="275">
        <f>279.4+74.6</f>
        <v>354</v>
      </c>
      <c r="AT73" s="275">
        <f>353.4+100.4</f>
        <v>453.79999999999995</v>
      </c>
      <c r="AU73" s="311"/>
      <c r="AV73" s="275">
        <v>351.5</v>
      </c>
      <c r="AW73" s="275">
        <v>332.7</v>
      </c>
      <c r="AX73" s="275">
        <f>391.7+32.3</f>
        <v>424</v>
      </c>
      <c r="AY73" s="275">
        <f>452.9+43.6</f>
        <v>496.5</v>
      </c>
      <c r="AZ73" s="277">
        <f>SUM(AV73:AY73)</f>
        <v>1604.7</v>
      </c>
      <c r="BA73" s="275">
        <v>539.1</v>
      </c>
      <c r="BB73" s="275">
        <v>526.20000000000005</v>
      </c>
      <c r="BC73" s="275">
        <v>546.5</v>
      </c>
      <c r="BD73" s="275">
        <v>557.5</v>
      </c>
      <c r="BE73" s="332">
        <f>SUM(BA73:BD73)</f>
        <v>2169.3000000000002</v>
      </c>
      <c r="BF73" s="275">
        <f t="shared" ref="BF73:BI73" si="38">SUM(BF63,BF65,BF67,BF69,BF71)</f>
        <v>357.07500000000005</v>
      </c>
      <c r="BG73" s="275">
        <f t="shared" si="38"/>
        <v>389.17000000000007</v>
      </c>
      <c r="BH73" s="275">
        <f t="shared" si="38"/>
        <v>402.02499999999998</v>
      </c>
      <c r="BI73" s="275">
        <f t="shared" si="38"/>
        <v>438.32499999999999</v>
      </c>
      <c r="BJ73" s="332">
        <f>SUM(BJ63,BJ65,BJ67,BJ69,BJ71)</f>
        <v>1586.595</v>
      </c>
      <c r="BK73" s="285"/>
      <c r="BL73" s="285"/>
      <c r="BM73" s="285"/>
      <c r="BN73" s="285"/>
      <c r="BO73" s="332">
        <f>SUM(BO63,BO65,BO67,BO69,BO71)</f>
        <v>1538.2652499999999</v>
      </c>
      <c r="BP73" s="285"/>
      <c r="BQ73" s="285"/>
      <c r="BR73" s="285"/>
      <c r="BS73" s="285"/>
      <c r="BT73" s="332">
        <f>SUM(BT63,BT65,BT67,BT69,BT71)</f>
        <v>1533.1692499999999</v>
      </c>
      <c r="BU73" s="285"/>
      <c r="BV73" s="285"/>
      <c r="BW73" s="285"/>
      <c r="BX73" s="285"/>
      <c r="BY73" s="332">
        <f>SUM(BY63,BY65,BY67,BY69,BY71)</f>
        <v>1512.1101699999999</v>
      </c>
      <c r="BZ73" s="285"/>
      <c r="CA73" s="285"/>
      <c r="CB73" s="285"/>
      <c r="CC73" s="285"/>
      <c r="CD73" s="332">
        <f>SUM(CD63,CD65,CD67,CD69,CD71)</f>
        <v>1491.9542216</v>
      </c>
      <c r="CF73" s="278">
        <f>BJ73/$BJ$142</f>
        <v>0.14467320357688435</v>
      </c>
    </row>
    <row r="74" spans="1:84" s="355" customFormat="1" ht="13" x14ac:dyDescent="0.15">
      <c r="A74" s="28"/>
      <c r="B74" s="309" t="s">
        <v>126</v>
      </c>
      <c r="C74" s="357"/>
      <c r="D74" s="357"/>
      <c r="E74" s="357"/>
      <c r="F74" s="357"/>
      <c r="G74" s="358"/>
      <c r="H74" s="357"/>
      <c r="I74" s="357"/>
      <c r="J74" s="357"/>
      <c r="K74" s="357"/>
      <c r="L74" s="358"/>
      <c r="M74" s="357"/>
      <c r="N74" s="357"/>
      <c r="O74" s="357"/>
      <c r="P74" s="357"/>
      <c r="Q74" s="358"/>
      <c r="R74" s="357"/>
      <c r="S74" s="357"/>
      <c r="T74" s="357"/>
      <c r="U74" s="357"/>
      <c r="V74" s="358"/>
      <c r="W74" s="357"/>
      <c r="X74" s="357"/>
      <c r="Y74" s="357"/>
      <c r="Z74" s="357"/>
      <c r="AA74" s="358"/>
      <c r="AB74" s="310"/>
      <c r="AC74" s="310"/>
      <c r="AD74" s="310"/>
      <c r="AE74" s="310"/>
      <c r="AF74" s="311"/>
      <c r="AK74" s="311"/>
      <c r="AP74" s="311"/>
      <c r="AQ74" s="356"/>
      <c r="AU74" s="311"/>
      <c r="AX74" s="281">
        <f t="shared" ref="AX74:AY74" si="39">AX73/AS73-1</f>
        <v>0.19774011299435035</v>
      </c>
      <c r="AY74" s="281">
        <f t="shared" si="39"/>
        <v>9.409431467606888E-2</v>
      </c>
      <c r="AZ74" s="311"/>
      <c r="BA74" s="281">
        <f>BA73/AV73-1</f>
        <v>0.53371266002844964</v>
      </c>
      <c r="BB74" s="281">
        <f>BB73/AW73-1</f>
        <v>0.58160504959422932</v>
      </c>
      <c r="BC74" s="281">
        <f>BC73/AX73-1</f>
        <v>0.28891509433962259</v>
      </c>
      <c r="BD74" s="281">
        <f>BD73/AY73-1</f>
        <v>0.12286002014098685</v>
      </c>
      <c r="BE74" s="282">
        <f>BE73/AZ73-1</f>
        <v>0.35184146569452235</v>
      </c>
      <c r="BF74" s="281">
        <f t="shared" ref="BF74:BI74" si="40">BF73/BA73-1</f>
        <v>-0.33764607679465775</v>
      </c>
      <c r="BG74" s="281">
        <f t="shared" si="40"/>
        <v>-0.26041429114405157</v>
      </c>
      <c r="BH74" s="281">
        <f t="shared" si="40"/>
        <v>-0.26436413540713632</v>
      </c>
      <c r="BI74" s="281">
        <f t="shared" si="40"/>
        <v>-0.2137668161434978</v>
      </c>
      <c r="BJ74" s="282">
        <f>BJ73/BE73-1</f>
        <v>-0.26861429954363159</v>
      </c>
      <c r="BK74" s="285"/>
      <c r="BL74" s="285"/>
      <c r="BM74" s="285"/>
      <c r="BN74" s="285"/>
      <c r="BO74" s="282">
        <f>BO73/BJ73-1</f>
        <v>-3.046130234874056E-2</v>
      </c>
      <c r="BP74" s="285"/>
      <c r="BQ74" s="285"/>
      <c r="BR74" s="285"/>
      <c r="BS74" s="285"/>
      <c r="BT74" s="282">
        <f>BT73/BO73-1</f>
        <v>-3.3128226747630718E-3</v>
      </c>
      <c r="BU74" s="285"/>
      <c r="BV74" s="285"/>
      <c r="BW74" s="285"/>
      <c r="BX74" s="285"/>
      <c r="BY74" s="282">
        <f>BY73/BT73-1</f>
        <v>-1.3735652472810833E-2</v>
      </c>
      <c r="BZ74" s="285"/>
      <c r="CA74" s="285"/>
      <c r="CB74" s="285"/>
      <c r="CC74" s="285"/>
      <c r="CD74" s="282">
        <f>CD73/BY73-1</f>
        <v>-1.332968245296573E-2</v>
      </c>
      <c r="CF74" s="359"/>
    </row>
    <row r="75" spans="1:84" s="355" customFormat="1" ht="13" x14ac:dyDescent="0.15">
      <c r="A75" s="28"/>
      <c r="B75" s="309"/>
      <c r="C75" s="357"/>
      <c r="D75" s="357"/>
      <c r="E75" s="357"/>
      <c r="F75" s="357"/>
      <c r="G75" s="358"/>
      <c r="H75" s="357"/>
      <c r="I75" s="357"/>
      <c r="J75" s="357"/>
      <c r="K75" s="357"/>
      <c r="L75" s="358"/>
      <c r="M75" s="357"/>
      <c r="N75" s="357"/>
      <c r="O75" s="357"/>
      <c r="P75" s="357"/>
      <c r="Q75" s="358"/>
      <c r="R75" s="357"/>
      <c r="S75" s="357"/>
      <c r="T75" s="357"/>
      <c r="U75" s="357"/>
      <c r="V75" s="358"/>
      <c r="W75" s="357"/>
      <c r="X75" s="357"/>
      <c r="Y75" s="357"/>
      <c r="Z75" s="357"/>
      <c r="AA75" s="358"/>
      <c r="AB75" s="310"/>
      <c r="AC75" s="310"/>
      <c r="AD75" s="310"/>
      <c r="AE75" s="310"/>
      <c r="AF75" s="311"/>
      <c r="AK75" s="311"/>
      <c r="AP75" s="311"/>
      <c r="AQ75" s="356"/>
      <c r="AU75" s="311"/>
      <c r="AZ75" s="311"/>
      <c r="BE75" s="311"/>
      <c r="BF75" s="285"/>
      <c r="BG75" s="285"/>
      <c r="BH75" s="285"/>
      <c r="BI75" s="285"/>
      <c r="BJ75" s="311"/>
      <c r="BK75" s="285"/>
      <c r="BL75" s="285"/>
      <c r="BM75" s="285"/>
      <c r="BN75" s="285"/>
      <c r="BO75" s="311"/>
      <c r="BP75" s="285"/>
      <c r="BQ75" s="285"/>
      <c r="BR75" s="285"/>
      <c r="BS75" s="285"/>
      <c r="BT75" s="311"/>
      <c r="BU75" s="285"/>
      <c r="BV75" s="285"/>
      <c r="BW75" s="285"/>
      <c r="BX75" s="285"/>
      <c r="BY75" s="311"/>
      <c r="BZ75" s="285"/>
      <c r="CA75" s="285"/>
      <c r="CB75" s="285"/>
      <c r="CC75" s="285"/>
      <c r="CD75" s="311"/>
      <c r="CF75" s="359"/>
    </row>
    <row r="76" spans="1:84" s="285" customFormat="1" outlineLevel="1" x14ac:dyDescent="0.15">
      <c r="B76" s="230" t="s">
        <v>158</v>
      </c>
      <c r="C76" s="236"/>
      <c r="D76" s="236"/>
      <c r="E76" s="236"/>
      <c r="F76" s="236"/>
      <c r="G76" s="235"/>
      <c r="H76" s="236"/>
      <c r="I76" s="236"/>
      <c r="J76" s="236"/>
      <c r="K76" s="236"/>
      <c r="L76" s="235"/>
      <c r="M76" s="236"/>
      <c r="N76" s="236"/>
      <c r="O76" s="236"/>
      <c r="P76" s="236"/>
      <c r="Q76" s="235"/>
      <c r="R76" s="236"/>
      <c r="S76" s="236"/>
      <c r="T76" s="236"/>
      <c r="U76" s="236"/>
      <c r="V76" s="235"/>
      <c r="W76" s="236"/>
      <c r="X76" s="236"/>
      <c r="Y76" s="236"/>
      <c r="Z76" s="236"/>
      <c r="AA76" s="235"/>
      <c r="AB76" s="310"/>
      <c r="AC76" s="310"/>
      <c r="AD76" s="310"/>
      <c r="AE76" s="310"/>
      <c r="AF76" s="235"/>
      <c r="AG76" s="236"/>
      <c r="AH76" s="236"/>
      <c r="AI76" s="236"/>
      <c r="AJ76" s="236"/>
      <c r="AK76" s="235"/>
      <c r="AL76" s="288"/>
      <c r="AM76" s="239"/>
      <c r="AN76" s="288"/>
      <c r="AO76" s="240"/>
      <c r="AP76" s="235"/>
      <c r="AQ76" s="289"/>
      <c r="AR76" s="236"/>
      <c r="AS76" s="236"/>
      <c r="AT76" s="236"/>
      <c r="AU76" s="235"/>
      <c r="AV76" s="236"/>
      <c r="AW76" s="236"/>
      <c r="AX76" s="236"/>
      <c r="AY76" s="236"/>
      <c r="AZ76" s="235"/>
      <c r="BA76" s="236"/>
      <c r="BB76" s="236"/>
      <c r="BC76" s="236"/>
      <c r="BD76" s="236"/>
      <c r="BE76" s="235"/>
      <c r="BF76" s="241"/>
      <c r="BG76" s="241"/>
      <c r="BH76" s="241"/>
      <c r="BI76" s="241"/>
      <c r="BJ76" s="235"/>
      <c r="BK76" s="241"/>
      <c r="BL76" s="241"/>
      <c r="BM76" s="241"/>
      <c r="BN76" s="241"/>
      <c r="BO76" s="235"/>
      <c r="BP76" s="241"/>
      <c r="BQ76" s="241"/>
      <c r="BR76" s="241"/>
      <c r="BS76" s="241"/>
      <c r="BT76" s="235"/>
      <c r="BU76" s="241"/>
      <c r="BV76" s="241"/>
      <c r="BW76" s="241"/>
      <c r="BX76" s="241"/>
      <c r="BY76" s="235"/>
      <c r="BZ76" s="241"/>
      <c r="CA76" s="241"/>
      <c r="CB76" s="241"/>
      <c r="CC76" s="241"/>
      <c r="CD76" s="235"/>
      <c r="CF76" s="229"/>
    </row>
    <row r="77" spans="1:84" s="28" customFormat="1" outlineLevel="2" x14ac:dyDescent="0.15">
      <c r="B77" s="238" t="s">
        <v>159</v>
      </c>
      <c r="C77" s="336">
        <v>36.799999999999997</v>
      </c>
      <c r="D77" s="336">
        <v>70.5</v>
      </c>
      <c r="E77" s="336">
        <v>109.3</v>
      </c>
      <c r="F77" s="336">
        <v>137.69999999999999</v>
      </c>
      <c r="G77" s="337">
        <f>SUM(C77:F77)</f>
        <v>354.29999999999995</v>
      </c>
      <c r="H77" s="336">
        <v>65</v>
      </c>
      <c r="I77" s="336">
        <v>114</v>
      </c>
      <c r="J77" s="336">
        <v>123.3</v>
      </c>
      <c r="K77" s="336">
        <v>148.1</v>
      </c>
      <c r="L77" s="337">
        <f>SUM(H77:K77)</f>
        <v>450.4</v>
      </c>
      <c r="M77" s="336">
        <v>61.405000000000001</v>
      </c>
      <c r="N77" s="336">
        <v>53.048000000000002</v>
      </c>
      <c r="O77" s="336">
        <v>53.515999999999998</v>
      </c>
      <c r="P77" s="336">
        <v>44.356000000000002</v>
      </c>
      <c r="Q77" s="337">
        <f>SUM(M77:P77)</f>
        <v>212.32499999999999</v>
      </c>
      <c r="R77" s="336">
        <v>58.856000000000002</v>
      </c>
      <c r="S77" s="336">
        <v>30.42</v>
      </c>
      <c r="T77" s="336">
        <v>16.587</v>
      </c>
      <c r="U77" s="336">
        <v>14.882</v>
      </c>
      <c r="V77" s="337">
        <f>SUM(R77:U77)</f>
        <v>120.74500000000002</v>
      </c>
      <c r="W77" s="236">
        <v>20.12</v>
      </c>
      <c r="X77" s="236">
        <v>37.134999999999998</v>
      </c>
      <c r="Y77" s="236">
        <v>58.606000000000002</v>
      </c>
      <c r="Z77" s="236">
        <v>57.427</v>
      </c>
      <c r="AA77" s="235">
        <f>SUM(W77:Z77)</f>
        <v>173.28799999999998</v>
      </c>
      <c r="AB77" s="310"/>
      <c r="AC77" s="310"/>
      <c r="AD77" s="310"/>
      <c r="AE77" s="310"/>
      <c r="AF77" s="235"/>
      <c r="AG77" s="236"/>
      <c r="AH77" s="236"/>
      <c r="AI77" s="236"/>
      <c r="AJ77" s="236"/>
      <c r="AK77" s="235"/>
      <c r="AL77" s="287"/>
      <c r="AM77" s="236"/>
      <c r="AN77" s="236"/>
      <c r="AO77" s="236"/>
      <c r="AP77" s="235"/>
      <c r="AQ77" s="289"/>
      <c r="AR77" s="236"/>
      <c r="AS77" s="239"/>
      <c r="AT77" s="239"/>
      <c r="AU77" s="235"/>
      <c r="AV77" s="239">
        <v>15</v>
      </c>
      <c r="AW77" s="239">
        <v>30</v>
      </c>
      <c r="AX77" s="239">
        <v>30</v>
      </c>
      <c r="AY77" s="239">
        <v>38</v>
      </c>
      <c r="AZ77" s="235">
        <f>SUM(AV77:AY77)</f>
        <v>113</v>
      </c>
      <c r="BA77" s="239">
        <v>32</v>
      </c>
      <c r="BB77" s="239">
        <v>52</v>
      </c>
      <c r="BC77" s="239">
        <v>35</v>
      </c>
      <c r="BD77" s="239">
        <v>32</v>
      </c>
      <c r="BE77" s="235">
        <f>SUM(BA77:BD77)</f>
        <v>151</v>
      </c>
      <c r="BF77" s="240">
        <v>32</v>
      </c>
      <c r="BG77" s="240">
        <v>38</v>
      </c>
      <c r="BH77" s="240">
        <v>40</v>
      </c>
      <c r="BI77" s="240">
        <v>40</v>
      </c>
      <c r="BJ77" s="235">
        <f>SUM(BF77:BI77)</f>
        <v>150</v>
      </c>
      <c r="BK77" s="241"/>
      <c r="BL77" s="241"/>
      <c r="BM77" s="241"/>
      <c r="BN77" s="241"/>
      <c r="BO77" s="235">
        <f>BJ77*(1+BO78)</f>
        <v>165</v>
      </c>
      <c r="BP77" s="241"/>
      <c r="BQ77" s="241"/>
      <c r="BR77" s="241"/>
      <c r="BS77" s="241"/>
      <c r="BT77" s="235">
        <f>BO77*(1+BT78)</f>
        <v>181.50000000000003</v>
      </c>
      <c r="BU77" s="241"/>
      <c r="BV77" s="241"/>
      <c r="BW77" s="241"/>
      <c r="BX77" s="241"/>
      <c r="BY77" s="235">
        <f>BT77*(1+BY78)</f>
        <v>199.65000000000003</v>
      </c>
      <c r="BZ77" s="241"/>
      <c r="CA77" s="241"/>
      <c r="CB77" s="241"/>
      <c r="CC77" s="241"/>
      <c r="CD77" s="235">
        <f>BY77*(1+CD78)</f>
        <v>219.61500000000007</v>
      </c>
      <c r="CF77" s="229"/>
    </row>
    <row r="78" spans="1:84" s="342" customFormat="1" outlineLevel="2" x14ac:dyDescent="0.15">
      <c r="B78" s="245" t="s">
        <v>126</v>
      </c>
      <c r="C78" s="338"/>
      <c r="D78" s="338"/>
      <c r="E78" s="338"/>
      <c r="F78" s="338"/>
      <c r="G78" s="251"/>
      <c r="H78" s="338">
        <f t="shared" ref="H78:AA78" si="41">H77/C77-1</f>
        <v>0.76630434782608714</v>
      </c>
      <c r="I78" s="338">
        <f t="shared" si="41"/>
        <v>0.61702127659574457</v>
      </c>
      <c r="J78" s="338">
        <f t="shared" si="41"/>
        <v>0.12808783165599258</v>
      </c>
      <c r="K78" s="338">
        <f t="shared" si="41"/>
        <v>7.5526506899056045E-2</v>
      </c>
      <c r="L78" s="251">
        <f t="shared" si="41"/>
        <v>0.27123906294101063</v>
      </c>
      <c r="M78" s="338">
        <f t="shared" si="41"/>
        <v>-5.530769230769228E-2</v>
      </c>
      <c r="N78" s="338">
        <f t="shared" si="41"/>
        <v>-0.53466666666666662</v>
      </c>
      <c r="O78" s="338">
        <f t="shared" si="41"/>
        <v>-0.56596918085969183</v>
      </c>
      <c r="P78" s="338">
        <f t="shared" si="41"/>
        <v>-0.70049966239027683</v>
      </c>
      <c r="Q78" s="251">
        <f t="shared" si="41"/>
        <v>-0.52858570159857909</v>
      </c>
      <c r="R78" s="338">
        <f t="shared" si="41"/>
        <v>-4.1511277583258677E-2</v>
      </c>
      <c r="S78" s="338">
        <f t="shared" si="41"/>
        <v>-0.42655708038003315</v>
      </c>
      <c r="T78" s="338">
        <f t="shared" si="41"/>
        <v>-0.69005531056132741</v>
      </c>
      <c r="U78" s="338">
        <f t="shared" si="41"/>
        <v>-0.66448732978627478</v>
      </c>
      <c r="V78" s="251">
        <f t="shared" si="41"/>
        <v>-0.43131991051454122</v>
      </c>
      <c r="W78" s="247">
        <f t="shared" si="41"/>
        <v>-0.65814870191654207</v>
      </c>
      <c r="X78" s="247">
        <f t="shared" si="41"/>
        <v>0.22074293228139363</v>
      </c>
      <c r="Y78" s="247">
        <f t="shared" si="41"/>
        <v>2.53324892988485</v>
      </c>
      <c r="Z78" s="247">
        <f t="shared" si="41"/>
        <v>2.8588227388791831</v>
      </c>
      <c r="AA78" s="251">
        <f t="shared" si="41"/>
        <v>0.43515673526854082</v>
      </c>
      <c r="AB78" s="302"/>
      <c r="AC78" s="302"/>
      <c r="AD78" s="302"/>
      <c r="AE78" s="302"/>
      <c r="AF78" s="251"/>
      <c r="AG78" s="247"/>
      <c r="AH78" s="247"/>
      <c r="AI78" s="247"/>
      <c r="AJ78" s="247"/>
      <c r="AK78" s="251"/>
      <c r="AL78" s="247"/>
      <c r="AM78" s="247"/>
      <c r="AN78" s="247"/>
      <c r="AO78" s="247"/>
      <c r="AP78" s="251"/>
      <c r="AQ78" s="339"/>
      <c r="AR78" s="295"/>
      <c r="AS78" s="247"/>
      <c r="AT78" s="247"/>
      <c r="AU78" s="235"/>
      <c r="AV78" s="247"/>
      <c r="AW78" s="247"/>
      <c r="AX78" s="247"/>
      <c r="AY78" s="247"/>
      <c r="AZ78" s="251"/>
      <c r="BA78" s="247">
        <f t="shared" ref="BA78:BD78" si="42">BA77/AV77-1</f>
        <v>1.1333333333333333</v>
      </c>
      <c r="BB78" s="247">
        <f t="shared" si="42"/>
        <v>0.73333333333333339</v>
      </c>
      <c r="BC78" s="247">
        <f t="shared" si="42"/>
        <v>0.16666666666666674</v>
      </c>
      <c r="BD78" s="247">
        <f t="shared" si="42"/>
        <v>-0.15789473684210531</v>
      </c>
      <c r="BE78" s="251">
        <f>BE77/AZ77-1</f>
        <v>0.33628318584070804</v>
      </c>
      <c r="BF78" s="247">
        <f t="shared" ref="BF78:BI78" si="43">BF77/BA77-1</f>
        <v>0</v>
      </c>
      <c r="BG78" s="247">
        <f t="shared" si="43"/>
        <v>-0.26923076923076927</v>
      </c>
      <c r="BH78" s="247">
        <f t="shared" si="43"/>
        <v>0.14285714285714279</v>
      </c>
      <c r="BI78" s="247">
        <f t="shared" si="43"/>
        <v>0.25</v>
      </c>
      <c r="BJ78" s="251">
        <f>BJ77/BE77-1</f>
        <v>-6.6225165562914245E-3</v>
      </c>
      <c r="BK78" s="340"/>
      <c r="BL78" s="340"/>
      <c r="BM78" s="340"/>
      <c r="BN78" s="340"/>
      <c r="BO78" s="341">
        <v>0.1</v>
      </c>
      <c r="BP78" s="340"/>
      <c r="BQ78" s="340"/>
      <c r="BR78" s="340"/>
      <c r="BS78" s="340"/>
      <c r="BT78" s="341">
        <v>0.1</v>
      </c>
      <c r="BU78" s="340"/>
      <c r="BV78" s="340"/>
      <c r="BW78" s="340"/>
      <c r="BX78" s="340"/>
      <c r="BY78" s="341">
        <v>0.1</v>
      </c>
      <c r="BZ78" s="340"/>
      <c r="CA78" s="340"/>
      <c r="CB78" s="340"/>
      <c r="CC78" s="340"/>
      <c r="CD78" s="341">
        <v>0.1</v>
      </c>
      <c r="CF78" s="343"/>
    </row>
    <row r="79" spans="1:84" s="285" customFormat="1" outlineLevel="2" x14ac:dyDescent="0.15">
      <c r="B79" s="238" t="s">
        <v>160</v>
      </c>
      <c r="C79" s="236"/>
      <c r="D79" s="236"/>
      <c r="E79" s="236"/>
      <c r="F79" s="236"/>
      <c r="G79" s="235"/>
      <c r="H79" s="236"/>
      <c r="I79" s="236"/>
      <c r="J79" s="236"/>
      <c r="K79" s="236"/>
      <c r="L79" s="235"/>
      <c r="M79" s="236"/>
      <c r="N79" s="236"/>
      <c r="O79" s="236"/>
      <c r="P79" s="236"/>
      <c r="Q79" s="235"/>
      <c r="R79" s="236"/>
      <c r="S79" s="236"/>
      <c r="T79" s="236"/>
      <c r="U79" s="236"/>
      <c r="V79" s="235"/>
      <c r="W79" s="236"/>
      <c r="X79" s="236"/>
      <c r="Y79" s="236"/>
      <c r="Z79" s="236"/>
      <c r="AA79" s="235"/>
      <c r="AB79" s="310"/>
      <c r="AC79" s="310"/>
      <c r="AD79" s="310"/>
      <c r="AE79" s="310"/>
      <c r="AF79" s="235"/>
      <c r="AG79" s="236"/>
      <c r="AH79" s="236"/>
      <c r="AI79" s="236"/>
      <c r="AJ79" s="236"/>
      <c r="AK79" s="235"/>
      <c r="AL79" s="288"/>
      <c r="AM79" s="239"/>
      <c r="AN79" s="288"/>
      <c r="AO79" s="240"/>
      <c r="AP79" s="235"/>
      <c r="AQ79" s="289"/>
      <c r="AR79" s="236"/>
      <c r="AS79" s="236"/>
      <c r="AT79" s="236"/>
      <c r="AU79" s="235"/>
      <c r="AV79" s="236">
        <f t="shared" ref="AV79:BD79" si="44">AV81-AV77</f>
        <v>3.1999999999999993</v>
      </c>
      <c r="AW79" s="236">
        <f t="shared" si="44"/>
        <v>1.6999999999999993</v>
      </c>
      <c r="AX79" s="236">
        <f t="shared" si="44"/>
        <v>2.3999999999999986</v>
      </c>
      <c r="AY79" s="236">
        <f t="shared" si="44"/>
        <v>3.1000000000000014</v>
      </c>
      <c r="AZ79" s="235">
        <f t="shared" si="44"/>
        <v>10.400000000000006</v>
      </c>
      <c r="BA79" s="236">
        <f t="shared" si="44"/>
        <v>2.7999999999999972</v>
      </c>
      <c r="BB79" s="236">
        <f t="shared" si="44"/>
        <v>7</v>
      </c>
      <c r="BC79" s="236">
        <f t="shared" si="44"/>
        <v>8.7999999999999972</v>
      </c>
      <c r="BD79" s="236">
        <f t="shared" si="44"/>
        <v>12.700000000000003</v>
      </c>
      <c r="BE79" s="235">
        <f>SUM(BA79:BD79)</f>
        <v>31.299999999999997</v>
      </c>
      <c r="BF79" s="240">
        <v>10</v>
      </c>
      <c r="BG79" s="240">
        <v>10</v>
      </c>
      <c r="BH79" s="240">
        <v>10</v>
      </c>
      <c r="BI79" s="240">
        <v>10</v>
      </c>
      <c r="BJ79" s="235">
        <f>SUM(BF79:BI79)</f>
        <v>40</v>
      </c>
      <c r="BK79" s="241"/>
      <c r="BL79" s="241"/>
      <c r="BM79" s="241"/>
      <c r="BN79" s="241"/>
      <c r="BO79" s="235">
        <f>BJ79*(1+BO80)</f>
        <v>44</v>
      </c>
      <c r="BP79" s="241"/>
      <c r="BQ79" s="241"/>
      <c r="BR79" s="241"/>
      <c r="BS79" s="241"/>
      <c r="BT79" s="235">
        <f>BO79*(1+BT80)</f>
        <v>48.400000000000006</v>
      </c>
      <c r="BU79" s="241"/>
      <c r="BV79" s="241"/>
      <c r="BW79" s="241"/>
      <c r="BX79" s="241"/>
      <c r="BY79" s="235">
        <f>BT79*(1+BY80)</f>
        <v>52.272000000000013</v>
      </c>
      <c r="BZ79" s="241"/>
      <c r="CA79" s="241"/>
      <c r="CB79" s="241"/>
      <c r="CC79" s="241"/>
      <c r="CD79" s="235">
        <f>BY79*(1+CD80)</f>
        <v>55.408320000000018</v>
      </c>
      <c r="CF79" s="229"/>
    </row>
    <row r="80" spans="1:84" s="285" customFormat="1" ht="15" outlineLevel="2" x14ac:dyDescent="0.3">
      <c r="B80" s="262" t="s">
        <v>126</v>
      </c>
      <c r="C80" s="236"/>
      <c r="D80" s="236"/>
      <c r="E80" s="236"/>
      <c r="F80" s="236"/>
      <c r="G80" s="235"/>
      <c r="H80" s="236"/>
      <c r="I80" s="236"/>
      <c r="J80" s="236"/>
      <c r="K80" s="236"/>
      <c r="L80" s="235"/>
      <c r="M80" s="236"/>
      <c r="N80" s="236"/>
      <c r="O80" s="236"/>
      <c r="P80" s="236"/>
      <c r="Q80" s="235"/>
      <c r="R80" s="236"/>
      <c r="S80" s="236"/>
      <c r="T80" s="236"/>
      <c r="U80" s="236"/>
      <c r="V80" s="235"/>
      <c r="W80" s="236"/>
      <c r="X80" s="236"/>
      <c r="Y80" s="236"/>
      <c r="Z80" s="236"/>
      <c r="AA80" s="235"/>
      <c r="AB80" s="310"/>
      <c r="AC80" s="310"/>
      <c r="AD80" s="310"/>
      <c r="AE80" s="310"/>
      <c r="AF80" s="235"/>
      <c r="AG80" s="236"/>
      <c r="AH80" s="236"/>
      <c r="AI80" s="236"/>
      <c r="AJ80" s="236"/>
      <c r="AK80" s="235"/>
      <c r="AL80" s="288"/>
      <c r="AM80" s="239"/>
      <c r="AN80" s="288"/>
      <c r="AO80" s="240"/>
      <c r="AP80" s="235"/>
      <c r="AQ80" s="289"/>
      <c r="AR80" s="236"/>
      <c r="AS80" s="236"/>
      <c r="AT80" s="236"/>
      <c r="AU80" s="235"/>
      <c r="AV80" s="236"/>
      <c r="AW80" s="236"/>
      <c r="AX80" s="236"/>
      <c r="AY80" s="236"/>
      <c r="AZ80" s="235"/>
      <c r="BA80" s="247">
        <f t="shared" ref="BA80:BD80" si="45">BA79/AV79-1</f>
        <v>-0.12500000000000067</v>
      </c>
      <c r="BB80" s="247">
        <f t="shared" si="45"/>
        <v>3.1176470588235308</v>
      </c>
      <c r="BC80" s="247">
        <f t="shared" si="45"/>
        <v>2.6666666666666679</v>
      </c>
      <c r="BD80" s="247">
        <f t="shared" si="45"/>
        <v>3.0967741935483861</v>
      </c>
      <c r="BE80" s="251">
        <f>BE79/AZ79-1</f>
        <v>2.0096153846153828</v>
      </c>
      <c r="BF80" s="247">
        <f t="shared" ref="BF80:BI80" si="46">BF79/BA79-1</f>
        <v>2.5714285714285752</v>
      </c>
      <c r="BG80" s="247">
        <f t="shared" si="46"/>
        <v>0.4285714285714286</v>
      </c>
      <c r="BH80" s="247">
        <f t="shared" si="46"/>
        <v>0.13636363636363669</v>
      </c>
      <c r="BI80" s="247">
        <f t="shared" si="46"/>
        <v>-0.21259842519685057</v>
      </c>
      <c r="BJ80" s="251">
        <f>BJ79/BE79-1</f>
        <v>0.27795527156549538</v>
      </c>
      <c r="BK80" s="340"/>
      <c r="BL80" s="340"/>
      <c r="BM80" s="340"/>
      <c r="BN80" s="340"/>
      <c r="BO80" s="341">
        <v>0.1</v>
      </c>
      <c r="BP80" s="340"/>
      <c r="BQ80" s="340"/>
      <c r="BR80" s="340"/>
      <c r="BS80" s="340"/>
      <c r="BT80" s="341">
        <v>0.1</v>
      </c>
      <c r="BU80" s="340"/>
      <c r="BV80" s="340"/>
      <c r="BW80" s="340"/>
      <c r="BX80" s="340"/>
      <c r="BY80" s="341">
        <v>0.08</v>
      </c>
      <c r="BZ80" s="340"/>
      <c r="CA80" s="340"/>
      <c r="CB80" s="340"/>
      <c r="CC80" s="340"/>
      <c r="CD80" s="341">
        <v>0.06</v>
      </c>
      <c r="CF80" s="229"/>
    </row>
    <row r="81" spans="1:84" s="355" customFormat="1" ht="13" x14ac:dyDescent="0.15">
      <c r="A81" s="349"/>
      <c r="B81" s="298" t="s">
        <v>161</v>
      </c>
      <c r="C81" s="350"/>
      <c r="D81" s="350"/>
      <c r="E81" s="350"/>
      <c r="F81" s="351"/>
      <c r="G81" s="352"/>
      <c r="H81" s="351"/>
      <c r="I81" s="351"/>
      <c r="J81" s="351"/>
      <c r="K81" s="351"/>
      <c r="L81" s="352"/>
      <c r="M81" s="351"/>
      <c r="N81" s="351"/>
      <c r="O81" s="351"/>
      <c r="P81" s="351"/>
      <c r="Q81" s="352"/>
      <c r="R81" s="353"/>
      <c r="S81" s="353"/>
      <c r="T81" s="353"/>
      <c r="U81" s="353"/>
      <c r="V81" s="354"/>
      <c r="W81" s="353"/>
      <c r="X81" s="353"/>
      <c r="Y81" s="353"/>
      <c r="Z81" s="353"/>
      <c r="AA81" s="354"/>
      <c r="AB81" s="302"/>
      <c r="AC81" s="302"/>
      <c r="AD81" s="302"/>
      <c r="AE81" s="302"/>
      <c r="AF81" s="360"/>
      <c r="AK81" s="311"/>
      <c r="AP81" s="360"/>
      <c r="AQ81" s="356"/>
      <c r="AS81" s="275">
        <v>27</v>
      </c>
      <c r="AT81" s="275">
        <v>29.8</v>
      </c>
      <c r="AU81" s="311"/>
      <c r="AV81" s="275">
        <v>18.2</v>
      </c>
      <c r="AW81" s="275">
        <v>31.7</v>
      </c>
      <c r="AX81" s="275">
        <v>32.4</v>
      </c>
      <c r="AY81" s="275">
        <v>41.1</v>
      </c>
      <c r="AZ81" s="277">
        <f>SUM(AV81:AY81)</f>
        <v>123.4</v>
      </c>
      <c r="BA81" s="275">
        <v>34.799999999999997</v>
      </c>
      <c r="BB81" s="275">
        <v>59</v>
      </c>
      <c r="BC81" s="275">
        <v>43.8</v>
      </c>
      <c r="BD81" s="275">
        <v>44.7</v>
      </c>
      <c r="BE81" s="332">
        <f>SUM(BA81:BD81)</f>
        <v>182.3</v>
      </c>
      <c r="BF81" s="275">
        <f t="shared" ref="BF81:BI81" si="47">SUM(BF77,BF79)</f>
        <v>42</v>
      </c>
      <c r="BG81" s="275">
        <f t="shared" si="47"/>
        <v>48</v>
      </c>
      <c r="BH81" s="275">
        <f t="shared" si="47"/>
        <v>50</v>
      </c>
      <c r="BI81" s="275">
        <f t="shared" si="47"/>
        <v>50</v>
      </c>
      <c r="BJ81" s="332">
        <f>SUM(BJ77,BJ79)</f>
        <v>190</v>
      </c>
      <c r="BK81" s="285"/>
      <c r="BL81" s="285"/>
      <c r="BM81" s="285"/>
      <c r="BN81" s="285"/>
      <c r="BO81" s="332">
        <f>SUM(BO77,BO79)</f>
        <v>209</v>
      </c>
      <c r="BP81" s="285"/>
      <c r="BQ81" s="285"/>
      <c r="BR81" s="285"/>
      <c r="BS81" s="285"/>
      <c r="BT81" s="332">
        <f>SUM(BT77,BT79)</f>
        <v>229.90000000000003</v>
      </c>
      <c r="BU81" s="285"/>
      <c r="BV81" s="285"/>
      <c r="BW81" s="285"/>
      <c r="BX81" s="285"/>
      <c r="BY81" s="332">
        <f>SUM(BY77,BY79)</f>
        <v>251.92200000000005</v>
      </c>
      <c r="BZ81" s="285"/>
      <c r="CA81" s="285"/>
      <c r="CB81" s="285"/>
      <c r="CC81" s="285"/>
      <c r="CD81" s="332">
        <f>SUM(CD77,CD79)</f>
        <v>275.02332000000007</v>
      </c>
      <c r="CF81" s="278">
        <f>BJ81/$BJ$142</f>
        <v>1.7325094734073929E-2</v>
      </c>
    </row>
    <row r="82" spans="1:84" s="355" customFormat="1" ht="13" x14ac:dyDescent="0.15">
      <c r="A82" s="28"/>
      <c r="B82" s="309" t="s">
        <v>126</v>
      </c>
      <c r="C82" s="357"/>
      <c r="D82" s="357"/>
      <c r="E82" s="357"/>
      <c r="F82" s="357"/>
      <c r="G82" s="358"/>
      <c r="H82" s="357"/>
      <c r="I82" s="357"/>
      <c r="J82" s="357"/>
      <c r="K82" s="357"/>
      <c r="L82" s="358"/>
      <c r="M82" s="357"/>
      <c r="N82" s="357"/>
      <c r="O82" s="357"/>
      <c r="P82" s="357"/>
      <c r="Q82" s="358"/>
      <c r="R82" s="357"/>
      <c r="S82" s="357"/>
      <c r="T82" s="357"/>
      <c r="U82" s="357"/>
      <c r="V82" s="358"/>
      <c r="W82" s="357"/>
      <c r="X82" s="357"/>
      <c r="Y82" s="357"/>
      <c r="Z82" s="357"/>
      <c r="AA82" s="358"/>
      <c r="AB82" s="310"/>
      <c r="AC82" s="310"/>
      <c r="AD82" s="310"/>
      <c r="AE82" s="310"/>
      <c r="AF82" s="360"/>
      <c r="AK82" s="311"/>
      <c r="AP82" s="360"/>
      <c r="AQ82" s="356"/>
      <c r="AU82" s="311"/>
      <c r="AV82" s="310"/>
      <c r="AX82" s="281">
        <f t="shared" ref="AX82:AY82" si="48">AX81/AS81-1</f>
        <v>0.19999999999999996</v>
      </c>
      <c r="AY82" s="281">
        <f t="shared" si="48"/>
        <v>0.37919463087248317</v>
      </c>
      <c r="AZ82" s="311"/>
      <c r="BA82" s="281">
        <f>BA81/AV81-1</f>
        <v>0.91208791208791196</v>
      </c>
      <c r="BB82" s="281">
        <f>BB81/AW81-1</f>
        <v>0.86119873817034698</v>
      </c>
      <c r="BC82" s="281">
        <f>BC81/AX81-1</f>
        <v>0.35185185185185186</v>
      </c>
      <c r="BD82" s="281">
        <f>BD81/AY81-1</f>
        <v>8.7591240875912524E-2</v>
      </c>
      <c r="BE82" s="282">
        <f>BE81/AZ81-1</f>
        <v>0.47730956239870337</v>
      </c>
      <c r="BF82" s="281">
        <f t="shared" ref="BF82:BI82" si="49">BF81/BA81-1</f>
        <v>0.20689655172413812</v>
      </c>
      <c r="BG82" s="281">
        <f t="shared" si="49"/>
        <v>-0.18644067796610164</v>
      </c>
      <c r="BH82" s="281">
        <f t="shared" si="49"/>
        <v>0.14155251141552516</v>
      </c>
      <c r="BI82" s="281">
        <f t="shared" si="49"/>
        <v>0.11856823266219241</v>
      </c>
      <c r="BJ82" s="282">
        <f>BJ81/BE81-1</f>
        <v>4.2238069116840249E-2</v>
      </c>
      <c r="BK82" s="285"/>
      <c r="BL82" s="285"/>
      <c r="BM82" s="285"/>
      <c r="BN82" s="285"/>
      <c r="BO82" s="282">
        <f>BO81/BJ81-1</f>
        <v>0.10000000000000009</v>
      </c>
      <c r="BP82" s="285"/>
      <c r="BQ82" s="285"/>
      <c r="BR82" s="285"/>
      <c r="BS82" s="285"/>
      <c r="BT82" s="282">
        <f>BT81/BO81-1</f>
        <v>0.10000000000000009</v>
      </c>
      <c r="BU82" s="285"/>
      <c r="BV82" s="285"/>
      <c r="BW82" s="285"/>
      <c r="BX82" s="285"/>
      <c r="BY82" s="282">
        <f>BY81/BT81-1</f>
        <v>9.5789473684210646E-2</v>
      </c>
      <c r="BZ82" s="285"/>
      <c r="CA82" s="285"/>
      <c r="CB82" s="285"/>
      <c r="CC82" s="285"/>
      <c r="CD82" s="282">
        <f>CD81/BY81-1</f>
        <v>9.1700288184437984E-2</v>
      </c>
      <c r="CF82" s="359"/>
    </row>
    <row r="83" spans="1:84" s="355" customFormat="1" ht="13" x14ac:dyDescent="0.15">
      <c r="A83" s="28"/>
      <c r="B83" s="309"/>
      <c r="C83" s="357"/>
      <c r="D83" s="357"/>
      <c r="E83" s="357"/>
      <c r="F83" s="357"/>
      <c r="G83" s="358"/>
      <c r="H83" s="357"/>
      <c r="I83" s="357"/>
      <c r="J83" s="357"/>
      <c r="K83" s="357"/>
      <c r="L83" s="358"/>
      <c r="M83" s="357"/>
      <c r="N83" s="357"/>
      <c r="O83" s="357"/>
      <c r="P83" s="357"/>
      <c r="Q83" s="358"/>
      <c r="R83" s="357"/>
      <c r="S83" s="357"/>
      <c r="T83" s="357"/>
      <c r="U83" s="357"/>
      <c r="V83" s="358"/>
      <c r="W83" s="357"/>
      <c r="X83" s="357"/>
      <c r="Y83" s="357"/>
      <c r="Z83" s="357"/>
      <c r="AA83" s="358"/>
      <c r="AB83" s="310"/>
      <c r="AC83" s="310"/>
      <c r="AD83" s="310"/>
      <c r="AE83" s="310"/>
      <c r="AF83" s="360"/>
      <c r="AK83" s="311"/>
      <c r="AP83" s="360"/>
      <c r="AQ83" s="356"/>
      <c r="AU83" s="311"/>
      <c r="AV83" s="310"/>
      <c r="AZ83" s="311"/>
      <c r="BE83" s="311"/>
      <c r="BF83" s="285"/>
      <c r="BG83" s="285"/>
      <c r="BH83" s="285"/>
      <c r="BI83" s="285"/>
      <c r="BJ83" s="311"/>
      <c r="BK83" s="285"/>
      <c r="BL83" s="285"/>
      <c r="BM83" s="285"/>
      <c r="BN83" s="285"/>
      <c r="BO83" s="311"/>
      <c r="BP83" s="285"/>
      <c r="BQ83" s="285"/>
      <c r="BR83" s="285"/>
      <c r="BS83" s="285"/>
      <c r="BT83" s="311"/>
      <c r="BU83" s="285"/>
      <c r="BV83" s="285"/>
      <c r="BW83" s="285"/>
      <c r="BX83" s="285"/>
      <c r="BY83" s="311"/>
      <c r="BZ83" s="285"/>
      <c r="CA83" s="285"/>
      <c r="CB83" s="285"/>
      <c r="CC83" s="285"/>
      <c r="CD83" s="311"/>
      <c r="CF83" s="359"/>
    </row>
    <row r="84" spans="1:84" s="252" customFormat="1" x14ac:dyDescent="0.15">
      <c r="B84" s="268" t="s">
        <v>162</v>
      </c>
      <c r="C84" s="317"/>
      <c r="D84" s="318"/>
      <c r="E84" s="318"/>
      <c r="F84" s="318"/>
      <c r="G84" s="319"/>
      <c r="H84" s="318"/>
      <c r="I84" s="318"/>
      <c r="J84" s="318"/>
      <c r="K84" s="318"/>
      <c r="L84" s="319"/>
      <c r="M84" s="318"/>
      <c r="N84" s="318"/>
      <c r="O84" s="318"/>
      <c r="P84" s="318"/>
      <c r="Q84" s="319"/>
      <c r="R84" s="318"/>
      <c r="S84" s="318"/>
      <c r="T84" s="318"/>
      <c r="U84" s="318"/>
      <c r="V84" s="319"/>
      <c r="W84" s="320"/>
      <c r="X84" s="321"/>
      <c r="Y84" s="321"/>
      <c r="Z84" s="321"/>
      <c r="AA84" s="322"/>
      <c r="AB84" s="361"/>
      <c r="AC84" s="361"/>
      <c r="AD84" s="361"/>
      <c r="AE84" s="361"/>
      <c r="AF84" s="46"/>
      <c r="AG84" s="362"/>
      <c r="AH84" s="49"/>
      <c r="AI84" s="363"/>
      <c r="AJ84" s="363"/>
      <c r="AK84" s="46"/>
      <c r="AL84" s="364"/>
      <c r="AM84" s="280"/>
      <c r="AN84" s="364"/>
      <c r="AO84" s="280"/>
      <c r="AP84" s="46"/>
      <c r="AQ84" s="365"/>
      <c r="AR84" s="280"/>
      <c r="AS84" s="275">
        <v>0</v>
      </c>
      <c r="AT84" s="275">
        <v>0</v>
      </c>
      <c r="AU84" s="46"/>
      <c r="AV84" s="275">
        <v>0</v>
      </c>
      <c r="AW84" s="275">
        <v>0</v>
      </c>
      <c r="AX84" s="275">
        <v>0</v>
      </c>
      <c r="AY84" s="275">
        <v>0</v>
      </c>
      <c r="AZ84" s="366">
        <v>0</v>
      </c>
      <c r="BA84" s="275">
        <v>30.1</v>
      </c>
      <c r="BB84" s="275">
        <v>73.7</v>
      </c>
      <c r="BC84" s="275">
        <v>69.3</v>
      </c>
      <c r="BD84" s="367">
        <v>77</v>
      </c>
      <c r="BE84" s="311">
        <f>SUM(BA84:BD84)</f>
        <v>250.10000000000002</v>
      </c>
      <c r="BF84" s="368">
        <v>75</v>
      </c>
      <c r="BG84" s="368">
        <v>75</v>
      </c>
      <c r="BH84" s="368">
        <v>77</v>
      </c>
      <c r="BI84" s="368">
        <v>78</v>
      </c>
      <c r="BJ84" s="369">
        <f>SUM(BF84:BI84)</f>
        <v>305</v>
      </c>
      <c r="BK84" s="285"/>
      <c r="BL84" s="285"/>
      <c r="BM84" s="285"/>
      <c r="BN84" s="285"/>
      <c r="BO84" s="55">
        <f>BJ84*(1+BO85)</f>
        <v>314.15000000000003</v>
      </c>
      <c r="BP84" s="285"/>
      <c r="BQ84" s="285"/>
      <c r="BR84" s="285"/>
      <c r="BS84" s="285"/>
      <c r="BT84" s="55">
        <f>BO84*(1+BT85)</f>
        <v>320.43300000000005</v>
      </c>
      <c r="BU84" s="285"/>
      <c r="BV84" s="285"/>
      <c r="BW84" s="285"/>
      <c r="BX84" s="285"/>
      <c r="BY84" s="55">
        <f>BT84*(1+BY85)</f>
        <v>326.84166000000005</v>
      </c>
      <c r="BZ84" s="285"/>
      <c r="CA84" s="285"/>
      <c r="CB84" s="285"/>
      <c r="CC84" s="285"/>
      <c r="CD84" s="55">
        <f>BY84*(1+CD85)</f>
        <v>326.84166000000005</v>
      </c>
      <c r="CE84" s="370"/>
      <c r="CF84" s="278">
        <f>BJ84/$BJ$142</f>
        <v>2.7811336283644992E-2</v>
      </c>
    </row>
    <row r="85" spans="1:84" s="252" customFormat="1" x14ac:dyDescent="0.15">
      <c r="B85" s="309" t="s">
        <v>126</v>
      </c>
      <c r="C85" s="317"/>
      <c r="D85" s="318"/>
      <c r="E85" s="318"/>
      <c r="F85" s="318"/>
      <c r="G85" s="319"/>
      <c r="H85" s="318"/>
      <c r="I85" s="318"/>
      <c r="J85" s="318"/>
      <c r="K85" s="318"/>
      <c r="L85" s="319"/>
      <c r="M85" s="318"/>
      <c r="N85" s="318"/>
      <c r="O85" s="318"/>
      <c r="P85" s="318"/>
      <c r="Q85" s="319"/>
      <c r="R85" s="318"/>
      <c r="S85" s="318"/>
      <c r="T85" s="318"/>
      <c r="U85" s="318"/>
      <c r="V85" s="319"/>
      <c r="W85" s="320"/>
      <c r="X85" s="321"/>
      <c r="Y85" s="321"/>
      <c r="Z85" s="321"/>
      <c r="AA85" s="322"/>
      <c r="AB85" s="361"/>
      <c r="AC85" s="361"/>
      <c r="AD85" s="361"/>
      <c r="AE85" s="361"/>
      <c r="AF85" s="372"/>
      <c r="AG85" s="324"/>
      <c r="AH85" s="324"/>
      <c r="AI85" s="324"/>
      <c r="AJ85" s="373"/>
      <c r="AK85" s="372"/>
      <c r="AL85" s="373"/>
      <c r="AM85" s="324"/>
      <c r="AN85" s="373"/>
      <c r="AO85" s="373"/>
      <c r="AP85" s="372"/>
      <c r="AQ85" s="374"/>
      <c r="AR85" s="324"/>
      <c r="AS85" s="373"/>
      <c r="AT85" s="373"/>
      <c r="AU85" s="372"/>
      <c r="AV85" s="324"/>
      <c r="AW85" s="373"/>
      <c r="AX85" s="373"/>
      <c r="AY85" s="373"/>
      <c r="AZ85" s="372"/>
      <c r="BA85" s="373"/>
      <c r="BB85" s="373"/>
      <c r="BC85" s="373"/>
      <c r="BD85" s="373"/>
      <c r="BE85" s="375"/>
      <c r="BF85" s="376"/>
      <c r="BG85" s="376"/>
      <c r="BH85" s="376"/>
      <c r="BI85" s="376"/>
      <c r="BJ85" s="377"/>
      <c r="BK85" s="376"/>
      <c r="BL85" s="376"/>
      <c r="BM85" s="376"/>
      <c r="BN85" s="376"/>
      <c r="BO85" s="378">
        <v>0.03</v>
      </c>
      <c r="BP85" s="376"/>
      <c r="BQ85" s="376"/>
      <c r="BR85" s="376"/>
      <c r="BS85" s="376"/>
      <c r="BT85" s="378">
        <v>0.02</v>
      </c>
      <c r="BU85" s="376"/>
      <c r="BV85" s="376"/>
      <c r="BW85" s="376"/>
      <c r="BX85" s="376"/>
      <c r="BY85" s="378">
        <v>0.02</v>
      </c>
      <c r="BZ85" s="376"/>
      <c r="CA85" s="376"/>
      <c r="CB85" s="376"/>
      <c r="CC85" s="376"/>
      <c r="CD85" s="378">
        <v>0</v>
      </c>
      <c r="CF85" s="242"/>
    </row>
    <row r="86" spans="1:84" s="252" customFormat="1" x14ac:dyDescent="0.15">
      <c r="B86" s="309"/>
      <c r="C86" s="317"/>
      <c r="D86" s="318"/>
      <c r="E86" s="318"/>
      <c r="F86" s="318"/>
      <c r="G86" s="319"/>
      <c r="H86" s="318"/>
      <c r="I86" s="318"/>
      <c r="J86" s="318"/>
      <c r="K86" s="318"/>
      <c r="L86" s="319"/>
      <c r="M86" s="318"/>
      <c r="N86" s="318"/>
      <c r="O86" s="318"/>
      <c r="P86" s="318"/>
      <c r="Q86" s="319"/>
      <c r="R86" s="318"/>
      <c r="S86" s="318"/>
      <c r="T86" s="318"/>
      <c r="U86" s="318"/>
      <c r="V86" s="319"/>
      <c r="W86" s="320"/>
      <c r="X86" s="321"/>
      <c r="Y86" s="321"/>
      <c r="Z86" s="321"/>
      <c r="AA86" s="322"/>
      <c r="AB86" s="361"/>
      <c r="AC86" s="361"/>
      <c r="AD86" s="361"/>
      <c r="AE86" s="361"/>
      <c r="AF86" s="372"/>
      <c r="AG86" s="324"/>
      <c r="AH86" s="324"/>
      <c r="AI86" s="324"/>
      <c r="AJ86" s="373"/>
      <c r="AK86" s="372"/>
      <c r="AL86" s="373"/>
      <c r="AM86" s="324"/>
      <c r="AN86" s="373"/>
      <c r="AO86" s="373"/>
      <c r="AP86" s="372"/>
      <c r="AQ86" s="374"/>
      <c r="AR86" s="324"/>
      <c r="AS86" s="373"/>
      <c r="AT86" s="373"/>
      <c r="AU86" s="372"/>
      <c r="AV86" s="324"/>
      <c r="AW86" s="373"/>
      <c r="AX86" s="373"/>
      <c r="AY86" s="373"/>
      <c r="AZ86" s="372"/>
      <c r="BA86" s="373"/>
      <c r="BB86" s="373"/>
      <c r="BC86" s="373"/>
      <c r="BD86" s="373"/>
      <c r="BE86" s="375"/>
      <c r="BF86" s="376"/>
      <c r="BG86" s="376"/>
      <c r="BH86" s="376"/>
      <c r="BI86" s="379"/>
      <c r="BJ86" s="377"/>
      <c r="BK86" s="376"/>
      <c r="BL86" s="376"/>
      <c r="BM86" s="376"/>
      <c r="BN86" s="376"/>
      <c r="BO86" s="378"/>
      <c r="BP86" s="376"/>
      <c r="BQ86" s="376"/>
      <c r="BR86" s="376"/>
      <c r="BS86" s="376"/>
      <c r="BT86" s="378"/>
      <c r="BU86" s="376"/>
      <c r="BV86" s="376"/>
      <c r="BW86" s="376"/>
      <c r="BX86" s="376"/>
      <c r="BY86" s="378"/>
      <c r="BZ86" s="376"/>
      <c r="CA86" s="376"/>
      <c r="CB86" s="376"/>
      <c r="CC86" s="376"/>
      <c r="CD86" s="378"/>
      <c r="CF86" s="242"/>
    </row>
    <row r="87" spans="1:84" s="252" customFormat="1" x14ac:dyDescent="0.15">
      <c r="B87" s="268" t="s">
        <v>163</v>
      </c>
      <c r="C87" s="317"/>
      <c r="D87" s="318"/>
      <c r="E87" s="318"/>
      <c r="F87" s="318"/>
      <c r="G87" s="319"/>
      <c r="H87" s="318"/>
      <c r="I87" s="318"/>
      <c r="J87" s="318"/>
      <c r="K87" s="318"/>
      <c r="L87" s="319"/>
      <c r="M87" s="318"/>
      <c r="N87" s="318"/>
      <c r="O87" s="318"/>
      <c r="P87" s="318"/>
      <c r="Q87" s="319"/>
      <c r="R87" s="318"/>
      <c r="S87" s="318"/>
      <c r="T87" s="318"/>
      <c r="U87" s="318"/>
      <c r="V87" s="319"/>
      <c r="W87" s="320"/>
      <c r="X87" s="321"/>
      <c r="Y87" s="321"/>
      <c r="Z87" s="321"/>
      <c r="AA87" s="322"/>
      <c r="AB87" s="361"/>
      <c r="AC87" s="361"/>
      <c r="AD87" s="361"/>
      <c r="AE87" s="361"/>
      <c r="AF87" s="46"/>
      <c r="AG87" s="362"/>
      <c r="AH87" s="49"/>
      <c r="AI87" s="363"/>
      <c r="AJ87" s="363"/>
      <c r="AK87" s="46"/>
      <c r="AL87" s="364"/>
      <c r="AM87" s="280"/>
      <c r="AN87" s="364"/>
      <c r="AO87" s="280"/>
      <c r="AP87" s="46"/>
      <c r="AQ87" s="365"/>
      <c r="AR87" s="280"/>
      <c r="AS87" s="275">
        <v>0</v>
      </c>
      <c r="AT87" s="275">
        <v>0</v>
      </c>
      <c r="AU87" s="46"/>
      <c r="AV87" s="275">
        <v>0</v>
      </c>
      <c r="AW87" s="275">
        <v>0</v>
      </c>
      <c r="AX87" s="275">
        <v>0</v>
      </c>
      <c r="AY87" s="275">
        <v>0</v>
      </c>
      <c r="AZ87" s="366">
        <v>0</v>
      </c>
      <c r="BA87" s="275"/>
      <c r="BB87" s="275"/>
      <c r="BC87" s="371"/>
      <c r="BD87" s="368"/>
      <c r="BE87" s="311"/>
      <c r="BF87" s="368">
        <v>3</v>
      </c>
      <c r="BG87" s="368">
        <v>5</v>
      </c>
      <c r="BH87" s="368">
        <v>5</v>
      </c>
      <c r="BI87" s="368">
        <v>10</v>
      </c>
      <c r="BJ87" s="369">
        <f>SUM(BF87:BI87)</f>
        <v>23</v>
      </c>
      <c r="BK87" s="285"/>
      <c r="BL87" s="285"/>
      <c r="BM87" s="285"/>
      <c r="BN87" s="285"/>
      <c r="BO87" s="55">
        <f>BJ87*(1+BO88)</f>
        <v>34.5</v>
      </c>
      <c r="BP87" s="285"/>
      <c r="BQ87" s="285"/>
      <c r="BR87" s="285"/>
      <c r="BS87" s="285"/>
      <c r="BT87" s="55">
        <f>BO87*(1+BT88)</f>
        <v>44.85</v>
      </c>
      <c r="BU87" s="285"/>
      <c r="BV87" s="285"/>
      <c r="BW87" s="285"/>
      <c r="BX87" s="285"/>
      <c r="BY87" s="55">
        <f>BT87*(1+BY88)</f>
        <v>56.0625</v>
      </c>
      <c r="BZ87" s="285"/>
      <c r="CA87" s="285"/>
      <c r="CB87" s="285"/>
      <c r="CC87" s="285"/>
      <c r="CD87" s="55">
        <f>BY87*(1+CD88)</f>
        <v>67.274999999999991</v>
      </c>
      <c r="CF87" s="278">
        <f>BJ87/$BJ$142</f>
        <v>2.0972483099142127E-3</v>
      </c>
    </row>
    <row r="88" spans="1:84" s="252" customFormat="1" x14ac:dyDescent="0.15">
      <c r="B88" s="309" t="s">
        <v>126</v>
      </c>
      <c r="C88" s="317"/>
      <c r="D88" s="318"/>
      <c r="E88" s="318"/>
      <c r="F88" s="318"/>
      <c r="G88" s="319"/>
      <c r="H88" s="318"/>
      <c r="I88" s="318"/>
      <c r="J88" s="318"/>
      <c r="K88" s="318"/>
      <c r="L88" s="319"/>
      <c r="M88" s="318"/>
      <c r="N88" s="318"/>
      <c r="O88" s="318"/>
      <c r="P88" s="318"/>
      <c r="Q88" s="319"/>
      <c r="R88" s="318"/>
      <c r="S88" s="318"/>
      <c r="T88" s="318"/>
      <c r="U88" s="318"/>
      <c r="V88" s="319"/>
      <c r="W88" s="320"/>
      <c r="X88" s="321"/>
      <c r="Y88" s="321"/>
      <c r="Z88" s="321"/>
      <c r="AA88" s="322"/>
      <c r="AB88" s="361"/>
      <c r="AC88" s="361"/>
      <c r="AD88" s="361"/>
      <c r="AE88" s="361"/>
      <c r="AF88" s="372"/>
      <c r="AG88" s="324"/>
      <c r="AH88" s="324"/>
      <c r="AI88" s="324"/>
      <c r="AJ88" s="373"/>
      <c r="AK88" s="372"/>
      <c r="AL88" s="373"/>
      <c r="AM88" s="324"/>
      <c r="AN88" s="373"/>
      <c r="AO88" s="373"/>
      <c r="AP88" s="372"/>
      <c r="AQ88" s="374"/>
      <c r="AR88" s="324"/>
      <c r="AS88" s="373"/>
      <c r="AT88" s="373"/>
      <c r="AU88" s="372"/>
      <c r="AV88" s="324"/>
      <c r="AW88" s="373"/>
      <c r="AX88" s="373"/>
      <c r="AY88" s="373"/>
      <c r="AZ88" s="372"/>
      <c r="BA88" s="373"/>
      <c r="BB88" s="373"/>
      <c r="BC88" s="373"/>
      <c r="BD88" s="373"/>
      <c r="BE88" s="375"/>
      <c r="BF88" s="376"/>
      <c r="BG88" s="376"/>
      <c r="BH88" s="376"/>
      <c r="BI88" s="376"/>
      <c r="BJ88" s="377"/>
      <c r="BK88" s="376"/>
      <c r="BL88" s="376"/>
      <c r="BM88" s="376"/>
      <c r="BN88" s="376"/>
      <c r="BO88" s="378">
        <v>0.5</v>
      </c>
      <c r="BP88" s="376"/>
      <c r="BQ88" s="376"/>
      <c r="BR88" s="376"/>
      <c r="BS88" s="376"/>
      <c r="BT88" s="378">
        <v>0.3</v>
      </c>
      <c r="BU88" s="376"/>
      <c r="BV88" s="376"/>
      <c r="BW88" s="376"/>
      <c r="BX88" s="376"/>
      <c r="BY88" s="378">
        <v>0.25</v>
      </c>
      <c r="BZ88" s="376"/>
      <c r="CA88" s="376"/>
      <c r="CB88" s="376"/>
      <c r="CC88" s="376"/>
      <c r="CD88" s="378">
        <v>0.2</v>
      </c>
      <c r="CF88" s="242"/>
    </row>
    <row r="89" spans="1:84" s="355" customFormat="1" ht="13" x14ac:dyDescent="0.15">
      <c r="A89" s="28"/>
      <c r="B89" s="309"/>
      <c r="C89" s="357"/>
      <c r="D89" s="357"/>
      <c r="E89" s="357"/>
      <c r="F89" s="357"/>
      <c r="G89" s="358"/>
      <c r="H89" s="357"/>
      <c r="I89" s="357"/>
      <c r="J89" s="357"/>
      <c r="K89" s="357"/>
      <c r="L89" s="358"/>
      <c r="M89" s="357"/>
      <c r="N89" s="357"/>
      <c r="O89" s="357"/>
      <c r="P89" s="357"/>
      <c r="Q89" s="358"/>
      <c r="R89" s="357"/>
      <c r="S89" s="357"/>
      <c r="T89" s="357"/>
      <c r="U89" s="357"/>
      <c r="V89" s="358"/>
      <c r="W89" s="357"/>
      <c r="X89" s="357"/>
      <c r="Y89" s="357"/>
      <c r="Z89" s="357"/>
      <c r="AA89" s="358"/>
      <c r="AB89" s="310"/>
      <c r="AC89" s="310"/>
      <c r="AD89" s="310"/>
      <c r="AE89" s="310"/>
      <c r="AF89" s="360"/>
      <c r="AK89" s="372"/>
      <c r="AP89" s="360"/>
      <c r="AQ89" s="356"/>
      <c r="AU89" s="311"/>
      <c r="AV89" s="310"/>
      <c r="AZ89" s="311"/>
      <c r="BE89" s="311"/>
      <c r="BF89" s="285"/>
      <c r="BG89" s="285"/>
      <c r="BH89" s="285"/>
      <c r="BI89" s="285"/>
      <c r="BJ89" s="311"/>
      <c r="BK89" s="285"/>
      <c r="BL89" s="285"/>
      <c r="BM89" s="285"/>
      <c r="BN89" s="285"/>
      <c r="BO89" s="311"/>
      <c r="BP89" s="285"/>
      <c r="BQ89" s="285"/>
      <c r="BR89" s="285"/>
      <c r="BS89" s="285"/>
      <c r="BT89" s="311"/>
      <c r="BU89" s="285"/>
      <c r="BV89" s="285"/>
      <c r="BW89" s="285"/>
      <c r="BX89" s="285"/>
      <c r="BY89" s="311"/>
      <c r="BZ89" s="285"/>
      <c r="CA89" s="285"/>
      <c r="CB89" s="285"/>
      <c r="CC89" s="285"/>
      <c r="CD89" s="311"/>
      <c r="CF89" s="359"/>
    </row>
    <row r="90" spans="1:84" s="285" customFormat="1" outlineLevel="1" x14ac:dyDescent="0.15">
      <c r="B90" s="230" t="s">
        <v>164</v>
      </c>
      <c r="C90" s="236"/>
      <c r="D90" s="236"/>
      <c r="E90" s="236"/>
      <c r="F90" s="236"/>
      <c r="G90" s="235"/>
      <c r="H90" s="236"/>
      <c r="I90" s="236"/>
      <c r="J90" s="236"/>
      <c r="K90" s="236"/>
      <c r="L90" s="235"/>
      <c r="M90" s="236"/>
      <c r="N90" s="236"/>
      <c r="O90" s="236"/>
      <c r="P90" s="236"/>
      <c r="Q90" s="235"/>
      <c r="R90" s="236"/>
      <c r="S90" s="236"/>
      <c r="T90" s="236"/>
      <c r="U90" s="236"/>
      <c r="V90" s="235"/>
      <c r="W90" s="236"/>
      <c r="X90" s="236"/>
      <c r="Y90" s="236"/>
      <c r="Z90" s="236"/>
      <c r="AA90" s="235"/>
      <c r="AB90" s="310"/>
      <c r="AC90" s="310"/>
      <c r="AD90" s="310"/>
      <c r="AE90" s="310"/>
      <c r="AF90" s="235"/>
      <c r="AG90" s="236"/>
      <c r="AH90" s="236"/>
      <c r="AI90" s="236"/>
      <c r="AJ90" s="236"/>
      <c r="AK90" s="235"/>
      <c r="AL90" s="288"/>
      <c r="AM90" s="239"/>
      <c r="AN90" s="288"/>
      <c r="AO90" s="240"/>
      <c r="AP90" s="235"/>
      <c r="AQ90" s="289"/>
      <c r="AR90" s="236"/>
      <c r="AS90" s="236"/>
      <c r="AT90" s="236"/>
      <c r="AU90" s="235"/>
      <c r="AV90" s="236"/>
      <c r="AW90" s="236"/>
      <c r="AX90" s="236"/>
      <c r="AY90" s="236"/>
      <c r="AZ90" s="235"/>
      <c r="BA90" s="236"/>
      <c r="BB90" s="236"/>
      <c r="BC90" s="236"/>
      <c r="BD90" s="236"/>
      <c r="BE90" s="235"/>
      <c r="BF90" s="241"/>
      <c r="BG90" s="241"/>
      <c r="BH90" s="241"/>
      <c r="BI90" s="241"/>
      <c r="BJ90" s="235"/>
      <c r="BK90" s="241"/>
      <c r="BL90" s="241"/>
      <c r="BM90" s="241"/>
      <c r="BN90" s="241"/>
      <c r="BO90" s="235"/>
      <c r="BP90" s="241"/>
      <c r="BQ90" s="241"/>
      <c r="BR90" s="241"/>
      <c r="BS90" s="241"/>
      <c r="BT90" s="235"/>
      <c r="BU90" s="241"/>
      <c r="BV90" s="241"/>
      <c r="BW90" s="241"/>
      <c r="BX90" s="241"/>
      <c r="BY90" s="235"/>
      <c r="BZ90" s="241"/>
      <c r="CA90" s="241"/>
      <c r="CB90" s="241"/>
      <c r="CC90" s="241"/>
      <c r="CD90" s="235"/>
      <c r="CF90" s="229"/>
    </row>
    <row r="91" spans="1:84" s="390" customFormat="1" outlineLevel="1" x14ac:dyDescent="0.15">
      <c r="A91" s="8"/>
      <c r="B91" s="381" t="s">
        <v>165</v>
      </c>
      <c r="C91" s="236"/>
      <c r="D91" s="236"/>
      <c r="E91" s="236"/>
      <c r="F91" s="236"/>
      <c r="G91" s="235"/>
      <c r="H91" s="236"/>
      <c r="I91" s="236"/>
      <c r="J91" s="236"/>
      <c r="K91" s="236"/>
      <c r="L91" s="235"/>
      <c r="M91" s="236"/>
      <c r="N91" s="236"/>
      <c r="O91" s="236"/>
      <c r="P91" s="236"/>
      <c r="Q91" s="235"/>
      <c r="R91" s="236"/>
      <c r="S91" s="236"/>
      <c r="T91" s="236"/>
      <c r="U91" s="236"/>
      <c r="V91" s="235"/>
      <c r="W91" s="236"/>
      <c r="X91" s="236"/>
      <c r="Y91" s="236"/>
      <c r="Z91" s="236"/>
      <c r="AA91" s="382"/>
      <c r="AB91" s="310"/>
      <c r="AC91" s="310"/>
      <c r="AD91" s="383"/>
      <c r="AE91" s="383"/>
      <c r="AF91" s="384"/>
      <c r="AG91" s="236"/>
      <c r="AH91" s="385"/>
      <c r="AI91" s="386"/>
      <c r="AJ91" s="386"/>
      <c r="AK91" s="384"/>
      <c r="AL91" s="344"/>
      <c r="AM91" s="236"/>
      <c r="AN91" s="344"/>
      <c r="AO91" s="236"/>
      <c r="AP91" s="384"/>
      <c r="AQ91" s="289"/>
      <c r="AR91" s="236"/>
      <c r="AS91" s="259"/>
      <c r="AT91" s="259"/>
      <c r="AU91" s="384"/>
      <c r="AV91" s="236"/>
      <c r="AW91" s="259"/>
      <c r="AX91" s="259"/>
      <c r="AY91" s="259"/>
      <c r="AZ91" s="387"/>
      <c r="BA91" s="388">
        <v>105</v>
      </c>
      <c r="BB91" s="259">
        <v>120</v>
      </c>
      <c r="BC91" s="259">
        <v>150</v>
      </c>
      <c r="BD91" s="259">
        <v>140</v>
      </c>
      <c r="BE91" s="235">
        <f>SUM(BB91:BD91)</f>
        <v>410</v>
      </c>
      <c r="BF91" s="259">
        <v>150</v>
      </c>
      <c r="BG91" s="259">
        <v>190</v>
      </c>
      <c r="BH91" s="259">
        <v>205</v>
      </c>
      <c r="BI91" s="259">
        <v>220</v>
      </c>
      <c r="BJ91" s="389">
        <f>SUM(BF91:BI91)</f>
        <v>765</v>
      </c>
      <c r="BK91" s="241"/>
      <c r="BL91" s="241"/>
      <c r="BM91" s="241"/>
      <c r="BN91" s="241"/>
      <c r="BO91" s="384">
        <f>BJ91*(1+BO92)</f>
        <v>887.4</v>
      </c>
      <c r="BP91" s="241"/>
      <c r="BQ91" s="241"/>
      <c r="BR91" s="241"/>
      <c r="BS91" s="241"/>
      <c r="BT91" s="384">
        <f>BO91*(1+BT92)</f>
        <v>993.88800000000003</v>
      </c>
      <c r="BU91" s="241"/>
      <c r="BV91" s="241"/>
      <c r="BW91" s="241"/>
      <c r="BX91" s="241"/>
      <c r="BY91" s="384">
        <f>BT91*(1+BY92)</f>
        <v>1093.2768000000001</v>
      </c>
      <c r="BZ91" s="241"/>
      <c r="CA91" s="241"/>
      <c r="CB91" s="241"/>
      <c r="CC91" s="241"/>
      <c r="CD91" s="384">
        <f>BY91*(1+CD92)</f>
        <v>1202.6044800000002</v>
      </c>
      <c r="CE91" s="8"/>
      <c r="CF91" s="242"/>
    </row>
    <row r="92" spans="1:84" s="390" customFormat="1" outlineLevel="1" x14ac:dyDescent="0.15">
      <c r="A92" s="8"/>
      <c r="B92" s="392" t="s">
        <v>126</v>
      </c>
      <c r="C92" s="293"/>
      <c r="D92" s="293"/>
      <c r="E92" s="293"/>
      <c r="F92" s="293"/>
      <c r="G92" s="294"/>
      <c r="H92" s="293"/>
      <c r="I92" s="293"/>
      <c r="J92" s="293"/>
      <c r="K92" s="293"/>
      <c r="L92" s="294"/>
      <c r="M92" s="293"/>
      <c r="N92" s="293"/>
      <c r="O92" s="293"/>
      <c r="P92" s="293"/>
      <c r="Q92" s="294"/>
      <c r="R92" s="293"/>
      <c r="S92" s="293"/>
      <c r="T92" s="293"/>
      <c r="U92" s="293"/>
      <c r="V92" s="294"/>
      <c r="W92" s="247"/>
      <c r="X92" s="247"/>
      <c r="Y92" s="247"/>
      <c r="Z92" s="247"/>
      <c r="AA92" s="251"/>
      <c r="AB92" s="302"/>
      <c r="AC92" s="302"/>
      <c r="AD92" s="302"/>
      <c r="AE92" s="302"/>
      <c r="AF92" s="251"/>
      <c r="AG92" s="247"/>
      <c r="AH92" s="247"/>
      <c r="AI92" s="247"/>
      <c r="AJ92" s="295"/>
      <c r="AK92" s="251"/>
      <c r="AL92" s="295"/>
      <c r="AM92" s="247"/>
      <c r="AN92" s="295"/>
      <c r="AO92" s="295"/>
      <c r="AP92" s="251"/>
      <c r="AQ92" s="347"/>
      <c r="AR92" s="247"/>
      <c r="AS92" s="393"/>
      <c r="AT92" s="393"/>
      <c r="AU92" s="251"/>
      <c r="AV92" s="247"/>
      <c r="AW92" s="393"/>
      <c r="AX92" s="393"/>
      <c r="AY92" s="393"/>
      <c r="AZ92" s="394"/>
      <c r="BA92" s="295"/>
      <c r="BB92" s="393"/>
      <c r="BC92" s="393"/>
      <c r="BD92" s="393"/>
      <c r="BE92" s="395">
        <f>SUM(BA91:BD91)+0.75*320</f>
        <v>755</v>
      </c>
      <c r="BF92" s="393"/>
      <c r="BG92" s="393"/>
      <c r="BH92" s="393"/>
      <c r="BI92" s="393"/>
      <c r="BJ92" s="396">
        <f>BJ91/BE92-1</f>
        <v>1.3245033112582849E-2</v>
      </c>
      <c r="BK92" s="340"/>
      <c r="BL92" s="340"/>
      <c r="BM92" s="340"/>
      <c r="BN92" s="340"/>
      <c r="BO92" s="341">
        <v>0.16</v>
      </c>
      <c r="BP92" s="340"/>
      <c r="BQ92" s="340"/>
      <c r="BR92" s="340"/>
      <c r="BS92" s="340"/>
      <c r="BT92" s="341">
        <v>0.12</v>
      </c>
      <c r="BU92" s="340"/>
      <c r="BV92" s="340"/>
      <c r="BW92" s="340"/>
      <c r="BX92" s="340"/>
      <c r="BY92" s="341">
        <v>0.1</v>
      </c>
      <c r="BZ92" s="340"/>
      <c r="CA92" s="340"/>
      <c r="CB92" s="340"/>
      <c r="CC92" s="340"/>
      <c r="CD92" s="341">
        <v>0.1</v>
      </c>
      <c r="CE92" s="8"/>
      <c r="CF92" s="242"/>
    </row>
    <row r="93" spans="1:84" s="390" customFormat="1" outlineLevel="1" x14ac:dyDescent="0.15">
      <c r="A93" s="8"/>
      <c r="B93" s="381" t="s">
        <v>166</v>
      </c>
      <c r="C93" s="236"/>
      <c r="D93" s="236"/>
      <c r="E93" s="236"/>
      <c r="F93" s="236"/>
      <c r="G93" s="235"/>
      <c r="H93" s="236"/>
      <c r="I93" s="236"/>
      <c r="J93" s="236"/>
      <c r="K93" s="236"/>
      <c r="L93" s="235"/>
      <c r="M93" s="236"/>
      <c r="N93" s="236"/>
      <c r="O93" s="236"/>
      <c r="P93" s="236"/>
      <c r="Q93" s="235"/>
      <c r="R93" s="236"/>
      <c r="S93" s="236"/>
      <c r="T93" s="236"/>
      <c r="U93" s="236"/>
      <c r="V93" s="235"/>
      <c r="W93" s="236"/>
      <c r="X93" s="236"/>
      <c r="Y93" s="236"/>
      <c r="Z93" s="236"/>
      <c r="AA93" s="382"/>
      <c r="AB93" s="310"/>
      <c r="AC93" s="310"/>
      <c r="AD93" s="383"/>
      <c r="AE93" s="383"/>
      <c r="AF93" s="384"/>
      <c r="AG93" s="236"/>
      <c r="AH93" s="385"/>
      <c r="AI93" s="386"/>
      <c r="AJ93" s="386"/>
      <c r="AK93" s="384"/>
      <c r="AL93" s="344"/>
      <c r="AM93" s="236"/>
      <c r="AN93" s="344"/>
      <c r="AO93" s="236"/>
      <c r="AP93" s="384"/>
      <c r="AQ93" s="289"/>
      <c r="AR93" s="236"/>
      <c r="AS93" s="236"/>
      <c r="AT93" s="236"/>
      <c r="AU93" s="384"/>
      <c r="AV93" s="397"/>
      <c r="AW93" s="236"/>
      <c r="AX93" s="236"/>
      <c r="AY93" s="236"/>
      <c r="AZ93" s="387"/>
      <c r="BA93" s="388">
        <v>25</v>
      </c>
      <c r="BB93" s="236">
        <f>BB95-BB91</f>
        <v>28</v>
      </c>
      <c r="BC93" s="236">
        <f>BC95-BC91</f>
        <v>70</v>
      </c>
      <c r="BD93" s="236">
        <f>BD95-BD91</f>
        <v>70</v>
      </c>
      <c r="BE93" s="235">
        <f>SUM(BB93:BD93)</f>
        <v>168</v>
      </c>
      <c r="BF93" s="259">
        <v>75</v>
      </c>
      <c r="BG93" s="259">
        <v>110</v>
      </c>
      <c r="BH93" s="259">
        <v>125</v>
      </c>
      <c r="BI93" s="259">
        <v>140</v>
      </c>
      <c r="BJ93" s="389">
        <f>SUM(BF93:BI93)</f>
        <v>450</v>
      </c>
      <c r="BK93" s="241"/>
      <c r="BL93" s="241"/>
      <c r="BM93" s="241"/>
      <c r="BN93" s="241"/>
      <c r="BO93" s="384">
        <f>BJ93*(1+BO94)</f>
        <v>585</v>
      </c>
      <c r="BP93" s="241"/>
      <c r="BQ93" s="241"/>
      <c r="BR93" s="241"/>
      <c r="BS93" s="241"/>
      <c r="BT93" s="384">
        <f>BO93*(1+BT94)</f>
        <v>690.3</v>
      </c>
      <c r="BU93" s="241"/>
      <c r="BV93" s="241"/>
      <c r="BW93" s="241"/>
      <c r="BX93" s="241"/>
      <c r="BY93" s="384">
        <f>BT93*(1+BY94)</f>
        <v>793.84499999999991</v>
      </c>
      <c r="BZ93" s="241"/>
      <c r="CA93" s="241"/>
      <c r="CB93" s="241"/>
      <c r="CC93" s="241"/>
      <c r="CD93" s="384">
        <f>BY93*(1+CD94)</f>
        <v>897.04484999999977</v>
      </c>
      <c r="CE93" s="8"/>
      <c r="CF93" s="242"/>
    </row>
    <row r="94" spans="1:84" s="390" customFormat="1" outlineLevel="1" x14ac:dyDescent="0.15">
      <c r="A94" s="8"/>
      <c r="B94" s="392" t="s">
        <v>126</v>
      </c>
      <c r="C94" s="293"/>
      <c r="D94" s="293"/>
      <c r="E94" s="293"/>
      <c r="F94" s="293"/>
      <c r="G94" s="294"/>
      <c r="H94" s="293"/>
      <c r="I94" s="293"/>
      <c r="J94" s="293"/>
      <c r="K94" s="293"/>
      <c r="L94" s="294"/>
      <c r="M94" s="293"/>
      <c r="N94" s="293"/>
      <c r="O94" s="293"/>
      <c r="P94" s="293"/>
      <c r="Q94" s="294"/>
      <c r="R94" s="293"/>
      <c r="S94" s="293"/>
      <c r="T94" s="293"/>
      <c r="U94" s="293"/>
      <c r="V94" s="294"/>
      <c r="W94" s="247"/>
      <c r="X94" s="247"/>
      <c r="Y94" s="247"/>
      <c r="Z94" s="247"/>
      <c r="AA94" s="251"/>
      <c r="AB94" s="302"/>
      <c r="AC94" s="302"/>
      <c r="AD94" s="302"/>
      <c r="AE94" s="302"/>
      <c r="AF94" s="251"/>
      <c r="AG94" s="247"/>
      <c r="AH94" s="247"/>
      <c r="AI94" s="247"/>
      <c r="AJ94" s="295"/>
      <c r="AK94" s="251"/>
      <c r="AL94" s="295"/>
      <c r="AM94" s="247"/>
      <c r="AN94" s="295"/>
      <c r="AO94" s="295"/>
      <c r="AP94" s="251"/>
      <c r="AQ94" s="347"/>
      <c r="AR94" s="247"/>
      <c r="AS94" s="393"/>
      <c r="AT94" s="393"/>
      <c r="AU94" s="251"/>
      <c r="AV94" s="247"/>
      <c r="AW94" s="393"/>
      <c r="AX94" s="393"/>
      <c r="AY94" s="393"/>
      <c r="AZ94" s="394"/>
      <c r="BA94" s="295"/>
      <c r="BB94" s="393"/>
      <c r="BC94" s="393"/>
      <c r="BD94" s="393"/>
      <c r="BE94" s="395">
        <f>SUM(BA93:BD93)+0.25*320</f>
        <v>273</v>
      </c>
      <c r="BF94" s="393"/>
      <c r="BG94" s="393"/>
      <c r="BH94" s="393"/>
      <c r="BI94" s="393"/>
      <c r="BJ94" s="396">
        <f>BJ93/BE94-1</f>
        <v>0.64835164835164827</v>
      </c>
      <c r="BK94" s="340"/>
      <c r="BL94" s="340"/>
      <c r="BM94" s="340"/>
      <c r="BN94" s="340"/>
      <c r="BO94" s="341">
        <v>0.3</v>
      </c>
      <c r="BP94" s="340"/>
      <c r="BQ94" s="340"/>
      <c r="BR94" s="340"/>
      <c r="BS94" s="340"/>
      <c r="BT94" s="341">
        <v>0.18</v>
      </c>
      <c r="BU94" s="340"/>
      <c r="BV94" s="340"/>
      <c r="BW94" s="340"/>
      <c r="BX94" s="340"/>
      <c r="BY94" s="341">
        <v>0.15</v>
      </c>
      <c r="BZ94" s="340"/>
      <c r="CA94" s="340"/>
      <c r="CB94" s="340"/>
      <c r="CC94" s="340"/>
      <c r="CD94" s="341">
        <v>0.13</v>
      </c>
      <c r="CE94" s="8"/>
      <c r="CF94" s="242"/>
    </row>
    <row r="95" spans="1:84" s="390" customFormat="1" outlineLevel="1" x14ac:dyDescent="0.15">
      <c r="A95" s="8"/>
      <c r="B95" s="398" t="s">
        <v>167</v>
      </c>
      <c r="C95" s="399"/>
      <c r="D95" s="399"/>
      <c r="E95" s="399"/>
      <c r="F95" s="399"/>
      <c r="G95" s="400"/>
      <c r="H95" s="399"/>
      <c r="I95" s="399"/>
      <c r="J95" s="399"/>
      <c r="K95" s="399"/>
      <c r="L95" s="400"/>
      <c r="M95" s="399"/>
      <c r="N95" s="399"/>
      <c r="O95" s="399"/>
      <c r="P95" s="399"/>
      <c r="Q95" s="400"/>
      <c r="R95" s="399"/>
      <c r="S95" s="399"/>
      <c r="T95" s="399"/>
      <c r="U95" s="399"/>
      <c r="V95" s="400"/>
      <c r="W95" s="399"/>
      <c r="X95" s="399"/>
      <c r="Y95" s="399"/>
      <c r="Z95" s="399"/>
      <c r="AA95" s="401"/>
      <c r="AB95" s="367"/>
      <c r="AC95" s="367"/>
      <c r="AD95" s="402"/>
      <c r="AE95" s="402"/>
      <c r="AF95" s="403"/>
      <c r="AG95" s="399"/>
      <c r="AH95" s="404"/>
      <c r="AI95" s="405"/>
      <c r="AJ95" s="405"/>
      <c r="AK95" s="403"/>
      <c r="AL95" s="406"/>
      <c r="AM95" s="399"/>
      <c r="AN95" s="406"/>
      <c r="AO95" s="399"/>
      <c r="AP95" s="403"/>
      <c r="AQ95" s="407"/>
      <c r="AR95" s="399"/>
      <c r="AS95" s="399"/>
      <c r="AT95" s="399"/>
      <c r="AU95" s="403"/>
      <c r="AV95" s="399"/>
      <c r="AW95" s="399"/>
      <c r="AX95" s="399"/>
      <c r="AY95" s="399"/>
      <c r="AZ95" s="408"/>
      <c r="BA95" s="409">
        <f>SUM(BA91,BA93)</f>
        <v>130</v>
      </c>
      <c r="BB95" s="399">
        <v>148</v>
      </c>
      <c r="BC95" s="399">
        <v>220</v>
      </c>
      <c r="BD95" s="399">
        <v>210</v>
      </c>
      <c r="BE95" s="400">
        <f>SUM(BB95:BD95)</f>
        <v>578</v>
      </c>
      <c r="BF95" s="399">
        <f>SUM(BF91,BF93)</f>
        <v>225</v>
      </c>
      <c r="BG95" s="399">
        <f>SUM(BG91,BG93)</f>
        <v>300</v>
      </c>
      <c r="BH95" s="399">
        <f>SUM(BH91,BH93)</f>
        <v>330</v>
      </c>
      <c r="BI95" s="399">
        <f>SUM(BI91,BI93)</f>
        <v>360</v>
      </c>
      <c r="BJ95" s="403">
        <f>SUM(BF95:BI95)</f>
        <v>1215</v>
      </c>
      <c r="BK95" s="410">
        <f t="shared" ref="BK95:CD95" si="50">SUM(BK91,BK93)</f>
        <v>0</v>
      </c>
      <c r="BL95" s="410">
        <f t="shared" si="50"/>
        <v>0</v>
      </c>
      <c r="BM95" s="410">
        <f t="shared" si="50"/>
        <v>0</v>
      </c>
      <c r="BN95" s="410">
        <f t="shared" si="50"/>
        <v>0</v>
      </c>
      <c r="BO95" s="403">
        <f t="shared" si="50"/>
        <v>1472.4</v>
      </c>
      <c r="BP95" s="410">
        <f t="shared" si="50"/>
        <v>0</v>
      </c>
      <c r="BQ95" s="410">
        <f t="shared" si="50"/>
        <v>0</v>
      </c>
      <c r="BR95" s="410">
        <f t="shared" si="50"/>
        <v>0</v>
      </c>
      <c r="BS95" s="410">
        <f t="shared" si="50"/>
        <v>0</v>
      </c>
      <c r="BT95" s="403">
        <f t="shared" si="50"/>
        <v>1684.1880000000001</v>
      </c>
      <c r="BU95" s="410">
        <f t="shared" si="50"/>
        <v>0</v>
      </c>
      <c r="BV95" s="410">
        <f t="shared" si="50"/>
        <v>0</v>
      </c>
      <c r="BW95" s="410">
        <f t="shared" si="50"/>
        <v>0</v>
      </c>
      <c r="BX95" s="410">
        <f t="shared" si="50"/>
        <v>0</v>
      </c>
      <c r="BY95" s="403">
        <f t="shared" si="50"/>
        <v>1887.1217999999999</v>
      </c>
      <c r="BZ95" s="410">
        <f t="shared" si="50"/>
        <v>0</v>
      </c>
      <c r="CA95" s="410">
        <f t="shared" si="50"/>
        <v>0</v>
      </c>
      <c r="CB95" s="410">
        <f t="shared" si="50"/>
        <v>0</v>
      </c>
      <c r="CC95" s="410">
        <f t="shared" si="50"/>
        <v>0</v>
      </c>
      <c r="CD95" s="403">
        <f t="shared" si="50"/>
        <v>2099.6493300000002</v>
      </c>
      <c r="CE95" s="8"/>
      <c r="CF95" s="242"/>
    </row>
    <row r="96" spans="1:84" s="390" customFormat="1" outlineLevel="1" x14ac:dyDescent="0.15">
      <c r="A96" s="8"/>
      <c r="B96" s="245" t="s">
        <v>126</v>
      </c>
      <c r="C96" s="293"/>
      <c r="D96" s="293"/>
      <c r="E96" s="293"/>
      <c r="F96" s="293"/>
      <c r="G96" s="294"/>
      <c r="H96" s="293"/>
      <c r="I96" s="293"/>
      <c r="J96" s="293"/>
      <c r="K96" s="293"/>
      <c r="L96" s="294"/>
      <c r="M96" s="293"/>
      <c r="N96" s="293"/>
      <c r="O96" s="293"/>
      <c r="P96" s="293"/>
      <c r="Q96" s="294"/>
      <c r="R96" s="293"/>
      <c r="S96" s="293"/>
      <c r="T96" s="293"/>
      <c r="U96" s="293"/>
      <c r="V96" s="294"/>
      <c r="W96" s="247"/>
      <c r="X96" s="247"/>
      <c r="Y96" s="247"/>
      <c r="Z96" s="247"/>
      <c r="AA96" s="251"/>
      <c r="AB96" s="302"/>
      <c r="AC96" s="302"/>
      <c r="AD96" s="302"/>
      <c r="AE96" s="302"/>
      <c r="AF96" s="251"/>
      <c r="AG96" s="247"/>
      <c r="AH96" s="247"/>
      <c r="AI96" s="247"/>
      <c r="AJ96" s="295"/>
      <c r="AK96" s="251"/>
      <c r="AL96" s="295"/>
      <c r="AM96" s="247"/>
      <c r="AN96" s="295"/>
      <c r="AO96" s="295"/>
      <c r="AP96" s="251"/>
      <c r="AQ96" s="347"/>
      <c r="AR96" s="247"/>
      <c r="AS96" s="259"/>
      <c r="AT96" s="259"/>
      <c r="AU96" s="251"/>
      <c r="AV96" s="247"/>
      <c r="AW96" s="259"/>
      <c r="AX96" s="259"/>
      <c r="AY96" s="259"/>
      <c r="AZ96" s="394"/>
      <c r="BA96" s="295"/>
      <c r="BB96" s="259"/>
      <c r="BC96" s="411"/>
      <c r="BD96" s="259"/>
      <c r="BE96" s="412"/>
      <c r="BF96" s="259"/>
      <c r="BG96" s="259"/>
      <c r="BH96" s="259"/>
      <c r="BI96" s="259"/>
      <c r="BJ96" s="396">
        <f>BJ95/900-1</f>
        <v>0.35000000000000009</v>
      </c>
      <c r="BK96" s="340"/>
      <c r="BL96" s="340"/>
      <c r="BM96" s="340"/>
      <c r="BN96" s="340"/>
      <c r="BO96" s="251">
        <f>BO95/BJ95-1</f>
        <v>0.21185185185185196</v>
      </c>
      <c r="BP96" s="340"/>
      <c r="BQ96" s="340"/>
      <c r="BR96" s="340"/>
      <c r="BS96" s="340"/>
      <c r="BT96" s="251">
        <f>BT95/BO95-1</f>
        <v>0.143838630806846</v>
      </c>
      <c r="BU96" s="340"/>
      <c r="BV96" s="340"/>
      <c r="BW96" s="340"/>
      <c r="BX96" s="340"/>
      <c r="BY96" s="251">
        <f>BY95/BT95-1</f>
        <v>0.12049355535130268</v>
      </c>
      <c r="BZ96" s="340"/>
      <c r="CA96" s="340"/>
      <c r="CB96" s="340"/>
      <c r="CC96" s="340"/>
      <c r="CD96" s="251">
        <f>CD95/BY95-1</f>
        <v>0.11261993264027814</v>
      </c>
      <c r="CE96" s="8"/>
      <c r="CF96" s="242"/>
    </row>
    <row r="97" spans="1:84" s="390" customFormat="1" outlineLevel="1" x14ac:dyDescent="0.15">
      <c r="A97" s="8"/>
      <c r="B97" s="238" t="s">
        <v>168</v>
      </c>
      <c r="C97" s="413"/>
      <c r="D97" s="413"/>
      <c r="E97" s="413"/>
      <c r="F97" s="413"/>
      <c r="G97" s="414"/>
      <c r="H97" s="413"/>
      <c r="I97" s="413"/>
      <c r="J97" s="413"/>
      <c r="K97" s="413"/>
      <c r="L97" s="414"/>
      <c r="M97" s="413"/>
      <c r="N97" s="413"/>
      <c r="O97" s="413"/>
      <c r="P97" s="413"/>
      <c r="Q97" s="414"/>
      <c r="R97" s="413"/>
      <c r="S97" s="413"/>
      <c r="T97" s="413"/>
      <c r="U97" s="413"/>
      <c r="V97" s="414"/>
      <c r="W97" s="415"/>
      <c r="X97" s="415"/>
      <c r="Y97" s="415"/>
      <c r="Z97" s="415"/>
      <c r="AA97" s="416"/>
      <c r="AB97" s="417"/>
      <c r="AC97" s="417"/>
      <c r="AD97" s="417"/>
      <c r="AE97" s="417"/>
      <c r="AF97" s="416"/>
      <c r="AG97" s="415"/>
      <c r="AH97" s="415"/>
      <c r="AI97" s="415"/>
      <c r="AJ97" s="418"/>
      <c r="AK97" s="416"/>
      <c r="AL97" s="406"/>
      <c r="AM97" s="399"/>
      <c r="AN97" s="406"/>
      <c r="AO97" s="399"/>
      <c r="AP97" s="403"/>
      <c r="AQ97" s="419"/>
      <c r="AR97" s="399"/>
      <c r="AS97" s="236"/>
      <c r="AT97" s="236"/>
      <c r="AU97" s="403"/>
      <c r="AV97" s="406"/>
      <c r="AW97" s="236"/>
      <c r="AX97" s="236"/>
      <c r="AY97" s="236"/>
      <c r="AZ97" s="420"/>
      <c r="BA97" s="388">
        <v>35</v>
      </c>
      <c r="BB97" s="236">
        <v>26</v>
      </c>
      <c r="BC97" s="236">
        <v>53</v>
      </c>
      <c r="BD97" s="236">
        <v>86</v>
      </c>
      <c r="BE97" s="384">
        <f>SUM(BB97:BD97)</f>
        <v>165</v>
      </c>
      <c r="BF97" s="259">
        <v>20</v>
      </c>
      <c r="BG97" s="259">
        <v>5</v>
      </c>
      <c r="BH97" s="259">
        <v>5</v>
      </c>
      <c r="BI97" s="259">
        <v>5</v>
      </c>
      <c r="BJ97" s="389">
        <f>SUM(BF97:BI97)</f>
        <v>35</v>
      </c>
      <c r="BK97" s="241"/>
      <c r="BL97" s="241"/>
      <c r="BM97" s="241"/>
      <c r="BN97" s="241"/>
      <c r="BO97" s="384">
        <f>BJ97*(1+BO98)</f>
        <v>24.5</v>
      </c>
      <c r="BP97" s="241"/>
      <c r="BQ97" s="241"/>
      <c r="BR97" s="241"/>
      <c r="BS97" s="241"/>
      <c r="BT97" s="384">
        <f>BO97*(1+BT98)</f>
        <v>18.375</v>
      </c>
      <c r="BU97" s="241"/>
      <c r="BV97" s="241"/>
      <c r="BW97" s="241"/>
      <c r="BX97" s="241"/>
      <c r="BY97" s="384">
        <f>BT97*(1+BY98)</f>
        <v>13.78125</v>
      </c>
      <c r="BZ97" s="241"/>
      <c r="CA97" s="241"/>
      <c r="CB97" s="241"/>
      <c r="CC97" s="241"/>
      <c r="CD97" s="384">
        <f>BY97*(1+CD98)</f>
        <v>10.3359375</v>
      </c>
      <c r="CE97" s="8"/>
      <c r="CF97" s="242"/>
    </row>
    <row r="98" spans="1:84" s="390" customFormat="1" outlineLevel="1" x14ac:dyDescent="0.15">
      <c r="A98" s="8"/>
      <c r="B98" s="245" t="s">
        <v>126</v>
      </c>
      <c r="C98" s="293"/>
      <c r="D98" s="293"/>
      <c r="E98" s="293"/>
      <c r="F98" s="293"/>
      <c r="G98" s="294"/>
      <c r="H98" s="293"/>
      <c r="I98" s="293"/>
      <c r="J98" s="293"/>
      <c r="K98" s="293"/>
      <c r="L98" s="294"/>
      <c r="M98" s="293"/>
      <c r="N98" s="293"/>
      <c r="O98" s="293"/>
      <c r="P98" s="293"/>
      <c r="Q98" s="294"/>
      <c r="R98" s="293"/>
      <c r="S98" s="293"/>
      <c r="T98" s="293"/>
      <c r="U98" s="293"/>
      <c r="V98" s="294"/>
      <c r="W98" s="247"/>
      <c r="X98" s="247"/>
      <c r="Y98" s="247"/>
      <c r="Z98" s="247"/>
      <c r="AA98" s="251"/>
      <c r="AB98" s="302"/>
      <c r="AC98" s="302"/>
      <c r="AD98" s="302"/>
      <c r="AE98" s="302"/>
      <c r="AF98" s="251"/>
      <c r="AG98" s="247"/>
      <c r="AH98" s="247"/>
      <c r="AI98" s="247"/>
      <c r="AJ98" s="295"/>
      <c r="AK98" s="251"/>
      <c r="AL98" s="293"/>
      <c r="AM98" s="247"/>
      <c r="AN98" s="295"/>
      <c r="AO98" s="295"/>
      <c r="AP98" s="251"/>
      <c r="AQ98" s="347"/>
      <c r="AR98" s="247"/>
      <c r="AS98" s="259"/>
      <c r="AT98" s="259"/>
      <c r="AU98" s="251"/>
      <c r="AV98" s="293"/>
      <c r="AW98" s="259"/>
      <c r="AX98" s="259"/>
      <c r="AY98" s="259"/>
      <c r="AZ98" s="394"/>
      <c r="BA98" s="421"/>
      <c r="BB98" s="259"/>
      <c r="BC98" s="259"/>
      <c r="BD98" s="259"/>
      <c r="BE98" s="251"/>
      <c r="BF98" s="259"/>
      <c r="BG98" s="259"/>
      <c r="BH98" s="259"/>
      <c r="BI98" s="259"/>
      <c r="BJ98" s="396">
        <f>BJ97/200-1</f>
        <v>-0.82499999999999996</v>
      </c>
      <c r="BK98" s="340"/>
      <c r="BL98" s="340"/>
      <c r="BM98" s="340"/>
      <c r="BN98" s="340"/>
      <c r="BO98" s="341">
        <v>-0.3</v>
      </c>
      <c r="BP98" s="340"/>
      <c r="BQ98" s="340"/>
      <c r="BR98" s="340"/>
      <c r="BS98" s="340"/>
      <c r="BT98" s="341">
        <v>-0.25</v>
      </c>
      <c r="BU98" s="340"/>
      <c r="BV98" s="340"/>
      <c r="BW98" s="340"/>
      <c r="BX98" s="340"/>
      <c r="BY98" s="341">
        <v>-0.25</v>
      </c>
      <c r="BZ98" s="340"/>
      <c r="CA98" s="340"/>
      <c r="CB98" s="340"/>
      <c r="CC98" s="340"/>
      <c r="CD98" s="341">
        <v>-0.25</v>
      </c>
      <c r="CE98" s="8"/>
      <c r="CF98" s="242"/>
    </row>
    <row r="99" spans="1:84" s="390" customFormat="1" outlineLevel="1" x14ac:dyDescent="0.15">
      <c r="A99" s="8"/>
      <c r="B99" s="238" t="s">
        <v>169</v>
      </c>
      <c r="C99" s="413"/>
      <c r="D99" s="413"/>
      <c r="E99" s="413"/>
      <c r="F99" s="413"/>
      <c r="G99" s="414"/>
      <c r="H99" s="413"/>
      <c r="I99" s="413"/>
      <c r="J99" s="413"/>
      <c r="K99" s="413"/>
      <c r="L99" s="414"/>
      <c r="M99" s="413"/>
      <c r="N99" s="413"/>
      <c r="O99" s="413"/>
      <c r="P99" s="413"/>
      <c r="Q99" s="414"/>
      <c r="R99" s="413"/>
      <c r="S99" s="413"/>
      <c r="T99" s="413"/>
      <c r="U99" s="413"/>
      <c r="V99" s="414"/>
      <c r="W99" s="415"/>
      <c r="X99" s="415"/>
      <c r="Y99" s="415"/>
      <c r="Z99" s="415"/>
      <c r="AA99" s="416"/>
      <c r="AB99" s="417"/>
      <c r="AC99" s="417"/>
      <c r="AD99" s="417"/>
      <c r="AE99" s="417"/>
      <c r="AF99" s="416"/>
      <c r="AG99" s="415"/>
      <c r="AH99" s="415"/>
      <c r="AI99" s="415"/>
      <c r="AJ99" s="418"/>
      <c r="AK99" s="416"/>
      <c r="AL99" s="406"/>
      <c r="AM99" s="399"/>
      <c r="AN99" s="406"/>
      <c r="AO99" s="399"/>
      <c r="AP99" s="403"/>
      <c r="AQ99" s="419"/>
      <c r="AR99" s="399"/>
      <c r="AS99" s="236"/>
      <c r="AT99" s="236"/>
      <c r="AU99" s="403"/>
      <c r="AV99" s="406"/>
      <c r="AW99" s="236"/>
      <c r="AX99" s="236"/>
      <c r="AY99" s="236"/>
      <c r="AZ99" s="420"/>
      <c r="BA99" s="388">
        <v>20</v>
      </c>
      <c r="BB99" s="236">
        <v>31</v>
      </c>
      <c r="BC99" s="236">
        <v>35</v>
      </c>
      <c r="BD99" s="236">
        <v>31</v>
      </c>
      <c r="BE99" s="384">
        <f>SUM(BB99:BD99)</f>
        <v>97</v>
      </c>
      <c r="BF99" s="259">
        <v>30</v>
      </c>
      <c r="BG99" s="259">
        <v>35</v>
      </c>
      <c r="BH99" s="259">
        <v>37</v>
      </c>
      <c r="BI99" s="259">
        <v>40</v>
      </c>
      <c r="BJ99" s="389">
        <f>SUM(BF99:BI99)</f>
        <v>142</v>
      </c>
      <c r="BK99" s="241"/>
      <c r="BL99" s="241"/>
      <c r="BM99" s="241"/>
      <c r="BN99" s="241"/>
      <c r="BO99" s="384">
        <f>BJ99*(1+BO100)</f>
        <v>164.72</v>
      </c>
      <c r="BP99" s="241"/>
      <c r="BQ99" s="241"/>
      <c r="BR99" s="241"/>
      <c r="BS99" s="241"/>
      <c r="BT99" s="384">
        <f>BO99*(1+BT100)</f>
        <v>181.19200000000001</v>
      </c>
      <c r="BU99" s="241"/>
      <c r="BV99" s="241"/>
      <c r="BW99" s="241"/>
      <c r="BX99" s="241"/>
      <c r="BY99" s="384">
        <f>BT99*(1+BY100)</f>
        <v>195.68736000000001</v>
      </c>
      <c r="BZ99" s="241"/>
      <c r="CA99" s="241"/>
      <c r="CB99" s="241"/>
      <c r="CC99" s="241"/>
      <c r="CD99" s="384">
        <f>BY99*(1+CD100)</f>
        <v>211.34234880000002</v>
      </c>
      <c r="CE99" s="8"/>
      <c r="CF99" s="242"/>
    </row>
    <row r="100" spans="1:84" s="390" customFormat="1" outlineLevel="1" x14ac:dyDescent="0.15">
      <c r="A100" s="8"/>
      <c r="B100" s="245" t="s">
        <v>126</v>
      </c>
      <c r="C100" s="293"/>
      <c r="D100" s="293"/>
      <c r="E100" s="293"/>
      <c r="F100" s="293"/>
      <c r="G100" s="294"/>
      <c r="H100" s="293"/>
      <c r="I100" s="293"/>
      <c r="J100" s="293"/>
      <c r="K100" s="293"/>
      <c r="L100" s="294"/>
      <c r="M100" s="293"/>
      <c r="N100" s="293"/>
      <c r="O100" s="293"/>
      <c r="P100" s="293"/>
      <c r="Q100" s="294"/>
      <c r="R100" s="293"/>
      <c r="S100" s="293"/>
      <c r="T100" s="293"/>
      <c r="U100" s="293"/>
      <c r="V100" s="294"/>
      <c r="W100" s="247"/>
      <c r="X100" s="247"/>
      <c r="Y100" s="247"/>
      <c r="Z100" s="247"/>
      <c r="AA100" s="251"/>
      <c r="AB100" s="302"/>
      <c r="AC100" s="302"/>
      <c r="AD100" s="302"/>
      <c r="AE100" s="302"/>
      <c r="AF100" s="251"/>
      <c r="AG100" s="247"/>
      <c r="AH100" s="247"/>
      <c r="AI100" s="247"/>
      <c r="AJ100" s="295"/>
      <c r="AK100" s="251"/>
      <c r="AL100" s="293"/>
      <c r="AM100" s="247"/>
      <c r="AN100" s="295"/>
      <c r="AO100" s="295"/>
      <c r="AP100" s="251"/>
      <c r="AQ100" s="347"/>
      <c r="AR100" s="247"/>
      <c r="AS100" s="259"/>
      <c r="AT100" s="259"/>
      <c r="AU100" s="251"/>
      <c r="AV100" s="293"/>
      <c r="AW100" s="259"/>
      <c r="AX100" s="259"/>
      <c r="AY100" s="259"/>
      <c r="AZ100" s="394"/>
      <c r="BA100" s="421"/>
      <c r="BB100" s="259"/>
      <c r="BC100" s="259"/>
      <c r="BD100" s="393"/>
      <c r="BE100" s="251"/>
      <c r="BF100" s="393"/>
      <c r="BG100" s="393"/>
      <c r="BH100" s="393"/>
      <c r="BI100" s="259"/>
      <c r="BJ100" s="396">
        <f>BJ99/150-1</f>
        <v>-5.3333333333333344E-2</v>
      </c>
      <c r="BK100" s="340"/>
      <c r="BL100" s="340"/>
      <c r="BM100" s="340"/>
      <c r="BN100" s="340"/>
      <c r="BO100" s="341">
        <v>0.16</v>
      </c>
      <c r="BP100" s="340"/>
      <c r="BQ100" s="340"/>
      <c r="BR100" s="340"/>
      <c r="BS100" s="340"/>
      <c r="BT100" s="341">
        <v>0.1</v>
      </c>
      <c r="BU100" s="340"/>
      <c r="BV100" s="340"/>
      <c r="BW100" s="340"/>
      <c r="BX100" s="340"/>
      <c r="BY100" s="341">
        <v>0.08</v>
      </c>
      <c r="BZ100" s="340"/>
      <c r="CA100" s="340"/>
      <c r="CB100" s="340"/>
      <c r="CC100" s="340"/>
      <c r="CD100" s="341">
        <v>0.08</v>
      </c>
      <c r="CE100" s="8"/>
      <c r="CF100" s="242"/>
    </row>
    <row r="101" spans="1:84" s="390" customFormat="1" outlineLevel="1" x14ac:dyDescent="0.15">
      <c r="A101" s="8"/>
      <c r="B101" s="381" t="s">
        <v>170</v>
      </c>
      <c r="C101" s="236"/>
      <c r="D101" s="236"/>
      <c r="E101" s="236"/>
      <c r="F101" s="236"/>
      <c r="G101" s="235"/>
      <c r="H101" s="236"/>
      <c r="I101" s="236"/>
      <c r="J101" s="236"/>
      <c r="K101" s="236"/>
      <c r="L101" s="235"/>
      <c r="M101" s="236"/>
      <c r="N101" s="236"/>
      <c r="O101" s="236"/>
      <c r="P101" s="236"/>
      <c r="Q101" s="235"/>
      <c r="R101" s="236"/>
      <c r="S101" s="236"/>
      <c r="T101" s="236"/>
      <c r="U101" s="236"/>
      <c r="V101" s="235"/>
      <c r="W101" s="236"/>
      <c r="X101" s="236"/>
      <c r="Y101" s="236"/>
      <c r="Z101" s="236"/>
      <c r="AA101" s="235"/>
      <c r="AB101" s="310"/>
      <c r="AC101" s="310"/>
      <c r="AD101" s="383"/>
      <c r="AE101" s="383"/>
      <c r="AF101" s="384"/>
      <c r="AG101" s="236"/>
      <c r="AH101" s="385"/>
      <c r="AI101" s="386"/>
      <c r="AJ101" s="386"/>
      <c r="AK101" s="384"/>
      <c r="AL101" s="344"/>
      <c r="AM101" s="236"/>
      <c r="AN101" s="344"/>
      <c r="AO101" s="236"/>
      <c r="AP101" s="384"/>
      <c r="AQ101" s="289"/>
      <c r="AR101" s="259"/>
      <c r="AS101" s="259"/>
      <c r="AT101" s="259"/>
      <c r="AU101" s="384"/>
      <c r="AV101" s="259"/>
      <c r="AW101" s="259"/>
      <c r="AX101" s="259"/>
      <c r="AY101" s="259"/>
      <c r="AZ101" s="420"/>
      <c r="BA101" s="388">
        <v>25</v>
      </c>
      <c r="BB101" s="236">
        <v>24</v>
      </c>
      <c r="BC101" s="236">
        <v>46</v>
      </c>
      <c r="BD101" s="236">
        <v>39</v>
      </c>
      <c r="BE101" s="235">
        <f>SUM(BB101:BD101)</f>
        <v>109</v>
      </c>
      <c r="BF101" s="259">
        <v>40</v>
      </c>
      <c r="BG101" s="259">
        <v>45</v>
      </c>
      <c r="BH101" s="259">
        <v>50</v>
      </c>
      <c r="BI101" s="259">
        <v>50</v>
      </c>
      <c r="BJ101" s="389">
        <f>SUM(BF101:BI101)</f>
        <v>185</v>
      </c>
      <c r="BK101" s="241"/>
      <c r="BL101" s="241"/>
      <c r="BM101" s="241"/>
      <c r="BN101" s="241"/>
      <c r="BO101" s="384">
        <f>BJ101*(1+BO102)</f>
        <v>212.74999999999997</v>
      </c>
      <c r="BP101" s="241"/>
      <c r="BQ101" s="241"/>
      <c r="BR101" s="241"/>
      <c r="BS101" s="241"/>
      <c r="BT101" s="384">
        <f>BO101*(1+BT102)</f>
        <v>244.66249999999994</v>
      </c>
      <c r="BU101" s="241"/>
      <c r="BV101" s="241"/>
      <c r="BW101" s="241"/>
      <c r="BX101" s="241"/>
      <c r="BY101" s="384">
        <f>BT101*(1+BY102)</f>
        <v>269.12874999999997</v>
      </c>
      <c r="BZ101" s="241"/>
      <c r="CA101" s="241"/>
      <c r="CB101" s="241"/>
      <c r="CC101" s="241"/>
      <c r="CD101" s="384">
        <f>BY101*(1+CD102)</f>
        <v>134.56437499999998</v>
      </c>
      <c r="CE101" s="8"/>
      <c r="CF101" s="242"/>
    </row>
    <row r="102" spans="1:84" s="390" customFormat="1" outlineLevel="1" x14ac:dyDescent="0.15">
      <c r="A102" s="8"/>
      <c r="B102" s="392" t="s">
        <v>126</v>
      </c>
      <c r="C102" s="293"/>
      <c r="D102" s="293"/>
      <c r="E102" s="293"/>
      <c r="F102" s="293"/>
      <c r="G102" s="294"/>
      <c r="H102" s="293"/>
      <c r="I102" s="293"/>
      <c r="J102" s="293"/>
      <c r="K102" s="293"/>
      <c r="L102" s="294"/>
      <c r="M102" s="293"/>
      <c r="N102" s="293"/>
      <c r="O102" s="293"/>
      <c r="P102" s="293"/>
      <c r="Q102" s="294"/>
      <c r="R102" s="293"/>
      <c r="S102" s="293"/>
      <c r="T102" s="293"/>
      <c r="U102" s="293"/>
      <c r="V102" s="294"/>
      <c r="W102" s="247"/>
      <c r="X102" s="247"/>
      <c r="Y102" s="247"/>
      <c r="Z102" s="247"/>
      <c r="AA102" s="251"/>
      <c r="AB102" s="302"/>
      <c r="AC102" s="302"/>
      <c r="AD102" s="302"/>
      <c r="AE102" s="302"/>
      <c r="AF102" s="251"/>
      <c r="AG102" s="247"/>
      <c r="AH102" s="247"/>
      <c r="AI102" s="247"/>
      <c r="AJ102" s="295"/>
      <c r="AK102" s="251"/>
      <c r="AL102" s="295"/>
      <c r="AM102" s="247"/>
      <c r="AN102" s="295"/>
      <c r="AO102" s="295"/>
      <c r="AP102" s="251"/>
      <c r="AQ102" s="347"/>
      <c r="AR102" s="247"/>
      <c r="AS102" s="259"/>
      <c r="AT102" s="259"/>
      <c r="AU102" s="251"/>
      <c r="AV102" s="293"/>
      <c r="AW102" s="259"/>
      <c r="AX102" s="259"/>
      <c r="AY102" s="259"/>
      <c r="AZ102" s="422"/>
      <c r="BA102" s="421"/>
      <c r="BB102" s="259"/>
      <c r="BC102" s="259"/>
      <c r="BD102" s="423"/>
      <c r="BE102" s="251"/>
      <c r="BF102" s="423"/>
      <c r="BG102" s="423"/>
      <c r="BH102" s="423"/>
      <c r="BI102" s="423"/>
      <c r="BJ102" s="396">
        <f>BJ101/195-1</f>
        <v>-5.1282051282051322E-2</v>
      </c>
      <c r="BK102" s="340"/>
      <c r="BL102" s="340"/>
      <c r="BM102" s="340"/>
      <c r="BN102" s="340"/>
      <c r="BO102" s="341">
        <v>0.15</v>
      </c>
      <c r="BP102" s="340"/>
      <c r="BQ102" s="340"/>
      <c r="BR102" s="340"/>
      <c r="BS102" s="340"/>
      <c r="BT102" s="341">
        <v>0.15</v>
      </c>
      <c r="BU102" s="340"/>
      <c r="BV102" s="340"/>
      <c r="BW102" s="340"/>
      <c r="BX102" s="340"/>
      <c r="BY102" s="341">
        <v>0.1</v>
      </c>
      <c r="BZ102" s="340"/>
      <c r="CA102" s="340"/>
      <c r="CB102" s="340"/>
      <c r="CC102" s="340"/>
      <c r="CD102" s="341">
        <v>-0.5</v>
      </c>
      <c r="CE102" s="8"/>
      <c r="CF102" s="242"/>
    </row>
    <row r="103" spans="1:84" s="390" customFormat="1" outlineLevel="1" x14ac:dyDescent="0.15">
      <c r="A103" s="8"/>
      <c r="B103" s="381" t="s">
        <v>171</v>
      </c>
      <c r="C103" s="236"/>
      <c r="D103" s="236"/>
      <c r="E103" s="236"/>
      <c r="F103" s="236"/>
      <c r="G103" s="235"/>
      <c r="H103" s="236"/>
      <c r="I103" s="236"/>
      <c r="J103" s="236"/>
      <c r="K103" s="236"/>
      <c r="L103" s="235"/>
      <c r="M103" s="236"/>
      <c r="N103" s="236"/>
      <c r="O103" s="236"/>
      <c r="P103" s="236"/>
      <c r="Q103" s="235"/>
      <c r="R103" s="236"/>
      <c r="S103" s="236"/>
      <c r="T103" s="236"/>
      <c r="U103" s="236"/>
      <c r="V103" s="235"/>
      <c r="W103" s="236"/>
      <c r="X103" s="236"/>
      <c r="Y103" s="236"/>
      <c r="Z103" s="236"/>
      <c r="AA103" s="235"/>
      <c r="AB103" s="310"/>
      <c r="AC103" s="310"/>
      <c r="AD103" s="383"/>
      <c r="AE103" s="383"/>
      <c r="AF103" s="384"/>
      <c r="AG103" s="236"/>
      <c r="AH103" s="385"/>
      <c r="AI103" s="386"/>
      <c r="AJ103" s="386"/>
      <c r="AK103" s="384"/>
      <c r="AL103" s="344"/>
      <c r="AM103" s="236"/>
      <c r="AN103" s="344"/>
      <c r="AO103" s="236"/>
      <c r="AP103" s="384"/>
      <c r="AQ103" s="289"/>
      <c r="AR103" s="259"/>
      <c r="AS103" s="259"/>
      <c r="AT103" s="259"/>
      <c r="AU103" s="384"/>
      <c r="AV103" s="259"/>
      <c r="AW103" s="259"/>
      <c r="AX103" s="259"/>
      <c r="AY103" s="259"/>
      <c r="AZ103" s="420"/>
      <c r="BA103" s="388"/>
      <c r="BB103" s="259"/>
      <c r="BC103" s="259"/>
      <c r="BD103" s="259">
        <v>10</v>
      </c>
      <c r="BE103" s="235">
        <f>SUM(BB103:BD103)</f>
        <v>10</v>
      </c>
      <c r="BF103" s="259">
        <v>5</v>
      </c>
      <c r="BG103" s="259">
        <v>5</v>
      </c>
      <c r="BH103" s="259">
        <v>8</v>
      </c>
      <c r="BI103" s="259">
        <v>10</v>
      </c>
      <c r="BJ103" s="389">
        <f>SUM(BF103:BI103)</f>
        <v>28</v>
      </c>
      <c r="BK103" s="241"/>
      <c r="BL103" s="241"/>
      <c r="BM103" s="241"/>
      <c r="BN103" s="241"/>
      <c r="BO103" s="384">
        <f>BJ103*(1+BO104)</f>
        <v>36.4</v>
      </c>
      <c r="BP103" s="241"/>
      <c r="BQ103" s="241"/>
      <c r="BR103" s="241"/>
      <c r="BS103" s="241"/>
      <c r="BT103" s="384">
        <f t="shared" ref="BT103:CD103" si="51">BO103*(1+BT104)</f>
        <v>45.5</v>
      </c>
      <c r="BU103" s="241">
        <f t="shared" si="51"/>
        <v>0</v>
      </c>
      <c r="BV103" s="241">
        <f t="shared" si="51"/>
        <v>0</v>
      </c>
      <c r="BW103" s="241">
        <f t="shared" si="51"/>
        <v>0</v>
      </c>
      <c r="BX103" s="241">
        <f t="shared" si="51"/>
        <v>0</v>
      </c>
      <c r="BY103" s="384">
        <f t="shared" si="51"/>
        <v>54.6</v>
      </c>
      <c r="BZ103" s="241">
        <f t="shared" si="51"/>
        <v>0</v>
      </c>
      <c r="CA103" s="241">
        <f t="shared" si="51"/>
        <v>0</v>
      </c>
      <c r="CB103" s="241">
        <f t="shared" si="51"/>
        <v>0</v>
      </c>
      <c r="CC103" s="241">
        <f t="shared" si="51"/>
        <v>0</v>
      </c>
      <c r="CD103" s="384">
        <f t="shared" si="51"/>
        <v>65.52</v>
      </c>
      <c r="CE103" s="8"/>
      <c r="CF103" s="242"/>
    </row>
    <row r="104" spans="1:84" s="390" customFormat="1" outlineLevel="1" x14ac:dyDescent="0.15">
      <c r="A104" s="8"/>
      <c r="B104" s="392" t="s">
        <v>126</v>
      </c>
      <c r="C104" s="293"/>
      <c r="D104" s="293"/>
      <c r="E104" s="293"/>
      <c r="F104" s="293"/>
      <c r="G104" s="294"/>
      <c r="H104" s="293"/>
      <c r="I104" s="293"/>
      <c r="J104" s="293"/>
      <c r="K104" s="293"/>
      <c r="L104" s="294"/>
      <c r="M104" s="293"/>
      <c r="N104" s="293"/>
      <c r="O104" s="293"/>
      <c r="P104" s="293"/>
      <c r="Q104" s="294"/>
      <c r="R104" s="293"/>
      <c r="S104" s="293"/>
      <c r="T104" s="293"/>
      <c r="U104" s="293"/>
      <c r="V104" s="294"/>
      <c r="W104" s="247"/>
      <c r="X104" s="247"/>
      <c r="Y104" s="247"/>
      <c r="Z104" s="247"/>
      <c r="AA104" s="251"/>
      <c r="AB104" s="302"/>
      <c r="AC104" s="302"/>
      <c r="AD104" s="302"/>
      <c r="AE104" s="302"/>
      <c r="AF104" s="251"/>
      <c r="AG104" s="247"/>
      <c r="AH104" s="247"/>
      <c r="AI104" s="247"/>
      <c r="AJ104" s="295"/>
      <c r="AK104" s="251"/>
      <c r="AL104" s="295"/>
      <c r="AM104" s="247"/>
      <c r="AN104" s="295"/>
      <c r="AO104" s="295"/>
      <c r="AP104" s="251"/>
      <c r="AQ104" s="347"/>
      <c r="AR104" s="247"/>
      <c r="AS104" s="259"/>
      <c r="AT104" s="259"/>
      <c r="AU104" s="251"/>
      <c r="AV104" s="293"/>
      <c r="AW104" s="259"/>
      <c r="AX104" s="259"/>
      <c r="AY104" s="259"/>
      <c r="AZ104" s="394"/>
      <c r="BA104" s="421"/>
      <c r="BB104" s="259"/>
      <c r="BC104" s="259"/>
      <c r="BD104" s="423"/>
      <c r="BE104" s="251"/>
      <c r="BF104" s="423"/>
      <c r="BG104" s="423"/>
      <c r="BH104" s="423"/>
      <c r="BI104" s="423"/>
      <c r="BJ104" s="424"/>
      <c r="BK104" s="340"/>
      <c r="BL104" s="340"/>
      <c r="BM104" s="340"/>
      <c r="BN104" s="340"/>
      <c r="BO104" s="341">
        <v>0.3</v>
      </c>
      <c r="BP104" s="340"/>
      <c r="BQ104" s="340"/>
      <c r="BR104" s="340"/>
      <c r="BS104" s="340"/>
      <c r="BT104" s="341">
        <v>0.25</v>
      </c>
      <c r="BU104" s="340"/>
      <c r="BV104" s="340"/>
      <c r="BW104" s="340"/>
      <c r="BX104" s="340"/>
      <c r="BY104" s="341">
        <v>0.2</v>
      </c>
      <c r="BZ104" s="340"/>
      <c r="CA104" s="340"/>
      <c r="CB104" s="340"/>
      <c r="CC104" s="340"/>
      <c r="CD104" s="341">
        <v>0.2</v>
      </c>
      <c r="CE104" s="8"/>
      <c r="CF104" s="242"/>
    </row>
    <row r="105" spans="1:84" s="390" customFormat="1" outlineLevel="1" x14ac:dyDescent="0.15">
      <c r="A105" s="8"/>
      <c r="B105" s="398" t="s">
        <v>172</v>
      </c>
      <c r="C105" s="399"/>
      <c r="D105" s="399"/>
      <c r="E105" s="399"/>
      <c r="F105" s="399"/>
      <c r="G105" s="400"/>
      <c r="H105" s="399"/>
      <c r="I105" s="399"/>
      <c r="J105" s="399"/>
      <c r="K105" s="399"/>
      <c r="L105" s="400"/>
      <c r="M105" s="399"/>
      <c r="N105" s="399"/>
      <c r="O105" s="399"/>
      <c r="P105" s="399"/>
      <c r="Q105" s="400"/>
      <c r="R105" s="399"/>
      <c r="S105" s="399"/>
      <c r="T105" s="399"/>
      <c r="U105" s="399"/>
      <c r="V105" s="400"/>
      <c r="W105" s="399"/>
      <c r="X105" s="399"/>
      <c r="Y105" s="399"/>
      <c r="Z105" s="399"/>
      <c r="AA105" s="401"/>
      <c r="AB105" s="367"/>
      <c r="AC105" s="367"/>
      <c r="AD105" s="402"/>
      <c r="AE105" s="402"/>
      <c r="AF105" s="403"/>
      <c r="AG105" s="399"/>
      <c r="AH105" s="404"/>
      <c r="AI105" s="405"/>
      <c r="AJ105" s="405"/>
      <c r="AK105" s="403"/>
      <c r="AL105" s="406"/>
      <c r="AM105" s="399"/>
      <c r="AN105" s="406"/>
      <c r="AO105" s="399"/>
      <c r="AP105" s="403"/>
      <c r="AQ105" s="407"/>
      <c r="AR105" s="399"/>
      <c r="AS105" s="399"/>
      <c r="AT105" s="399"/>
      <c r="AU105" s="403"/>
      <c r="AV105" s="399"/>
      <c r="AW105" s="399"/>
      <c r="AX105" s="399"/>
      <c r="AY105" s="399"/>
      <c r="AZ105" s="408"/>
      <c r="BA105" s="425">
        <f>SUM(BA101,BA103)</f>
        <v>25</v>
      </c>
      <c r="BB105" s="399">
        <f>SUM(BB101,BB103)</f>
        <v>24</v>
      </c>
      <c r="BC105" s="399">
        <f>SUM(BC101,BC103)</f>
        <v>46</v>
      </c>
      <c r="BD105" s="399">
        <f>SUM(BD101,BD103)</f>
        <v>49</v>
      </c>
      <c r="BE105" s="400">
        <f>SUM(BB105:BD105)</f>
        <v>119</v>
      </c>
      <c r="BF105" s="399">
        <f>SUM(BF101,BF103)</f>
        <v>45</v>
      </c>
      <c r="BG105" s="399">
        <f>SUM(BG101,BG103)</f>
        <v>50</v>
      </c>
      <c r="BH105" s="399">
        <f>SUM(BH101,BH103)</f>
        <v>58</v>
      </c>
      <c r="BI105" s="399">
        <f>SUM(BI101,BI103)</f>
        <v>60</v>
      </c>
      <c r="BJ105" s="403">
        <f t="shared" ref="BJ105:CD105" si="52">SUM(BJ101,BJ103)</f>
        <v>213</v>
      </c>
      <c r="BK105" s="410">
        <f t="shared" si="52"/>
        <v>0</v>
      </c>
      <c r="BL105" s="410">
        <f t="shared" si="52"/>
        <v>0</v>
      </c>
      <c r="BM105" s="410">
        <f t="shared" si="52"/>
        <v>0</v>
      </c>
      <c r="BN105" s="410">
        <f t="shared" si="52"/>
        <v>0</v>
      </c>
      <c r="BO105" s="403">
        <f t="shared" si="52"/>
        <v>249.14999999999998</v>
      </c>
      <c r="BP105" s="410">
        <f t="shared" si="52"/>
        <v>0</v>
      </c>
      <c r="BQ105" s="410">
        <f t="shared" si="52"/>
        <v>0</v>
      </c>
      <c r="BR105" s="410">
        <f t="shared" si="52"/>
        <v>0</v>
      </c>
      <c r="BS105" s="410">
        <f t="shared" si="52"/>
        <v>0</v>
      </c>
      <c r="BT105" s="403">
        <f t="shared" si="52"/>
        <v>290.16249999999991</v>
      </c>
      <c r="BU105" s="410">
        <f t="shared" si="52"/>
        <v>0</v>
      </c>
      <c r="BV105" s="410">
        <f t="shared" si="52"/>
        <v>0</v>
      </c>
      <c r="BW105" s="410">
        <f t="shared" si="52"/>
        <v>0</v>
      </c>
      <c r="BX105" s="410">
        <f t="shared" si="52"/>
        <v>0</v>
      </c>
      <c r="BY105" s="403">
        <f t="shared" si="52"/>
        <v>323.72874999999999</v>
      </c>
      <c r="BZ105" s="410">
        <f t="shared" si="52"/>
        <v>0</v>
      </c>
      <c r="CA105" s="410">
        <f t="shared" si="52"/>
        <v>0</v>
      </c>
      <c r="CB105" s="410">
        <f t="shared" si="52"/>
        <v>0</v>
      </c>
      <c r="CC105" s="410">
        <f t="shared" si="52"/>
        <v>0</v>
      </c>
      <c r="CD105" s="403">
        <f t="shared" si="52"/>
        <v>200.08437499999997</v>
      </c>
      <c r="CE105" s="8"/>
      <c r="CF105" s="242"/>
    </row>
    <row r="106" spans="1:84" s="390" customFormat="1" ht="14.25" customHeight="1" outlineLevel="1" x14ac:dyDescent="0.15">
      <c r="A106" s="8"/>
      <c r="B106" s="245" t="s">
        <v>126</v>
      </c>
      <c r="C106" s="293"/>
      <c r="D106" s="293"/>
      <c r="E106" s="293"/>
      <c r="F106" s="293"/>
      <c r="G106" s="294"/>
      <c r="H106" s="293"/>
      <c r="I106" s="293"/>
      <c r="J106" s="293"/>
      <c r="K106" s="293"/>
      <c r="L106" s="294"/>
      <c r="M106" s="293"/>
      <c r="N106" s="293"/>
      <c r="O106" s="293"/>
      <c r="P106" s="293"/>
      <c r="Q106" s="294"/>
      <c r="R106" s="293"/>
      <c r="S106" s="293"/>
      <c r="T106" s="293"/>
      <c r="U106" s="293"/>
      <c r="V106" s="294"/>
      <c r="W106" s="247"/>
      <c r="X106" s="247"/>
      <c r="Y106" s="247"/>
      <c r="Z106" s="247"/>
      <c r="AA106" s="251"/>
      <c r="AB106" s="302"/>
      <c r="AC106" s="302"/>
      <c r="AD106" s="302"/>
      <c r="AE106" s="302"/>
      <c r="AF106" s="251"/>
      <c r="AG106" s="247"/>
      <c r="AH106" s="247"/>
      <c r="AI106" s="247"/>
      <c r="AJ106" s="295"/>
      <c r="AK106" s="251"/>
      <c r="AL106" s="295"/>
      <c r="AM106" s="247"/>
      <c r="AN106" s="295"/>
      <c r="AO106" s="295"/>
      <c r="AP106" s="251"/>
      <c r="AQ106" s="347"/>
      <c r="AR106" s="247"/>
      <c r="AS106" s="259"/>
      <c r="AT106" s="259"/>
      <c r="AU106" s="251"/>
      <c r="AV106" s="247"/>
      <c r="AW106" s="259"/>
      <c r="AX106" s="259"/>
      <c r="AY106" s="259"/>
      <c r="AZ106" s="394"/>
      <c r="BA106" s="295"/>
      <c r="BB106" s="259"/>
      <c r="BC106" s="259"/>
      <c r="BD106" s="259"/>
      <c r="BE106" s="412"/>
      <c r="BF106" s="259"/>
      <c r="BG106" s="259"/>
      <c r="BH106" s="259"/>
      <c r="BI106" s="259"/>
      <c r="BJ106" s="396"/>
      <c r="BK106" s="340"/>
      <c r="BL106" s="340"/>
      <c r="BM106" s="340"/>
      <c r="BN106" s="340"/>
      <c r="BO106" s="251">
        <f>BO105/BJ105-1</f>
        <v>0.16971830985915481</v>
      </c>
      <c r="BP106" s="340"/>
      <c r="BQ106" s="340"/>
      <c r="BR106" s="340"/>
      <c r="BS106" s="340"/>
      <c r="BT106" s="251">
        <f>BT105/BO105-1</f>
        <v>0.16460967288781836</v>
      </c>
      <c r="BU106" s="340"/>
      <c r="BV106" s="340"/>
      <c r="BW106" s="340"/>
      <c r="BX106" s="340"/>
      <c r="BY106" s="251">
        <f>BY105/BT105-1</f>
        <v>0.11568086847886994</v>
      </c>
      <c r="BZ106" s="340"/>
      <c r="CA106" s="340"/>
      <c r="CB106" s="340"/>
      <c r="CC106" s="340"/>
      <c r="CD106" s="251">
        <f>CD105/BY105-1</f>
        <v>-0.38193819671561458</v>
      </c>
      <c r="CE106" s="8"/>
      <c r="CF106" s="242"/>
    </row>
    <row r="107" spans="1:84" s="390" customFormat="1" outlineLevel="1" x14ac:dyDescent="0.15">
      <c r="A107" s="8"/>
      <c r="B107" s="238" t="s">
        <v>173</v>
      </c>
      <c r="C107" s="236"/>
      <c r="D107" s="236"/>
      <c r="E107" s="236"/>
      <c r="F107" s="236"/>
      <c r="G107" s="235"/>
      <c r="H107" s="236"/>
      <c r="I107" s="236"/>
      <c r="J107" s="236"/>
      <c r="K107" s="236"/>
      <c r="L107" s="235"/>
      <c r="M107" s="236"/>
      <c r="N107" s="236"/>
      <c r="O107" s="236"/>
      <c r="P107" s="236"/>
      <c r="Q107" s="235"/>
      <c r="R107" s="236"/>
      <c r="S107" s="236"/>
      <c r="T107" s="236"/>
      <c r="U107" s="236"/>
      <c r="V107" s="235"/>
      <c r="W107" s="236"/>
      <c r="X107" s="236"/>
      <c r="Y107" s="236"/>
      <c r="Z107" s="236"/>
      <c r="AA107" s="235"/>
      <c r="AB107" s="310"/>
      <c r="AC107" s="310"/>
      <c r="AD107" s="383"/>
      <c r="AE107" s="383"/>
      <c r="AF107" s="384"/>
      <c r="AG107" s="236"/>
      <c r="AH107" s="385"/>
      <c r="AI107" s="386"/>
      <c r="AJ107" s="386"/>
      <c r="AK107" s="384"/>
      <c r="AL107" s="426"/>
      <c r="AM107" s="386"/>
      <c r="AN107" s="386"/>
      <c r="AO107" s="386"/>
      <c r="AP107" s="384"/>
      <c r="AQ107" s="289"/>
      <c r="AR107" s="236"/>
      <c r="AS107" s="259"/>
      <c r="AT107" s="259"/>
      <c r="AU107" s="384"/>
      <c r="AV107" s="259"/>
      <c r="AW107" s="259"/>
      <c r="AX107" s="259"/>
      <c r="AY107" s="259"/>
      <c r="AZ107" s="420"/>
      <c r="BA107" s="388">
        <v>15</v>
      </c>
      <c r="BB107" s="259">
        <v>15</v>
      </c>
      <c r="BC107" s="259">
        <v>15</v>
      </c>
      <c r="BD107" s="236">
        <v>22</v>
      </c>
      <c r="BE107" s="235">
        <f>SUM(BB107:BD107)</f>
        <v>52</v>
      </c>
      <c r="BF107" s="259">
        <v>22</v>
      </c>
      <c r="BG107" s="259">
        <v>27</v>
      </c>
      <c r="BH107" s="259">
        <v>25</v>
      </c>
      <c r="BI107" s="259">
        <v>25</v>
      </c>
      <c r="BJ107" s="389">
        <f>SUM(BF107:BI107)</f>
        <v>99</v>
      </c>
      <c r="BK107" s="241"/>
      <c r="BL107" s="241"/>
      <c r="BM107" s="241"/>
      <c r="BN107" s="241"/>
      <c r="BO107" s="384">
        <f>BJ107*(1+BO108)</f>
        <v>99</v>
      </c>
      <c r="BP107" s="241"/>
      <c r="BQ107" s="241"/>
      <c r="BR107" s="241"/>
      <c r="BS107" s="241"/>
      <c r="BT107" s="384">
        <f>BO107*(1+BT108)</f>
        <v>99</v>
      </c>
      <c r="BU107" s="241"/>
      <c r="BV107" s="241"/>
      <c r="BW107" s="241"/>
      <c r="BX107" s="241"/>
      <c r="BY107" s="384">
        <f>BT107*(1+BY108)</f>
        <v>99</v>
      </c>
      <c r="BZ107" s="241"/>
      <c r="CA107" s="241"/>
      <c r="CB107" s="241"/>
      <c r="CC107" s="241"/>
      <c r="CD107" s="384">
        <f>BY107*(1+CD108)</f>
        <v>99</v>
      </c>
      <c r="CE107" s="8"/>
      <c r="CF107" s="242"/>
    </row>
    <row r="108" spans="1:84" s="390" customFormat="1" outlineLevel="1" x14ac:dyDescent="0.15">
      <c r="A108" s="8"/>
      <c r="B108" s="245" t="s">
        <v>126</v>
      </c>
      <c r="C108" s="293"/>
      <c r="D108" s="293"/>
      <c r="E108" s="293"/>
      <c r="F108" s="293"/>
      <c r="G108" s="294"/>
      <c r="H108" s="293"/>
      <c r="I108" s="293"/>
      <c r="J108" s="293"/>
      <c r="K108" s="293"/>
      <c r="L108" s="294"/>
      <c r="M108" s="293"/>
      <c r="N108" s="293"/>
      <c r="O108" s="293"/>
      <c r="P108" s="293"/>
      <c r="Q108" s="294"/>
      <c r="R108" s="293"/>
      <c r="S108" s="293"/>
      <c r="T108" s="293"/>
      <c r="U108" s="293"/>
      <c r="V108" s="294"/>
      <c r="W108" s="247"/>
      <c r="X108" s="247"/>
      <c r="Y108" s="247"/>
      <c r="Z108" s="247"/>
      <c r="AA108" s="251"/>
      <c r="AB108" s="302"/>
      <c r="AC108" s="302"/>
      <c r="AD108" s="302"/>
      <c r="AE108" s="302"/>
      <c r="AF108" s="251"/>
      <c r="AG108" s="247"/>
      <c r="AH108" s="247"/>
      <c r="AI108" s="247"/>
      <c r="AJ108" s="247"/>
      <c r="AK108" s="251"/>
      <c r="AL108" s="247"/>
      <c r="AM108" s="247"/>
      <c r="AN108" s="247"/>
      <c r="AO108" s="247"/>
      <c r="AP108" s="251"/>
      <c r="AQ108" s="347"/>
      <c r="AR108" s="247"/>
      <c r="AS108" s="293"/>
      <c r="AT108" s="293"/>
      <c r="AU108" s="251"/>
      <c r="AV108" s="293"/>
      <c r="AW108" s="293"/>
      <c r="AX108" s="293"/>
      <c r="AY108" s="293"/>
      <c r="AZ108" s="394"/>
      <c r="BA108" s="421"/>
      <c r="BB108" s="293"/>
      <c r="BC108" s="247"/>
      <c r="BD108" s="247"/>
      <c r="BE108" s="251"/>
      <c r="BF108" s="247"/>
      <c r="BG108" s="247"/>
      <c r="BH108" s="247"/>
      <c r="BI108" s="247"/>
      <c r="BJ108" s="396">
        <f>BJ107/80-1</f>
        <v>0.23750000000000004</v>
      </c>
      <c r="BK108" s="340"/>
      <c r="BL108" s="340"/>
      <c r="BM108" s="340"/>
      <c r="BN108" s="340"/>
      <c r="BO108" s="341">
        <v>0</v>
      </c>
      <c r="BP108" s="340"/>
      <c r="BQ108" s="340"/>
      <c r="BR108" s="340"/>
      <c r="BS108" s="340"/>
      <c r="BT108" s="341">
        <v>0</v>
      </c>
      <c r="BU108" s="340"/>
      <c r="BV108" s="340"/>
      <c r="BW108" s="340"/>
      <c r="BX108" s="340"/>
      <c r="BY108" s="341">
        <v>0</v>
      </c>
      <c r="BZ108" s="340"/>
      <c r="CA108" s="340"/>
      <c r="CB108" s="340"/>
      <c r="CC108" s="340"/>
      <c r="CD108" s="341">
        <v>0</v>
      </c>
      <c r="CE108" s="8"/>
      <c r="CF108" s="242"/>
    </row>
    <row r="109" spans="1:84" s="390" customFormat="1" outlineLevel="1" x14ac:dyDescent="0.15">
      <c r="A109" s="8"/>
      <c r="B109" s="238" t="s">
        <v>174</v>
      </c>
      <c r="C109" s="293"/>
      <c r="D109" s="293"/>
      <c r="E109" s="293"/>
      <c r="F109" s="293"/>
      <c r="G109" s="294"/>
      <c r="H109" s="293"/>
      <c r="I109" s="293"/>
      <c r="J109" s="293"/>
      <c r="K109" s="293"/>
      <c r="L109" s="294"/>
      <c r="M109" s="293"/>
      <c r="N109" s="293"/>
      <c r="O109" s="293"/>
      <c r="P109" s="293"/>
      <c r="Q109" s="294"/>
      <c r="R109" s="293"/>
      <c r="S109" s="293"/>
      <c r="T109" s="293"/>
      <c r="U109" s="293"/>
      <c r="V109" s="294"/>
      <c r="W109" s="247"/>
      <c r="X109" s="247"/>
      <c r="Y109" s="247"/>
      <c r="Z109" s="247"/>
      <c r="AA109" s="251"/>
      <c r="AB109" s="302"/>
      <c r="AC109" s="302"/>
      <c r="AD109" s="302"/>
      <c r="AE109" s="302"/>
      <c r="AF109" s="251"/>
      <c r="AG109" s="247"/>
      <c r="AH109" s="247"/>
      <c r="AI109" s="247"/>
      <c r="AJ109" s="247"/>
      <c r="AK109" s="251"/>
      <c r="AL109" s="247"/>
      <c r="AM109" s="247"/>
      <c r="AN109" s="247"/>
      <c r="AO109" s="247"/>
      <c r="AP109" s="251"/>
      <c r="AQ109" s="347"/>
      <c r="AR109" s="247"/>
      <c r="AS109" s="293"/>
      <c r="AT109" s="293"/>
      <c r="AU109" s="251"/>
      <c r="AV109" s="293"/>
      <c r="AW109" s="293"/>
      <c r="AX109" s="293"/>
      <c r="AY109" s="293"/>
      <c r="AZ109" s="394"/>
      <c r="BA109" s="421"/>
      <c r="BB109" s="293"/>
      <c r="BC109" s="247"/>
      <c r="BD109" s="247"/>
      <c r="BE109" s="251"/>
      <c r="BF109" s="247"/>
      <c r="BG109" s="247"/>
      <c r="BH109" s="259">
        <v>15</v>
      </c>
      <c r="BI109" s="259">
        <v>15</v>
      </c>
      <c r="BJ109" s="389">
        <f>SUM(BF109:BI109)</f>
        <v>30</v>
      </c>
      <c r="BK109" s="427"/>
      <c r="BL109" s="427"/>
      <c r="BM109" s="427"/>
      <c r="BN109" s="427"/>
      <c r="BO109" s="428">
        <v>75</v>
      </c>
      <c r="BP109" s="241"/>
      <c r="BQ109" s="241"/>
      <c r="BR109" s="241"/>
      <c r="BS109" s="241"/>
      <c r="BT109" s="384">
        <f>BO109*(1+BT110)</f>
        <v>105</v>
      </c>
      <c r="BU109" s="427"/>
      <c r="BV109" s="427"/>
      <c r="BW109" s="427"/>
      <c r="BX109" s="427"/>
      <c r="BY109" s="384">
        <f>BT109*(1+BY110)</f>
        <v>136.5</v>
      </c>
      <c r="BZ109" s="241"/>
      <c r="CA109" s="241"/>
      <c r="CB109" s="241"/>
      <c r="CC109" s="241"/>
      <c r="CD109" s="384">
        <f>BY109*(1+CD110)</f>
        <v>163.79999999999998</v>
      </c>
      <c r="CE109" s="8"/>
      <c r="CF109" s="242"/>
    </row>
    <row r="110" spans="1:84" s="390" customFormat="1" outlineLevel="1" x14ac:dyDescent="0.15">
      <c r="A110" s="8"/>
      <c r="B110" s="245" t="s">
        <v>126</v>
      </c>
      <c r="C110" s="293"/>
      <c r="D110" s="293"/>
      <c r="E110" s="293"/>
      <c r="F110" s="293"/>
      <c r="G110" s="294"/>
      <c r="H110" s="293"/>
      <c r="I110" s="293"/>
      <c r="J110" s="293"/>
      <c r="K110" s="293"/>
      <c r="L110" s="294"/>
      <c r="M110" s="293"/>
      <c r="N110" s="293"/>
      <c r="O110" s="293"/>
      <c r="P110" s="293"/>
      <c r="Q110" s="294"/>
      <c r="R110" s="293"/>
      <c r="S110" s="293"/>
      <c r="T110" s="293"/>
      <c r="U110" s="293"/>
      <c r="V110" s="294"/>
      <c r="W110" s="247"/>
      <c r="X110" s="247"/>
      <c r="Y110" s="247"/>
      <c r="Z110" s="247"/>
      <c r="AA110" s="251"/>
      <c r="AB110" s="302"/>
      <c r="AC110" s="302"/>
      <c r="AD110" s="302"/>
      <c r="AE110" s="302"/>
      <c r="AF110" s="251"/>
      <c r="AG110" s="247"/>
      <c r="AH110" s="247"/>
      <c r="AI110" s="247"/>
      <c r="AJ110" s="247"/>
      <c r="AK110" s="251"/>
      <c r="AL110" s="247"/>
      <c r="AM110" s="247"/>
      <c r="AN110" s="247"/>
      <c r="AO110" s="247"/>
      <c r="AP110" s="251"/>
      <c r="AQ110" s="347"/>
      <c r="AR110" s="247"/>
      <c r="AS110" s="293"/>
      <c r="AT110" s="293"/>
      <c r="AU110" s="251"/>
      <c r="AV110" s="293"/>
      <c r="AW110" s="293"/>
      <c r="AX110" s="293"/>
      <c r="AY110" s="293"/>
      <c r="AZ110" s="394"/>
      <c r="BA110" s="421"/>
      <c r="BB110" s="293"/>
      <c r="BC110" s="247"/>
      <c r="BD110" s="247"/>
      <c r="BE110" s="251"/>
      <c r="BF110" s="247"/>
      <c r="BG110" s="247"/>
      <c r="BH110" s="247"/>
      <c r="BI110" s="247"/>
      <c r="BJ110" s="396"/>
      <c r="BK110" s="340"/>
      <c r="BL110" s="340"/>
      <c r="BM110" s="340"/>
      <c r="BN110" s="340"/>
      <c r="BO110" s="341"/>
      <c r="BP110" s="340"/>
      <c r="BQ110" s="340"/>
      <c r="BR110" s="340"/>
      <c r="BS110" s="340"/>
      <c r="BT110" s="341">
        <v>0.4</v>
      </c>
      <c r="BU110" s="340"/>
      <c r="BV110" s="340"/>
      <c r="BW110" s="340"/>
      <c r="BX110" s="340"/>
      <c r="BY110" s="341">
        <v>0.3</v>
      </c>
      <c r="BZ110" s="340"/>
      <c r="CA110" s="340"/>
      <c r="CB110" s="340"/>
      <c r="CC110" s="340"/>
      <c r="CD110" s="341">
        <v>0.2</v>
      </c>
      <c r="CE110" s="8"/>
      <c r="CF110" s="242"/>
    </row>
    <row r="111" spans="1:84" s="429" customFormat="1" outlineLevel="1" x14ac:dyDescent="0.15">
      <c r="B111" s="238" t="s">
        <v>175</v>
      </c>
      <c r="C111" s="236"/>
      <c r="D111" s="236"/>
      <c r="E111" s="236"/>
      <c r="F111" s="236"/>
      <c r="G111" s="235"/>
      <c r="H111" s="236"/>
      <c r="I111" s="236"/>
      <c r="J111" s="236"/>
      <c r="K111" s="236"/>
      <c r="L111" s="235"/>
      <c r="M111" s="236"/>
      <c r="N111" s="236"/>
      <c r="O111" s="236"/>
      <c r="P111" s="236"/>
      <c r="Q111" s="235"/>
      <c r="R111" s="236"/>
      <c r="S111" s="236"/>
      <c r="T111" s="236"/>
      <c r="U111" s="236"/>
      <c r="V111" s="235"/>
      <c r="W111" s="236"/>
      <c r="X111" s="236"/>
      <c r="Y111" s="236"/>
      <c r="Z111" s="236"/>
      <c r="AA111" s="235"/>
      <c r="AB111" s="310"/>
      <c r="AC111" s="310"/>
      <c r="AD111" s="383"/>
      <c r="AE111" s="383"/>
      <c r="AF111" s="384"/>
      <c r="AG111" s="236"/>
      <c r="AH111" s="385"/>
      <c r="AI111" s="386"/>
      <c r="AJ111" s="386"/>
      <c r="AK111" s="384"/>
      <c r="AL111" s="236"/>
      <c r="AM111" s="236"/>
      <c r="AN111" s="344"/>
      <c r="AO111" s="236"/>
      <c r="AP111" s="384"/>
      <c r="AQ111" s="289"/>
      <c r="AR111" s="259"/>
      <c r="AS111" s="236"/>
      <c r="AT111" s="236"/>
      <c r="AU111" s="384"/>
      <c r="AV111" s="236"/>
      <c r="AW111" s="236"/>
      <c r="AX111" s="236"/>
      <c r="AY111" s="236"/>
      <c r="AZ111" s="420"/>
      <c r="BA111" s="388">
        <v>60</v>
      </c>
      <c r="BB111" s="236">
        <f>BB113-SUM(BB95,BB97,BB99,BB105,BB107,BB109)</f>
        <v>69.300000000000011</v>
      </c>
      <c r="BC111" s="236">
        <f>BC113-SUM(BC95,BC97,BC99,BC105,BC107,BC109)</f>
        <v>93.800000000000011</v>
      </c>
      <c r="BD111" s="236">
        <f>BD113-SUM(BD95,BD97,BD99,BD105,BD107,BD109)</f>
        <v>111</v>
      </c>
      <c r="BE111" s="384">
        <f>SUM(BB111:BD111)</f>
        <v>274.10000000000002</v>
      </c>
      <c r="BF111" s="259">
        <v>105</v>
      </c>
      <c r="BG111" s="259">
        <v>105</v>
      </c>
      <c r="BH111" s="259">
        <v>105</v>
      </c>
      <c r="BI111" s="259">
        <v>105</v>
      </c>
      <c r="BJ111" s="389">
        <f>SUM(BF111:BI111)</f>
        <v>420</v>
      </c>
      <c r="BK111" s="241"/>
      <c r="BL111" s="241"/>
      <c r="BM111" s="241"/>
      <c r="BN111" s="241"/>
      <c r="BO111" s="384">
        <f>BJ111*(1+BO112)</f>
        <v>420</v>
      </c>
      <c r="BP111" s="241"/>
      <c r="BQ111" s="241"/>
      <c r="BR111" s="241"/>
      <c r="BS111" s="241"/>
      <c r="BT111" s="384">
        <f>BO111*(1+BT112)</f>
        <v>420</v>
      </c>
      <c r="BU111" s="241"/>
      <c r="BV111" s="241"/>
      <c r="BW111" s="241"/>
      <c r="BX111" s="241"/>
      <c r="BY111" s="384">
        <f>BT111*(1+BY112)</f>
        <v>420</v>
      </c>
      <c r="BZ111" s="241"/>
      <c r="CA111" s="241"/>
      <c r="CB111" s="241"/>
      <c r="CC111" s="241"/>
      <c r="CD111" s="384">
        <f>BY111*(1+CD112)</f>
        <v>420</v>
      </c>
      <c r="CF111" s="242"/>
    </row>
    <row r="112" spans="1:84" s="429" customFormat="1" ht="15" outlineLevel="1" x14ac:dyDescent="0.3">
      <c r="B112" s="262" t="s">
        <v>126</v>
      </c>
      <c r="C112" s="293"/>
      <c r="D112" s="293"/>
      <c r="E112" s="293"/>
      <c r="F112" s="293"/>
      <c r="G112" s="294"/>
      <c r="H112" s="293"/>
      <c r="I112" s="293"/>
      <c r="J112" s="293"/>
      <c r="K112" s="293"/>
      <c r="L112" s="294"/>
      <c r="M112" s="293"/>
      <c r="N112" s="293"/>
      <c r="O112" s="293"/>
      <c r="P112" s="293"/>
      <c r="Q112" s="294"/>
      <c r="R112" s="293"/>
      <c r="S112" s="293"/>
      <c r="T112" s="293"/>
      <c r="U112" s="293"/>
      <c r="V112" s="294"/>
      <c r="W112" s="247"/>
      <c r="X112" s="247"/>
      <c r="Y112" s="247"/>
      <c r="Z112" s="247"/>
      <c r="AA112" s="251"/>
      <c r="AB112" s="302"/>
      <c r="AC112" s="302"/>
      <c r="AD112" s="302"/>
      <c r="AE112" s="302"/>
      <c r="AF112" s="251"/>
      <c r="AG112" s="247"/>
      <c r="AH112" s="247"/>
      <c r="AI112" s="247"/>
      <c r="AJ112" s="247"/>
      <c r="AK112" s="251"/>
      <c r="AL112" s="293"/>
      <c r="AM112" s="293"/>
      <c r="AN112" s="430"/>
      <c r="AO112" s="247"/>
      <c r="AP112" s="251"/>
      <c r="AQ112" s="431"/>
      <c r="AR112" s="293"/>
      <c r="AS112" s="295"/>
      <c r="AT112" s="295"/>
      <c r="AU112" s="251"/>
      <c r="AV112" s="295"/>
      <c r="AW112" s="295"/>
      <c r="AX112" s="295"/>
      <c r="AY112" s="295"/>
      <c r="AZ112" s="394"/>
      <c r="BA112" s="295"/>
      <c r="BB112" s="295" t="s">
        <v>39</v>
      </c>
      <c r="BC112" s="295"/>
      <c r="BD112" s="295"/>
      <c r="BE112" s="341"/>
      <c r="BF112" s="340"/>
      <c r="BG112" s="340"/>
      <c r="BH112" s="340"/>
      <c r="BI112" s="340"/>
      <c r="BJ112" s="396"/>
      <c r="BK112" s="340"/>
      <c r="BL112" s="340"/>
      <c r="BM112" s="340"/>
      <c r="BN112" s="340"/>
      <c r="BO112" s="341">
        <v>0</v>
      </c>
      <c r="BP112" s="340"/>
      <c r="BQ112" s="340"/>
      <c r="BR112" s="340"/>
      <c r="BS112" s="340"/>
      <c r="BT112" s="341">
        <v>0</v>
      </c>
      <c r="BU112" s="340"/>
      <c r="BV112" s="340"/>
      <c r="BW112" s="340"/>
      <c r="BX112" s="340"/>
      <c r="BY112" s="341">
        <v>0</v>
      </c>
      <c r="BZ112" s="340"/>
      <c r="CA112" s="340"/>
      <c r="CB112" s="340"/>
      <c r="CC112" s="340"/>
      <c r="CD112" s="341">
        <v>0</v>
      </c>
      <c r="CF112" s="242"/>
    </row>
    <row r="113" spans="1:84" s="355" customFormat="1" ht="13" x14ac:dyDescent="0.15">
      <c r="A113" s="349"/>
      <c r="B113" s="298" t="s">
        <v>176</v>
      </c>
      <c r="C113" s="350"/>
      <c r="D113" s="350"/>
      <c r="E113" s="350"/>
      <c r="F113" s="351"/>
      <c r="G113" s="352"/>
      <c r="H113" s="351"/>
      <c r="I113" s="351"/>
      <c r="J113" s="351"/>
      <c r="K113" s="351"/>
      <c r="L113" s="352"/>
      <c r="M113" s="351"/>
      <c r="N113" s="351"/>
      <c r="O113" s="351"/>
      <c r="P113" s="351"/>
      <c r="Q113" s="352"/>
      <c r="R113" s="353"/>
      <c r="S113" s="353"/>
      <c r="T113" s="353"/>
      <c r="U113" s="353"/>
      <c r="V113" s="354"/>
      <c r="W113" s="353"/>
      <c r="X113" s="353"/>
      <c r="Y113" s="353"/>
      <c r="Z113" s="353"/>
      <c r="AA113" s="354"/>
      <c r="AB113" s="302"/>
      <c r="AC113" s="302"/>
      <c r="AD113" s="302"/>
      <c r="AE113" s="302"/>
      <c r="AF113" s="360"/>
      <c r="AK113" s="311"/>
      <c r="AP113" s="360"/>
      <c r="AQ113" s="356"/>
      <c r="AS113" s="275">
        <v>0</v>
      </c>
      <c r="AT113" s="275">
        <v>0</v>
      </c>
      <c r="AU113" s="311"/>
      <c r="AV113" s="275">
        <v>0</v>
      </c>
      <c r="AW113" s="275">
        <v>0</v>
      </c>
      <c r="AX113" s="275">
        <v>0</v>
      </c>
      <c r="AY113" s="275">
        <v>0</v>
      </c>
      <c r="AZ113" s="311"/>
      <c r="BA113" s="275">
        <v>0</v>
      </c>
      <c r="BB113" s="275">
        <v>313.3</v>
      </c>
      <c r="BC113" s="275">
        <v>462.8</v>
      </c>
      <c r="BD113" s="275">
        <v>509</v>
      </c>
      <c r="BE113" s="332">
        <f>SUM(BB113:BD113)</f>
        <v>1285.0999999999999</v>
      </c>
      <c r="BF113" s="275">
        <f t="shared" ref="BF113:BI113" si="53">SUM(BF95,BF97,BF99,BF105,BF107,BF109,BF111)</f>
        <v>447</v>
      </c>
      <c r="BG113" s="275">
        <f t="shared" si="53"/>
        <v>522</v>
      </c>
      <c r="BH113" s="275">
        <f t="shared" si="53"/>
        <v>575</v>
      </c>
      <c r="BI113" s="275">
        <f t="shared" si="53"/>
        <v>610</v>
      </c>
      <c r="BJ113" s="277">
        <f>SUM(BJ95,BJ97,BJ99,BJ105,BJ107,BJ109,BJ111)</f>
        <v>2154</v>
      </c>
      <c r="BK113" s="285"/>
      <c r="BL113" s="285"/>
      <c r="BM113" s="285"/>
      <c r="BN113" s="285"/>
      <c r="BO113" s="277">
        <f>SUM(BO95,BO97,BO99,BO105,BO107,BO109,BO111)</f>
        <v>2504.77</v>
      </c>
      <c r="BP113" s="285"/>
      <c r="BQ113" s="285"/>
      <c r="BR113" s="285"/>
      <c r="BS113" s="285"/>
      <c r="BT113" s="277">
        <f>SUM(BT95,BT97,BT99,BT105,BT107,BT109,BT111)</f>
        <v>2797.9175</v>
      </c>
      <c r="BU113" s="285"/>
      <c r="BV113" s="285"/>
      <c r="BW113" s="285"/>
      <c r="BX113" s="285"/>
      <c r="BY113" s="277">
        <f>SUM(BY95,BY97,BY99,BY105,BY107,BY109,BY111)</f>
        <v>3075.81916</v>
      </c>
      <c r="BZ113" s="285"/>
      <c r="CA113" s="285"/>
      <c r="CB113" s="285"/>
      <c r="CC113" s="285"/>
      <c r="CD113" s="277">
        <f>SUM(CD95,CD97,CD99,CD105,CD107,CD109,CD111)</f>
        <v>3204.2119913000001</v>
      </c>
      <c r="CF113" s="278">
        <f>BJ113/$BJ$142</f>
        <v>0.19641186345892234</v>
      </c>
    </row>
    <row r="114" spans="1:84" s="355" customFormat="1" ht="13" x14ac:dyDescent="0.15">
      <c r="A114" s="28"/>
      <c r="B114" s="309" t="s">
        <v>126</v>
      </c>
      <c r="C114" s="317"/>
      <c r="D114" s="318"/>
      <c r="E114" s="318"/>
      <c r="F114" s="318"/>
      <c r="G114" s="319"/>
      <c r="H114" s="318"/>
      <c r="I114" s="318"/>
      <c r="J114" s="318"/>
      <c r="K114" s="318"/>
      <c r="L114" s="319"/>
      <c r="M114" s="318"/>
      <c r="N114" s="318"/>
      <c r="O114" s="318"/>
      <c r="P114" s="318"/>
      <c r="Q114" s="319"/>
      <c r="R114" s="318"/>
      <c r="S114" s="318"/>
      <c r="T114" s="318"/>
      <c r="U114" s="318"/>
      <c r="V114" s="319"/>
      <c r="W114" s="320"/>
      <c r="X114" s="321"/>
      <c r="Y114" s="321"/>
      <c r="Z114" s="321"/>
      <c r="AA114" s="322"/>
      <c r="AB114" s="320"/>
      <c r="AC114" s="320"/>
      <c r="AD114" s="320"/>
      <c r="AE114" s="320"/>
      <c r="AF114" s="372"/>
      <c r="AG114" s="324"/>
      <c r="AH114" s="324"/>
      <c r="AI114" s="324"/>
      <c r="AJ114" s="373"/>
      <c r="AK114" s="372"/>
      <c r="AL114" s="373"/>
      <c r="AM114" s="324"/>
      <c r="AN114" s="373"/>
      <c r="AO114" s="373"/>
      <c r="AP114" s="372"/>
      <c r="AQ114" s="374"/>
      <c r="AR114" s="324"/>
      <c r="AS114" s="373"/>
      <c r="AT114" s="373"/>
      <c r="AU114" s="372"/>
      <c r="AV114" s="324"/>
      <c r="AW114" s="373"/>
      <c r="AX114" s="373"/>
      <c r="AY114" s="373"/>
      <c r="AZ114" s="372"/>
      <c r="BA114" s="373"/>
      <c r="BB114" s="373"/>
      <c r="BC114" s="373"/>
      <c r="BD114" s="373"/>
      <c r="BE114" s="375"/>
      <c r="BF114" s="376"/>
      <c r="BG114" s="376"/>
      <c r="BH114" s="376"/>
      <c r="BI114" s="432"/>
      <c r="BJ114" s="375"/>
      <c r="BK114" s="376"/>
      <c r="BL114" s="376"/>
      <c r="BM114" s="376"/>
      <c r="BN114" s="376"/>
      <c r="BO114" s="372">
        <f>BO113/BJ113-1</f>
        <v>0.16284586815227486</v>
      </c>
      <c r="BP114" s="376"/>
      <c r="BQ114" s="376"/>
      <c r="BR114" s="376"/>
      <c r="BS114" s="376"/>
      <c r="BT114" s="372">
        <f>BT113/BO113-1</f>
        <v>0.11703569589223761</v>
      </c>
      <c r="BU114" s="376"/>
      <c r="BV114" s="376"/>
      <c r="BW114" s="376"/>
      <c r="BX114" s="376"/>
      <c r="BY114" s="372">
        <f>BY113/BT113-1</f>
        <v>9.9324465428305198E-2</v>
      </c>
      <c r="BZ114" s="376"/>
      <c r="CA114" s="376"/>
      <c r="CB114" s="376"/>
      <c r="CC114" s="376"/>
      <c r="CD114" s="372">
        <f>CD113/BY113-1</f>
        <v>4.1742646306943465E-2</v>
      </c>
      <c r="CF114" s="359"/>
    </row>
    <row r="115" spans="1:84" s="285" customFormat="1" x14ac:dyDescent="0.15">
      <c r="A115" s="28"/>
      <c r="B115" s="433" t="s">
        <v>177</v>
      </c>
      <c r="C115" s="434"/>
      <c r="D115" s="434"/>
      <c r="E115" s="434"/>
      <c r="F115" s="434"/>
      <c r="G115" s="435"/>
      <c r="H115" s="434"/>
      <c r="I115" s="434"/>
      <c r="J115" s="434"/>
      <c r="K115" s="434"/>
      <c r="L115" s="435"/>
      <c r="M115" s="434"/>
      <c r="N115" s="434"/>
      <c r="O115" s="434"/>
      <c r="P115" s="434"/>
      <c r="Q115" s="435"/>
      <c r="R115" s="434"/>
      <c r="S115" s="434"/>
      <c r="T115" s="434"/>
      <c r="U115" s="434"/>
      <c r="V115" s="435"/>
      <c r="W115" s="434"/>
      <c r="X115" s="434"/>
      <c r="Y115" s="434"/>
      <c r="Z115" s="434"/>
      <c r="AA115" s="435"/>
      <c r="AB115" s="434"/>
      <c r="AC115" s="434"/>
      <c r="AD115" s="434"/>
      <c r="AE115" s="434"/>
      <c r="AF115" s="435"/>
      <c r="AG115" s="434"/>
      <c r="AH115" s="434"/>
      <c r="AI115" s="434"/>
      <c r="AJ115" s="434"/>
      <c r="AK115" s="435"/>
      <c r="AL115" s="436"/>
      <c r="AM115" s="434"/>
      <c r="AN115" s="436"/>
      <c r="AO115" s="434"/>
      <c r="AP115" s="435"/>
      <c r="AQ115" s="437">
        <v>642.6</v>
      </c>
      <c r="AR115" s="437">
        <v>650.5</v>
      </c>
      <c r="AS115" s="437">
        <f>SUM(AS27,AS43,AS53,AS56,AS59,AS73,AS81,AS84,AS113)</f>
        <v>815.80000000000007</v>
      </c>
      <c r="AT115" s="437">
        <f>SUM(AT27,AT43,AT53,AT56,AT59,AT73,AT81,AT84,AT113)</f>
        <v>1085.5999999999999</v>
      </c>
      <c r="AU115" s="438">
        <f>SUM(AQ115:AT115)</f>
        <v>3194.5</v>
      </c>
      <c r="AV115" s="437">
        <f t="shared" ref="AV115:BC115" si="54">SUM(AV27,AV43,AV53,AV56,AV59,AV73,AV81,AV84,AV113)</f>
        <v>1006.4</v>
      </c>
      <c r="AW115" s="437">
        <f t="shared" si="54"/>
        <v>1038.1000000000001</v>
      </c>
      <c r="AX115" s="437">
        <f t="shared" si="54"/>
        <v>1087.2</v>
      </c>
      <c r="AY115" s="437">
        <f t="shared" si="54"/>
        <v>1334.7</v>
      </c>
      <c r="AZ115" s="438">
        <f t="shared" si="54"/>
        <v>4466.3999999999996</v>
      </c>
      <c r="BA115" s="437">
        <f t="shared" si="54"/>
        <v>1403.7</v>
      </c>
      <c r="BB115" s="437">
        <f t="shared" si="54"/>
        <v>1840.3000000000002</v>
      </c>
      <c r="BC115" s="437">
        <f t="shared" si="54"/>
        <v>1968.1999999999998</v>
      </c>
      <c r="BD115" s="437">
        <f t="shared" ref="BD115:BJ115" si="55">SUM(BD27,BD43,BD53,BD56,BD59,BD73,BD81,BD84,BD113,BD87)</f>
        <v>1894.6000000000001</v>
      </c>
      <c r="BE115" s="438">
        <f t="shared" si="55"/>
        <v>7106.8000000000011</v>
      </c>
      <c r="BF115" s="437">
        <f t="shared" si="55"/>
        <v>1591.17</v>
      </c>
      <c r="BG115" s="437">
        <f t="shared" si="55"/>
        <v>1822.41</v>
      </c>
      <c r="BH115" s="437">
        <f t="shared" si="55"/>
        <v>1953.175</v>
      </c>
      <c r="BI115" s="437">
        <f t="shared" si="55"/>
        <v>2065.585</v>
      </c>
      <c r="BJ115" s="438">
        <f t="shared" si="55"/>
        <v>7432.34</v>
      </c>
      <c r="BK115" s="439"/>
      <c r="BL115" s="439"/>
      <c r="BM115" s="439"/>
      <c r="BN115" s="439"/>
      <c r="BO115" s="438">
        <f>SUM(BO27,BO43,BO53,BO56,BO59,BO73,BO81,BO84,BO113,BO87)</f>
        <v>8054.9653500000004</v>
      </c>
      <c r="BP115" s="439"/>
      <c r="BQ115" s="439"/>
      <c r="BR115" s="439"/>
      <c r="BS115" s="439"/>
      <c r="BT115" s="438">
        <f>SUM(BT27,BT43,BT53,BT56,BT59,BT73,BT81,BT84,BT113,BT87)</f>
        <v>8602.3704519999992</v>
      </c>
      <c r="BU115" s="439"/>
      <c r="BV115" s="439"/>
      <c r="BW115" s="439"/>
      <c r="BX115" s="439"/>
      <c r="BY115" s="438">
        <f>SUM(BY27,BY43,BY53,BY56,BY59,BY73,BY81,BY84,BY113,BY87)</f>
        <v>9178.9723760400011</v>
      </c>
      <c r="BZ115" s="439"/>
      <c r="CA115" s="439"/>
      <c r="CB115" s="439"/>
      <c r="CC115" s="439"/>
      <c r="CD115" s="438">
        <f>SUM(CD27,CD43,CD53,CD56,CD59,CD73,CD81,CD84,CD113,CD87)</f>
        <v>9587.0600168807996</v>
      </c>
      <c r="CF115" s="242"/>
    </row>
    <row r="116" spans="1:84" s="285" customFormat="1" x14ac:dyDescent="0.15">
      <c r="A116" s="28"/>
      <c r="B116" s="440" t="s">
        <v>126</v>
      </c>
      <c r="C116" s="441"/>
      <c r="D116" s="441"/>
      <c r="E116" s="441"/>
      <c r="F116" s="441"/>
      <c r="G116" s="442"/>
      <c r="H116" s="441"/>
      <c r="I116" s="441"/>
      <c r="J116" s="441"/>
      <c r="K116" s="441"/>
      <c r="L116" s="442"/>
      <c r="M116" s="441"/>
      <c r="N116" s="441"/>
      <c r="O116" s="441"/>
      <c r="P116" s="441"/>
      <c r="Q116" s="442"/>
      <c r="R116" s="441"/>
      <c r="S116" s="441"/>
      <c r="T116" s="441"/>
      <c r="U116" s="441"/>
      <c r="V116" s="442"/>
      <c r="W116" s="441"/>
      <c r="X116" s="441"/>
      <c r="Y116" s="441"/>
      <c r="Z116" s="441"/>
      <c r="AA116" s="442"/>
      <c r="AB116" s="441"/>
      <c r="AC116" s="441"/>
      <c r="AD116" s="441"/>
      <c r="AE116" s="441"/>
      <c r="AF116" s="442"/>
      <c r="AG116" s="441"/>
      <c r="AH116" s="441"/>
      <c r="AI116" s="441"/>
      <c r="AJ116" s="441"/>
      <c r="AK116" s="442"/>
      <c r="AL116" s="443"/>
      <c r="AM116" s="441"/>
      <c r="AN116" s="443"/>
      <c r="AO116" s="441"/>
      <c r="AP116" s="442"/>
      <c r="AQ116" s="441"/>
      <c r="AR116" s="441"/>
      <c r="AS116" s="441"/>
      <c r="AT116" s="441"/>
      <c r="AU116" s="442"/>
      <c r="AV116" s="444">
        <f t="shared" ref="AV116:BA116" si="56">AV115/AQ115-1</f>
        <v>0.56613756613756605</v>
      </c>
      <c r="AW116" s="444">
        <f t="shared" si="56"/>
        <v>0.59584934665641831</v>
      </c>
      <c r="AX116" s="444">
        <f t="shared" si="56"/>
        <v>0.33267957832802142</v>
      </c>
      <c r="AY116" s="444">
        <f t="shared" si="56"/>
        <v>0.22945836403831987</v>
      </c>
      <c r="AZ116" s="445">
        <f t="shared" si="56"/>
        <v>0.39815307559868507</v>
      </c>
      <c r="BA116" s="444">
        <f t="shared" si="56"/>
        <v>0.39477344992050889</v>
      </c>
      <c r="BB116" s="281">
        <f>BB115/AW115-1</f>
        <v>0.77275792312879288</v>
      </c>
      <c r="BC116" s="281">
        <f>BC115/AX115-1</f>
        <v>0.81033848417954357</v>
      </c>
      <c r="BD116" s="281">
        <f>BD115/AY115-1</f>
        <v>0.41949501760695296</v>
      </c>
      <c r="BE116" s="445">
        <f t="shared" ref="BE116:BJ116" si="57">BE115/AZ115-1</f>
        <v>0.59116962206698953</v>
      </c>
      <c r="BF116" s="281">
        <f t="shared" si="57"/>
        <v>0.13355417824321436</v>
      </c>
      <c r="BG116" s="281">
        <f t="shared" si="57"/>
        <v>-9.721241101994238E-3</v>
      </c>
      <c r="BH116" s="281">
        <f t="shared" si="57"/>
        <v>-7.6338786708667339E-3</v>
      </c>
      <c r="BI116" s="281">
        <f t="shared" si="57"/>
        <v>9.0248601287870711E-2</v>
      </c>
      <c r="BJ116" s="445">
        <f t="shared" si="57"/>
        <v>4.5806832892440807E-2</v>
      </c>
      <c r="BK116" s="446"/>
      <c r="BL116" s="446"/>
      <c r="BM116" s="446"/>
      <c r="BN116" s="446"/>
      <c r="BO116" s="445">
        <f t="shared" ref="BO116" si="58">BO115/BJ115-1</f>
        <v>8.3772452551955423E-2</v>
      </c>
      <c r="BP116" s="446"/>
      <c r="BQ116" s="446"/>
      <c r="BR116" s="446"/>
      <c r="BS116" s="446"/>
      <c r="BT116" s="445">
        <f t="shared" ref="BT116" si="59">BT115/BO115-1</f>
        <v>6.7958715924209212E-2</v>
      </c>
      <c r="BU116" s="446"/>
      <c r="BV116" s="446"/>
      <c r="BW116" s="446"/>
      <c r="BX116" s="446"/>
      <c r="BY116" s="445">
        <f t="shared" ref="BY116" si="60">BY115/BT115-1</f>
        <v>6.7028260089164737E-2</v>
      </c>
      <c r="BZ116" s="446"/>
      <c r="CA116" s="446"/>
      <c r="CB116" s="446"/>
      <c r="CC116" s="446"/>
      <c r="CD116" s="445">
        <f t="shared" ref="CD116" si="61">CD115/BY115-1</f>
        <v>4.4458968185375092E-2</v>
      </c>
      <c r="CF116" s="242"/>
    </row>
    <row r="117" spans="1:84" s="454" customFormat="1" x14ac:dyDescent="0.15">
      <c r="A117" s="157"/>
      <c r="B117" s="447" t="s">
        <v>178</v>
      </c>
      <c r="C117" s="448" t="e">
        <f>#REF!+#REF!</f>
        <v>#REF!</v>
      </c>
      <c r="D117" s="448" t="e">
        <f>#REF!+#REF!</f>
        <v>#REF!</v>
      </c>
      <c r="E117" s="448" t="e">
        <f>#REF!+#REF!</f>
        <v>#REF!</v>
      </c>
      <c r="F117" s="448" t="e">
        <f>#REF!+#REF!</f>
        <v>#REF!</v>
      </c>
      <c r="G117" s="449" t="e">
        <f>#REF!+#REF!</f>
        <v>#REF!</v>
      </c>
      <c r="H117" s="448" t="e">
        <f>#REF!+#REF!</f>
        <v>#REF!</v>
      </c>
      <c r="I117" s="448" t="e">
        <f>#REF!+#REF!</f>
        <v>#REF!</v>
      </c>
      <c r="J117" s="448" t="e">
        <f>#REF!+#REF!</f>
        <v>#REF!</v>
      </c>
      <c r="K117" s="448" t="e">
        <f>#REF!+#REF!</f>
        <v>#REF!</v>
      </c>
      <c r="L117" s="449" t="e">
        <f>#REF!+#REF!</f>
        <v>#REF!</v>
      </c>
      <c r="M117" s="448" t="e">
        <f>#REF!</f>
        <v>#REF!</v>
      </c>
      <c r="N117" s="448" t="e">
        <f>#REF!</f>
        <v>#REF!</v>
      </c>
      <c r="O117" s="448" t="e">
        <f>#REF!</f>
        <v>#REF!</v>
      </c>
      <c r="P117" s="448" t="e">
        <f>#REF!</f>
        <v>#REF!</v>
      </c>
      <c r="Q117" s="449" t="e">
        <f>#REF!+#REF!+#REF!+#REF!</f>
        <v>#REF!</v>
      </c>
      <c r="R117" s="448" t="e">
        <f>#REF!</f>
        <v>#REF!</v>
      </c>
      <c r="S117" s="448" t="e">
        <f>#REF!</f>
        <v>#REF!</v>
      </c>
      <c r="T117" s="448" t="e">
        <f>#REF!</f>
        <v>#REF!</v>
      </c>
      <c r="U117" s="448" t="e">
        <f>#REF!</f>
        <v>#REF!</v>
      </c>
      <c r="V117" s="449" t="e">
        <f>#REF!+#REF!+#REF!+#REF!</f>
        <v>#REF!</v>
      </c>
      <c r="W117" s="450" t="e">
        <f>#REF!</f>
        <v>#REF!</v>
      </c>
      <c r="X117" s="450" t="e">
        <f>#REF!</f>
        <v>#REF!</v>
      </c>
      <c r="Y117" s="450" t="e">
        <f>#REF!</f>
        <v>#REF!</v>
      </c>
      <c r="Z117" s="450" t="e">
        <f>#REF!</f>
        <v>#REF!</v>
      </c>
      <c r="AA117" s="451" t="e">
        <f>#REF!+#REF!+#REF!+#REF!</f>
        <v>#REF!</v>
      </c>
      <c r="AB117" s="450"/>
      <c r="AC117" s="450"/>
      <c r="AD117" s="450"/>
      <c r="AE117" s="450"/>
      <c r="AF117" s="451"/>
      <c r="AG117" s="452"/>
      <c r="AH117" s="450"/>
      <c r="AI117" s="450"/>
      <c r="AJ117" s="452"/>
      <c r="AK117" s="451"/>
      <c r="AL117" s="450"/>
      <c r="AM117" s="452"/>
      <c r="AN117" s="452"/>
      <c r="AO117" s="450"/>
      <c r="AP117" s="451"/>
      <c r="AQ117" s="452">
        <v>128.5</v>
      </c>
      <c r="AR117" s="450">
        <v>141.30000000000001</v>
      </c>
      <c r="AS117" s="450">
        <v>326.88900000000001</v>
      </c>
      <c r="AT117" s="450">
        <v>484.77199999999999</v>
      </c>
      <c r="AU117" s="451">
        <f>SUM(AQ117:AT117)</f>
        <v>1081.461</v>
      </c>
      <c r="AV117" s="450">
        <v>415.4</v>
      </c>
      <c r="AW117" s="450">
        <v>441.6</v>
      </c>
      <c r="AX117" s="450">
        <f>420.7</f>
        <v>420.7</v>
      </c>
      <c r="AY117" s="450">
        <v>423</v>
      </c>
      <c r="AZ117" s="451">
        <f>SUM(AV117:AY117)</f>
        <v>1700.7</v>
      </c>
      <c r="BA117" s="450">
        <v>360.7</v>
      </c>
      <c r="BB117" s="450">
        <v>397.3</v>
      </c>
      <c r="BC117" s="450">
        <v>352.5</v>
      </c>
      <c r="BD117" s="450">
        <v>363.4</v>
      </c>
      <c r="BE117" s="451">
        <f>SUM(BA117:BD117)</f>
        <v>1473.9</v>
      </c>
      <c r="BF117" s="450">
        <f t="shared" ref="BF117:BI117" si="62">BA117*(1+BF120)</f>
        <v>339.05799999999999</v>
      </c>
      <c r="BG117" s="450">
        <f t="shared" si="62"/>
        <v>385.38100000000003</v>
      </c>
      <c r="BH117" s="450">
        <f t="shared" si="62"/>
        <v>348.97500000000002</v>
      </c>
      <c r="BI117" s="453">
        <f t="shared" si="62"/>
        <v>370.66800000000001</v>
      </c>
      <c r="BJ117" s="453">
        <f>SUM(BF117:BI117)</f>
        <v>1444.0820000000003</v>
      </c>
      <c r="BK117" s="28"/>
      <c r="BL117" s="28"/>
      <c r="BM117" s="28"/>
      <c r="BN117" s="28"/>
      <c r="BO117" s="451">
        <f>BJ117*(1+BO120)</f>
        <v>1472.9636400000004</v>
      </c>
      <c r="BP117" s="451"/>
      <c r="BQ117" s="451"/>
      <c r="BR117" s="451"/>
      <c r="BS117" s="451"/>
      <c r="BT117" s="451">
        <f>BO117*(1+BT120)</f>
        <v>1502.4229128000004</v>
      </c>
      <c r="BU117" s="28"/>
      <c r="BV117" s="28"/>
      <c r="BW117" s="28"/>
      <c r="BX117" s="28"/>
      <c r="BY117" s="451">
        <f>BT117*(1+BY120)</f>
        <v>1532.4713710560004</v>
      </c>
      <c r="BZ117" s="451"/>
      <c r="CA117" s="451"/>
      <c r="CB117" s="451"/>
      <c r="CC117" s="451"/>
      <c r="CD117" s="451">
        <f>BY117*(1+CD120)</f>
        <v>1563.1207984771204</v>
      </c>
      <c r="CE117" s="157"/>
      <c r="CF117" s="278">
        <f>BJ117/$BJ$142</f>
        <v>0.13167819712511028</v>
      </c>
    </row>
    <row r="118" spans="1:84" s="454" customFormat="1" x14ac:dyDescent="0.15">
      <c r="A118" s="157"/>
      <c r="B118" s="455" t="s">
        <v>179</v>
      </c>
      <c r="C118" s="456"/>
      <c r="D118" s="456"/>
      <c r="E118" s="456"/>
      <c r="F118" s="456"/>
      <c r="G118" s="457"/>
      <c r="H118" s="456"/>
      <c r="I118" s="456"/>
      <c r="J118" s="456"/>
      <c r="K118" s="456"/>
      <c r="L118" s="457"/>
      <c r="M118" s="456"/>
      <c r="N118" s="456"/>
      <c r="O118" s="456"/>
      <c r="P118" s="456"/>
      <c r="Q118" s="457"/>
      <c r="R118" s="456"/>
      <c r="S118" s="456"/>
      <c r="T118" s="456"/>
      <c r="U118" s="456"/>
      <c r="V118" s="457"/>
      <c r="W118" s="458"/>
      <c r="X118" s="458"/>
      <c r="Y118" s="458"/>
      <c r="Z118" s="458"/>
      <c r="AA118" s="459"/>
      <c r="AB118" s="458"/>
      <c r="AC118" s="458"/>
      <c r="AD118" s="458"/>
      <c r="AE118" s="458"/>
      <c r="AF118" s="459"/>
      <c r="AG118" s="460"/>
      <c r="AH118" s="458"/>
      <c r="AI118" s="458"/>
      <c r="AJ118" s="460"/>
      <c r="AK118" s="459"/>
      <c r="AL118" s="458"/>
      <c r="AM118" s="460"/>
      <c r="AN118" s="460"/>
      <c r="AO118" s="458"/>
      <c r="AP118" s="459"/>
      <c r="AQ118" s="460"/>
      <c r="AR118" s="458"/>
      <c r="AS118" s="458"/>
      <c r="AT118" s="458"/>
      <c r="AU118" s="459"/>
      <c r="AV118" s="458"/>
      <c r="AW118" s="458"/>
      <c r="AX118" s="461">
        <v>0.31</v>
      </c>
      <c r="AY118" s="458"/>
      <c r="AZ118" s="459"/>
      <c r="BA118" s="461">
        <f>422.7/AV117-1</f>
        <v>1.7573423206547867E-2</v>
      </c>
      <c r="BB118" s="461">
        <v>7.0000000000000007E-2</v>
      </c>
      <c r="BC118" s="461">
        <v>0</v>
      </c>
      <c r="BD118" s="462">
        <f>412.6/AY117-1</f>
        <v>-2.4586288416075575E-2</v>
      </c>
      <c r="BE118" s="463">
        <f>BE120-BE119</f>
        <v>1.6141543148091853E-2</v>
      </c>
      <c r="BF118" s="464">
        <v>0</v>
      </c>
      <c r="BG118" s="464">
        <v>0.02</v>
      </c>
      <c r="BH118" s="464">
        <v>0.02</v>
      </c>
      <c r="BI118" s="465">
        <v>0.02</v>
      </c>
      <c r="BJ118" s="463">
        <f>BJ120-BJ119</f>
        <v>1.4769319492503014E-2</v>
      </c>
      <c r="BK118" s="28"/>
      <c r="BL118" s="28"/>
      <c r="BM118" s="28"/>
      <c r="BN118" s="28"/>
      <c r="BO118" s="459"/>
      <c r="BP118" s="459"/>
      <c r="BQ118" s="459"/>
      <c r="BR118" s="459"/>
      <c r="BS118" s="459"/>
      <c r="BT118" s="459"/>
      <c r="BU118" s="28"/>
      <c r="BV118" s="28"/>
      <c r="BW118" s="28"/>
      <c r="BX118" s="28"/>
      <c r="BY118" s="459"/>
      <c r="BZ118" s="459"/>
      <c r="CA118" s="459"/>
      <c r="CB118" s="459"/>
      <c r="CC118" s="459"/>
      <c r="CD118" s="459"/>
      <c r="CE118" s="157"/>
      <c r="CF118" s="466"/>
    </row>
    <row r="119" spans="1:84" s="454" customFormat="1" x14ac:dyDescent="0.15">
      <c r="A119" s="157"/>
      <c r="B119" s="455" t="s">
        <v>180</v>
      </c>
      <c r="C119" s="456"/>
      <c r="D119" s="456"/>
      <c r="E119" s="456"/>
      <c r="F119" s="456"/>
      <c r="G119" s="457"/>
      <c r="H119" s="456"/>
      <c r="I119" s="456"/>
      <c r="J119" s="456"/>
      <c r="K119" s="456"/>
      <c r="L119" s="457"/>
      <c r="M119" s="456"/>
      <c r="N119" s="456"/>
      <c r="O119" s="456"/>
      <c r="P119" s="456"/>
      <c r="Q119" s="457"/>
      <c r="R119" s="456"/>
      <c r="S119" s="456"/>
      <c r="T119" s="456"/>
      <c r="U119" s="456"/>
      <c r="V119" s="457"/>
      <c r="W119" s="458"/>
      <c r="X119" s="458"/>
      <c r="Y119" s="458"/>
      <c r="Z119" s="458"/>
      <c r="AA119" s="459"/>
      <c r="AB119" s="458"/>
      <c r="AC119" s="458"/>
      <c r="AD119" s="458"/>
      <c r="AE119" s="458"/>
      <c r="AF119" s="459"/>
      <c r="AG119" s="460"/>
      <c r="AH119" s="458"/>
      <c r="AI119" s="458"/>
      <c r="AJ119" s="460"/>
      <c r="AK119" s="459"/>
      <c r="AL119" s="458"/>
      <c r="AM119" s="460"/>
      <c r="AN119" s="460"/>
      <c r="AO119" s="458"/>
      <c r="AP119" s="459"/>
      <c r="AQ119" s="460"/>
      <c r="AR119" s="458"/>
      <c r="AS119" s="458"/>
      <c r="AT119" s="458"/>
      <c r="AU119" s="459"/>
      <c r="AV119" s="458"/>
      <c r="AW119" s="458"/>
      <c r="AX119" s="461">
        <f>AX120-AX118</f>
        <v>-2.3018792311763459E-2</v>
      </c>
      <c r="AY119" s="458"/>
      <c r="AZ119" s="459"/>
      <c r="BA119" s="461">
        <f>BA120-BA118</f>
        <v>-0.14925373134328357</v>
      </c>
      <c r="BB119" s="461">
        <f>BB120-BB118</f>
        <v>-0.17031702898550732</v>
      </c>
      <c r="BC119" s="461">
        <f>BC120-BC118</f>
        <v>-0.1621107677680057</v>
      </c>
      <c r="BD119" s="461">
        <f>BD120-BD118</f>
        <v>-0.11631205673758882</v>
      </c>
      <c r="BE119" s="463">
        <f>AVERAGE(BA119:BD119)</f>
        <v>-0.14949839620859634</v>
      </c>
      <c r="BF119" s="464">
        <v>-0.06</v>
      </c>
      <c r="BG119" s="464">
        <v>-0.05</v>
      </c>
      <c r="BH119" s="464">
        <v>-0.03</v>
      </c>
      <c r="BI119" s="465">
        <v>0</v>
      </c>
      <c r="BJ119" s="463">
        <f>AVERAGE(BF119:BI119)</f>
        <v>-3.5000000000000003E-2</v>
      </c>
      <c r="BK119" s="28"/>
      <c r="BL119" s="28"/>
      <c r="BM119" s="28"/>
      <c r="BN119" s="28"/>
      <c r="BO119" s="459"/>
      <c r="BP119" s="459"/>
      <c r="BQ119" s="459"/>
      <c r="BR119" s="459"/>
      <c r="BS119" s="459"/>
      <c r="BT119" s="459"/>
      <c r="BU119" s="28"/>
      <c r="BV119" s="28"/>
      <c r="BW119" s="28"/>
      <c r="BX119" s="28"/>
      <c r="BY119" s="459"/>
      <c r="BZ119" s="459"/>
      <c r="CA119" s="459"/>
      <c r="CB119" s="459"/>
      <c r="CC119" s="459"/>
      <c r="CD119" s="459"/>
      <c r="CE119" s="157"/>
      <c r="CF119" s="466"/>
    </row>
    <row r="120" spans="1:84" s="467" customFormat="1" x14ac:dyDescent="0.15">
      <c r="B120" s="468" t="s">
        <v>126</v>
      </c>
      <c r="C120" s="469"/>
      <c r="D120" s="469"/>
      <c r="E120" s="469"/>
      <c r="F120" s="469"/>
      <c r="G120" s="470"/>
      <c r="H120" s="471"/>
      <c r="I120" s="471"/>
      <c r="J120" s="471"/>
      <c r="K120" s="471"/>
      <c r="L120" s="319"/>
      <c r="M120" s="471"/>
      <c r="N120" s="471"/>
      <c r="O120" s="471"/>
      <c r="P120" s="471"/>
      <c r="Q120" s="319"/>
      <c r="R120" s="471"/>
      <c r="S120" s="471"/>
      <c r="T120" s="471"/>
      <c r="U120" s="471"/>
      <c r="V120" s="319"/>
      <c r="W120" s="461"/>
      <c r="X120" s="461"/>
      <c r="Y120" s="461"/>
      <c r="Z120" s="461"/>
      <c r="AA120" s="372"/>
      <c r="AB120" s="461"/>
      <c r="AC120" s="461"/>
      <c r="AD120" s="461"/>
      <c r="AE120" s="461"/>
      <c r="AF120" s="372"/>
      <c r="AG120" s="461"/>
      <c r="AH120" s="461"/>
      <c r="AI120" s="461"/>
      <c r="AJ120" s="461"/>
      <c r="AK120" s="372"/>
      <c r="AL120" s="461"/>
      <c r="AM120" s="461"/>
      <c r="AN120" s="461"/>
      <c r="AO120" s="461"/>
      <c r="AP120" s="372"/>
      <c r="AQ120" s="461"/>
      <c r="AR120" s="461"/>
      <c r="AS120" s="461"/>
      <c r="AT120" s="461"/>
      <c r="AU120" s="372"/>
      <c r="AV120" s="461">
        <f t="shared" ref="AV120:BE120" si="63">AV117/AQ117-1</f>
        <v>2.2326848249027234</v>
      </c>
      <c r="AW120" s="461">
        <f t="shared" si="63"/>
        <v>2.1252653927813161</v>
      </c>
      <c r="AX120" s="461">
        <f>AX117/AS117-1</f>
        <v>0.28698120768823654</v>
      </c>
      <c r="AY120" s="461">
        <f t="shared" si="63"/>
        <v>-0.12742485127028791</v>
      </c>
      <c r="AZ120" s="372">
        <f t="shared" si="63"/>
        <v>0.57259485085453843</v>
      </c>
      <c r="BA120" s="461">
        <f t="shared" si="63"/>
        <v>-0.1316803081367357</v>
      </c>
      <c r="BB120" s="461">
        <f t="shared" si="63"/>
        <v>-0.10031702898550732</v>
      </c>
      <c r="BC120" s="461">
        <f t="shared" si="63"/>
        <v>-0.1621107677680057</v>
      </c>
      <c r="BD120" s="461">
        <f t="shared" si="63"/>
        <v>-0.14089834515366439</v>
      </c>
      <c r="BE120" s="472">
        <f t="shared" si="63"/>
        <v>-0.13335685306050449</v>
      </c>
      <c r="BF120" s="473">
        <f t="shared" ref="BF120:BI120" si="64">SUM(BF118:BF119)</f>
        <v>-0.06</v>
      </c>
      <c r="BG120" s="473">
        <f t="shared" si="64"/>
        <v>-3.0000000000000002E-2</v>
      </c>
      <c r="BH120" s="473">
        <f t="shared" si="64"/>
        <v>-9.9999999999999985E-3</v>
      </c>
      <c r="BI120" s="474">
        <f t="shared" si="64"/>
        <v>0.02</v>
      </c>
      <c r="BJ120" s="475">
        <f t="shared" ref="BJ120" si="65">BJ117/BE117-1</f>
        <v>-2.023068050749699E-2</v>
      </c>
      <c r="BK120" s="476"/>
      <c r="BL120" s="476"/>
      <c r="BM120" s="476"/>
      <c r="BN120" s="476"/>
      <c r="BO120" s="477">
        <v>0.02</v>
      </c>
      <c r="BP120" s="477"/>
      <c r="BQ120" s="477"/>
      <c r="BR120" s="477"/>
      <c r="BS120" s="477"/>
      <c r="BT120" s="477">
        <v>0.02</v>
      </c>
      <c r="BU120" s="476"/>
      <c r="BV120" s="476"/>
      <c r="BW120" s="476"/>
      <c r="BX120" s="476"/>
      <c r="BY120" s="477">
        <v>0.02</v>
      </c>
      <c r="BZ120" s="477"/>
      <c r="CA120" s="477"/>
      <c r="CB120" s="477"/>
      <c r="CC120" s="477"/>
      <c r="CD120" s="477">
        <v>0.02</v>
      </c>
      <c r="CF120" s="478"/>
    </row>
    <row r="121" spans="1:84" s="483" customFormat="1" x14ac:dyDescent="0.15">
      <c r="A121" s="480"/>
      <c r="B121" s="481" t="s">
        <v>181</v>
      </c>
      <c r="C121" s="452"/>
      <c r="D121" s="452"/>
      <c r="E121" s="452"/>
      <c r="F121" s="452"/>
      <c r="G121" s="482"/>
      <c r="H121" s="452"/>
      <c r="I121" s="452"/>
      <c r="J121" s="452"/>
      <c r="K121" s="452"/>
      <c r="L121" s="482"/>
      <c r="M121" s="452"/>
      <c r="N121" s="452"/>
      <c r="O121" s="452"/>
      <c r="P121" s="452"/>
      <c r="Q121" s="482"/>
      <c r="R121" s="452" t="e">
        <f>R117+#REF!</f>
        <v>#REF!</v>
      </c>
      <c r="S121" s="452" t="e">
        <f>S117+#REF!</f>
        <v>#REF!</v>
      </c>
      <c r="T121" s="452" t="e">
        <f>T117+#REF!</f>
        <v>#REF!</v>
      </c>
      <c r="U121" s="452" t="e">
        <f>U117+#REF!</f>
        <v>#REF!</v>
      </c>
      <c r="V121" s="482" t="e">
        <f>V117+#REF!</f>
        <v>#REF!</v>
      </c>
      <c r="W121" s="452" t="e">
        <f>W117+#REF!</f>
        <v>#REF!</v>
      </c>
      <c r="X121" s="452" t="e">
        <f>X117+#REF!</f>
        <v>#REF!</v>
      </c>
      <c r="Y121" s="452" t="e">
        <f>Y117+#REF!</f>
        <v>#REF!</v>
      </c>
      <c r="Z121" s="452" t="e">
        <f>Z117+#REF!</f>
        <v>#REF!</v>
      </c>
      <c r="AA121" s="482" t="e">
        <f>AA117+#REF!</f>
        <v>#REF!</v>
      </c>
      <c r="AB121" s="452"/>
      <c r="AC121" s="452"/>
      <c r="AD121" s="452"/>
      <c r="AE121" s="452"/>
      <c r="AF121" s="482"/>
      <c r="AG121" s="452"/>
      <c r="AH121" s="452"/>
      <c r="AI121" s="452"/>
      <c r="AJ121" s="452"/>
      <c r="AK121" s="482"/>
      <c r="AL121" s="452"/>
      <c r="AM121" s="452"/>
      <c r="AN121" s="452"/>
      <c r="AO121" s="452"/>
      <c r="AP121" s="482"/>
      <c r="AQ121" s="452">
        <f t="shared" ref="AQ121:BI121" si="66">AQ115+AQ117</f>
        <v>771.1</v>
      </c>
      <c r="AR121" s="452">
        <f t="shared" si="66"/>
        <v>791.8</v>
      </c>
      <c r="AS121" s="452">
        <f t="shared" si="66"/>
        <v>1142.6890000000001</v>
      </c>
      <c r="AT121" s="452">
        <f t="shared" si="66"/>
        <v>1570.3719999999998</v>
      </c>
      <c r="AU121" s="482">
        <f t="shared" si="66"/>
        <v>4275.9610000000002</v>
      </c>
      <c r="AV121" s="452">
        <f t="shared" si="66"/>
        <v>1421.8</v>
      </c>
      <c r="AW121" s="452">
        <f t="shared" si="66"/>
        <v>1479.7000000000003</v>
      </c>
      <c r="AX121" s="452">
        <f t="shared" si="66"/>
        <v>1507.9</v>
      </c>
      <c r="AY121" s="452">
        <f t="shared" si="66"/>
        <v>1757.7</v>
      </c>
      <c r="AZ121" s="482">
        <f t="shared" si="66"/>
        <v>6167.0999999999995</v>
      </c>
      <c r="BA121" s="452">
        <f t="shared" si="66"/>
        <v>1764.4</v>
      </c>
      <c r="BB121" s="452">
        <f t="shared" si="66"/>
        <v>2237.6000000000004</v>
      </c>
      <c r="BC121" s="452">
        <f t="shared" si="66"/>
        <v>2320.6999999999998</v>
      </c>
      <c r="BD121" s="452">
        <f t="shared" si="66"/>
        <v>2258</v>
      </c>
      <c r="BE121" s="482">
        <f t="shared" si="66"/>
        <v>8580.7000000000007</v>
      </c>
      <c r="BF121" s="452">
        <f t="shared" si="66"/>
        <v>1930.2280000000001</v>
      </c>
      <c r="BG121" s="452">
        <f t="shared" si="66"/>
        <v>2207.7910000000002</v>
      </c>
      <c r="BH121" s="452">
        <f t="shared" si="66"/>
        <v>2302.15</v>
      </c>
      <c r="BI121" s="452">
        <f t="shared" si="66"/>
        <v>2436.2530000000002</v>
      </c>
      <c r="BJ121" s="482">
        <f>BJ115+BJ117</f>
        <v>8876.4220000000005</v>
      </c>
      <c r="BK121" s="28"/>
      <c r="BL121" s="28"/>
      <c r="BM121" s="28"/>
      <c r="BN121" s="28"/>
      <c r="BO121" s="482">
        <f>BO115+BO117</f>
        <v>9527.9289900000003</v>
      </c>
      <c r="BP121" s="28"/>
      <c r="BQ121" s="28"/>
      <c r="BR121" s="28"/>
      <c r="BS121" s="28"/>
      <c r="BT121" s="482">
        <f>BT115+BT117</f>
        <v>10104.7933648</v>
      </c>
      <c r="BU121" s="28"/>
      <c r="BV121" s="28"/>
      <c r="BW121" s="28"/>
      <c r="BX121" s="28"/>
      <c r="BY121" s="482">
        <f>BY115+BY117</f>
        <v>10711.443747096002</v>
      </c>
      <c r="BZ121" s="28"/>
      <c r="CA121" s="28"/>
      <c r="CB121" s="28"/>
      <c r="CC121" s="28"/>
      <c r="CD121" s="482">
        <f>CD115+CD117</f>
        <v>11150.18081535792</v>
      </c>
      <c r="CE121" s="480"/>
      <c r="CF121" s="242"/>
    </row>
    <row r="122" spans="1:84" s="490" customFormat="1" x14ac:dyDescent="0.15">
      <c r="A122" s="467"/>
      <c r="B122" s="484" t="s">
        <v>126</v>
      </c>
      <c r="C122" s="485"/>
      <c r="D122" s="485"/>
      <c r="E122" s="485"/>
      <c r="F122" s="485"/>
      <c r="G122" s="486"/>
      <c r="H122" s="485"/>
      <c r="I122" s="485"/>
      <c r="J122" s="485"/>
      <c r="K122" s="485"/>
      <c r="L122" s="486"/>
      <c r="M122" s="485"/>
      <c r="N122" s="485"/>
      <c r="O122" s="485"/>
      <c r="P122" s="485"/>
      <c r="Q122" s="486"/>
      <c r="R122" s="487"/>
      <c r="S122" s="485"/>
      <c r="T122" s="485"/>
      <c r="U122" s="485"/>
      <c r="V122" s="486"/>
      <c r="W122" s="487"/>
      <c r="X122" s="485"/>
      <c r="Y122" s="485"/>
      <c r="Z122" s="485"/>
      <c r="AA122" s="486"/>
      <c r="AB122" s="487"/>
      <c r="AC122" s="487"/>
      <c r="AD122" s="487"/>
      <c r="AE122" s="487"/>
      <c r="AF122" s="472"/>
      <c r="AG122" s="487"/>
      <c r="AH122" s="487"/>
      <c r="AI122" s="487"/>
      <c r="AJ122" s="487"/>
      <c r="AK122" s="472"/>
      <c r="AL122" s="487"/>
      <c r="AM122" s="487"/>
      <c r="AN122" s="487"/>
      <c r="AO122" s="487"/>
      <c r="AP122" s="472"/>
      <c r="AQ122" s="488"/>
      <c r="AR122" s="487"/>
      <c r="AS122" s="487"/>
      <c r="AT122" s="487"/>
      <c r="AU122" s="472"/>
      <c r="AV122" s="487">
        <f t="shared" ref="AV122:BJ122" si="67">AV121/AQ121-1</f>
        <v>0.84385942160549843</v>
      </c>
      <c r="AW122" s="487">
        <f t="shared" si="67"/>
        <v>0.86877999494821978</v>
      </c>
      <c r="AX122" s="487">
        <f t="shared" si="67"/>
        <v>0.31960664712795861</v>
      </c>
      <c r="AY122" s="487">
        <f t="shared" si="67"/>
        <v>0.11928893281337172</v>
      </c>
      <c r="AZ122" s="472">
        <f t="shared" si="67"/>
        <v>0.44227227516808476</v>
      </c>
      <c r="BA122" s="487">
        <f t="shared" si="67"/>
        <v>0.24096216064144049</v>
      </c>
      <c r="BB122" s="487">
        <f t="shared" si="67"/>
        <v>0.51219841859836457</v>
      </c>
      <c r="BC122" s="487">
        <f t="shared" si="67"/>
        <v>0.53902778698852694</v>
      </c>
      <c r="BD122" s="487">
        <f t="shared" si="67"/>
        <v>0.28463332764408023</v>
      </c>
      <c r="BE122" s="472">
        <f t="shared" si="67"/>
        <v>0.39136709312318607</v>
      </c>
      <c r="BF122" s="487">
        <f t="shared" si="67"/>
        <v>9.3985490818408568E-2</v>
      </c>
      <c r="BG122" s="487">
        <f t="shared" si="67"/>
        <v>-1.3321862710046539E-2</v>
      </c>
      <c r="BH122" s="487">
        <f t="shared" si="67"/>
        <v>-7.9932778902915835E-3</v>
      </c>
      <c r="BI122" s="487">
        <f t="shared" si="67"/>
        <v>7.8942869796279957E-2</v>
      </c>
      <c r="BJ122" s="472">
        <f t="shared" si="67"/>
        <v>3.4463621849033288E-2</v>
      </c>
      <c r="BK122" s="376"/>
      <c r="BL122" s="376"/>
      <c r="BM122" s="376"/>
      <c r="BN122" s="376"/>
      <c r="BO122" s="472">
        <f t="shared" ref="BO122" si="68">BO121/BJ121-1</f>
        <v>7.3397478173074626E-2</v>
      </c>
      <c r="BP122" s="376"/>
      <c r="BQ122" s="376"/>
      <c r="BR122" s="376"/>
      <c r="BS122" s="376"/>
      <c r="BT122" s="472">
        <f t="shared" ref="BT122" si="69">BT121/BO121-1</f>
        <v>6.054457116603662E-2</v>
      </c>
      <c r="BU122" s="376"/>
      <c r="BV122" s="376"/>
      <c r="BW122" s="376"/>
      <c r="BX122" s="376"/>
      <c r="BY122" s="472">
        <f t="shared" ref="BY122" si="70">BY121/BT121-1</f>
        <v>6.0035901813615178E-2</v>
      </c>
      <c r="BZ122" s="376"/>
      <c r="CA122" s="376"/>
      <c r="CB122" s="376"/>
      <c r="CC122" s="376"/>
      <c r="CD122" s="472">
        <f t="shared" ref="CD122" si="71">CD121/BY121-1</f>
        <v>4.0959657598058641E-2</v>
      </c>
      <c r="CE122" s="467"/>
      <c r="CF122" s="489"/>
    </row>
    <row r="123" spans="1:84" s="390" customFormat="1" x14ac:dyDescent="0.15">
      <c r="A123" s="8"/>
      <c r="B123" s="491"/>
      <c r="C123" s="492"/>
      <c r="D123" s="492"/>
      <c r="E123" s="492"/>
      <c r="F123" s="492"/>
      <c r="G123" s="492"/>
      <c r="H123" s="492"/>
      <c r="I123" s="492"/>
      <c r="J123" s="492"/>
      <c r="K123" s="492"/>
      <c r="L123" s="492"/>
      <c r="M123" s="492"/>
      <c r="N123" s="492"/>
      <c r="O123" s="492"/>
      <c r="P123" s="492"/>
      <c r="Q123" s="492"/>
      <c r="R123" s="492"/>
      <c r="S123" s="492"/>
      <c r="T123" s="492"/>
      <c r="U123" s="492"/>
      <c r="V123" s="492"/>
      <c r="W123" s="493"/>
      <c r="X123" s="492"/>
      <c r="Y123" s="492"/>
      <c r="Z123" s="492"/>
      <c r="AA123" s="492"/>
      <c r="AB123" s="493"/>
      <c r="AC123" s="493"/>
      <c r="AD123" s="492"/>
      <c r="AE123" s="492"/>
      <c r="AF123" s="492"/>
      <c r="AG123" s="492"/>
      <c r="AH123" s="492"/>
      <c r="AI123" s="492"/>
      <c r="AJ123" s="492"/>
      <c r="AK123" s="492"/>
      <c r="AL123" s="492"/>
      <c r="AM123" s="492"/>
      <c r="AN123" s="492"/>
      <c r="AO123" s="492"/>
      <c r="AP123" s="492"/>
      <c r="AQ123" s="492"/>
      <c r="AR123" s="492"/>
      <c r="AS123" s="492"/>
      <c r="AT123" s="492"/>
      <c r="AU123" s="492"/>
      <c r="AV123" s="492"/>
      <c r="AW123" s="492"/>
      <c r="AX123" s="492"/>
      <c r="AY123" s="492"/>
      <c r="AZ123" s="494"/>
      <c r="BA123" s="28"/>
      <c r="BB123" s="191"/>
      <c r="BC123" s="28"/>
      <c r="BD123" s="28"/>
      <c r="BE123" s="495"/>
      <c r="BF123" s="28"/>
      <c r="BG123" s="28"/>
      <c r="BH123" s="28"/>
      <c r="BI123" s="28"/>
      <c r="BJ123" s="496"/>
      <c r="BK123" s="28"/>
      <c r="BL123" s="28"/>
      <c r="BM123" s="28"/>
      <c r="BN123" s="28"/>
      <c r="BO123" s="8"/>
      <c r="BP123" s="28"/>
      <c r="BQ123" s="28"/>
      <c r="BR123" s="28"/>
      <c r="BS123" s="28"/>
      <c r="BT123" s="8"/>
      <c r="BU123" s="28"/>
      <c r="BV123" s="28"/>
      <c r="BW123" s="28"/>
      <c r="BX123" s="28"/>
      <c r="BY123" s="8"/>
      <c r="BZ123" s="28"/>
      <c r="CA123" s="28"/>
      <c r="CB123" s="28"/>
      <c r="CC123" s="28"/>
      <c r="CD123" s="8"/>
      <c r="CE123" s="8"/>
      <c r="CF123" s="497"/>
    </row>
    <row r="124" spans="1:84" x14ac:dyDescent="0.15">
      <c r="B124" s="225" t="s">
        <v>182</v>
      </c>
      <c r="C124" s="226"/>
      <c r="D124" s="226"/>
      <c r="E124" s="226"/>
      <c r="F124" s="226"/>
      <c r="G124" s="227"/>
      <c r="H124" s="226"/>
      <c r="I124" s="226"/>
      <c r="J124" s="226"/>
      <c r="K124" s="226"/>
      <c r="L124" s="227"/>
      <c r="M124" s="226"/>
      <c r="N124" s="226"/>
      <c r="O124" s="226"/>
      <c r="P124" s="226"/>
      <c r="Q124" s="227"/>
      <c r="R124" s="226"/>
      <c r="S124" s="226"/>
      <c r="T124" s="226"/>
      <c r="U124" s="226"/>
      <c r="V124" s="227"/>
      <c r="W124" s="226"/>
      <c r="X124" s="226"/>
      <c r="Y124" s="226"/>
      <c r="Z124" s="226"/>
      <c r="AA124" s="227"/>
      <c r="AB124" s="226"/>
      <c r="AC124" s="226"/>
      <c r="AD124" s="226"/>
      <c r="AE124" s="226"/>
      <c r="AF124" s="227"/>
      <c r="AG124" s="226" t="s">
        <v>39</v>
      </c>
      <c r="AH124" s="226"/>
      <c r="AI124" s="226"/>
      <c r="AJ124" s="226"/>
      <c r="AK124" s="227"/>
      <c r="AL124" s="226"/>
      <c r="AM124" s="226"/>
      <c r="AN124" s="226"/>
      <c r="AO124" s="226"/>
      <c r="AP124" s="227"/>
      <c r="AQ124" s="226"/>
      <c r="AR124" s="226"/>
      <c r="AS124" s="226"/>
      <c r="AT124" s="226"/>
      <c r="AU124" s="227"/>
      <c r="AV124" s="226"/>
      <c r="AW124" s="226"/>
      <c r="AX124" s="226"/>
      <c r="AY124" s="226"/>
      <c r="AZ124" s="227"/>
      <c r="BA124" s="226"/>
      <c r="BB124" s="226"/>
      <c r="BC124" s="226"/>
      <c r="BD124" s="226"/>
      <c r="BE124" s="227"/>
      <c r="BF124" s="498"/>
      <c r="BG124" s="499"/>
      <c r="BH124" s="499"/>
      <c r="BI124" s="500"/>
      <c r="BJ124" s="501"/>
      <c r="BK124" s="228"/>
      <c r="BL124" s="228"/>
      <c r="BM124" s="228"/>
      <c r="BN124" s="228"/>
      <c r="BO124" s="227"/>
      <c r="BP124" s="228"/>
      <c r="BQ124" s="228"/>
      <c r="BR124" s="228"/>
      <c r="BS124" s="228"/>
      <c r="BT124" s="227"/>
      <c r="BU124" s="228"/>
      <c r="BV124" s="228"/>
      <c r="BW124" s="228"/>
      <c r="BX124" s="228"/>
      <c r="BY124" s="227"/>
      <c r="BZ124" s="228"/>
      <c r="CA124" s="228"/>
      <c r="CB124" s="228"/>
      <c r="CC124" s="228"/>
      <c r="CD124" s="227"/>
      <c r="CF124" s="229"/>
    </row>
    <row r="125" spans="1:84" s="454" customFormat="1" x14ac:dyDescent="0.15">
      <c r="A125" s="502"/>
      <c r="B125" s="503" t="s">
        <v>183</v>
      </c>
      <c r="C125" s="504"/>
      <c r="D125" s="504"/>
      <c r="E125" s="504"/>
      <c r="F125" s="504"/>
      <c r="G125" s="459"/>
      <c r="H125" s="504"/>
      <c r="I125" s="504"/>
      <c r="J125" s="504"/>
      <c r="K125" s="504"/>
      <c r="L125" s="459"/>
      <c r="M125" s="504"/>
      <c r="N125" s="504"/>
      <c r="O125" s="504"/>
      <c r="P125" s="504"/>
      <c r="Q125" s="459"/>
      <c r="R125" s="275">
        <v>37.953000000000003</v>
      </c>
      <c r="S125" s="275">
        <v>38.5</v>
      </c>
      <c r="T125" s="275">
        <v>40.43</v>
      </c>
      <c r="U125" s="275">
        <v>35.920999999999999</v>
      </c>
      <c r="V125" s="277">
        <f>SUM(R125:U125)</f>
        <v>152.804</v>
      </c>
      <c r="W125" s="504">
        <v>35.338000000000001</v>
      </c>
      <c r="X125" s="504">
        <v>34.031999999999996</v>
      </c>
      <c r="Y125" s="504">
        <v>40.234000000000002</v>
      </c>
      <c r="Z125" s="504">
        <v>42.045999999999999</v>
      </c>
      <c r="AA125" s="277">
        <f>SUM(W125:Z125)</f>
        <v>151.65</v>
      </c>
      <c r="AB125" s="275">
        <v>41.707999999999998</v>
      </c>
      <c r="AC125" s="275">
        <v>40.784999999999997</v>
      </c>
      <c r="AD125" s="505">
        <v>42.2</v>
      </c>
      <c r="AE125" s="505">
        <v>48.31</v>
      </c>
      <c r="AF125" s="41">
        <f>SUM(AB125:AE125)</f>
        <v>173.00299999999999</v>
      </c>
      <c r="AG125" s="460">
        <v>76.093000000000004</v>
      </c>
      <c r="AH125" s="460">
        <v>116.3</v>
      </c>
      <c r="AI125" s="505">
        <v>134.05500000000001</v>
      </c>
      <c r="AJ125" s="505">
        <v>144.33500000000001</v>
      </c>
      <c r="AK125" s="41">
        <f>SUM(AG125:AJ125)</f>
        <v>470.78300000000002</v>
      </c>
      <c r="AL125" s="506">
        <f>AL137-AL133-AL129</f>
        <v>156.90900000000002</v>
      </c>
      <c r="AM125" s="506">
        <f>AM137-AM133-AM129</f>
        <v>156.71700000000001</v>
      </c>
      <c r="AN125" s="506">
        <f>AN137-AN133-AN129</f>
        <v>149.40900000000002</v>
      </c>
      <c r="AO125" s="506">
        <f>AO137-AO133-AO129</f>
        <v>193.66</v>
      </c>
      <c r="AP125" s="41">
        <f>SUM(AL125:AO125)</f>
        <v>656.69500000000005</v>
      </c>
      <c r="AQ125" s="507">
        <f>186.166+4</f>
        <v>190.166</v>
      </c>
      <c r="AR125" s="507">
        <f>186.377+4</f>
        <v>190.37700000000001</v>
      </c>
      <c r="AS125" s="507">
        <f>205.147+10</f>
        <v>215.14699999999999</v>
      </c>
      <c r="AT125" s="507">
        <f>244.735+10</f>
        <v>254.73500000000001</v>
      </c>
      <c r="AU125" s="41">
        <f>SUM(AQ125:AT125)</f>
        <v>850.42500000000007</v>
      </c>
      <c r="AV125" s="507">
        <f>237.1+12</f>
        <v>249.1</v>
      </c>
      <c r="AW125" s="275">
        <v>315.5</v>
      </c>
      <c r="AX125" s="507">
        <f>279.4+12</f>
        <v>291.39999999999998</v>
      </c>
      <c r="AY125" s="507">
        <f>266.7+12</f>
        <v>278.7</v>
      </c>
      <c r="AZ125" s="41">
        <f>SUM(AV125:AY125)</f>
        <v>1134.7</v>
      </c>
      <c r="BA125" s="275">
        <v>212.1</v>
      </c>
      <c r="BB125" s="275">
        <v>254.9</v>
      </c>
      <c r="BC125" s="275">
        <v>224.7</v>
      </c>
      <c r="BD125" s="275">
        <v>284.7</v>
      </c>
      <c r="BE125" s="41">
        <f>SUM(BA125:BD125)</f>
        <v>976.40000000000009</v>
      </c>
      <c r="BF125" s="508">
        <f>BA125*(1+BF128)</f>
        <v>246.03599999999997</v>
      </c>
      <c r="BG125" s="460">
        <f t="shared" ref="BG125:BI125" si="72">BB125*(1+BG128)</f>
        <v>295.68400000000003</v>
      </c>
      <c r="BH125" s="460">
        <f t="shared" si="72"/>
        <v>271.887</v>
      </c>
      <c r="BI125" s="509">
        <f t="shared" si="72"/>
        <v>318.86400000000003</v>
      </c>
      <c r="BJ125" s="510">
        <f>SUM(BF125:BI125)</f>
        <v>1132.471</v>
      </c>
      <c r="BK125" s="157"/>
      <c r="BL125" s="157"/>
      <c r="BM125" s="157"/>
      <c r="BN125" s="157"/>
      <c r="BO125" s="41">
        <f>BJ125*(1+BO128)</f>
        <v>1189.09455</v>
      </c>
      <c r="BP125" s="157"/>
      <c r="BQ125" s="157"/>
      <c r="BR125" s="157"/>
      <c r="BS125" s="157"/>
      <c r="BT125" s="41">
        <f>BO125*(1+BT128)</f>
        <v>1248.5492775</v>
      </c>
      <c r="BU125" s="157"/>
      <c r="BV125" s="157"/>
      <c r="BW125" s="157"/>
      <c r="BX125" s="157"/>
      <c r="BY125" s="41">
        <f>BT125*(1+BY128)</f>
        <v>1310.9767413750001</v>
      </c>
      <c r="BZ125" s="157"/>
      <c r="CA125" s="157"/>
      <c r="CB125" s="157"/>
      <c r="CC125" s="157"/>
      <c r="CD125" s="41">
        <f>BY125*(1+CD128)</f>
        <v>1376.5255784437502</v>
      </c>
      <c r="CE125" s="157"/>
      <c r="CF125" s="466"/>
    </row>
    <row r="126" spans="1:84" s="454" customFormat="1" x14ac:dyDescent="0.15">
      <c r="A126" s="157"/>
      <c r="B126" s="511" t="s">
        <v>179</v>
      </c>
      <c r="C126" s="456"/>
      <c r="D126" s="456"/>
      <c r="E126" s="456"/>
      <c r="F126" s="456"/>
      <c r="G126" s="457"/>
      <c r="H126" s="456"/>
      <c r="I126" s="456"/>
      <c r="J126" s="456"/>
      <c r="K126" s="456"/>
      <c r="L126" s="457"/>
      <c r="M126" s="456"/>
      <c r="N126" s="456"/>
      <c r="O126" s="456"/>
      <c r="P126" s="456"/>
      <c r="Q126" s="457"/>
      <c r="R126" s="456"/>
      <c r="S126" s="456"/>
      <c r="T126" s="456"/>
      <c r="U126" s="456"/>
      <c r="V126" s="457"/>
      <c r="W126" s="458"/>
      <c r="X126" s="458"/>
      <c r="Y126" s="458"/>
      <c r="Z126" s="458"/>
      <c r="AA126" s="459"/>
      <c r="AB126" s="458"/>
      <c r="AC126" s="458"/>
      <c r="AD126" s="458"/>
      <c r="AE126" s="458"/>
      <c r="AF126" s="459"/>
      <c r="AG126" s="460"/>
      <c r="AH126" s="458"/>
      <c r="AI126" s="458"/>
      <c r="AJ126" s="460"/>
      <c r="AK126" s="459"/>
      <c r="AL126" s="458"/>
      <c r="AM126" s="460"/>
      <c r="AN126" s="460"/>
      <c r="AO126" s="458"/>
      <c r="AP126" s="459"/>
      <c r="AQ126" s="460"/>
      <c r="AR126" s="458"/>
      <c r="AS126" s="458"/>
      <c r="AT126" s="458"/>
      <c r="AU126" s="459"/>
      <c r="AV126" s="458"/>
      <c r="AW126" s="458"/>
      <c r="AX126" s="458"/>
      <c r="AY126" s="458"/>
      <c r="AZ126" s="459"/>
      <c r="BA126" s="461">
        <f>272.2/AV125-1</f>
        <v>9.273384183059008E-2</v>
      </c>
      <c r="BB126" s="461">
        <v>0.04</v>
      </c>
      <c r="BC126" s="461">
        <v>-0.01</v>
      </c>
      <c r="BD126" s="512">
        <f>332.1/AY125-1</f>
        <v>0.19160387513455346</v>
      </c>
      <c r="BE126" s="463">
        <f>BE128-BE127</f>
        <v>7.6070503965202624E-2</v>
      </c>
      <c r="BF126" s="513">
        <v>0.23</v>
      </c>
      <c r="BG126" s="514">
        <v>0.28000000000000003</v>
      </c>
      <c r="BH126" s="514">
        <v>0.28000000000000003</v>
      </c>
      <c r="BI126" s="515">
        <v>0.12</v>
      </c>
      <c r="BJ126" s="463">
        <f>BJ128-BJ127</f>
        <v>0.22484330192544039</v>
      </c>
      <c r="BK126" s="28"/>
      <c r="BL126" s="28"/>
      <c r="BM126" s="28"/>
      <c r="BN126" s="28"/>
      <c r="BO126" s="459"/>
      <c r="BP126" s="459"/>
      <c r="BQ126" s="459"/>
      <c r="BR126" s="459"/>
      <c r="BS126" s="459"/>
      <c r="BT126" s="459"/>
      <c r="BU126" s="28"/>
      <c r="BV126" s="28"/>
      <c r="BW126" s="28"/>
      <c r="BX126" s="28"/>
      <c r="BY126" s="459"/>
      <c r="BZ126" s="459"/>
      <c r="CA126" s="459"/>
      <c r="CB126" s="459"/>
      <c r="CC126" s="459"/>
      <c r="CD126" s="459"/>
      <c r="CE126" s="157"/>
      <c r="CF126" s="466"/>
    </row>
    <row r="127" spans="1:84" s="454" customFormat="1" x14ac:dyDescent="0.15">
      <c r="A127" s="157"/>
      <c r="B127" s="511" t="s">
        <v>180</v>
      </c>
      <c r="C127" s="456"/>
      <c r="D127" s="456"/>
      <c r="E127" s="456"/>
      <c r="F127" s="456"/>
      <c r="G127" s="457"/>
      <c r="H127" s="456"/>
      <c r="I127" s="456"/>
      <c r="J127" s="456"/>
      <c r="K127" s="456"/>
      <c r="L127" s="457"/>
      <c r="M127" s="456"/>
      <c r="N127" s="456"/>
      <c r="O127" s="456"/>
      <c r="P127" s="456"/>
      <c r="Q127" s="457"/>
      <c r="R127" s="456"/>
      <c r="S127" s="456"/>
      <c r="T127" s="456"/>
      <c r="U127" s="456"/>
      <c r="V127" s="457"/>
      <c r="W127" s="458"/>
      <c r="X127" s="458"/>
      <c r="Y127" s="458"/>
      <c r="Z127" s="458"/>
      <c r="AA127" s="459"/>
      <c r="AB127" s="458"/>
      <c r="AC127" s="458"/>
      <c r="AD127" s="458"/>
      <c r="AE127" s="458"/>
      <c r="AF127" s="459"/>
      <c r="AG127" s="460"/>
      <c r="AH127" s="458"/>
      <c r="AI127" s="458"/>
      <c r="AJ127" s="460"/>
      <c r="AK127" s="459"/>
      <c r="AL127" s="458"/>
      <c r="AM127" s="460"/>
      <c r="AN127" s="460"/>
      <c r="AO127" s="458"/>
      <c r="AP127" s="459"/>
      <c r="AQ127" s="460"/>
      <c r="AR127" s="458"/>
      <c r="AS127" s="458"/>
      <c r="AT127" s="458"/>
      <c r="AU127" s="459"/>
      <c r="AV127" s="458"/>
      <c r="AW127" s="458"/>
      <c r="AX127" s="458"/>
      <c r="AY127" s="458"/>
      <c r="AZ127" s="459"/>
      <c r="BA127" s="461">
        <f>BA128-BA126</f>
        <v>-0.24126856684062625</v>
      </c>
      <c r="BB127" s="461">
        <f>BB128-BB126</f>
        <v>-0.23207606973058634</v>
      </c>
      <c r="BC127" s="461">
        <f>BC128-BC126</f>
        <v>-0.21889498970487298</v>
      </c>
      <c r="BD127" s="461">
        <f>BD128-BD126</f>
        <v>-0.17007534983853634</v>
      </c>
      <c r="BE127" s="463">
        <f>AVERAGE(BA127:BD127)</f>
        <v>-0.21557874402865548</v>
      </c>
      <c r="BF127" s="517">
        <v>-7.0000000000000007E-2</v>
      </c>
      <c r="BG127" s="516">
        <v>-0.12</v>
      </c>
      <c r="BH127" s="516">
        <v>-7.0000000000000007E-2</v>
      </c>
      <c r="BI127" s="518">
        <v>0</v>
      </c>
      <c r="BJ127" s="519">
        <f>AVERAGE(BF127:BI127)</f>
        <v>-6.5000000000000002E-2</v>
      </c>
      <c r="BK127" s="285"/>
      <c r="BL127" s="285"/>
      <c r="BM127" s="285"/>
      <c r="BN127" s="285"/>
      <c r="BO127" s="332"/>
      <c r="BP127" s="332"/>
      <c r="BQ127" s="332"/>
      <c r="BR127" s="332"/>
      <c r="BS127" s="332"/>
      <c r="BT127" s="332"/>
      <c r="BU127" s="285"/>
      <c r="BV127" s="285"/>
      <c r="BW127" s="285"/>
      <c r="BX127" s="285"/>
      <c r="BY127" s="332"/>
      <c r="BZ127" s="332"/>
      <c r="CA127" s="332"/>
      <c r="CB127" s="332"/>
      <c r="CC127" s="332"/>
      <c r="CD127" s="332"/>
      <c r="CE127" s="157"/>
      <c r="CF127" s="466"/>
    </row>
    <row r="128" spans="1:84" s="529" customFormat="1" x14ac:dyDescent="0.15">
      <c r="A128" s="520"/>
      <c r="B128" s="521" t="s">
        <v>126</v>
      </c>
      <c r="C128" s="522"/>
      <c r="D128" s="522"/>
      <c r="E128" s="522"/>
      <c r="F128" s="522"/>
      <c r="G128" s="523"/>
      <c r="H128" s="522"/>
      <c r="I128" s="522"/>
      <c r="J128" s="522"/>
      <c r="K128" s="522"/>
      <c r="L128" s="523"/>
      <c r="M128" s="522"/>
      <c r="N128" s="522"/>
      <c r="O128" s="522"/>
      <c r="P128" s="522"/>
      <c r="Q128" s="523"/>
      <c r="R128" s="522"/>
      <c r="S128" s="522"/>
      <c r="T128" s="522"/>
      <c r="U128" s="522"/>
      <c r="V128" s="523"/>
      <c r="W128" s="487">
        <f t="shared" ref="W128:BE128" si="73">W125/R125-1</f>
        <v>-6.8901009142887326E-2</v>
      </c>
      <c r="X128" s="487">
        <f t="shared" si="73"/>
        <v>-0.11605194805194818</v>
      </c>
      <c r="Y128" s="487">
        <f t="shared" si="73"/>
        <v>-4.847885233737248E-3</v>
      </c>
      <c r="Z128" s="487">
        <f t="shared" si="73"/>
        <v>0.17051307034882113</v>
      </c>
      <c r="AA128" s="472">
        <f t="shared" si="73"/>
        <v>-7.5521583204627429E-3</v>
      </c>
      <c r="AB128" s="487">
        <f t="shared" si="73"/>
        <v>0.18025921104759735</v>
      </c>
      <c r="AC128" s="487">
        <f t="shared" si="73"/>
        <v>0.19843088857545843</v>
      </c>
      <c r="AD128" s="487">
        <f t="shared" si="73"/>
        <v>4.8864144753193894E-2</v>
      </c>
      <c r="AE128" s="487">
        <f t="shared" si="73"/>
        <v>0.14897968891214397</v>
      </c>
      <c r="AF128" s="472">
        <f t="shared" si="73"/>
        <v>0.14080448400923173</v>
      </c>
      <c r="AG128" s="487">
        <f t="shared" si="73"/>
        <v>0.82442217320418165</v>
      </c>
      <c r="AH128" s="487">
        <f t="shared" si="73"/>
        <v>1.8515385558416084</v>
      </c>
      <c r="AI128" s="487">
        <f t="shared" si="73"/>
        <v>2.176658767772512</v>
      </c>
      <c r="AJ128" s="487">
        <f t="shared" si="73"/>
        <v>1.9876837093769408</v>
      </c>
      <c r="AK128" s="472">
        <f t="shared" si="73"/>
        <v>1.7212418281763902</v>
      </c>
      <c r="AL128" s="487">
        <f t="shared" si="73"/>
        <v>1.0620687842508509</v>
      </c>
      <c r="AM128" s="487">
        <f t="shared" si="73"/>
        <v>0.34752364574376626</v>
      </c>
      <c r="AN128" s="487">
        <f t="shared" si="73"/>
        <v>0.11453507888553216</v>
      </c>
      <c r="AO128" s="487">
        <f t="shared" si="73"/>
        <v>0.3417397027747946</v>
      </c>
      <c r="AP128" s="472">
        <f t="shared" si="73"/>
        <v>0.3948995609442143</v>
      </c>
      <c r="AQ128" s="487">
        <f t="shared" si="73"/>
        <v>0.2119508759854436</v>
      </c>
      <c r="AR128" s="487">
        <f t="shared" si="73"/>
        <v>0.21478205938092221</v>
      </c>
      <c r="AS128" s="487">
        <f t="shared" si="73"/>
        <v>0.43998688164702227</v>
      </c>
      <c r="AT128" s="487">
        <f t="shared" si="73"/>
        <v>0.31537230197252919</v>
      </c>
      <c r="AU128" s="472">
        <f t="shared" si="73"/>
        <v>0.29500757581525661</v>
      </c>
      <c r="AV128" s="487">
        <f t="shared" si="73"/>
        <v>0.30990818548005428</v>
      </c>
      <c r="AW128" s="487">
        <f t="shared" si="73"/>
        <v>0.65723800669198473</v>
      </c>
      <c r="AX128" s="487">
        <f>AX125/AS125-1</f>
        <v>0.35442278999939569</v>
      </c>
      <c r="AY128" s="487">
        <f t="shared" si="73"/>
        <v>9.4078159656113103E-2</v>
      </c>
      <c r="AZ128" s="524">
        <f t="shared" si="73"/>
        <v>0.33427403945086276</v>
      </c>
      <c r="BA128" s="487">
        <f t="shared" si="73"/>
        <v>-0.14853472501003617</v>
      </c>
      <c r="BB128" s="487">
        <f t="shared" si="73"/>
        <v>-0.19207606973058633</v>
      </c>
      <c r="BC128" s="487">
        <f t="shared" si="73"/>
        <v>-0.22889498970487299</v>
      </c>
      <c r="BD128" s="487">
        <f t="shared" si="73"/>
        <v>2.152852529601712E-2</v>
      </c>
      <c r="BE128" s="524">
        <f t="shared" si="73"/>
        <v>-0.13950824006345286</v>
      </c>
      <c r="BF128" s="488">
        <f t="shared" ref="BF128:BI128" si="74">SUM(BF126:BF127)</f>
        <v>0.16</v>
      </c>
      <c r="BG128" s="487">
        <f t="shared" si="74"/>
        <v>0.16000000000000003</v>
      </c>
      <c r="BH128" s="487">
        <f t="shared" si="74"/>
        <v>0.21000000000000002</v>
      </c>
      <c r="BI128" s="525">
        <f t="shared" si="74"/>
        <v>0.12</v>
      </c>
      <c r="BJ128" s="445">
        <f t="shared" ref="BJ128" si="75">BJ125/BE125-1</f>
        <v>0.15984330192544038</v>
      </c>
      <c r="BK128" s="526"/>
      <c r="BL128" s="526"/>
      <c r="BM128" s="526"/>
      <c r="BN128" s="526"/>
      <c r="BO128" s="527">
        <v>0.05</v>
      </c>
      <c r="BP128" s="526"/>
      <c r="BQ128" s="526"/>
      <c r="BR128" s="526"/>
      <c r="BS128" s="526"/>
      <c r="BT128" s="527">
        <v>0.05</v>
      </c>
      <c r="BU128" s="526"/>
      <c r="BV128" s="526"/>
      <c r="BW128" s="526"/>
      <c r="BX128" s="526"/>
      <c r="BY128" s="527">
        <v>0.05</v>
      </c>
      <c r="BZ128" s="526"/>
      <c r="CA128" s="526"/>
      <c r="CB128" s="526"/>
      <c r="CC128" s="526"/>
      <c r="CD128" s="527">
        <v>0.05</v>
      </c>
      <c r="CE128" s="520"/>
      <c r="CF128" s="528"/>
    </row>
    <row r="129" spans="1:84" s="534" customFormat="1" x14ac:dyDescent="0.15">
      <c r="A129" s="533"/>
      <c r="B129" s="503" t="s">
        <v>184</v>
      </c>
      <c r="G129" s="535"/>
      <c r="L129" s="535"/>
      <c r="Q129" s="535"/>
      <c r="R129" s="533"/>
      <c r="S129" s="533"/>
      <c r="T129" s="533"/>
      <c r="U129" s="533"/>
      <c r="V129" s="536"/>
      <c r="W129" s="537"/>
      <c r="X129" s="537"/>
      <c r="Y129" s="537"/>
      <c r="Z129" s="537"/>
      <c r="AA129" s="538"/>
      <c r="AB129" s="275">
        <v>42.057000000000002</v>
      </c>
      <c r="AC129" s="275">
        <v>51.771999999999998</v>
      </c>
      <c r="AD129" s="505">
        <v>51.7</v>
      </c>
      <c r="AE129" s="505">
        <v>69.037999999999997</v>
      </c>
      <c r="AF129" s="41">
        <f>SUM(AB129:AE129)</f>
        <v>214.56700000000001</v>
      </c>
      <c r="AG129" s="504">
        <v>56.383000000000003</v>
      </c>
      <c r="AH129" s="539">
        <v>64.730999999999995</v>
      </c>
      <c r="AI129" s="505">
        <v>67.954999999999998</v>
      </c>
      <c r="AJ129" s="505">
        <v>65.771000000000001</v>
      </c>
      <c r="AK129" s="41">
        <f>SUM(AG129:AJ129)</f>
        <v>254.84000000000003</v>
      </c>
      <c r="AL129" s="275">
        <v>72</v>
      </c>
      <c r="AM129" s="275">
        <v>73.400000000000006</v>
      </c>
      <c r="AN129" s="275">
        <v>80.599999999999994</v>
      </c>
      <c r="AO129" s="275">
        <v>95.1</v>
      </c>
      <c r="AP129" s="41">
        <f>SUM(AL129:AO129)</f>
        <v>321.10000000000002</v>
      </c>
      <c r="AQ129" s="540">
        <v>81.709000000000003</v>
      </c>
      <c r="AR129" s="275">
        <v>89.141999999999996</v>
      </c>
      <c r="AS129" s="540">
        <v>100.495</v>
      </c>
      <c r="AT129" s="275">
        <v>121.42100000000001</v>
      </c>
      <c r="AU129" s="41">
        <f>SUM(AQ129:AT129)</f>
        <v>392.767</v>
      </c>
      <c r="AV129" s="540">
        <v>99.3</v>
      </c>
      <c r="AW129" s="275">
        <v>109.8</v>
      </c>
      <c r="AX129" s="275">
        <f>113.6</f>
        <v>113.6</v>
      </c>
      <c r="AY129" s="275">
        <v>112.7</v>
      </c>
      <c r="AZ129" s="41">
        <f>SUM(AV129:AY129)</f>
        <v>435.4</v>
      </c>
      <c r="BA129" s="540">
        <v>89</v>
      </c>
      <c r="BB129" s="275">
        <v>94.3</v>
      </c>
      <c r="BC129" s="540">
        <v>92.6</v>
      </c>
      <c r="BD129" s="540">
        <v>100.4</v>
      </c>
      <c r="BE129" s="41">
        <f>SUM(BA129:BD129)</f>
        <v>376.29999999999995</v>
      </c>
      <c r="BF129" s="541">
        <f t="shared" ref="BF129:BI129" si="76">BA129*(1+BF132)</f>
        <v>73.86999999999999</v>
      </c>
      <c r="BG129" s="542">
        <f t="shared" si="76"/>
        <v>86.756</v>
      </c>
      <c r="BH129" s="542">
        <f t="shared" si="76"/>
        <v>93.525999999999996</v>
      </c>
      <c r="BI129" s="543">
        <f t="shared" si="76"/>
        <v>105.42000000000002</v>
      </c>
      <c r="BJ129" s="544">
        <f>SUM(BF129:BI129)</f>
        <v>359.572</v>
      </c>
      <c r="BK129" s="545"/>
      <c r="BL129" s="545"/>
      <c r="BM129" s="545"/>
      <c r="BN129" s="545"/>
      <c r="BO129" s="546">
        <f>BJ129*(1+BO132)</f>
        <v>377.55060000000003</v>
      </c>
      <c r="BP129" s="545"/>
      <c r="BQ129" s="545"/>
      <c r="BR129" s="545"/>
      <c r="BS129" s="545"/>
      <c r="BT129" s="546">
        <f>BO129*(1+BT132)</f>
        <v>396.42813000000007</v>
      </c>
      <c r="BU129" s="545"/>
      <c r="BV129" s="545"/>
      <c r="BW129" s="545"/>
      <c r="BX129" s="545"/>
      <c r="BY129" s="546">
        <f>BT129*(1+BY132)</f>
        <v>416.24953650000009</v>
      </c>
      <c r="BZ129" s="545"/>
      <c r="CA129" s="545"/>
      <c r="CB129" s="545"/>
      <c r="CC129" s="545"/>
      <c r="CD129" s="546">
        <f>BY129*(1+CD132)</f>
        <v>437.06201332500012</v>
      </c>
      <c r="CE129" s="533"/>
      <c r="CF129" s="547"/>
    </row>
    <row r="130" spans="1:84" s="454" customFormat="1" x14ac:dyDescent="0.15">
      <c r="A130" s="157"/>
      <c r="B130" s="511" t="s">
        <v>179</v>
      </c>
      <c r="C130" s="456"/>
      <c r="D130" s="456"/>
      <c r="E130" s="456"/>
      <c r="F130" s="456"/>
      <c r="G130" s="457"/>
      <c r="H130" s="456"/>
      <c r="I130" s="456"/>
      <c r="J130" s="456"/>
      <c r="K130" s="456"/>
      <c r="L130" s="457"/>
      <c r="M130" s="456"/>
      <c r="N130" s="456"/>
      <c r="O130" s="456"/>
      <c r="P130" s="456"/>
      <c r="Q130" s="457"/>
      <c r="R130" s="456"/>
      <c r="S130" s="456"/>
      <c r="T130" s="456"/>
      <c r="U130" s="456"/>
      <c r="V130" s="457"/>
      <c r="W130" s="458"/>
      <c r="X130" s="458"/>
      <c r="Y130" s="458"/>
      <c r="Z130" s="458"/>
      <c r="AA130" s="459"/>
      <c r="AB130" s="324"/>
      <c r="AC130" s="324"/>
      <c r="AD130" s="324"/>
      <c r="AE130" s="324"/>
      <c r="AF130" s="372"/>
      <c r="AK130" s="459"/>
      <c r="AP130" s="459"/>
      <c r="AQ130" s="324"/>
      <c r="AR130" s="324"/>
      <c r="AS130" s="461"/>
      <c r="AT130" s="512"/>
      <c r="AU130" s="372"/>
      <c r="AV130" s="324"/>
      <c r="AW130" s="324"/>
      <c r="AX130" s="324"/>
      <c r="AY130" s="324">
        <v>0.03</v>
      </c>
      <c r="AZ130" s="459"/>
      <c r="BA130" s="461">
        <f>103/AV129-1</f>
        <v>3.7260825780463191E-2</v>
      </c>
      <c r="BB130" s="461">
        <v>0.05</v>
      </c>
      <c r="BC130" s="461">
        <v>0.08</v>
      </c>
      <c r="BD130" s="461">
        <f>129.3/AY129-1</f>
        <v>0.14729370008873133</v>
      </c>
      <c r="BE130" s="463">
        <f>BE132-BE131</f>
        <v>7.7623953697838838E-2</v>
      </c>
      <c r="BF130" s="517">
        <v>0.03</v>
      </c>
      <c r="BG130" s="516">
        <v>0.08</v>
      </c>
      <c r="BH130" s="516">
        <v>0.08</v>
      </c>
      <c r="BI130" s="518">
        <v>0.05</v>
      </c>
      <c r="BJ130" s="463">
        <f>BJ132-BJ131</f>
        <v>6.3046106829657347E-2</v>
      </c>
      <c r="BK130" s="285"/>
      <c r="BL130" s="285"/>
      <c r="BM130" s="285"/>
      <c r="BN130" s="285"/>
      <c r="BO130" s="332"/>
      <c r="BP130" s="332"/>
      <c r="BQ130" s="332"/>
      <c r="BR130" s="332"/>
      <c r="BS130" s="332"/>
      <c r="BT130" s="332"/>
      <c r="BU130" s="285"/>
      <c r="BV130" s="285"/>
      <c r="BW130" s="285"/>
      <c r="BX130" s="285"/>
      <c r="BY130" s="332"/>
      <c r="BZ130" s="332"/>
      <c r="CA130" s="332"/>
      <c r="CB130" s="332"/>
      <c r="CC130" s="332"/>
      <c r="CD130" s="332"/>
      <c r="CE130" s="157"/>
      <c r="CF130" s="466"/>
    </row>
    <row r="131" spans="1:84" s="454" customFormat="1" x14ac:dyDescent="0.15">
      <c r="A131" s="157"/>
      <c r="B131" s="511" t="s">
        <v>180</v>
      </c>
      <c r="C131" s="456"/>
      <c r="D131" s="456"/>
      <c r="E131" s="456"/>
      <c r="F131" s="456"/>
      <c r="G131" s="457"/>
      <c r="H131" s="456"/>
      <c r="I131" s="456"/>
      <c r="J131" s="456"/>
      <c r="K131" s="456"/>
      <c r="L131" s="457"/>
      <c r="M131" s="456"/>
      <c r="N131" s="456"/>
      <c r="O131" s="456"/>
      <c r="P131" s="456"/>
      <c r="Q131" s="457"/>
      <c r="R131" s="456"/>
      <c r="S131" s="456"/>
      <c r="T131" s="456"/>
      <c r="U131" s="456"/>
      <c r="V131" s="457"/>
      <c r="W131" s="458"/>
      <c r="X131" s="458"/>
      <c r="Y131" s="458"/>
      <c r="Z131" s="458"/>
      <c r="AA131" s="459"/>
      <c r="AB131" s="458"/>
      <c r="AC131" s="458"/>
      <c r="AD131" s="458"/>
      <c r="AE131" s="458"/>
      <c r="AF131" s="459"/>
      <c r="AG131" s="460"/>
      <c r="AH131" s="458"/>
      <c r="AI131" s="458"/>
      <c r="AJ131" s="460"/>
      <c r="AK131" s="459"/>
      <c r="AL131" s="458"/>
      <c r="AM131" s="460"/>
      <c r="AN131" s="460"/>
      <c r="AO131" s="458"/>
      <c r="AP131" s="459"/>
      <c r="AQ131" s="460"/>
      <c r="AR131" s="458"/>
      <c r="AS131" s="458"/>
      <c r="AT131" s="458"/>
      <c r="AU131" s="459"/>
      <c r="AV131" s="458"/>
      <c r="AW131" s="458"/>
      <c r="AX131" s="458"/>
      <c r="AY131" s="324">
        <f>AY132-AY130</f>
        <v>-0.10182447846748097</v>
      </c>
      <c r="AZ131" s="459"/>
      <c r="BA131" s="461">
        <f>BA132-BA130</f>
        <v>-0.14098690835850947</v>
      </c>
      <c r="BB131" s="461">
        <f>BB132-BB130</f>
        <v>-0.19116575591985424</v>
      </c>
      <c r="BC131" s="461">
        <f>BC132-BC130</f>
        <v>-0.26485915492957751</v>
      </c>
      <c r="BD131" s="461">
        <f>BD132-BD130</f>
        <v>-0.25643300798580315</v>
      </c>
      <c r="BE131" s="463">
        <f>AVERAGE(BA131:BD131)</f>
        <v>-0.21336120679843609</v>
      </c>
      <c r="BF131" s="517">
        <v>-0.2</v>
      </c>
      <c r="BG131" s="516">
        <v>-0.16</v>
      </c>
      <c r="BH131" s="516">
        <v>-7.0000000000000007E-2</v>
      </c>
      <c r="BI131" s="518">
        <v>0</v>
      </c>
      <c r="BJ131" s="463">
        <f>AVERAGE(BF131:BI131)</f>
        <v>-0.1075</v>
      </c>
      <c r="BK131" s="285"/>
      <c r="BL131" s="285"/>
      <c r="BM131" s="285"/>
      <c r="BN131" s="285"/>
      <c r="BO131" s="332"/>
      <c r="BP131" s="332"/>
      <c r="BQ131" s="332"/>
      <c r="BR131" s="332"/>
      <c r="BS131" s="332"/>
      <c r="BT131" s="332"/>
      <c r="BU131" s="285"/>
      <c r="BV131" s="285"/>
      <c r="BW131" s="285"/>
      <c r="BX131" s="285"/>
      <c r="BY131" s="332"/>
      <c r="BZ131" s="332"/>
      <c r="CA131" s="332"/>
      <c r="CB131" s="332"/>
      <c r="CC131" s="332"/>
      <c r="CD131" s="332"/>
      <c r="CE131" s="157"/>
      <c r="CF131" s="466"/>
    </row>
    <row r="132" spans="1:84" s="529" customFormat="1" x14ac:dyDescent="0.15">
      <c r="A132" s="520"/>
      <c r="B132" s="521" t="s">
        <v>126</v>
      </c>
      <c r="C132" s="522"/>
      <c r="D132" s="522"/>
      <c r="E132" s="522"/>
      <c r="F132" s="522"/>
      <c r="G132" s="523"/>
      <c r="H132" s="522"/>
      <c r="I132" s="522"/>
      <c r="J132" s="522"/>
      <c r="K132" s="522"/>
      <c r="L132" s="523"/>
      <c r="M132" s="522"/>
      <c r="N132" s="522"/>
      <c r="O132" s="522"/>
      <c r="P132" s="522"/>
      <c r="Q132" s="523"/>
      <c r="R132" s="485"/>
      <c r="S132" s="485"/>
      <c r="T132" s="485"/>
      <c r="U132" s="485"/>
      <c r="V132" s="486"/>
      <c r="W132" s="487"/>
      <c r="X132" s="487"/>
      <c r="Y132" s="487"/>
      <c r="Z132" s="487"/>
      <c r="AA132" s="472"/>
      <c r="AB132" s="487"/>
      <c r="AC132" s="487"/>
      <c r="AD132" s="487"/>
      <c r="AE132" s="487"/>
      <c r="AF132" s="472"/>
      <c r="AG132" s="487">
        <f t="shared" ref="AG132:BE132" si="77">AG129/AB129-1</f>
        <v>0.34063295051953291</v>
      </c>
      <c r="AH132" s="487">
        <f t="shared" si="77"/>
        <v>0.25030904736150816</v>
      </c>
      <c r="AI132" s="487">
        <f t="shared" si="77"/>
        <v>0.31441005802707922</v>
      </c>
      <c r="AJ132" s="487">
        <f t="shared" si="77"/>
        <v>-4.73217648251687E-2</v>
      </c>
      <c r="AK132" s="472">
        <f t="shared" si="77"/>
        <v>0.18769428663307974</v>
      </c>
      <c r="AL132" s="487">
        <f t="shared" si="77"/>
        <v>0.27698065019598106</v>
      </c>
      <c r="AM132" s="487">
        <f t="shared" si="77"/>
        <v>0.13392346789019194</v>
      </c>
      <c r="AN132" s="487">
        <f t="shared" si="77"/>
        <v>0.18607902288278999</v>
      </c>
      <c r="AO132" s="487">
        <f t="shared" si="77"/>
        <v>0.4459260160252998</v>
      </c>
      <c r="AP132" s="472">
        <f t="shared" si="77"/>
        <v>0.26000627844922297</v>
      </c>
      <c r="AQ132" s="487">
        <f t="shared" si="77"/>
        <v>0.13484722222222234</v>
      </c>
      <c r="AR132" s="487">
        <f t="shared" si="77"/>
        <v>0.21446866485013616</v>
      </c>
      <c r="AS132" s="487">
        <f t="shared" si="77"/>
        <v>0.24683622828784135</v>
      </c>
      <c r="AT132" s="487">
        <f t="shared" si="77"/>
        <v>0.27677181913774995</v>
      </c>
      <c r="AU132" s="472">
        <f t="shared" si="77"/>
        <v>0.22319215197757702</v>
      </c>
      <c r="AV132" s="485">
        <f t="shared" si="77"/>
        <v>0.21528840152247608</v>
      </c>
      <c r="AW132" s="485">
        <f t="shared" si="77"/>
        <v>0.23174261290973952</v>
      </c>
      <c r="AX132" s="487">
        <f t="shared" si="77"/>
        <v>0.13040449773620577</v>
      </c>
      <c r="AY132" s="487">
        <f t="shared" si="77"/>
        <v>-7.1824478467480968E-2</v>
      </c>
      <c r="AZ132" s="472">
        <f t="shared" si="77"/>
        <v>0.10854526984191648</v>
      </c>
      <c r="BA132" s="485">
        <f t="shared" si="77"/>
        <v>-0.10372608257804627</v>
      </c>
      <c r="BB132" s="485">
        <f t="shared" si="77"/>
        <v>-0.14116575591985425</v>
      </c>
      <c r="BC132" s="485">
        <f t="shared" si="77"/>
        <v>-0.1848591549295775</v>
      </c>
      <c r="BD132" s="485">
        <f t="shared" si="77"/>
        <v>-0.10913930789707182</v>
      </c>
      <c r="BE132" s="472">
        <f t="shared" si="77"/>
        <v>-0.13573725310059725</v>
      </c>
      <c r="BF132" s="488">
        <f t="shared" ref="BF132:BI132" si="78">SUM(BF130:BF131)</f>
        <v>-0.17</v>
      </c>
      <c r="BG132" s="487">
        <f t="shared" si="78"/>
        <v>-0.08</v>
      </c>
      <c r="BH132" s="487">
        <f t="shared" si="78"/>
        <v>9.999999999999995E-3</v>
      </c>
      <c r="BI132" s="525">
        <f t="shared" si="78"/>
        <v>0.05</v>
      </c>
      <c r="BJ132" s="472">
        <f t="shared" ref="BJ132" si="79">BJ129/BE129-1</f>
        <v>-4.4453893170342651E-2</v>
      </c>
      <c r="BK132" s="526"/>
      <c r="BL132" s="526"/>
      <c r="BM132" s="526"/>
      <c r="BN132" s="526"/>
      <c r="BO132" s="527">
        <v>0.05</v>
      </c>
      <c r="BP132" s="526"/>
      <c r="BQ132" s="526"/>
      <c r="BR132" s="526"/>
      <c r="BS132" s="526"/>
      <c r="BT132" s="527">
        <v>0.05</v>
      </c>
      <c r="BU132" s="526"/>
      <c r="BV132" s="526"/>
      <c r="BW132" s="526"/>
      <c r="BX132" s="526"/>
      <c r="BY132" s="527">
        <v>0.05</v>
      </c>
      <c r="BZ132" s="526"/>
      <c r="CA132" s="526"/>
      <c r="CB132" s="526"/>
      <c r="CC132" s="526"/>
      <c r="CD132" s="527">
        <v>0.05</v>
      </c>
      <c r="CE132" s="520"/>
      <c r="CF132" s="528"/>
    </row>
    <row r="133" spans="1:84" s="534" customFormat="1" x14ac:dyDescent="0.15">
      <c r="A133" s="533"/>
      <c r="B133" s="503" t="s">
        <v>185</v>
      </c>
      <c r="G133" s="535"/>
      <c r="L133" s="535"/>
      <c r="Q133" s="535"/>
      <c r="R133" s="533"/>
      <c r="S133" s="533"/>
      <c r="T133" s="533"/>
      <c r="U133" s="533"/>
      <c r="V133" s="536"/>
      <c r="W133" s="537"/>
      <c r="X133" s="537"/>
      <c r="Y133" s="537"/>
      <c r="Z133" s="537"/>
      <c r="AA133" s="538"/>
      <c r="AB133" s="537"/>
      <c r="AC133" s="537"/>
      <c r="AD133" s="537"/>
      <c r="AE133" s="537"/>
      <c r="AF133" s="538"/>
      <c r="AG133" s="537"/>
      <c r="AH133" s="537"/>
      <c r="AI133" s="537"/>
      <c r="AJ133" s="548"/>
      <c r="AK133" s="538"/>
      <c r="AL133" s="507">
        <f>18.7-4</f>
        <v>14.7</v>
      </c>
      <c r="AM133" s="507">
        <f>24.6-4</f>
        <v>20.6</v>
      </c>
      <c r="AN133" s="507">
        <f>23.7-4</f>
        <v>19.7</v>
      </c>
      <c r="AO133" s="507">
        <f>21.6-4</f>
        <v>17.600000000000001</v>
      </c>
      <c r="AP133" s="41">
        <f>SUM(AL133:AO133)</f>
        <v>72.599999999999994</v>
      </c>
      <c r="AQ133" s="507">
        <f>29.336-4</f>
        <v>25.335999999999999</v>
      </c>
      <c r="AR133" s="507">
        <f>28.418-4</f>
        <v>24.417999999999999</v>
      </c>
      <c r="AS133" s="507">
        <f>93.377-10</f>
        <v>83.376999999999995</v>
      </c>
      <c r="AT133" s="507">
        <f>127.219-10</f>
        <v>117.21899999999999</v>
      </c>
      <c r="AU133" s="41">
        <f>SUM(AQ133:AT133)</f>
        <v>250.35</v>
      </c>
      <c r="AV133" s="507">
        <f>128-12</f>
        <v>116</v>
      </c>
      <c r="AW133" s="275">
        <v>136.1</v>
      </c>
      <c r="AX133" s="507">
        <f>155.3-12</f>
        <v>143.30000000000001</v>
      </c>
      <c r="AY133" s="507">
        <f>142.9-12</f>
        <v>130.9</v>
      </c>
      <c r="AZ133" s="41">
        <f>SUM(AV133:AY133)</f>
        <v>526.29999999999995</v>
      </c>
      <c r="BA133" s="540">
        <v>125.4</v>
      </c>
      <c r="BB133" s="275">
        <v>145.6</v>
      </c>
      <c r="BC133" s="275">
        <v>148.80000000000001</v>
      </c>
      <c r="BD133" s="275">
        <v>141.4</v>
      </c>
      <c r="BE133" s="41">
        <f>SUM(BA133:BD133)</f>
        <v>561.20000000000005</v>
      </c>
      <c r="BF133" s="508">
        <f t="shared" ref="BF133:BI133" si="80">BA133*(1+BF136)</f>
        <v>129.16200000000001</v>
      </c>
      <c r="BG133" s="460">
        <f t="shared" si="80"/>
        <v>152.88</v>
      </c>
      <c r="BH133" s="460">
        <f t="shared" si="80"/>
        <v>160.70400000000004</v>
      </c>
      <c r="BI133" s="509">
        <f t="shared" si="80"/>
        <v>155.54000000000002</v>
      </c>
      <c r="BJ133" s="544">
        <f>SUM(BF133:BI133)</f>
        <v>598.28600000000006</v>
      </c>
      <c r="BK133" s="545"/>
      <c r="BL133" s="545"/>
      <c r="BM133" s="545"/>
      <c r="BN133" s="545"/>
      <c r="BO133" s="546">
        <f>BJ133*(1+BO136)</f>
        <v>646.14888000000008</v>
      </c>
      <c r="BP133" s="545"/>
      <c r="BQ133" s="545"/>
      <c r="BR133" s="545"/>
      <c r="BS133" s="545"/>
      <c r="BT133" s="546">
        <f>BO133*(1+BT136)</f>
        <v>697.84079040000017</v>
      </c>
      <c r="BU133" s="545"/>
      <c r="BV133" s="545"/>
      <c r="BW133" s="545"/>
      <c r="BX133" s="545"/>
      <c r="BY133" s="546">
        <f>BT133*(1+BY136)</f>
        <v>746.68964572800019</v>
      </c>
      <c r="BZ133" s="545"/>
      <c r="CA133" s="545"/>
      <c r="CB133" s="545"/>
      <c r="CC133" s="545"/>
      <c r="CD133" s="546">
        <f>BY133*(1+CD136)</f>
        <v>798.95792092896022</v>
      </c>
      <c r="CE133" s="533"/>
      <c r="CF133" s="547"/>
    </row>
    <row r="134" spans="1:84" s="454" customFormat="1" x14ac:dyDescent="0.15">
      <c r="A134" s="157"/>
      <c r="B134" s="511" t="s">
        <v>179</v>
      </c>
      <c r="C134" s="456"/>
      <c r="D134" s="456"/>
      <c r="E134" s="456"/>
      <c r="F134" s="456"/>
      <c r="G134" s="457"/>
      <c r="H134" s="456"/>
      <c r="I134" s="456"/>
      <c r="J134" s="456"/>
      <c r="K134" s="456"/>
      <c r="L134" s="457"/>
      <c r="M134" s="456"/>
      <c r="N134" s="456"/>
      <c r="O134" s="456"/>
      <c r="P134" s="456"/>
      <c r="Q134" s="457"/>
      <c r="R134" s="456"/>
      <c r="S134" s="456"/>
      <c r="T134" s="456"/>
      <c r="U134" s="456"/>
      <c r="V134" s="457"/>
      <c r="W134" s="458"/>
      <c r="X134" s="458"/>
      <c r="Y134" s="458"/>
      <c r="Z134" s="458"/>
      <c r="AA134" s="459"/>
      <c r="AB134" s="458"/>
      <c r="AC134" s="458"/>
      <c r="AD134" s="458"/>
      <c r="AE134" s="458"/>
      <c r="AF134" s="459"/>
      <c r="AG134" s="460"/>
      <c r="AH134" s="458"/>
      <c r="AI134" s="458"/>
      <c r="AJ134" s="460"/>
      <c r="AK134" s="459"/>
      <c r="AL134" s="458"/>
      <c r="AM134" s="460"/>
      <c r="AN134" s="460"/>
      <c r="AO134" s="458"/>
      <c r="AP134" s="459"/>
      <c r="AQ134" s="460"/>
      <c r="AR134" s="458"/>
      <c r="AS134" s="458"/>
      <c r="AT134" s="458"/>
      <c r="AU134" s="459"/>
      <c r="AV134" s="458"/>
      <c r="AW134" s="458"/>
      <c r="AX134" s="458"/>
      <c r="AY134" s="461">
        <v>0.15</v>
      </c>
      <c r="AZ134" s="459"/>
      <c r="BA134" s="461">
        <f>128.9/AV133-1</f>
        <v>0.11120689655172411</v>
      </c>
      <c r="BB134" s="461">
        <v>0.1</v>
      </c>
      <c r="BC134" s="461">
        <v>0.12</v>
      </c>
      <c r="BD134" s="461">
        <f>149.1/AY133-1</f>
        <v>0.1390374331550801</v>
      </c>
      <c r="BE134" s="463">
        <f>BE136-BE135</f>
        <v>0.11651531633587864</v>
      </c>
      <c r="BF134" s="517">
        <v>0.08</v>
      </c>
      <c r="BG134" s="516">
        <v>0.1</v>
      </c>
      <c r="BH134" s="516">
        <v>0.1</v>
      </c>
      <c r="BI134" s="518">
        <v>0.1</v>
      </c>
      <c r="BJ134" s="463">
        <f>BJ136-BJ135</f>
        <v>9.608339272986452E-2</v>
      </c>
      <c r="BK134" s="285"/>
      <c r="BL134" s="285"/>
      <c r="BM134" s="285"/>
      <c r="BN134" s="285"/>
      <c r="BO134" s="332"/>
      <c r="BP134" s="332"/>
      <c r="BQ134" s="332"/>
      <c r="BR134" s="332"/>
      <c r="BS134" s="332"/>
      <c r="BT134" s="332"/>
      <c r="BU134" s="285"/>
      <c r="BV134" s="285"/>
      <c r="BW134" s="285"/>
      <c r="BX134" s="285"/>
      <c r="BY134" s="332"/>
      <c r="BZ134" s="332"/>
      <c r="CA134" s="332"/>
      <c r="CB134" s="332"/>
      <c r="CC134" s="332"/>
      <c r="CD134" s="332"/>
      <c r="CE134" s="157"/>
      <c r="CF134" s="466"/>
    </row>
    <row r="135" spans="1:84" s="454" customFormat="1" x14ac:dyDescent="0.15">
      <c r="A135" s="157"/>
      <c r="B135" s="511" t="s">
        <v>180</v>
      </c>
      <c r="C135" s="456"/>
      <c r="D135" s="456"/>
      <c r="E135" s="456"/>
      <c r="F135" s="456"/>
      <c r="G135" s="457"/>
      <c r="H135" s="456"/>
      <c r="I135" s="456"/>
      <c r="J135" s="456"/>
      <c r="K135" s="456"/>
      <c r="L135" s="457"/>
      <c r="M135" s="456"/>
      <c r="N135" s="456"/>
      <c r="O135" s="456"/>
      <c r="P135" s="456"/>
      <c r="Q135" s="457"/>
      <c r="R135" s="456"/>
      <c r="S135" s="456"/>
      <c r="T135" s="456"/>
      <c r="U135" s="456"/>
      <c r="V135" s="457"/>
      <c r="W135" s="458"/>
      <c r="X135" s="458"/>
      <c r="Y135" s="458"/>
      <c r="Z135" s="458"/>
      <c r="AA135" s="459"/>
      <c r="AB135" s="458"/>
      <c r="AC135" s="458"/>
      <c r="AD135" s="458"/>
      <c r="AE135" s="458"/>
      <c r="AF135" s="459"/>
      <c r="AG135" s="460"/>
      <c r="AH135" s="458"/>
      <c r="AI135" s="458"/>
      <c r="AJ135" s="460"/>
      <c r="AK135" s="459"/>
      <c r="AL135" s="458"/>
      <c r="AM135" s="460"/>
      <c r="AN135" s="460"/>
      <c r="AO135" s="458"/>
      <c r="AP135" s="459"/>
      <c r="AQ135" s="460"/>
      <c r="AR135" s="458"/>
      <c r="AS135" s="458"/>
      <c r="AT135" s="458"/>
      <c r="AU135" s="459"/>
      <c r="AV135" s="458"/>
      <c r="AW135" s="458"/>
      <c r="AX135" s="458"/>
      <c r="AY135" s="461">
        <f>AY136-AY134</f>
        <v>-3.328683916429917E-2</v>
      </c>
      <c r="AZ135" s="459"/>
      <c r="BA135" s="461">
        <f>BA136-BA134</f>
        <v>-3.0172413793103425E-2</v>
      </c>
      <c r="BB135" s="461">
        <f>BB136-BB134</f>
        <v>-3.0198383541513524E-2</v>
      </c>
      <c r="BC135" s="461">
        <f>BC136-BC134</f>
        <v>-8.1618981158408821E-2</v>
      </c>
      <c r="BD135" s="461">
        <f>BD136-BD134</f>
        <v>-5.8823529411764497E-2</v>
      </c>
      <c r="BE135" s="463">
        <f>AVERAGE(BA135:BD135)</f>
        <v>-5.0203326976197567E-2</v>
      </c>
      <c r="BF135" s="517">
        <v>-0.05</v>
      </c>
      <c r="BG135" s="516">
        <v>-0.05</v>
      </c>
      <c r="BH135" s="516">
        <v>-0.02</v>
      </c>
      <c r="BI135" s="518">
        <v>0</v>
      </c>
      <c r="BJ135" s="463">
        <f>AVERAGE(BF135:BI135)</f>
        <v>-3.0000000000000002E-2</v>
      </c>
      <c r="BK135" s="285"/>
      <c r="BL135" s="285"/>
      <c r="BM135" s="285"/>
      <c r="BN135" s="285"/>
      <c r="BO135" s="332"/>
      <c r="BP135" s="332"/>
      <c r="BQ135" s="332"/>
      <c r="BR135" s="332"/>
      <c r="BS135" s="332"/>
      <c r="BT135" s="332"/>
      <c r="BU135" s="285"/>
      <c r="BV135" s="285"/>
      <c r="BW135" s="285"/>
      <c r="BX135" s="285"/>
      <c r="BY135" s="332"/>
      <c r="BZ135" s="332"/>
      <c r="CA135" s="332"/>
      <c r="CB135" s="332"/>
      <c r="CC135" s="332"/>
      <c r="CD135" s="332"/>
      <c r="CE135" s="157"/>
      <c r="CF135" s="466"/>
    </row>
    <row r="136" spans="1:84" s="529" customFormat="1" x14ac:dyDescent="0.15">
      <c r="A136" s="520"/>
      <c r="B136" s="455" t="s">
        <v>126</v>
      </c>
      <c r="G136" s="549"/>
      <c r="L136" s="549"/>
      <c r="Q136" s="549"/>
      <c r="R136" s="520"/>
      <c r="S136" s="520"/>
      <c r="T136" s="520"/>
      <c r="U136" s="520"/>
      <c r="V136" s="550"/>
      <c r="W136" s="324"/>
      <c r="X136" s="324"/>
      <c r="Y136" s="324"/>
      <c r="Z136" s="324"/>
      <c r="AA136" s="372"/>
      <c r="AB136" s="324"/>
      <c r="AC136" s="324"/>
      <c r="AD136" s="324"/>
      <c r="AE136" s="324"/>
      <c r="AF136" s="372"/>
      <c r="AG136" s="324"/>
      <c r="AH136" s="324"/>
      <c r="AI136" s="324"/>
      <c r="AJ136" s="373"/>
      <c r="AK136" s="372"/>
      <c r="AM136" s="324"/>
      <c r="AN136" s="373"/>
      <c r="AO136" s="373"/>
      <c r="AP136" s="372"/>
      <c r="AQ136" s="324">
        <f t="shared" ref="AQ136:BE136" si="81">AQ133/AL133-1</f>
        <v>0.72353741496598634</v>
      </c>
      <c r="AR136" s="324">
        <f t="shared" si="81"/>
        <v>0.18533980582524268</v>
      </c>
      <c r="AS136" s="324">
        <f t="shared" si="81"/>
        <v>3.2323350253807108</v>
      </c>
      <c r="AT136" s="324">
        <f t="shared" si="81"/>
        <v>5.6601704545454536</v>
      </c>
      <c r="AU136" s="372">
        <f t="shared" si="81"/>
        <v>2.4483471074380168</v>
      </c>
      <c r="AV136" s="520">
        <f t="shared" si="81"/>
        <v>3.5784654246921379</v>
      </c>
      <c r="AW136" s="520">
        <f t="shared" si="81"/>
        <v>4.5737570644606436</v>
      </c>
      <c r="AX136" s="324">
        <f t="shared" si="81"/>
        <v>0.71869940151360701</v>
      </c>
      <c r="AY136" s="324">
        <f t="shared" si="81"/>
        <v>0.11671316083570082</v>
      </c>
      <c r="AZ136" s="372">
        <f t="shared" si="81"/>
        <v>1.102256840423407</v>
      </c>
      <c r="BA136" s="520">
        <f t="shared" si="81"/>
        <v>8.1034482758620685E-2</v>
      </c>
      <c r="BB136" s="520">
        <f t="shared" si="81"/>
        <v>6.9801616458486482E-2</v>
      </c>
      <c r="BC136" s="520">
        <f t="shared" si="81"/>
        <v>3.8381018841591175E-2</v>
      </c>
      <c r="BD136" s="520">
        <f t="shared" si="81"/>
        <v>8.0213903743315607E-2</v>
      </c>
      <c r="BE136" s="372">
        <f t="shared" si="81"/>
        <v>6.6311989359681078E-2</v>
      </c>
      <c r="BF136" s="488">
        <f t="shared" ref="BF136:BI136" si="82">SUM(BF134:BF135)</f>
        <v>0.03</v>
      </c>
      <c r="BG136" s="487">
        <f t="shared" si="82"/>
        <v>0.05</v>
      </c>
      <c r="BH136" s="487">
        <f t="shared" si="82"/>
        <v>0.08</v>
      </c>
      <c r="BI136" s="525">
        <f t="shared" si="82"/>
        <v>0.1</v>
      </c>
      <c r="BJ136" s="372">
        <f t="shared" ref="BJ136" si="83">BJ133/BE133-1</f>
        <v>6.6083392729864521E-2</v>
      </c>
      <c r="BK136" s="551"/>
      <c r="BL136" s="551"/>
      <c r="BM136" s="551"/>
      <c r="BN136" s="551"/>
      <c r="BO136" s="552">
        <v>0.08</v>
      </c>
      <c r="BP136" s="551"/>
      <c r="BQ136" s="551"/>
      <c r="BR136" s="551"/>
      <c r="BS136" s="551"/>
      <c r="BT136" s="552">
        <v>0.08</v>
      </c>
      <c r="BU136" s="551"/>
      <c r="BV136" s="551"/>
      <c r="BW136" s="551"/>
      <c r="BX136" s="551"/>
      <c r="BY136" s="552">
        <v>7.0000000000000007E-2</v>
      </c>
      <c r="BZ136" s="551"/>
      <c r="CA136" s="551"/>
      <c r="CB136" s="551"/>
      <c r="CC136" s="551"/>
      <c r="CD136" s="552">
        <v>7.0000000000000007E-2</v>
      </c>
      <c r="CE136" s="520"/>
      <c r="CF136" s="528"/>
    </row>
    <row r="137" spans="1:84" s="454" customFormat="1" x14ac:dyDescent="0.15">
      <c r="A137" s="157"/>
      <c r="B137" s="553" t="s">
        <v>0</v>
      </c>
      <c r="C137" s="452" t="e">
        <f>#REF!+C125+#REF!</f>
        <v>#REF!</v>
      </c>
      <c r="D137" s="452" t="e">
        <f>#REF!+D125+#REF!</f>
        <v>#REF!</v>
      </c>
      <c r="E137" s="452" t="e">
        <f>#REF!+E125+#REF!</f>
        <v>#REF!</v>
      </c>
      <c r="F137" s="452" t="e">
        <f>#REF!+F125+#REF!</f>
        <v>#REF!</v>
      </c>
      <c r="G137" s="482" t="e">
        <f>SUM(C137:F137)</f>
        <v>#REF!</v>
      </c>
      <c r="H137" s="452" t="e">
        <f>#REF!+H125+#REF!</f>
        <v>#REF!</v>
      </c>
      <c r="I137" s="452" t="e">
        <f>#REF!+I125+#REF!</f>
        <v>#REF!</v>
      </c>
      <c r="J137" s="452" t="e">
        <f>#REF!+J125+#REF!</f>
        <v>#REF!</v>
      </c>
      <c r="K137" s="452" t="e">
        <f>#REF!+K125+#REF!</f>
        <v>#REF!</v>
      </c>
      <c r="L137" s="482" t="e">
        <f>SUM(H137:K137)</f>
        <v>#REF!</v>
      </c>
      <c r="M137" s="452" t="e">
        <f>#REF!+M125</f>
        <v>#REF!</v>
      </c>
      <c r="N137" s="452" t="e">
        <f>#REF!+N125</f>
        <v>#REF!</v>
      </c>
      <c r="O137" s="452" t="e">
        <f>#REF!+O125</f>
        <v>#REF!</v>
      </c>
      <c r="P137" s="452" t="e">
        <f>#REF!+P125</f>
        <v>#REF!</v>
      </c>
      <c r="Q137" s="482" t="e">
        <f>#REF!+Q125</f>
        <v>#REF!</v>
      </c>
      <c r="R137" s="452" t="e">
        <f>#REF!+R125</f>
        <v>#REF!</v>
      </c>
      <c r="S137" s="452" t="e">
        <f>#REF!+S125</f>
        <v>#REF!</v>
      </c>
      <c r="T137" s="452" t="e">
        <f>#REF!+T125</f>
        <v>#REF!</v>
      </c>
      <c r="U137" s="452" t="e">
        <f>#REF!+U125</f>
        <v>#REF!</v>
      </c>
      <c r="V137" s="482" t="e">
        <f>#REF!+V125</f>
        <v>#REF!</v>
      </c>
      <c r="W137" s="452" t="e">
        <f>#REF!+W125</f>
        <v>#REF!</v>
      </c>
      <c r="X137" s="452" t="e">
        <f>#REF!+X125</f>
        <v>#REF!</v>
      </c>
      <c r="Y137" s="452" t="e">
        <f>#REF!+Y125</f>
        <v>#REF!</v>
      </c>
      <c r="Z137" s="452" t="e">
        <f>#REF!+Z125</f>
        <v>#REF!</v>
      </c>
      <c r="AA137" s="482" t="e">
        <f>#REF!+AA125</f>
        <v>#REF!</v>
      </c>
      <c r="AB137" s="452">
        <f>AB129+AB125</f>
        <v>83.765000000000001</v>
      </c>
      <c r="AC137" s="452">
        <f>AC129+AC125</f>
        <v>92.556999999999988</v>
      </c>
      <c r="AD137" s="452">
        <f>AD129+AD125</f>
        <v>93.9</v>
      </c>
      <c r="AE137" s="452">
        <f>AE129+AE125</f>
        <v>117.348</v>
      </c>
      <c r="AF137" s="482">
        <f>SUM(AB137:AE137)</f>
        <v>387.57</v>
      </c>
      <c r="AG137" s="452">
        <f>AG129+AG125</f>
        <v>132.476</v>
      </c>
      <c r="AH137" s="452">
        <f>AH129+AH125</f>
        <v>181.03100000000001</v>
      </c>
      <c r="AI137" s="452">
        <f>AI129+AI125</f>
        <v>202.01</v>
      </c>
      <c r="AJ137" s="452">
        <f>AJ129+AJ125</f>
        <v>210.10599999999999</v>
      </c>
      <c r="AK137" s="482">
        <f>SUM(AG137:AJ137)</f>
        <v>725.62300000000005</v>
      </c>
      <c r="AL137" s="452">
        <v>243.60900000000001</v>
      </c>
      <c r="AM137" s="452">
        <v>250.71700000000001</v>
      </c>
      <c r="AN137" s="452">
        <v>249.709</v>
      </c>
      <c r="AO137" s="452">
        <v>306.36</v>
      </c>
      <c r="AP137" s="482">
        <f>SUM(AL137:AO137)</f>
        <v>1050.395</v>
      </c>
      <c r="AQ137" s="452">
        <f t="shared" ref="AQ137:CD137" si="84">AQ133+AQ129+AQ125</f>
        <v>297.21100000000001</v>
      </c>
      <c r="AR137" s="452">
        <f t="shared" si="84"/>
        <v>303.93700000000001</v>
      </c>
      <c r="AS137" s="452">
        <f t="shared" si="84"/>
        <v>399.01900000000001</v>
      </c>
      <c r="AT137" s="452">
        <f t="shared" si="84"/>
        <v>493.375</v>
      </c>
      <c r="AU137" s="482">
        <f t="shared" si="84"/>
        <v>1493.5419999999999</v>
      </c>
      <c r="AV137" s="452">
        <f t="shared" si="84"/>
        <v>464.4</v>
      </c>
      <c r="AW137" s="452">
        <f t="shared" si="84"/>
        <v>561.4</v>
      </c>
      <c r="AX137" s="452">
        <f t="shared" si="84"/>
        <v>548.29999999999995</v>
      </c>
      <c r="AY137" s="452">
        <f t="shared" si="84"/>
        <v>522.29999999999995</v>
      </c>
      <c r="AZ137" s="482">
        <f t="shared" si="84"/>
        <v>2096.4</v>
      </c>
      <c r="BA137" s="452">
        <f t="shared" si="84"/>
        <v>426.5</v>
      </c>
      <c r="BB137" s="452">
        <f t="shared" si="84"/>
        <v>494.79999999999995</v>
      </c>
      <c r="BC137" s="452">
        <f t="shared" si="84"/>
        <v>466.1</v>
      </c>
      <c r="BD137" s="452">
        <f t="shared" si="84"/>
        <v>526.5</v>
      </c>
      <c r="BE137" s="482">
        <f t="shared" si="84"/>
        <v>1913.9</v>
      </c>
      <c r="BF137" s="452">
        <f t="shared" si="84"/>
        <v>449.06799999999998</v>
      </c>
      <c r="BG137" s="452">
        <f t="shared" si="84"/>
        <v>535.32000000000005</v>
      </c>
      <c r="BH137" s="452">
        <f t="shared" si="84"/>
        <v>526.11699999999996</v>
      </c>
      <c r="BI137" s="452">
        <f t="shared" si="84"/>
        <v>579.82400000000007</v>
      </c>
      <c r="BJ137" s="482">
        <f>BJ133+BJ129+BJ125</f>
        <v>2090.3290000000002</v>
      </c>
      <c r="BK137" s="28">
        <f t="shared" si="84"/>
        <v>0</v>
      </c>
      <c r="BL137" s="28">
        <f t="shared" si="84"/>
        <v>0</v>
      </c>
      <c r="BM137" s="28">
        <f t="shared" si="84"/>
        <v>0</v>
      </c>
      <c r="BN137" s="28">
        <f t="shared" si="84"/>
        <v>0</v>
      </c>
      <c r="BO137" s="482">
        <f t="shared" si="84"/>
        <v>2212.79403</v>
      </c>
      <c r="BP137" s="28">
        <f t="shared" si="84"/>
        <v>0</v>
      </c>
      <c r="BQ137" s="28">
        <f t="shared" si="84"/>
        <v>0</v>
      </c>
      <c r="BR137" s="28">
        <f t="shared" si="84"/>
        <v>0</v>
      </c>
      <c r="BS137" s="28">
        <f t="shared" si="84"/>
        <v>0</v>
      </c>
      <c r="BT137" s="482">
        <f t="shared" si="84"/>
        <v>2342.8181979000001</v>
      </c>
      <c r="BU137" s="28">
        <f t="shared" si="84"/>
        <v>0</v>
      </c>
      <c r="BV137" s="28">
        <f t="shared" si="84"/>
        <v>0</v>
      </c>
      <c r="BW137" s="28">
        <f t="shared" si="84"/>
        <v>0</v>
      </c>
      <c r="BX137" s="28">
        <f t="shared" si="84"/>
        <v>0</v>
      </c>
      <c r="BY137" s="482">
        <f t="shared" si="84"/>
        <v>2473.9159236030005</v>
      </c>
      <c r="BZ137" s="28">
        <f t="shared" si="84"/>
        <v>0</v>
      </c>
      <c r="CA137" s="28">
        <f t="shared" si="84"/>
        <v>0</v>
      </c>
      <c r="CB137" s="28">
        <f t="shared" si="84"/>
        <v>0</v>
      </c>
      <c r="CC137" s="28">
        <f t="shared" si="84"/>
        <v>0</v>
      </c>
      <c r="CD137" s="482">
        <f t="shared" si="84"/>
        <v>2612.5455126977104</v>
      </c>
      <c r="CE137" s="157"/>
      <c r="CF137" s="278">
        <f>BJ137/$BJ$142</f>
        <v>0.19060604184411592</v>
      </c>
    </row>
    <row r="138" spans="1:84" s="529" customFormat="1" ht="13" x14ac:dyDescent="0.15">
      <c r="A138" s="520"/>
      <c r="B138" s="484" t="s">
        <v>126</v>
      </c>
      <c r="C138" s="485"/>
      <c r="D138" s="485"/>
      <c r="E138" s="485"/>
      <c r="F138" s="485"/>
      <c r="G138" s="486"/>
      <c r="H138" s="485"/>
      <c r="I138" s="485"/>
      <c r="J138" s="485"/>
      <c r="K138" s="485"/>
      <c r="L138" s="486"/>
      <c r="M138" s="485"/>
      <c r="N138" s="485"/>
      <c r="O138" s="485"/>
      <c r="P138" s="485"/>
      <c r="Q138" s="486"/>
      <c r="R138" s="485"/>
      <c r="S138" s="485"/>
      <c r="T138" s="485"/>
      <c r="U138" s="485"/>
      <c r="V138" s="486"/>
      <c r="W138" s="487" t="e">
        <f t="shared" ref="W138:AA138" si="85">W137/R137-1</f>
        <v>#REF!</v>
      </c>
      <c r="X138" s="485" t="e">
        <f t="shared" si="85"/>
        <v>#REF!</v>
      </c>
      <c r="Y138" s="485" t="e">
        <f t="shared" si="85"/>
        <v>#REF!</v>
      </c>
      <c r="Z138" s="485" t="e">
        <f t="shared" si="85"/>
        <v>#REF!</v>
      </c>
      <c r="AA138" s="486" t="e">
        <f t="shared" si="85"/>
        <v>#REF!</v>
      </c>
      <c r="AB138" s="554"/>
      <c r="AC138" s="1"/>
      <c r="AD138" s="1"/>
      <c r="AE138" s="1"/>
      <c r="AF138" s="555"/>
      <c r="AG138" s="487">
        <f t="shared" ref="AG138:BE138" si="86">AG137/AB137-1</f>
        <v>0.58151972780994443</v>
      </c>
      <c r="AH138" s="487">
        <f t="shared" si="86"/>
        <v>0.9558866428255024</v>
      </c>
      <c r="AI138" s="487">
        <f t="shared" si="86"/>
        <v>1.1513312034078806</v>
      </c>
      <c r="AJ138" s="487">
        <f t="shared" si="86"/>
        <v>0.79045232982240843</v>
      </c>
      <c r="AK138" s="472">
        <f t="shared" si="86"/>
        <v>0.87223727326676492</v>
      </c>
      <c r="AL138" s="487">
        <f t="shared" si="86"/>
        <v>0.83889157281318893</v>
      </c>
      <c r="AM138" s="487">
        <f t="shared" si="86"/>
        <v>0.38493959598079885</v>
      </c>
      <c r="AN138" s="487">
        <f t="shared" si="86"/>
        <v>0.23612197415969516</v>
      </c>
      <c r="AO138" s="487">
        <f t="shared" si="86"/>
        <v>0.45812113885372163</v>
      </c>
      <c r="AP138" s="472">
        <f t="shared" si="86"/>
        <v>0.44757677196009493</v>
      </c>
      <c r="AQ138" s="487">
        <f t="shared" si="86"/>
        <v>0.2200329216079866</v>
      </c>
      <c r="AR138" s="487">
        <f t="shared" si="86"/>
        <v>0.21227120618067374</v>
      </c>
      <c r="AS138" s="487">
        <f t="shared" si="86"/>
        <v>0.59793599750109117</v>
      </c>
      <c r="AT138" s="487">
        <f t="shared" si="86"/>
        <v>0.6104419637028331</v>
      </c>
      <c r="AU138" s="472">
        <f t="shared" si="86"/>
        <v>0.42188605238981514</v>
      </c>
      <c r="AV138" s="487">
        <f t="shared" si="86"/>
        <v>0.56252628603921107</v>
      </c>
      <c r="AW138" s="487">
        <f t="shared" si="86"/>
        <v>0.84709331210086281</v>
      </c>
      <c r="AX138" s="487">
        <f t="shared" si="86"/>
        <v>0.37412002937203481</v>
      </c>
      <c r="AY138" s="487">
        <f t="shared" si="86"/>
        <v>5.8626805168482399E-2</v>
      </c>
      <c r="AZ138" s="472">
        <f t="shared" si="86"/>
        <v>0.40364315164889919</v>
      </c>
      <c r="BA138" s="487">
        <f>BA137/AV137-1</f>
        <v>-8.1610680447889661E-2</v>
      </c>
      <c r="BB138" s="487">
        <f>BB137/AW137-1</f>
        <v>-0.11863199144994663</v>
      </c>
      <c r="BC138" s="487">
        <f>BC137/AX137-1</f>
        <v>-0.14991792814152827</v>
      </c>
      <c r="BD138" s="487">
        <f>BD137/AY137-1</f>
        <v>8.0413555427916172E-3</v>
      </c>
      <c r="BE138" s="472">
        <f t="shared" si="86"/>
        <v>-8.7053997328754074E-2</v>
      </c>
      <c r="BF138" s="487">
        <f>BF137/BA137-1</f>
        <v>5.2914419695193393E-2</v>
      </c>
      <c r="BG138" s="487">
        <f>BG137/BB137-1</f>
        <v>8.1891673403395426E-2</v>
      </c>
      <c r="BH138" s="487">
        <f>BH137/BC137-1</f>
        <v>0.12876421368804958</v>
      </c>
      <c r="BI138" s="487">
        <f>BI137/BD137-1</f>
        <v>0.10128015194681872</v>
      </c>
      <c r="BJ138" s="472">
        <f>BJ137/BE137-1</f>
        <v>9.2182977167041269E-2</v>
      </c>
      <c r="BK138" s="376"/>
      <c r="BL138" s="376"/>
      <c r="BM138" s="376"/>
      <c r="BN138" s="376"/>
      <c r="BO138" s="472">
        <f>BO137/BJ137-1</f>
        <v>5.8586485668045585E-2</v>
      </c>
      <c r="BP138" s="376"/>
      <c r="BQ138" s="376"/>
      <c r="BR138" s="376"/>
      <c r="BS138" s="376"/>
      <c r="BT138" s="472">
        <f>BT137/BO137-1</f>
        <v>5.8760176562840716E-2</v>
      </c>
      <c r="BU138" s="376"/>
      <c r="BV138" s="376"/>
      <c r="BW138" s="376"/>
      <c r="BX138" s="376"/>
      <c r="BY138" s="472">
        <f>BY137/BT137-1</f>
        <v>5.5957276505923748E-2</v>
      </c>
      <c r="BZ138" s="376"/>
      <c r="CA138" s="376"/>
      <c r="CB138" s="376"/>
      <c r="CC138" s="376"/>
      <c r="CD138" s="472">
        <f>CD137/BY137-1</f>
        <v>5.6036499774337667E-2</v>
      </c>
      <c r="CE138" s="520"/>
      <c r="CF138" s="242"/>
    </row>
    <row r="139" spans="1:84" s="529" customFormat="1" x14ac:dyDescent="0.15">
      <c r="A139" s="520"/>
      <c r="B139" s="556"/>
      <c r="C139" s="557"/>
      <c r="D139" s="557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461"/>
      <c r="X139" s="557"/>
      <c r="Y139" s="557"/>
      <c r="Z139" s="557"/>
      <c r="AA139" s="557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  <c r="AT139" s="461"/>
      <c r="AU139" s="461"/>
      <c r="AV139" s="461"/>
      <c r="AW139" s="461"/>
      <c r="AX139" s="461"/>
      <c r="AY139" s="461"/>
      <c r="AZ139" s="558"/>
      <c r="BA139" s="461"/>
      <c r="BB139" s="461"/>
      <c r="BC139" s="559"/>
      <c r="BD139" s="461"/>
      <c r="BE139" s="558"/>
      <c r="BF139" s="376"/>
      <c r="BG139" s="376"/>
      <c r="BH139" s="376"/>
      <c r="BI139" s="376"/>
      <c r="BJ139" s="461"/>
      <c r="BK139" s="376"/>
      <c r="BL139" s="376"/>
      <c r="BM139" s="376"/>
      <c r="BN139" s="376"/>
      <c r="BO139" s="461"/>
      <c r="BP139" s="376"/>
      <c r="BQ139" s="376"/>
      <c r="BR139" s="376"/>
      <c r="BS139" s="376"/>
      <c r="BT139" s="461"/>
      <c r="BU139" s="376"/>
      <c r="BV139" s="376"/>
      <c r="BW139" s="376"/>
      <c r="BX139" s="376"/>
      <c r="BY139" s="461"/>
      <c r="BZ139" s="376"/>
      <c r="CA139" s="376"/>
      <c r="CB139" s="376"/>
      <c r="CC139" s="376"/>
      <c r="CD139" s="461"/>
      <c r="CE139" s="520"/>
      <c r="CF139" s="242"/>
    </row>
    <row r="140" spans="1:84" s="529" customFormat="1" ht="11" x14ac:dyDescent="0.15">
      <c r="A140" s="520"/>
      <c r="B140" s="461"/>
      <c r="C140" s="557"/>
      <c r="D140" s="557"/>
      <c r="E140" s="557"/>
      <c r="F140" s="557"/>
      <c r="G140" s="557"/>
      <c r="H140" s="557"/>
      <c r="I140" s="557"/>
      <c r="J140" s="557"/>
      <c r="K140" s="557"/>
      <c r="L140" s="557"/>
      <c r="M140" s="557"/>
      <c r="N140" s="557"/>
      <c r="O140" s="557"/>
      <c r="P140" s="557"/>
      <c r="Q140" s="557"/>
      <c r="R140" s="557"/>
      <c r="S140" s="557"/>
      <c r="T140" s="557"/>
      <c r="U140" s="557"/>
      <c r="V140" s="557"/>
      <c r="W140" s="461"/>
      <c r="X140" s="557"/>
      <c r="Y140" s="557"/>
      <c r="Z140" s="557"/>
      <c r="AA140" s="557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559"/>
      <c r="AQ140" s="559"/>
      <c r="AR140" s="559"/>
      <c r="AS140" s="559"/>
      <c r="AT140" s="559"/>
      <c r="AU140" s="559"/>
      <c r="AV140" s="559"/>
      <c r="AW140" s="559"/>
      <c r="AX140" s="559"/>
      <c r="AY140" s="559"/>
      <c r="AZ140" s="559"/>
      <c r="BA140" s="559"/>
      <c r="BB140" s="560"/>
      <c r="BC140" s="559"/>
      <c r="BD140" s="559"/>
      <c r="BE140" s="559"/>
      <c r="BF140" s="559"/>
      <c r="BG140" s="559"/>
      <c r="BH140" s="559"/>
      <c r="BI140" s="559"/>
      <c r="BJ140" s="559" t="s">
        <v>39</v>
      </c>
      <c r="BK140" s="559"/>
      <c r="BL140" s="559"/>
      <c r="BM140" s="559"/>
      <c r="BN140" s="559"/>
      <c r="BO140" s="559"/>
      <c r="BP140" s="559"/>
      <c r="BQ140" s="559"/>
      <c r="BR140" s="559"/>
      <c r="BS140" s="559"/>
      <c r="BT140" s="559"/>
      <c r="BU140" s="559"/>
      <c r="BV140" s="559"/>
      <c r="BW140" s="559"/>
      <c r="BX140" s="559"/>
      <c r="BY140" s="559"/>
      <c r="BZ140" s="559"/>
      <c r="CA140" s="559"/>
      <c r="CB140" s="559"/>
      <c r="CC140" s="559"/>
      <c r="CD140" s="559"/>
      <c r="CE140" s="520"/>
      <c r="CF140" s="242"/>
    </row>
    <row r="141" spans="1:84" s="529" customFormat="1" x14ac:dyDescent="0.15">
      <c r="A141" s="520"/>
      <c r="B141" s="225" t="s">
        <v>186</v>
      </c>
      <c r="C141" s="226"/>
      <c r="D141" s="226"/>
      <c r="E141" s="226"/>
      <c r="F141" s="226"/>
      <c r="G141" s="227"/>
      <c r="H141" s="226"/>
      <c r="I141" s="226"/>
      <c r="J141" s="226"/>
      <c r="K141" s="226"/>
      <c r="L141" s="227"/>
      <c r="M141" s="226"/>
      <c r="N141" s="226"/>
      <c r="O141" s="226"/>
      <c r="P141" s="226"/>
      <c r="Q141" s="227"/>
      <c r="R141" s="226"/>
      <c r="S141" s="226"/>
      <c r="T141" s="226"/>
      <c r="U141" s="226"/>
      <c r="V141" s="227"/>
      <c r="W141" s="226"/>
      <c r="X141" s="226"/>
      <c r="Y141" s="226"/>
      <c r="Z141" s="226"/>
      <c r="AA141" s="227"/>
      <c r="AB141" s="226"/>
      <c r="AC141" s="226"/>
      <c r="AD141" s="226"/>
      <c r="AE141" s="226"/>
      <c r="AF141" s="227"/>
      <c r="AG141" s="226" t="s">
        <v>39</v>
      </c>
      <c r="AH141" s="226"/>
      <c r="AI141" s="226"/>
      <c r="AJ141" s="226"/>
      <c r="AK141" s="227"/>
      <c r="AL141" s="226"/>
      <c r="AM141" s="226"/>
      <c r="AN141" s="226"/>
      <c r="AO141" s="226"/>
      <c r="AP141" s="227"/>
      <c r="AQ141" s="226"/>
      <c r="AR141" s="226"/>
      <c r="AS141" s="226"/>
      <c r="AT141" s="226"/>
      <c r="AU141" s="227"/>
      <c r="AV141" s="226"/>
      <c r="AW141" s="226"/>
      <c r="AX141" s="226"/>
      <c r="AY141" s="226"/>
      <c r="AZ141" s="227"/>
      <c r="BA141" s="226"/>
      <c r="BB141" s="226"/>
      <c r="BC141" s="226"/>
      <c r="BD141" s="226"/>
      <c r="BE141" s="227"/>
      <c r="BF141" s="226"/>
      <c r="BG141" s="226"/>
      <c r="BH141" s="226"/>
      <c r="BI141" s="226"/>
      <c r="BJ141" s="227"/>
      <c r="BK141" s="228"/>
      <c r="BL141" s="228"/>
      <c r="BM141" s="228"/>
      <c r="BN141" s="228"/>
      <c r="BO141" s="227"/>
      <c r="BP141" s="228"/>
      <c r="BQ141" s="228"/>
      <c r="BR141" s="228"/>
      <c r="BS141" s="228"/>
      <c r="BT141" s="227"/>
      <c r="BU141" s="228"/>
      <c r="BV141" s="228"/>
      <c r="BW141" s="228"/>
      <c r="BX141" s="228"/>
      <c r="BY141" s="227"/>
      <c r="BZ141" s="228"/>
      <c r="CA141" s="228"/>
      <c r="CB141" s="228"/>
      <c r="CC141" s="228"/>
      <c r="CD141" s="227"/>
      <c r="CE141" s="520"/>
      <c r="CF141" s="242"/>
    </row>
    <row r="142" spans="1:84" s="390" customFormat="1" x14ac:dyDescent="0.15">
      <c r="A142" s="8"/>
      <c r="B142" s="553" t="s">
        <v>186</v>
      </c>
      <c r="C142" s="452" t="e">
        <f>#REF!+C130+#REF!</f>
        <v>#REF!</v>
      </c>
      <c r="D142" s="452" t="e">
        <f>#REF!+D130+#REF!</f>
        <v>#REF!</v>
      </c>
      <c r="E142" s="452" t="e">
        <f>#REF!+E130+#REF!</f>
        <v>#REF!</v>
      </c>
      <c r="F142" s="452" t="e">
        <f>#REF!+F130+#REF!</f>
        <v>#REF!</v>
      </c>
      <c r="G142" s="482" t="e">
        <f>SUM(C142:F142)</f>
        <v>#REF!</v>
      </c>
      <c r="H142" s="452" t="e">
        <f>#REF!+H130+#REF!</f>
        <v>#REF!</v>
      </c>
      <c r="I142" s="452" t="e">
        <f>#REF!+I130+#REF!</f>
        <v>#REF!</v>
      </c>
      <c r="J142" s="452" t="e">
        <f>#REF!+J130+#REF!</f>
        <v>#REF!</v>
      </c>
      <c r="K142" s="452" t="e">
        <f>#REF!+K130+#REF!</f>
        <v>#REF!</v>
      </c>
      <c r="L142" s="482" t="e">
        <f>SUM(H142:K142)</f>
        <v>#REF!</v>
      </c>
      <c r="M142" s="452" t="e">
        <f>#REF!+M130</f>
        <v>#REF!</v>
      </c>
      <c r="N142" s="452" t="e">
        <f>#REF!+N130</f>
        <v>#REF!</v>
      </c>
      <c r="O142" s="452" t="e">
        <f>#REF!+O130</f>
        <v>#REF!</v>
      </c>
      <c r="P142" s="452" t="e">
        <f>#REF!+P130</f>
        <v>#REF!</v>
      </c>
      <c r="Q142" s="482" t="e">
        <f>#REF!+Q130</f>
        <v>#REF!</v>
      </c>
      <c r="R142" s="452" t="e">
        <f>#REF!+R130</f>
        <v>#REF!</v>
      </c>
      <c r="S142" s="452" t="e">
        <f>#REF!+S130</f>
        <v>#REF!</v>
      </c>
      <c r="T142" s="452" t="e">
        <f>#REF!+T130</f>
        <v>#REF!</v>
      </c>
      <c r="U142" s="452" t="e">
        <f>#REF!+U130</f>
        <v>#REF!</v>
      </c>
      <c r="V142" s="482" t="e">
        <f>#REF!+V130</f>
        <v>#REF!</v>
      </c>
      <c r="W142" s="452" t="e">
        <f>#REF!+W130</f>
        <v>#REF!</v>
      </c>
      <c r="X142" s="452" t="e">
        <f>#REF!+X130</f>
        <v>#REF!</v>
      </c>
      <c r="Y142" s="452" t="e">
        <f>#REF!+Y130</f>
        <v>#REF!</v>
      </c>
      <c r="Z142" s="452" t="e">
        <f>#REF!+Z130</f>
        <v>#REF!</v>
      </c>
      <c r="AA142" s="482" t="e">
        <f>#REF!+AA130</f>
        <v>#REF!</v>
      </c>
      <c r="AB142" s="452">
        <f>AB134+AB130</f>
        <v>0</v>
      </c>
      <c r="AC142" s="452">
        <f>AC134+AC130</f>
        <v>0</v>
      </c>
      <c r="AD142" s="452">
        <f>AD134+AD130</f>
        <v>0</v>
      </c>
      <c r="AE142" s="452">
        <f>AE134+AE130</f>
        <v>0</v>
      </c>
      <c r="AF142" s="482"/>
      <c r="AG142" s="452"/>
      <c r="AH142" s="452"/>
      <c r="AI142" s="452"/>
      <c r="AJ142" s="452"/>
      <c r="AK142" s="482"/>
      <c r="AL142" s="452"/>
      <c r="AM142" s="452"/>
      <c r="AN142" s="452"/>
      <c r="AO142" s="452"/>
      <c r="AP142" s="482"/>
      <c r="AQ142" s="452">
        <f>AQ121+AQ137</f>
        <v>1068.3110000000001</v>
      </c>
      <c r="AR142" s="452">
        <f t="shared" ref="AR142:CD142" si="87">AR121+AR137</f>
        <v>1095.7370000000001</v>
      </c>
      <c r="AS142" s="452">
        <f t="shared" si="87"/>
        <v>1541.7080000000001</v>
      </c>
      <c r="AT142" s="452">
        <f t="shared" si="87"/>
        <v>2063.7469999999998</v>
      </c>
      <c r="AU142" s="482">
        <f t="shared" si="87"/>
        <v>5769.5030000000006</v>
      </c>
      <c r="AV142" s="452">
        <f t="shared" si="87"/>
        <v>1886.1999999999998</v>
      </c>
      <c r="AW142" s="452">
        <f t="shared" si="87"/>
        <v>2041.1000000000004</v>
      </c>
      <c r="AX142" s="452">
        <f t="shared" si="87"/>
        <v>2056.1999999999998</v>
      </c>
      <c r="AY142" s="452">
        <f t="shared" si="87"/>
        <v>2280</v>
      </c>
      <c r="AZ142" s="482">
        <f t="shared" si="87"/>
        <v>8263.5</v>
      </c>
      <c r="BA142" s="452">
        <f t="shared" si="87"/>
        <v>2190.9</v>
      </c>
      <c r="BB142" s="452">
        <f t="shared" si="87"/>
        <v>2732.4000000000005</v>
      </c>
      <c r="BC142" s="452">
        <f t="shared" si="87"/>
        <v>2786.7999999999997</v>
      </c>
      <c r="BD142" s="452">
        <f t="shared" si="87"/>
        <v>2784.5</v>
      </c>
      <c r="BE142" s="482">
        <f t="shared" si="87"/>
        <v>10494.6</v>
      </c>
      <c r="BF142" s="452">
        <f t="shared" si="87"/>
        <v>2379.2960000000003</v>
      </c>
      <c r="BG142" s="452">
        <f t="shared" si="87"/>
        <v>2743.1110000000003</v>
      </c>
      <c r="BH142" s="452">
        <f t="shared" si="87"/>
        <v>2828.2669999999998</v>
      </c>
      <c r="BI142" s="452">
        <f t="shared" si="87"/>
        <v>3016.0770000000002</v>
      </c>
      <c r="BJ142" s="482">
        <f t="shared" si="87"/>
        <v>10966.751</v>
      </c>
      <c r="BK142" s="28">
        <f t="shared" si="87"/>
        <v>0</v>
      </c>
      <c r="BL142" s="28">
        <f t="shared" si="87"/>
        <v>0</v>
      </c>
      <c r="BM142" s="28">
        <f t="shared" si="87"/>
        <v>0</v>
      </c>
      <c r="BN142" s="28">
        <f t="shared" si="87"/>
        <v>0</v>
      </c>
      <c r="BO142" s="482">
        <f t="shared" si="87"/>
        <v>11740.723020000001</v>
      </c>
      <c r="BP142" s="28">
        <f t="shared" si="87"/>
        <v>0</v>
      </c>
      <c r="BQ142" s="28">
        <f t="shared" si="87"/>
        <v>0</v>
      </c>
      <c r="BR142" s="28">
        <f t="shared" si="87"/>
        <v>0</v>
      </c>
      <c r="BS142" s="28">
        <f t="shared" si="87"/>
        <v>0</v>
      </c>
      <c r="BT142" s="482">
        <f t="shared" si="87"/>
        <v>12447.6115627</v>
      </c>
      <c r="BU142" s="28">
        <f t="shared" si="87"/>
        <v>0</v>
      </c>
      <c r="BV142" s="28">
        <f t="shared" si="87"/>
        <v>0</v>
      </c>
      <c r="BW142" s="28">
        <f t="shared" si="87"/>
        <v>0</v>
      </c>
      <c r="BX142" s="28">
        <f t="shared" si="87"/>
        <v>0</v>
      </c>
      <c r="BY142" s="482">
        <f t="shared" si="87"/>
        <v>13185.359670699003</v>
      </c>
      <c r="BZ142" s="28">
        <f t="shared" si="87"/>
        <v>0</v>
      </c>
      <c r="CA142" s="28">
        <f t="shared" si="87"/>
        <v>0</v>
      </c>
      <c r="CB142" s="28">
        <f t="shared" si="87"/>
        <v>0</v>
      </c>
      <c r="CC142" s="28">
        <f t="shared" si="87"/>
        <v>0</v>
      </c>
      <c r="CD142" s="482">
        <f t="shared" si="87"/>
        <v>13762.726328055631</v>
      </c>
      <c r="CE142" s="8"/>
      <c r="CF142" s="242"/>
    </row>
    <row r="143" spans="1:84" ht="13" x14ac:dyDescent="0.15">
      <c r="B143" s="484" t="s">
        <v>126</v>
      </c>
      <c r="C143" s="485"/>
      <c r="D143" s="485"/>
      <c r="E143" s="485"/>
      <c r="F143" s="485"/>
      <c r="G143" s="486"/>
      <c r="H143" s="485"/>
      <c r="I143" s="485"/>
      <c r="J143" s="485"/>
      <c r="K143" s="485"/>
      <c r="L143" s="486"/>
      <c r="M143" s="485"/>
      <c r="N143" s="485"/>
      <c r="O143" s="485"/>
      <c r="P143" s="485"/>
      <c r="Q143" s="486"/>
      <c r="R143" s="485"/>
      <c r="S143" s="485"/>
      <c r="T143" s="485"/>
      <c r="U143" s="485"/>
      <c r="V143" s="486"/>
      <c r="W143" s="487" t="e">
        <f t="shared" ref="W143:AA143" si="88">W142/R142-1</f>
        <v>#REF!</v>
      </c>
      <c r="X143" s="485" t="e">
        <f t="shared" si="88"/>
        <v>#REF!</v>
      </c>
      <c r="Y143" s="485" t="e">
        <f t="shared" si="88"/>
        <v>#REF!</v>
      </c>
      <c r="Z143" s="485" t="e">
        <f t="shared" si="88"/>
        <v>#REF!</v>
      </c>
      <c r="AA143" s="486" t="e">
        <f t="shared" si="88"/>
        <v>#REF!</v>
      </c>
      <c r="AB143" s="554"/>
      <c r="AC143" s="1"/>
      <c r="AD143" s="1"/>
      <c r="AE143" s="1"/>
      <c r="AF143" s="555"/>
      <c r="AG143" s="487"/>
      <c r="AH143" s="487"/>
      <c r="AI143" s="487"/>
      <c r="AJ143" s="487"/>
      <c r="AK143" s="472"/>
      <c r="AL143" s="487"/>
      <c r="AM143" s="487"/>
      <c r="AN143" s="487"/>
      <c r="AO143" s="487"/>
      <c r="AP143" s="472"/>
      <c r="AQ143" s="488"/>
      <c r="AR143" s="487"/>
      <c r="AS143" s="487"/>
      <c r="AT143" s="487"/>
      <c r="AU143" s="472"/>
      <c r="AV143" s="487">
        <f t="shared" ref="AV143:AZ143" si="89">AV142/AQ142-1</f>
        <v>0.76559073153791313</v>
      </c>
      <c r="AW143" s="487">
        <f t="shared" si="89"/>
        <v>0.86276451374736851</v>
      </c>
      <c r="AX143" s="487">
        <f t="shared" si="89"/>
        <v>0.33371559335490231</v>
      </c>
      <c r="AY143" s="487">
        <f t="shared" si="89"/>
        <v>0.10478658478970537</v>
      </c>
      <c r="AZ143" s="472">
        <f t="shared" si="89"/>
        <v>0.43227241583893772</v>
      </c>
      <c r="BA143" s="487">
        <f>BA142/AV142-1</f>
        <v>0.16154172410136791</v>
      </c>
      <c r="BB143" s="487">
        <f>BB142/AW142-1</f>
        <v>0.33868992210082793</v>
      </c>
      <c r="BC143" s="487">
        <f>BC142/AX142-1</f>
        <v>0.35531563077521633</v>
      </c>
      <c r="BD143" s="487">
        <f>BD142/AY142-1</f>
        <v>0.22127192982456134</v>
      </c>
      <c r="BE143" s="472">
        <f t="shared" ref="BE143" si="90">BE142/AZ142-1</f>
        <v>0.26999455436558373</v>
      </c>
      <c r="BF143" s="487">
        <f>BF142/BA142-1</f>
        <v>8.5990232324615556E-2</v>
      </c>
      <c r="BG143" s="487">
        <f>BG142/BB142-1</f>
        <v>3.9199970721708333E-3</v>
      </c>
      <c r="BH143" s="487">
        <f>BH142/BC142-1</f>
        <v>1.4879790440648799E-2</v>
      </c>
      <c r="BI143" s="487">
        <f>BI142/BD142-1</f>
        <v>8.3166457173639907E-2</v>
      </c>
      <c r="BJ143" s="472">
        <f t="shared" ref="BJ143" si="91">BJ142/BE142-1</f>
        <v>4.4989899567396519E-2</v>
      </c>
      <c r="BK143" s="376"/>
      <c r="BL143" s="376"/>
      <c r="BM143" s="376"/>
      <c r="BN143" s="376"/>
      <c r="BO143" s="472">
        <f>BO142/BJ142-1</f>
        <v>7.0574413515908319E-2</v>
      </c>
      <c r="BP143" s="376"/>
      <c r="BQ143" s="376"/>
      <c r="BR143" s="376"/>
      <c r="BS143" s="376"/>
      <c r="BT143" s="472">
        <f>BT142/BO142-1</f>
        <v>6.0208263281216423E-2</v>
      </c>
      <c r="BU143" s="376"/>
      <c r="BV143" s="376"/>
      <c r="BW143" s="376"/>
      <c r="BX143" s="376"/>
      <c r="BY143" s="472">
        <f>BY142/BT142-1</f>
        <v>5.9268246304351901E-2</v>
      </c>
      <c r="BZ143" s="376"/>
      <c r="CA143" s="376"/>
      <c r="CB143" s="376"/>
      <c r="CC143" s="376"/>
      <c r="CD143" s="472">
        <f>CD142/BY142-1</f>
        <v>4.3788464765179835E-2</v>
      </c>
      <c r="CF143" s="242"/>
    </row>
    <row r="144" spans="1:84" x14ac:dyDescent="0.15">
      <c r="BJ144" s="561"/>
    </row>
    <row r="145" spans="2:82" x14ac:dyDescent="0.15">
      <c r="BD145" s="561"/>
      <c r="BE145" s="561"/>
      <c r="BF145" s="561"/>
      <c r="BG145" s="561"/>
      <c r="BH145" s="561"/>
      <c r="BI145" s="561"/>
      <c r="BJ145" s="561"/>
      <c r="BK145" s="561"/>
      <c r="BL145" s="561"/>
      <c r="BM145" s="561"/>
      <c r="BN145" s="561"/>
      <c r="BO145" s="561"/>
      <c r="BP145" s="561"/>
      <c r="BQ145" s="561"/>
      <c r="BR145" s="561"/>
      <c r="BS145" s="561"/>
      <c r="BT145" s="561"/>
      <c r="BU145" s="561"/>
      <c r="BV145" s="561"/>
      <c r="BW145" s="561"/>
      <c r="BX145" s="561"/>
      <c r="BY145" s="561"/>
      <c r="BZ145" s="561"/>
      <c r="CA145" s="561"/>
      <c r="CB145" s="561"/>
      <c r="CC145" s="561"/>
      <c r="CD145" s="561"/>
    </row>
    <row r="146" spans="2:82" x14ac:dyDescent="0.15">
      <c r="B146" s="225" t="s">
        <v>187</v>
      </c>
      <c r="AF146" s="227"/>
      <c r="AG146" s="226" t="s">
        <v>39</v>
      </c>
      <c r="AH146" s="226"/>
      <c r="AI146" s="226"/>
      <c r="AJ146" s="226"/>
      <c r="AK146" s="227"/>
      <c r="AL146" s="226"/>
      <c r="AM146" s="226"/>
      <c r="AN146" s="226"/>
      <c r="AO146" s="226"/>
      <c r="AP146" s="227"/>
      <c r="AQ146" s="226"/>
      <c r="AR146" s="226"/>
      <c r="AS146" s="226"/>
      <c r="AT146" s="226"/>
      <c r="AU146" s="227"/>
      <c r="AV146" s="226"/>
      <c r="AW146" s="226"/>
      <c r="AX146" s="226"/>
      <c r="AY146" s="226"/>
      <c r="AZ146" s="227"/>
      <c r="BA146" s="226"/>
      <c r="BB146" s="226"/>
      <c r="BC146" s="226"/>
      <c r="BD146" s="226"/>
      <c r="BE146" s="227"/>
      <c r="BF146" s="228"/>
      <c r="BG146" s="228"/>
      <c r="BH146" s="228"/>
      <c r="BI146" s="228"/>
      <c r="BJ146" s="227"/>
      <c r="BK146" s="228"/>
      <c r="BL146" s="228"/>
      <c r="BM146" s="228"/>
      <c r="BN146" s="228"/>
      <c r="BO146" s="227"/>
      <c r="BP146" s="228"/>
      <c r="BQ146" s="228"/>
      <c r="BR146" s="228"/>
      <c r="BS146" s="228"/>
      <c r="BT146" s="227"/>
      <c r="BU146" s="228"/>
      <c r="BV146" s="228"/>
      <c r="BW146" s="228"/>
      <c r="BX146" s="228"/>
      <c r="BY146" s="227"/>
      <c r="BZ146" s="228"/>
      <c r="CA146" s="228"/>
      <c r="CB146" s="228"/>
      <c r="CC146" s="228"/>
      <c r="CD146" s="227"/>
    </row>
    <row r="147" spans="2:82" x14ac:dyDescent="0.15">
      <c r="B147" s="562" t="s">
        <v>188</v>
      </c>
      <c r="AP147" s="563"/>
      <c r="AQ147" s="564">
        <f>AQ142</f>
        <v>1068.3110000000001</v>
      </c>
      <c r="AR147" s="564">
        <f t="shared" ref="AR147:CD147" si="92">AR142</f>
        <v>1095.7370000000001</v>
      </c>
      <c r="AS147" s="564">
        <f t="shared" si="92"/>
        <v>1541.7080000000001</v>
      </c>
      <c r="AT147" s="564">
        <f t="shared" si="92"/>
        <v>2063.7469999999998</v>
      </c>
      <c r="AU147" s="563">
        <f t="shared" si="92"/>
        <v>5769.5030000000006</v>
      </c>
      <c r="AV147" s="564">
        <f t="shared" si="92"/>
        <v>1886.1999999999998</v>
      </c>
      <c r="AW147" s="564">
        <f t="shared" si="92"/>
        <v>2041.1000000000004</v>
      </c>
      <c r="AX147" s="564">
        <f t="shared" si="92"/>
        <v>2056.1999999999998</v>
      </c>
      <c r="AY147" s="564">
        <f t="shared" si="92"/>
        <v>2280</v>
      </c>
      <c r="AZ147" s="563">
        <f t="shared" si="92"/>
        <v>8263.5</v>
      </c>
      <c r="BA147" s="564">
        <f t="shared" si="92"/>
        <v>2190.9</v>
      </c>
      <c r="BB147" s="564">
        <f t="shared" si="92"/>
        <v>2732.4000000000005</v>
      </c>
      <c r="BC147" s="564">
        <f t="shared" si="92"/>
        <v>2786.7999999999997</v>
      </c>
      <c r="BD147" s="564">
        <f t="shared" si="92"/>
        <v>2784.5</v>
      </c>
      <c r="BE147" s="563">
        <f t="shared" si="92"/>
        <v>10494.6</v>
      </c>
      <c r="BF147" s="564">
        <f t="shared" si="92"/>
        <v>2379.2960000000003</v>
      </c>
      <c r="BG147" s="564">
        <f t="shared" si="92"/>
        <v>2743.1110000000003</v>
      </c>
      <c r="BH147" s="564">
        <f t="shared" si="92"/>
        <v>2828.2669999999998</v>
      </c>
      <c r="BI147" s="564">
        <f t="shared" si="92"/>
        <v>3016.0770000000002</v>
      </c>
      <c r="BJ147" s="563">
        <f t="shared" si="92"/>
        <v>10966.751</v>
      </c>
      <c r="BK147" s="564">
        <f t="shared" si="92"/>
        <v>0</v>
      </c>
      <c r="BL147" s="564">
        <f t="shared" si="92"/>
        <v>0</v>
      </c>
      <c r="BM147" s="564">
        <f t="shared" si="92"/>
        <v>0</v>
      </c>
      <c r="BN147" s="564">
        <f t="shared" si="92"/>
        <v>0</v>
      </c>
      <c r="BO147" s="563">
        <f t="shared" si="92"/>
        <v>11740.723020000001</v>
      </c>
      <c r="BP147" s="564">
        <f t="shared" si="92"/>
        <v>0</v>
      </c>
      <c r="BQ147" s="564">
        <f t="shared" si="92"/>
        <v>0</v>
      </c>
      <c r="BR147" s="564">
        <f t="shared" si="92"/>
        <v>0</v>
      </c>
      <c r="BS147" s="564">
        <f t="shared" si="92"/>
        <v>0</v>
      </c>
      <c r="BT147" s="563">
        <f t="shared" si="92"/>
        <v>12447.6115627</v>
      </c>
      <c r="BU147" s="564">
        <f t="shared" si="92"/>
        <v>0</v>
      </c>
      <c r="BV147" s="564">
        <f t="shared" si="92"/>
        <v>0</v>
      </c>
      <c r="BW147" s="564">
        <f t="shared" si="92"/>
        <v>0</v>
      </c>
      <c r="BX147" s="564">
        <f t="shared" si="92"/>
        <v>0</v>
      </c>
      <c r="BY147" s="563">
        <f t="shared" si="92"/>
        <v>13185.359670699003</v>
      </c>
      <c r="BZ147" s="564">
        <f t="shared" si="92"/>
        <v>0</v>
      </c>
      <c r="CA147" s="564">
        <f t="shared" si="92"/>
        <v>0</v>
      </c>
      <c r="CB147" s="564">
        <f t="shared" si="92"/>
        <v>0</v>
      </c>
      <c r="CC147" s="564">
        <f t="shared" si="92"/>
        <v>0</v>
      </c>
      <c r="CD147" s="563">
        <f t="shared" si="92"/>
        <v>13762.726328055631</v>
      </c>
    </row>
    <row r="148" spans="2:82" x14ac:dyDescent="0.15">
      <c r="B148" s="565" t="s">
        <v>189</v>
      </c>
      <c r="AP148" s="566"/>
      <c r="AQ148" s="567">
        <f t="shared" ref="AQ148:BA148" si="93">AQ121-AQ113-AQ84</f>
        <v>771.1</v>
      </c>
      <c r="AR148" s="567">
        <f t="shared" si="93"/>
        <v>791.8</v>
      </c>
      <c r="AS148" s="567">
        <f t="shared" si="93"/>
        <v>1142.6890000000001</v>
      </c>
      <c r="AT148" s="567">
        <f t="shared" si="93"/>
        <v>1570.3719999999998</v>
      </c>
      <c r="AU148" s="566">
        <f t="shared" si="93"/>
        <v>4275.9610000000002</v>
      </c>
      <c r="AV148" s="567">
        <f t="shared" si="93"/>
        <v>1421.8</v>
      </c>
      <c r="AW148" s="567">
        <f t="shared" si="93"/>
        <v>1479.7000000000003</v>
      </c>
      <c r="AX148" s="567">
        <f t="shared" si="93"/>
        <v>1507.9</v>
      </c>
      <c r="AY148" s="567">
        <f t="shared" si="93"/>
        <v>1757.7</v>
      </c>
      <c r="AZ148" s="566">
        <f t="shared" si="93"/>
        <v>6167.0999999999995</v>
      </c>
      <c r="BA148" s="567">
        <f t="shared" si="93"/>
        <v>1734.3000000000002</v>
      </c>
      <c r="BB148" s="567">
        <f>BB121</f>
        <v>2237.6000000000004</v>
      </c>
      <c r="BC148" s="567">
        <f t="shared" ref="BC148:CD148" si="94">BC121</f>
        <v>2320.6999999999998</v>
      </c>
      <c r="BD148" s="567">
        <f t="shared" si="94"/>
        <v>2258</v>
      </c>
      <c r="BE148" s="566">
        <f t="shared" si="94"/>
        <v>8580.7000000000007</v>
      </c>
      <c r="BF148" s="567">
        <f t="shared" si="94"/>
        <v>1930.2280000000001</v>
      </c>
      <c r="BG148" s="567">
        <f t="shared" si="94"/>
        <v>2207.7910000000002</v>
      </c>
      <c r="BH148" s="567">
        <f t="shared" si="94"/>
        <v>2302.15</v>
      </c>
      <c r="BI148" s="567">
        <f t="shared" si="94"/>
        <v>2436.2530000000002</v>
      </c>
      <c r="BJ148" s="566">
        <f t="shared" si="94"/>
        <v>8876.4220000000005</v>
      </c>
      <c r="BK148" s="567">
        <f t="shared" si="94"/>
        <v>0</v>
      </c>
      <c r="BL148" s="567">
        <f t="shared" si="94"/>
        <v>0</v>
      </c>
      <c r="BM148" s="567">
        <f t="shared" si="94"/>
        <v>0</v>
      </c>
      <c r="BN148" s="567">
        <f t="shared" si="94"/>
        <v>0</v>
      </c>
      <c r="BO148" s="566">
        <f t="shared" si="94"/>
        <v>9527.9289900000003</v>
      </c>
      <c r="BP148" s="567">
        <f t="shared" si="94"/>
        <v>0</v>
      </c>
      <c r="BQ148" s="567">
        <f t="shared" si="94"/>
        <v>0</v>
      </c>
      <c r="BR148" s="567">
        <f t="shared" si="94"/>
        <v>0</v>
      </c>
      <c r="BS148" s="567">
        <f t="shared" si="94"/>
        <v>0</v>
      </c>
      <c r="BT148" s="566">
        <f t="shared" si="94"/>
        <v>10104.7933648</v>
      </c>
      <c r="BU148" s="567">
        <f t="shared" si="94"/>
        <v>0</v>
      </c>
      <c r="BV148" s="567">
        <f t="shared" si="94"/>
        <v>0</v>
      </c>
      <c r="BW148" s="567">
        <f t="shared" si="94"/>
        <v>0</v>
      </c>
      <c r="BX148" s="567">
        <f t="shared" si="94"/>
        <v>0</v>
      </c>
      <c r="BY148" s="566">
        <f t="shared" si="94"/>
        <v>10711.443747096002</v>
      </c>
      <c r="BZ148" s="567">
        <f t="shared" si="94"/>
        <v>0</v>
      </c>
      <c r="CA148" s="567">
        <f t="shared" si="94"/>
        <v>0</v>
      </c>
      <c r="CB148" s="567">
        <f t="shared" si="94"/>
        <v>0</v>
      </c>
      <c r="CC148" s="567">
        <f t="shared" si="94"/>
        <v>0</v>
      </c>
      <c r="CD148" s="566">
        <f t="shared" si="94"/>
        <v>11150.18081535792</v>
      </c>
    </row>
    <row r="149" spans="2:82" x14ac:dyDescent="0.15">
      <c r="B149" s="568" t="s">
        <v>190</v>
      </c>
      <c r="AP149" s="569"/>
      <c r="AQ149" s="570">
        <f>1-AQ150/AQ148</f>
        <v>0.8540941512125535</v>
      </c>
      <c r="AR149" s="570">
        <f t="shared" ref="AR149:BE149" si="95">1-AR150/AR148</f>
        <v>0.83117580197019447</v>
      </c>
      <c r="AS149" s="570">
        <f t="shared" si="95"/>
        <v>0.78319035188052044</v>
      </c>
      <c r="AT149" s="570">
        <f t="shared" si="95"/>
        <v>0.78179437738319324</v>
      </c>
      <c r="AU149" s="569">
        <f t="shared" si="95"/>
        <v>0.80434971226351226</v>
      </c>
      <c r="AV149" s="570">
        <f t="shared" si="95"/>
        <v>0.78020818680545789</v>
      </c>
      <c r="AW149" s="570">
        <f t="shared" si="95"/>
        <v>0.76846658106372923</v>
      </c>
      <c r="AX149" s="570">
        <f t="shared" si="95"/>
        <v>0.78625903574507594</v>
      </c>
      <c r="AY149" s="570">
        <f t="shared" si="95"/>
        <v>0.79746259316151791</v>
      </c>
      <c r="AZ149" s="569">
        <f t="shared" si="95"/>
        <v>0.78378816623696712</v>
      </c>
      <c r="BA149" s="570">
        <f t="shared" si="95"/>
        <v>0.79790117050106679</v>
      </c>
      <c r="BB149" s="570">
        <f t="shared" si="95"/>
        <v>0.81158383982838755</v>
      </c>
      <c r="BC149" s="570">
        <f t="shared" si="95"/>
        <v>0.8044986426509243</v>
      </c>
      <c r="BD149" s="570">
        <f t="shared" si="95"/>
        <v>0.79862710363153233</v>
      </c>
      <c r="BE149" s="569">
        <f t="shared" si="95"/>
        <v>0.8041535072896151</v>
      </c>
      <c r="BF149" s="571">
        <v>0.79</v>
      </c>
      <c r="BG149" s="571">
        <v>0.81</v>
      </c>
      <c r="BH149" s="571">
        <v>0.81</v>
      </c>
      <c r="BI149" s="571">
        <v>0.80500000000000005</v>
      </c>
      <c r="BJ149" s="569">
        <f t="shared" ref="BJ149" si="96">1-BJ150/BJ148</f>
        <v>0.80427857023922478</v>
      </c>
      <c r="BK149" s="571">
        <v>0.8</v>
      </c>
      <c r="BL149" s="571">
        <v>0.8</v>
      </c>
      <c r="BM149" s="571">
        <v>0.8</v>
      </c>
      <c r="BN149" s="571">
        <v>0.8</v>
      </c>
      <c r="BO149" s="572">
        <v>0.80500000000000005</v>
      </c>
      <c r="BP149" s="571">
        <v>0.8</v>
      </c>
      <c r="BQ149" s="571">
        <v>0.8</v>
      </c>
      <c r="BR149" s="571">
        <v>0.8</v>
      </c>
      <c r="BS149" s="571">
        <v>0.8</v>
      </c>
      <c r="BT149" s="572">
        <v>0.81</v>
      </c>
      <c r="BU149" s="571">
        <v>0.8</v>
      </c>
      <c r="BV149" s="571">
        <v>0.8</v>
      </c>
      <c r="BW149" s="571">
        <v>0.8</v>
      </c>
      <c r="BX149" s="571">
        <v>0.8</v>
      </c>
      <c r="BY149" s="572">
        <v>0.81499999999999995</v>
      </c>
      <c r="BZ149" s="571">
        <v>0.8</v>
      </c>
      <c r="CA149" s="571">
        <v>0.8</v>
      </c>
      <c r="CB149" s="571">
        <v>0.8</v>
      </c>
      <c r="CC149" s="571">
        <v>0.8</v>
      </c>
      <c r="CD149" s="572">
        <v>0.82</v>
      </c>
    </row>
    <row r="150" spans="2:82" x14ac:dyDescent="0.15">
      <c r="B150" s="568" t="s">
        <v>191</v>
      </c>
      <c r="AP150" s="566"/>
      <c r="AQ150" s="567">
        <v>112.508</v>
      </c>
      <c r="AR150" s="567">
        <v>133.67499999999995</v>
      </c>
      <c r="AS150" s="567">
        <v>247.74600000000001</v>
      </c>
      <c r="AT150" s="567">
        <v>342.66399999999999</v>
      </c>
      <c r="AU150" s="566">
        <v>836.59299999999996</v>
      </c>
      <c r="AV150" s="567">
        <v>312.5</v>
      </c>
      <c r="AW150" s="567">
        <v>342.6</v>
      </c>
      <c r="AX150" s="567">
        <v>322.3</v>
      </c>
      <c r="AY150" s="567">
        <v>356</v>
      </c>
      <c r="AZ150" s="566">
        <v>1333.4</v>
      </c>
      <c r="BA150" s="567">
        <v>350.5</v>
      </c>
      <c r="BB150" s="567">
        <v>421.6</v>
      </c>
      <c r="BC150" s="567">
        <v>453.7</v>
      </c>
      <c r="BD150" s="567">
        <v>454.7</v>
      </c>
      <c r="BE150" s="566">
        <f>SUM(BA150:BD150)</f>
        <v>1680.5</v>
      </c>
      <c r="BF150" s="567">
        <f t="shared" ref="BF150:CD150" si="97">(1-BF149)*BF148</f>
        <v>405.34787999999992</v>
      </c>
      <c r="BG150" s="567">
        <f t="shared" si="97"/>
        <v>419.48028999999991</v>
      </c>
      <c r="BH150" s="567">
        <f t="shared" si="97"/>
        <v>437.40849999999989</v>
      </c>
      <c r="BI150" s="567">
        <f t="shared" si="97"/>
        <v>475.06933499999991</v>
      </c>
      <c r="BJ150" s="566">
        <f>SUM(BF150:BI150)</f>
        <v>1737.3060049999997</v>
      </c>
      <c r="BK150" s="567">
        <f t="shared" si="97"/>
        <v>0</v>
      </c>
      <c r="BL150" s="567">
        <f t="shared" si="97"/>
        <v>0</v>
      </c>
      <c r="BM150" s="567">
        <f t="shared" si="97"/>
        <v>0</v>
      </c>
      <c r="BN150" s="567">
        <f t="shared" si="97"/>
        <v>0</v>
      </c>
      <c r="BO150" s="566">
        <f t="shared" si="97"/>
        <v>1857.9461530499996</v>
      </c>
      <c r="BP150" s="567">
        <f t="shared" si="97"/>
        <v>0</v>
      </c>
      <c r="BQ150" s="567">
        <f t="shared" si="97"/>
        <v>0</v>
      </c>
      <c r="BR150" s="567">
        <f t="shared" si="97"/>
        <v>0</v>
      </c>
      <c r="BS150" s="567">
        <f t="shared" si="97"/>
        <v>0</v>
      </c>
      <c r="BT150" s="566">
        <f t="shared" si="97"/>
        <v>1919.9107393119994</v>
      </c>
      <c r="BU150" s="567">
        <f t="shared" si="97"/>
        <v>0</v>
      </c>
      <c r="BV150" s="567">
        <f t="shared" si="97"/>
        <v>0</v>
      </c>
      <c r="BW150" s="567">
        <f t="shared" si="97"/>
        <v>0</v>
      </c>
      <c r="BX150" s="567">
        <f t="shared" si="97"/>
        <v>0</v>
      </c>
      <c r="BY150" s="566">
        <f t="shared" si="97"/>
        <v>1981.6170932127609</v>
      </c>
      <c r="BZ150" s="567">
        <f t="shared" si="97"/>
        <v>0</v>
      </c>
      <c r="CA150" s="567">
        <f t="shared" si="97"/>
        <v>0</v>
      </c>
      <c r="CB150" s="567">
        <f t="shared" si="97"/>
        <v>0</v>
      </c>
      <c r="CC150" s="567">
        <f t="shared" si="97"/>
        <v>0</v>
      </c>
      <c r="CD150" s="566">
        <f t="shared" si="97"/>
        <v>2007.0325467644261</v>
      </c>
    </row>
    <row r="151" spans="2:82" x14ac:dyDescent="0.15">
      <c r="B151" s="565" t="s">
        <v>192</v>
      </c>
      <c r="AP151" s="566"/>
      <c r="AQ151" s="567">
        <f>AQ137</f>
        <v>297.21100000000001</v>
      </c>
      <c r="AR151" s="567">
        <f t="shared" ref="AR151:CD151" si="98">AR137</f>
        <v>303.93700000000001</v>
      </c>
      <c r="AS151" s="567">
        <f t="shared" si="98"/>
        <v>399.01900000000001</v>
      </c>
      <c r="AT151" s="567">
        <f t="shared" si="98"/>
        <v>493.375</v>
      </c>
      <c r="AU151" s="566">
        <f t="shared" si="98"/>
        <v>1493.5419999999999</v>
      </c>
      <c r="AV151" s="567">
        <f t="shared" si="98"/>
        <v>464.4</v>
      </c>
      <c r="AW151" s="567">
        <f t="shared" si="98"/>
        <v>561.4</v>
      </c>
      <c r="AX151" s="567">
        <f t="shared" si="98"/>
        <v>548.29999999999995</v>
      </c>
      <c r="AY151" s="567">
        <f t="shared" si="98"/>
        <v>522.29999999999995</v>
      </c>
      <c r="AZ151" s="566">
        <f t="shared" si="98"/>
        <v>2096.4</v>
      </c>
      <c r="BA151" s="567">
        <f t="shared" si="98"/>
        <v>426.5</v>
      </c>
      <c r="BB151" s="567">
        <f t="shared" si="98"/>
        <v>494.79999999999995</v>
      </c>
      <c r="BC151" s="567">
        <f t="shared" si="98"/>
        <v>466.1</v>
      </c>
      <c r="BD151" s="567">
        <f t="shared" si="98"/>
        <v>526.5</v>
      </c>
      <c r="BE151" s="566">
        <f t="shared" si="98"/>
        <v>1913.9</v>
      </c>
      <c r="BF151" s="567">
        <f t="shared" si="98"/>
        <v>449.06799999999998</v>
      </c>
      <c r="BG151" s="567">
        <f t="shared" si="98"/>
        <v>535.32000000000005</v>
      </c>
      <c r="BH151" s="567">
        <f t="shared" si="98"/>
        <v>526.11699999999996</v>
      </c>
      <c r="BI151" s="567">
        <f t="shared" si="98"/>
        <v>579.82400000000007</v>
      </c>
      <c r="BJ151" s="566">
        <f t="shared" si="98"/>
        <v>2090.3290000000002</v>
      </c>
      <c r="BK151" s="567">
        <f t="shared" si="98"/>
        <v>0</v>
      </c>
      <c r="BL151" s="567">
        <f t="shared" si="98"/>
        <v>0</v>
      </c>
      <c r="BM151" s="567">
        <f t="shared" si="98"/>
        <v>0</v>
      </c>
      <c r="BN151" s="567">
        <f t="shared" si="98"/>
        <v>0</v>
      </c>
      <c r="BO151" s="566">
        <f t="shared" si="98"/>
        <v>2212.79403</v>
      </c>
      <c r="BP151" s="567">
        <f t="shared" si="98"/>
        <v>0</v>
      </c>
      <c r="BQ151" s="567">
        <f t="shared" si="98"/>
        <v>0</v>
      </c>
      <c r="BR151" s="567">
        <f t="shared" si="98"/>
        <v>0</v>
      </c>
      <c r="BS151" s="567">
        <f t="shared" si="98"/>
        <v>0</v>
      </c>
      <c r="BT151" s="566">
        <f t="shared" si="98"/>
        <v>2342.8181979000001</v>
      </c>
      <c r="BU151" s="567">
        <f t="shared" si="98"/>
        <v>0</v>
      </c>
      <c r="BV151" s="567">
        <f t="shared" si="98"/>
        <v>0</v>
      </c>
      <c r="BW151" s="567">
        <f t="shared" si="98"/>
        <v>0</v>
      </c>
      <c r="BX151" s="567">
        <f t="shared" si="98"/>
        <v>0</v>
      </c>
      <c r="BY151" s="566">
        <f t="shared" si="98"/>
        <v>2473.9159236030005</v>
      </c>
      <c r="BZ151" s="567">
        <f t="shared" si="98"/>
        <v>0</v>
      </c>
      <c r="CA151" s="567">
        <f t="shared" si="98"/>
        <v>0</v>
      </c>
      <c r="CB151" s="567">
        <f t="shared" si="98"/>
        <v>0</v>
      </c>
      <c r="CC151" s="567">
        <f t="shared" si="98"/>
        <v>0</v>
      </c>
      <c r="CD151" s="566">
        <f t="shared" si="98"/>
        <v>2612.5455126977104</v>
      </c>
    </row>
    <row r="152" spans="2:82" x14ac:dyDescent="0.15">
      <c r="B152" s="568" t="s">
        <v>190</v>
      </c>
      <c r="AP152" s="569"/>
      <c r="AQ152" s="570">
        <f>1-AQ153/AQ151</f>
        <v>0.60160626625528668</v>
      </c>
      <c r="AR152" s="570">
        <f t="shared" ref="AR152:BE152" si="99">1-AR153/AR151</f>
        <v>0.63627988695025617</v>
      </c>
      <c r="AS152" s="570">
        <f t="shared" si="99"/>
        <v>0.61430408075805909</v>
      </c>
      <c r="AT152" s="570">
        <f t="shared" si="99"/>
        <v>0.61324347605776541</v>
      </c>
      <c r="AU152" s="569">
        <f t="shared" si="99"/>
        <v>0.61589898375807306</v>
      </c>
      <c r="AV152" s="570">
        <f t="shared" si="99"/>
        <v>0.62962962962962954</v>
      </c>
      <c r="AW152" s="570">
        <f t="shared" si="99"/>
        <v>0.62718204488778051</v>
      </c>
      <c r="AX152" s="570">
        <f t="shared" si="99"/>
        <v>0.64161955134050697</v>
      </c>
      <c r="AY152" s="570">
        <f t="shared" si="99"/>
        <v>0.63699023549684086</v>
      </c>
      <c r="AZ152" s="569">
        <f t="shared" si="99"/>
        <v>0.63394390383514598</v>
      </c>
      <c r="BA152" s="570">
        <f t="shared" si="99"/>
        <v>0.62274325908558037</v>
      </c>
      <c r="BB152" s="570">
        <f t="shared" si="99"/>
        <v>0.60873080032336291</v>
      </c>
      <c r="BC152" s="570">
        <f t="shared" si="99"/>
        <v>0.61188586140313239</v>
      </c>
      <c r="BD152" s="570">
        <f t="shared" si="99"/>
        <v>0.58974358974358976</v>
      </c>
      <c r="BE152" s="569">
        <f t="shared" si="99"/>
        <v>0.60739850566905274</v>
      </c>
      <c r="BF152" s="571">
        <v>0.59</v>
      </c>
      <c r="BG152" s="571">
        <v>0.6</v>
      </c>
      <c r="BH152" s="571">
        <v>0.61</v>
      </c>
      <c r="BI152" s="571">
        <v>0.61</v>
      </c>
      <c r="BJ152" s="569">
        <f t="shared" ref="BJ152" si="100">1-BJ153/BJ151</f>
        <v>0.60314243834343773</v>
      </c>
      <c r="BK152" s="571"/>
      <c r="BL152" s="571"/>
      <c r="BM152" s="571"/>
      <c r="BN152" s="571"/>
      <c r="BO152" s="572">
        <v>0.61</v>
      </c>
      <c r="BP152" s="571"/>
      <c r="BQ152" s="571"/>
      <c r="BR152" s="571"/>
      <c r="BS152" s="571"/>
      <c r="BT152" s="572">
        <v>0.61</v>
      </c>
      <c r="BU152" s="571"/>
      <c r="BV152" s="571"/>
      <c r="BW152" s="571"/>
      <c r="BX152" s="571"/>
      <c r="BY152" s="572">
        <v>0.61499999999999999</v>
      </c>
      <c r="BZ152" s="571"/>
      <c r="CA152" s="571"/>
      <c r="CB152" s="571"/>
      <c r="CC152" s="571"/>
      <c r="CD152" s="572">
        <v>0.62</v>
      </c>
    </row>
    <row r="153" spans="2:82" x14ac:dyDescent="0.15">
      <c r="B153" s="568" t="s">
        <v>191</v>
      </c>
      <c r="AP153" s="566"/>
      <c r="AQ153" s="567">
        <v>118.407</v>
      </c>
      <c r="AR153" s="567">
        <v>110.54800000000002</v>
      </c>
      <c r="AS153" s="567">
        <v>153.9</v>
      </c>
      <c r="AT153" s="567">
        <v>190.816</v>
      </c>
      <c r="AU153" s="566">
        <v>573.67100000000005</v>
      </c>
      <c r="AV153" s="567">
        <v>172</v>
      </c>
      <c r="AW153" s="567">
        <v>209.3</v>
      </c>
      <c r="AX153" s="567">
        <v>196.5</v>
      </c>
      <c r="AY153" s="567">
        <v>189.6</v>
      </c>
      <c r="AZ153" s="566">
        <v>767.4</v>
      </c>
      <c r="BA153" s="567">
        <v>160.9</v>
      </c>
      <c r="BB153" s="567">
        <v>193.6</v>
      </c>
      <c r="BC153" s="567">
        <v>180.9</v>
      </c>
      <c r="BD153" s="567">
        <v>216</v>
      </c>
      <c r="BE153" s="566">
        <f>SUM(BA153:BD153)</f>
        <v>751.4</v>
      </c>
      <c r="BF153" s="567">
        <f t="shared" ref="BF153:BI153" si="101">(1-BF152)*BF151</f>
        <v>184.11788000000001</v>
      </c>
      <c r="BG153" s="567">
        <f t="shared" si="101"/>
        <v>214.12800000000004</v>
      </c>
      <c r="BH153" s="567">
        <f t="shared" si="101"/>
        <v>205.18563</v>
      </c>
      <c r="BI153" s="567">
        <f t="shared" si="101"/>
        <v>226.13136000000003</v>
      </c>
      <c r="BJ153" s="566">
        <f>SUM(BF153:BI153)</f>
        <v>829.5628700000002</v>
      </c>
      <c r="BK153" s="567">
        <f t="shared" ref="BK153:CD153" si="102">(1-BK152)*BK151</f>
        <v>0</v>
      </c>
      <c r="BL153" s="567">
        <f t="shared" si="102"/>
        <v>0</v>
      </c>
      <c r="BM153" s="567">
        <f t="shared" si="102"/>
        <v>0</v>
      </c>
      <c r="BN153" s="567">
        <f t="shared" si="102"/>
        <v>0</v>
      </c>
      <c r="BO153" s="566">
        <f t="shared" si="102"/>
        <v>862.98967170000003</v>
      </c>
      <c r="BP153" s="567">
        <f t="shared" si="102"/>
        <v>0</v>
      </c>
      <c r="BQ153" s="567">
        <f t="shared" si="102"/>
        <v>0</v>
      </c>
      <c r="BR153" s="567">
        <f t="shared" si="102"/>
        <v>0</v>
      </c>
      <c r="BS153" s="567">
        <f t="shared" si="102"/>
        <v>0</v>
      </c>
      <c r="BT153" s="566">
        <f t="shared" si="102"/>
        <v>913.69909718100007</v>
      </c>
      <c r="BU153" s="567">
        <f t="shared" si="102"/>
        <v>0</v>
      </c>
      <c r="BV153" s="567">
        <f t="shared" si="102"/>
        <v>0</v>
      </c>
      <c r="BW153" s="567">
        <f t="shared" si="102"/>
        <v>0</v>
      </c>
      <c r="BX153" s="567">
        <f t="shared" si="102"/>
        <v>0</v>
      </c>
      <c r="BY153" s="566">
        <f t="shared" si="102"/>
        <v>952.45763058715522</v>
      </c>
      <c r="BZ153" s="567">
        <f t="shared" si="102"/>
        <v>0</v>
      </c>
      <c r="CA153" s="567">
        <f t="shared" si="102"/>
        <v>0</v>
      </c>
      <c r="CB153" s="567">
        <f t="shared" si="102"/>
        <v>0</v>
      </c>
      <c r="CC153" s="567">
        <f t="shared" si="102"/>
        <v>0</v>
      </c>
      <c r="CD153" s="566">
        <f t="shared" si="102"/>
        <v>992.76729482512997</v>
      </c>
    </row>
    <row r="154" spans="2:82" x14ac:dyDescent="0.15">
      <c r="B154" s="562" t="s">
        <v>193</v>
      </c>
      <c r="AP154" s="573"/>
      <c r="AU154" s="573"/>
      <c r="AZ154" s="573"/>
      <c r="BE154" s="573"/>
      <c r="BJ154" s="573"/>
      <c r="BO154" s="573"/>
      <c r="BT154" s="573"/>
      <c r="BY154" s="573"/>
      <c r="CD154" s="573"/>
    </row>
    <row r="155" spans="2:82" x14ac:dyDescent="0.15">
      <c r="B155" s="574" t="s">
        <v>191</v>
      </c>
      <c r="AP155" s="575"/>
      <c r="AQ155" s="576">
        <f>AQ150+AQ153</f>
        <v>230.91499999999999</v>
      </c>
      <c r="AR155" s="576">
        <f t="shared" ref="AR155:CC155" si="103">AR150+AR153</f>
        <v>244.22299999999996</v>
      </c>
      <c r="AS155" s="576">
        <f t="shared" si="103"/>
        <v>401.64600000000002</v>
      </c>
      <c r="AT155" s="576">
        <f t="shared" si="103"/>
        <v>533.48</v>
      </c>
      <c r="AU155" s="575">
        <f t="shared" si="103"/>
        <v>1410.2640000000001</v>
      </c>
      <c r="AV155" s="576">
        <f t="shared" si="103"/>
        <v>484.5</v>
      </c>
      <c r="AW155" s="576">
        <f t="shared" si="103"/>
        <v>551.90000000000009</v>
      </c>
      <c r="AX155" s="576">
        <f t="shared" si="103"/>
        <v>518.79999999999995</v>
      </c>
      <c r="AY155" s="576">
        <f t="shared" si="103"/>
        <v>545.6</v>
      </c>
      <c r="AZ155" s="575">
        <f t="shared" si="103"/>
        <v>2100.8000000000002</v>
      </c>
      <c r="BA155" s="576">
        <f t="shared" si="103"/>
        <v>511.4</v>
      </c>
      <c r="BB155" s="576">
        <f t="shared" si="103"/>
        <v>615.20000000000005</v>
      </c>
      <c r="BC155" s="576">
        <f t="shared" si="103"/>
        <v>634.6</v>
      </c>
      <c r="BD155" s="576">
        <f t="shared" si="103"/>
        <v>670.7</v>
      </c>
      <c r="BE155" s="575">
        <f t="shared" si="103"/>
        <v>2431.9</v>
      </c>
      <c r="BF155" s="576">
        <f>BF150+BF153+10</f>
        <v>599.46575999999993</v>
      </c>
      <c r="BG155" s="576">
        <f t="shared" ref="BG155:BI155" si="104">BG150+BG153+10</f>
        <v>643.6082899999999</v>
      </c>
      <c r="BH155" s="576">
        <f t="shared" si="104"/>
        <v>652.59412999999995</v>
      </c>
      <c r="BI155" s="576">
        <f t="shared" si="104"/>
        <v>711.200695</v>
      </c>
      <c r="BJ155" s="575">
        <f>BJ150+BJ153+40</f>
        <v>2606.8688750000001</v>
      </c>
      <c r="BK155" s="576">
        <f t="shared" si="103"/>
        <v>0</v>
      </c>
      <c r="BL155" s="576">
        <f t="shared" si="103"/>
        <v>0</v>
      </c>
      <c r="BM155" s="576">
        <f t="shared" si="103"/>
        <v>0</v>
      </c>
      <c r="BN155" s="576">
        <f t="shared" si="103"/>
        <v>0</v>
      </c>
      <c r="BO155" s="575">
        <f>BO150+BO153+40</f>
        <v>2760.9358247499995</v>
      </c>
      <c r="BP155" s="576">
        <f t="shared" si="103"/>
        <v>0</v>
      </c>
      <c r="BQ155" s="576">
        <f t="shared" si="103"/>
        <v>0</v>
      </c>
      <c r="BR155" s="576">
        <f t="shared" si="103"/>
        <v>0</v>
      </c>
      <c r="BS155" s="576">
        <f t="shared" si="103"/>
        <v>0</v>
      </c>
      <c r="BT155" s="575">
        <f>BT150+BT153+40</f>
        <v>2873.6098364929994</v>
      </c>
      <c r="BU155" s="576">
        <f t="shared" si="103"/>
        <v>0</v>
      </c>
      <c r="BV155" s="576">
        <f t="shared" si="103"/>
        <v>0</v>
      </c>
      <c r="BW155" s="576">
        <f t="shared" si="103"/>
        <v>0</v>
      </c>
      <c r="BX155" s="576">
        <f t="shared" si="103"/>
        <v>0</v>
      </c>
      <c r="BY155" s="575">
        <f>BY150+BY153+40</f>
        <v>2974.0747237999162</v>
      </c>
      <c r="BZ155" s="576">
        <f t="shared" si="103"/>
        <v>0</v>
      </c>
      <c r="CA155" s="576">
        <f t="shared" si="103"/>
        <v>0</v>
      </c>
      <c r="CB155" s="576">
        <f t="shared" si="103"/>
        <v>0</v>
      </c>
      <c r="CC155" s="576">
        <f t="shared" si="103"/>
        <v>0</v>
      </c>
      <c r="CD155" s="575">
        <f>CD150+CD153+40</f>
        <v>3039.7998415895563</v>
      </c>
    </row>
    <row r="156" spans="2:82" x14ac:dyDescent="0.15">
      <c r="B156" s="577" t="s">
        <v>190</v>
      </c>
      <c r="AP156" s="578"/>
      <c r="AQ156" s="579">
        <f>1-AQ155/AQ147</f>
        <v>0.7838503956244951</v>
      </c>
      <c r="AR156" s="579">
        <f t="shared" ref="AR156:CD156" si="105">1-AR155/AR147</f>
        <v>0.77711531142965884</v>
      </c>
      <c r="AS156" s="579">
        <f t="shared" si="105"/>
        <v>0.73947984962132907</v>
      </c>
      <c r="AT156" s="579">
        <f t="shared" si="105"/>
        <v>0.74149932137999475</v>
      </c>
      <c r="AU156" s="578">
        <f t="shared" si="105"/>
        <v>0.75556577403634251</v>
      </c>
      <c r="AV156" s="579">
        <f t="shared" si="105"/>
        <v>0.74313434418407376</v>
      </c>
      <c r="AW156" s="579">
        <f t="shared" si="105"/>
        <v>0.72960658468472883</v>
      </c>
      <c r="AX156" s="579">
        <f t="shared" si="105"/>
        <v>0.74768991343254543</v>
      </c>
      <c r="AY156" s="579">
        <f t="shared" si="105"/>
        <v>0.76070175438596488</v>
      </c>
      <c r="AZ156" s="578">
        <f t="shared" si="105"/>
        <v>0.74577358262237547</v>
      </c>
      <c r="BA156" s="579">
        <f t="shared" si="105"/>
        <v>0.76657994431512166</v>
      </c>
      <c r="BB156" s="579">
        <f t="shared" si="105"/>
        <v>0.77484994876299229</v>
      </c>
      <c r="BC156" s="579">
        <f t="shared" si="105"/>
        <v>0.77228362279316776</v>
      </c>
      <c r="BD156" s="579">
        <f t="shared" si="105"/>
        <v>0.75913090321422161</v>
      </c>
      <c r="BE156" s="578">
        <f t="shared" si="105"/>
        <v>0.76827130143121225</v>
      </c>
      <c r="BF156" s="579">
        <f t="shared" si="105"/>
        <v>0.74804910360039278</v>
      </c>
      <c r="BG156" s="579">
        <f t="shared" si="105"/>
        <v>0.76537285950149303</v>
      </c>
      <c r="BH156" s="579">
        <f t="shared" si="105"/>
        <v>0.76926006985903383</v>
      </c>
      <c r="BI156" s="579">
        <f t="shared" si="105"/>
        <v>0.76419677116996687</v>
      </c>
      <c r="BJ156" s="578">
        <f t="shared" si="105"/>
        <v>0.76229341990166455</v>
      </c>
      <c r="BK156" s="579" t="e">
        <f t="shared" si="105"/>
        <v>#DIV/0!</v>
      </c>
      <c r="BL156" s="579" t="e">
        <f t="shared" si="105"/>
        <v>#DIV/0!</v>
      </c>
      <c r="BM156" s="579" t="e">
        <f t="shared" si="105"/>
        <v>#DIV/0!</v>
      </c>
      <c r="BN156" s="579" t="e">
        <f t="shared" si="105"/>
        <v>#DIV/0!</v>
      </c>
      <c r="BO156" s="578">
        <f t="shared" si="105"/>
        <v>0.76484107324167172</v>
      </c>
      <c r="BP156" s="579" t="e">
        <f t="shared" si="105"/>
        <v>#DIV/0!</v>
      </c>
      <c r="BQ156" s="579" t="e">
        <f t="shared" si="105"/>
        <v>#DIV/0!</v>
      </c>
      <c r="BR156" s="579" t="e">
        <f t="shared" si="105"/>
        <v>#DIV/0!</v>
      </c>
      <c r="BS156" s="579" t="e">
        <f t="shared" si="105"/>
        <v>#DIV/0!</v>
      </c>
      <c r="BT156" s="578">
        <f t="shared" si="105"/>
        <v>0.7691436769200013</v>
      </c>
      <c r="BU156" s="579" t="e">
        <f t="shared" si="105"/>
        <v>#DIV/0!</v>
      </c>
      <c r="BV156" s="579" t="e">
        <f t="shared" si="105"/>
        <v>#DIV/0!</v>
      </c>
      <c r="BW156" s="579" t="e">
        <f t="shared" si="105"/>
        <v>#DIV/0!</v>
      </c>
      <c r="BX156" s="579" t="e">
        <f t="shared" si="105"/>
        <v>#DIV/0!</v>
      </c>
      <c r="BY156" s="578">
        <f t="shared" si="105"/>
        <v>0.77444113789258129</v>
      </c>
      <c r="BZ156" s="579" t="e">
        <f t="shared" si="105"/>
        <v>#DIV/0!</v>
      </c>
      <c r="CA156" s="579" t="e">
        <f t="shared" si="105"/>
        <v>#DIV/0!</v>
      </c>
      <c r="CB156" s="579" t="e">
        <f t="shared" si="105"/>
        <v>#DIV/0!</v>
      </c>
      <c r="CC156" s="579" t="e">
        <f t="shared" si="105"/>
        <v>#DIV/0!</v>
      </c>
      <c r="CD156" s="578">
        <f t="shared" si="105"/>
        <v>0.77912807614339785</v>
      </c>
    </row>
    <row r="157" spans="2:82" x14ac:dyDescent="0.15">
      <c r="AU157" s="580"/>
      <c r="AV157" s="580"/>
      <c r="AW157" s="580"/>
      <c r="AX157" s="580"/>
      <c r="AY157" s="580"/>
      <c r="AZ157" s="580"/>
      <c r="BA157" s="580"/>
      <c r="BB157" s="580"/>
      <c r="BC157" s="580"/>
      <c r="BD157" s="580"/>
      <c r="BE157" s="580"/>
      <c r="BF157" s="580"/>
      <c r="BG157" s="580"/>
      <c r="BH157" s="580"/>
      <c r="BI157" s="580"/>
      <c r="BJ157" s="580"/>
      <c r="BK157" s="580"/>
      <c r="BL157" s="580"/>
      <c r="BM157" s="580"/>
      <c r="BN157" s="580"/>
      <c r="BO157" s="580"/>
      <c r="BP157" s="580"/>
      <c r="BQ157" s="580"/>
      <c r="BR157" s="580"/>
      <c r="BS157" s="580"/>
      <c r="BT157" s="580"/>
      <c r="BU157" s="580"/>
      <c r="BV157" s="580"/>
      <c r="BW157" s="580"/>
      <c r="BX157" s="580"/>
      <c r="BY157" s="580"/>
      <c r="BZ157" s="580"/>
      <c r="CA157" s="580"/>
      <c r="CB157" s="580"/>
      <c r="CC157" s="580"/>
      <c r="CD157" s="580"/>
    </row>
    <row r="160" spans="2:82" x14ac:dyDescent="0.15">
      <c r="B160" s="581"/>
      <c r="AZ160" s="582"/>
      <c r="BA160" s="582"/>
      <c r="BB160" s="582"/>
      <c r="BC160" s="582"/>
      <c r="BD160" s="582"/>
      <c r="BE160" s="582"/>
      <c r="BF160" s="583"/>
      <c r="BG160" s="583"/>
      <c r="BH160" s="583"/>
      <c r="BI160" s="583"/>
      <c r="BJ160" s="582"/>
      <c r="BK160" s="582"/>
      <c r="BL160" s="582"/>
      <c r="BM160" s="582"/>
      <c r="BN160" s="582"/>
      <c r="BO160" s="582"/>
      <c r="BP160" s="582"/>
      <c r="BQ160" s="582"/>
      <c r="BR160" s="582"/>
      <c r="BS160" s="582"/>
      <c r="BT160" s="582"/>
      <c r="BU160" s="582"/>
      <c r="BV160" s="582"/>
      <c r="BW160" s="582"/>
      <c r="BX160" s="582"/>
      <c r="BY160" s="582"/>
      <c r="BZ160" s="582"/>
      <c r="CA160" s="582"/>
      <c r="CB160" s="582"/>
      <c r="CC160" s="582"/>
      <c r="CD160" s="582"/>
    </row>
    <row r="161" spans="52:82" x14ac:dyDescent="0.15">
      <c r="AZ161" s="567"/>
      <c r="BE161" s="567"/>
      <c r="BF161" s="567"/>
      <c r="BG161" s="567"/>
      <c r="BH161" s="567"/>
      <c r="BI161" s="567"/>
      <c r="BJ161" s="567"/>
      <c r="BK161" s="567"/>
      <c r="BL161" s="567"/>
      <c r="BM161" s="567"/>
      <c r="BN161" s="567"/>
      <c r="BO161" s="567"/>
      <c r="BP161" s="567"/>
      <c r="BQ161" s="567"/>
      <c r="BR161" s="567"/>
      <c r="BS161" s="567"/>
      <c r="BT161" s="567"/>
      <c r="BU161" s="567"/>
      <c r="BV161" s="567"/>
      <c r="BW161" s="567"/>
      <c r="BX161" s="567"/>
      <c r="BY161" s="567"/>
      <c r="BZ161" s="567"/>
      <c r="CA161" s="567"/>
      <c r="CB161" s="567"/>
      <c r="CC161" s="567"/>
      <c r="CD161" s="567"/>
    </row>
    <row r="162" spans="52:82" x14ac:dyDescent="0.15">
      <c r="AZ162" s="567"/>
      <c r="BE162" s="567"/>
      <c r="BF162" s="567"/>
      <c r="BG162" s="567"/>
      <c r="BH162" s="567"/>
      <c r="BI162" s="567"/>
      <c r="BJ162" s="567"/>
      <c r="BK162" s="567"/>
      <c r="BL162" s="567"/>
      <c r="BM162" s="567"/>
      <c r="BN162" s="567"/>
      <c r="BO162" s="567"/>
      <c r="BP162" s="567"/>
      <c r="BQ162" s="567"/>
      <c r="BR162" s="567"/>
      <c r="BS162" s="567"/>
      <c r="BT162" s="567"/>
      <c r="BU162" s="567"/>
      <c r="BV162" s="567"/>
      <c r="BW162" s="567"/>
      <c r="BX162" s="567"/>
      <c r="BY162" s="567"/>
      <c r="BZ162" s="567"/>
      <c r="CA162" s="567"/>
      <c r="CB162" s="567"/>
      <c r="CC162" s="567"/>
      <c r="CD162" s="567"/>
    </row>
    <row r="163" spans="52:82" x14ac:dyDescent="0.15">
      <c r="AZ163" s="567"/>
      <c r="BE163" s="567"/>
      <c r="BF163" s="567"/>
      <c r="BG163" s="567"/>
      <c r="BH163" s="567"/>
      <c r="BI163" s="567"/>
      <c r="BJ163" s="567"/>
      <c r="BK163" s="567"/>
      <c r="BL163" s="567"/>
      <c r="BM163" s="567"/>
      <c r="BN163" s="567"/>
      <c r="BO163" s="567"/>
      <c r="BP163" s="567"/>
      <c r="BQ163" s="567"/>
      <c r="BR163" s="567"/>
      <c r="BS163" s="567"/>
      <c r="BT163" s="567"/>
      <c r="BU163" s="567"/>
      <c r="BV163" s="567"/>
      <c r="BW163" s="567"/>
      <c r="BX163" s="567"/>
      <c r="BY163" s="567"/>
      <c r="BZ163" s="567"/>
      <c r="CA163" s="567"/>
      <c r="CB163" s="567"/>
      <c r="CC163" s="567"/>
      <c r="CD163" s="567"/>
    </row>
    <row r="164" spans="52:82" x14ac:dyDescent="0.15">
      <c r="AZ164" s="567"/>
      <c r="BE164" s="567"/>
      <c r="BF164" s="567"/>
      <c r="BG164" s="567"/>
      <c r="BH164" s="567"/>
      <c r="BI164" s="567"/>
      <c r="BJ164" s="567"/>
      <c r="BK164" s="567"/>
      <c r="BL164" s="567"/>
      <c r="BM164" s="567"/>
      <c r="BN164" s="567"/>
      <c r="BO164" s="567"/>
      <c r="BP164" s="567"/>
      <c r="BQ164" s="567"/>
      <c r="BR164" s="567"/>
      <c r="BS164" s="567"/>
      <c r="BT164" s="567"/>
      <c r="BU164" s="567"/>
      <c r="BV164" s="567"/>
      <c r="BW164" s="567"/>
      <c r="BX164" s="567"/>
      <c r="BY164" s="567"/>
      <c r="BZ164" s="567"/>
      <c r="CA164" s="567"/>
      <c r="CB164" s="567"/>
      <c r="CC164" s="567"/>
      <c r="CD164" s="567"/>
    </row>
    <row r="165" spans="52:82" x14ac:dyDescent="0.15">
      <c r="AZ165" s="567"/>
      <c r="BE165" s="567"/>
      <c r="BF165" s="567"/>
      <c r="BG165" s="567"/>
      <c r="BH165" s="567"/>
      <c r="BI165" s="567"/>
      <c r="BJ165" s="567"/>
      <c r="BK165" s="567"/>
      <c r="BL165" s="567"/>
      <c r="BM165" s="567"/>
      <c r="BN165" s="567"/>
      <c r="BO165" s="567"/>
      <c r="BP165" s="567"/>
      <c r="BQ165" s="567"/>
      <c r="BR165" s="567"/>
      <c r="BS165" s="567"/>
      <c r="BT165" s="567"/>
      <c r="BU165" s="567"/>
      <c r="BV165" s="567"/>
      <c r="BW165" s="567"/>
      <c r="BX165" s="567"/>
      <c r="BY165" s="567"/>
      <c r="BZ165" s="567"/>
      <c r="CA165" s="567"/>
      <c r="CB165" s="567"/>
      <c r="CC165" s="567"/>
      <c r="CD165" s="567"/>
    </row>
    <row r="166" spans="52:82" x14ac:dyDescent="0.15">
      <c r="AZ166" s="567"/>
      <c r="BE166" s="567"/>
      <c r="BF166" s="567"/>
      <c r="BG166" s="567"/>
      <c r="BH166" s="567"/>
      <c r="BI166" s="567"/>
      <c r="BJ166" s="567"/>
      <c r="BK166" s="567"/>
      <c r="BL166" s="567"/>
      <c r="BM166" s="567"/>
      <c r="BN166" s="567"/>
      <c r="BO166" s="567"/>
      <c r="BP166" s="567"/>
      <c r="BQ166" s="567"/>
      <c r="BR166" s="567"/>
      <c r="BS166" s="567"/>
      <c r="BT166" s="567"/>
      <c r="BU166" s="567"/>
      <c r="BV166" s="567"/>
      <c r="BW166" s="567"/>
      <c r="BX166" s="567"/>
      <c r="BY166" s="567"/>
      <c r="BZ166" s="567"/>
      <c r="CA166" s="567"/>
      <c r="CB166" s="567"/>
      <c r="CC166" s="567"/>
      <c r="CD166" s="567"/>
    </row>
    <row r="167" spans="52:82" x14ac:dyDescent="0.15">
      <c r="AZ167" s="567"/>
      <c r="BE167" s="567"/>
      <c r="BF167" s="567"/>
      <c r="BG167" s="567"/>
      <c r="BH167" s="567"/>
      <c r="BI167" s="567"/>
      <c r="BJ167" s="567"/>
      <c r="BK167" s="567"/>
      <c r="BL167" s="567"/>
      <c r="BM167" s="567"/>
      <c r="BN167" s="567"/>
      <c r="BO167" s="567"/>
      <c r="BP167" s="567"/>
      <c r="BQ167" s="567"/>
      <c r="BR167" s="567"/>
      <c r="BS167" s="567"/>
      <c r="BT167" s="567"/>
      <c r="BU167" s="567"/>
      <c r="BV167" s="567"/>
      <c r="BW167" s="567"/>
      <c r="BX167" s="567"/>
      <c r="BY167" s="567"/>
      <c r="BZ167" s="567"/>
      <c r="CA167" s="567"/>
      <c r="CB167" s="567"/>
      <c r="CC167" s="567"/>
      <c r="CD167" s="567"/>
    </row>
    <row r="168" spans="52:82" x14ac:dyDescent="0.15">
      <c r="AZ168" s="567"/>
      <c r="BE168" s="567"/>
      <c r="BF168" s="567"/>
      <c r="BG168" s="567"/>
      <c r="BH168" s="567"/>
      <c r="BI168" s="567"/>
      <c r="BJ168" s="567"/>
      <c r="BK168" s="567"/>
      <c r="BL168" s="567"/>
      <c r="BM168" s="567"/>
      <c r="BN168" s="567"/>
      <c r="BO168" s="567"/>
      <c r="BP168" s="567"/>
      <c r="BQ168" s="567"/>
      <c r="BR168" s="567"/>
      <c r="BS168" s="567"/>
      <c r="BT168" s="567"/>
      <c r="BU168" s="567"/>
      <c r="BV168" s="567"/>
      <c r="BW168" s="567"/>
      <c r="BX168" s="567"/>
      <c r="BY168" s="567"/>
      <c r="BZ168" s="567"/>
      <c r="CA168" s="567"/>
      <c r="CB168" s="567"/>
      <c r="CC168" s="567"/>
      <c r="CD168" s="567"/>
    </row>
    <row r="169" spans="52:82" x14ac:dyDescent="0.15">
      <c r="AZ169" s="567"/>
      <c r="BE169" s="567"/>
      <c r="BF169" s="567"/>
      <c r="BG169" s="567"/>
      <c r="BH169" s="567"/>
      <c r="BI169" s="567"/>
      <c r="BJ169" s="567"/>
      <c r="BK169" s="567"/>
      <c r="BL169" s="567"/>
      <c r="BM169" s="567"/>
      <c r="BN169" s="567"/>
      <c r="BO169" s="567"/>
      <c r="BP169" s="567"/>
      <c r="BQ169" s="567"/>
      <c r="BR169" s="567"/>
      <c r="BS169" s="567"/>
      <c r="BT169" s="567"/>
      <c r="BU169" s="567"/>
      <c r="BV169" s="567"/>
      <c r="BW169" s="567"/>
      <c r="BX169" s="567"/>
      <c r="BY169" s="567"/>
      <c r="BZ169" s="567"/>
      <c r="CA169" s="567"/>
      <c r="CB169" s="567"/>
      <c r="CC169" s="567"/>
      <c r="CD169" s="567"/>
    </row>
    <row r="170" spans="52:82" x14ac:dyDescent="0.15">
      <c r="AZ170" s="567"/>
      <c r="BE170" s="567"/>
      <c r="BF170" s="567"/>
      <c r="BG170" s="567"/>
      <c r="BH170" s="567"/>
      <c r="BI170" s="567"/>
      <c r="BJ170" s="567"/>
      <c r="BK170" s="567"/>
      <c r="BL170" s="567"/>
      <c r="BM170" s="567"/>
      <c r="BN170" s="567"/>
      <c r="BO170" s="567"/>
      <c r="BP170" s="567"/>
      <c r="BQ170" s="567"/>
      <c r="BR170" s="567"/>
      <c r="BS170" s="567"/>
      <c r="BT170" s="567"/>
      <c r="BU170" s="567"/>
      <c r="BV170" s="567"/>
      <c r="BW170" s="567"/>
      <c r="BX170" s="567"/>
      <c r="BY170" s="567"/>
      <c r="BZ170" s="567"/>
      <c r="CA170" s="567"/>
      <c r="CB170" s="567"/>
      <c r="CC170" s="567"/>
      <c r="CD170" s="567"/>
    </row>
    <row r="171" spans="52:82" x14ac:dyDescent="0.15">
      <c r="AZ171" s="567"/>
      <c r="BE171" s="567"/>
      <c r="BF171" s="567"/>
      <c r="BG171" s="567"/>
      <c r="BH171" s="567"/>
      <c r="BI171" s="567"/>
      <c r="BJ171" s="567"/>
      <c r="BK171" s="567"/>
      <c r="BL171" s="567"/>
      <c r="BM171" s="567"/>
      <c r="BN171" s="567"/>
      <c r="BO171" s="567"/>
      <c r="BP171" s="567"/>
      <c r="BQ171" s="567"/>
      <c r="BR171" s="567"/>
      <c r="BS171" s="567"/>
      <c r="BT171" s="567"/>
      <c r="BU171" s="567"/>
      <c r="BV171" s="567"/>
      <c r="BW171" s="567"/>
      <c r="BX171" s="567"/>
      <c r="BY171" s="567"/>
      <c r="BZ171" s="567"/>
      <c r="CA171" s="567"/>
      <c r="CB171" s="567"/>
      <c r="CC171" s="567"/>
      <c r="CD171" s="567"/>
    </row>
    <row r="172" spans="52:82" x14ac:dyDescent="0.15">
      <c r="AZ172" s="564"/>
      <c r="BE172" s="564"/>
      <c r="BF172" s="564"/>
      <c r="BG172" s="564"/>
      <c r="BH172" s="564"/>
      <c r="BI172" s="564"/>
      <c r="BJ172" s="564"/>
      <c r="BK172" s="564"/>
      <c r="BL172" s="564"/>
      <c r="BM172" s="564"/>
      <c r="BN172" s="564"/>
      <c r="BO172" s="564"/>
      <c r="BP172" s="564"/>
      <c r="BQ172" s="564"/>
      <c r="BR172" s="564"/>
      <c r="BS172" s="564"/>
      <c r="BT172" s="564"/>
      <c r="BU172" s="564"/>
      <c r="BV172" s="564"/>
      <c r="BW172" s="564"/>
      <c r="BX172" s="564"/>
      <c r="BY172" s="564"/>
      <c r="BZ172" s="564"/>
      <c r="CA172" s="564"/>
      <c r="CB172" s="564"/>
      <c r="CC172" s="564"/>
      <c r="CD172" s="564"/>
    </row>
    <row r="173" spans="52:82" x14ac:dyDescent="0.15">
      <c r="CD173" s="570"/>
    </row>
  </sheetData>
  <conditionalFormatting sqref="AW140:BD140 AY1:CD1 A1:AX10 A134:BE135 A83:AE83 AG76:AJ76 A73:AF76 A77:AJ77 AL76:AO77 AK73:AK77 AQ76:AR77 AP73:AP77 AU73:AU78 AV76:AV78 BA76:BD76 A89:AE89 A78:AR80 BE89:CD89 AU89:AV89 AK81:AK83 A97:AR112 C116:BA116 AY7:AZ7 BE7 A15:AE15 AG15:AJ15 AF13:AF15 A16:AJ16 AL15:AO16 AK13:AK16 AP13:AP16 AZ89 AU97:AV112 AU27:AX27 AU28:AW28 AU44:AW44 AU55:AX56 AU54:AW54 AU58:AX59 AU57:AW57 AU61:AX62 AU60:AW60 A115:BB115 BC63:BD64 AU67:AX70 AZ78 AU71:AV72 AZ72:AZ76 AU79:AV83 AZ80:AZ83 AZ27:BE27 AZ28:BB28 BE28 BK27:BN28 BP27:BS28 BU27:BX28 BZ27:CC28 AZ31:BB38 AZ42:BD42 AZ47:BB48 AZ67:BB71 BE70 BE75:CD76 BA77:BB77 BE77 BE83:CD83 A129:AA130 AB130:AF130 AQ130:BE130 A131:BE131 AP132:BE132 A116:A124 AW139:AY139 A139:AV140 A138:AA138 AG138:AY138 A137:AY137 AZ137:AZ139 A132:AK133 A136:AK136 AB129:BE129 A141:A143 A146:A150 C146:AE146 A153 C153:AO153 A151:AO152 C147:AO150 AU41:AX43 AU51:AX53 A51:AR72 AU45:AY50 AS51:AT62 AZ51:BB52 A154:AO156 BU147:BX156 BP147:BS156 BK147:BN156 AV147:AY156 AQ147:AT156 AY4:CD6 CE1:CF10 AU11:AU14 A11:AT12 AV11:BE12 AQ15:BE16 CE25:CF28 CE65:CF72 CE141:CF143 CE146:CF146 BZ147:CF154 BE115:BE116 CE85:CF86 AZ112:CF112 BK63:CF64 A144:CF145 BA139:BD139 BE139:CF140 AZ29:CF30 AZ49:BE50 AU39:BE40 BE31:BE38 BE47:BE48 BE51:BE52 CE88:CF88 BJ11:CF12 BJ15:CF24 AZ43:CF46 BJ31:CF42 BJ47:CF52 AZ53:CF62 BE73:BE74 BJ73:CD74 BE81:BE82 BJ81:CD82 BJ98:CF98 BK97:CF97 BJ100:CF100 BK99:CF99 BJ102:CF102 BK101:CF101 BJ104:CF106 BK103:CF103 BJ108:CF108 BK107:CF107 BK109:CF109 BJ110:CF110 BK111:CF111 BJ115:CF116 BJ117:CE117 BJ118:CF120 B121:CF124 BJ125:CF136 BA137:BE138 BJ138:CF138 BJ137:CE137 BJ7:CD7 A158:CF65258 A157:AU157 AZ97:BE111 BA41:BD41 A17:BE26 BC51:BD51 BC71:BD71 AZ79:BE79 BA147:BI156 A91:CF96 A125:BE128 B117:BE120 AL133:BE133 AM136:BE136 BZ156:CF156 BZ155:CC155 CE155:CF155 AY157:CF157 AU29:AY38 A27:AT50 AY8:CD10 CG84:GH88 CG115:GH65258 CE76:GH80 CG1:GH12 CG90:GH112 CG15:GH72">
    <cfRule type="expression" dxfId="885" priority="305" stopIfTrue="1">
      <formula>ISERROR(A1)</formula>
    </cfRule>
  </conditionalFormatting>
  <conditionalFormatting sqref="A81:AE82">
    <cfRule type="expression" dxfId="884" priority="304" stopIfTrue="1">
      <formula>ISERROR(A81)</formula>
    </cfRule>
  </conditionalFormatting>
  <conditionalFormatting sqref="A84:AE86 CE84">
    <cfRule type="expression" dxfId="883" priority="303" stopIfTrue="1">
      <formula>ISERROR(A84)</formula>
    </cfRule>
  </conditionalFormatting>
  <conditionalFormatting sqref="AK89 AF84:AR86 AZ85:CD86 AZ84 AU84 AU85:AV86 BC84:CD84">
    <cfRule type="expression" dxfId="882" priority="302" stopIfTrue="1">
      <formula>ISERROR(AF84)</formula>
    </cfRule>
  </conditionalFormatting>
  <conditionalFormatting sqref="A90:AR90 AK113 AU113 AZ90:CF90 AZ113 AU90:AV90 BE113 BK113:BN113 BP113:BS113 BU113:BX113 BZ113:CC113">
    <cfRule type="expression" dxfId="881" priority="301" stopIfTrue="1">
      <formula>ISERROR(A90)</formula>
    </cfRule>
  </conditionalFormatting>
  <conditionalFormatting sqref="A113:AE113 A114">
    <cfRule type="expression" dxfId="880" priority="300" stopIfTrue="1">
      <formula>ISERROR(A113)</formula>
    </cfRule>
  </conditionalFormatting>
  <conditionalFormatting sqref="B116">
    <cfRule type="expression" dxfId="879" priority="299" stopIfTrue="1">
      <formula>ISERROR(B116)</formula>
    </cfRule>
  </conditionalFormatting>
  <conditionalFormatting sqref="BA7:BD7">
    <cfRule type="expression" dxfId="878" priority="298" stopIfTrue="1">
      <formula>ISERROR(BA7)</formula>
    </cfRule>
  </conditionalFormatting>
  <conditionalFormatting sqref="BB73">
    <cfRule type="expression" dxfId="877" priority="297" stopIfTrue="1">
      <formula>ISERROR(BB73)</formula>
    </cfRule>
  </conditionalFormatting>
  <conditionalFormatting sqref="BB116">
    <cfRule type="expression" dxfId="876" priority="284" stopIfTrue="1">
      <formula>ISERROR(BB116)</formula>
    </cfRule>
  </conditionalFormatting>
  <conditionalFormatting sqref="BB81">
    <cfRule type="expression" dxfId="875" priority="296" stopIfTrue="1">
      <formula>ISERROR(BB81)</formula>
    </cfRule>
  </conditionalFormatting>
  <conditionalFormatting sqref="BB84">
    <cfRule type="expression" dxfId="874" priority="295" stopIfTrue="1">
      <formula>ISERROR(BB84)</formula>
    </cfRule>
  </conditionalFormatting>
  <conditionalFormatting sqref="BB113">
    <cfRule type="expression" dxfId="873" priority="294" stopIfTrue="1">
      <formula>ISERROR(BB113)</formula>
    </cfRule>
  </conditionalFormatting>
  <conditionalFormatting sqref="AW97:AX112 AW76:AX78 AW72 AW80:AX80">
    <cfRule type="expression" dxfId="872" priority="293" stopIfTrue="1">
      <formula>ISERROR(AW72)</formula>
    </cfRule>
  </conditionalFormatting>
  <conditionalFormatting sqref="AW85:AX86">
    <cfRule type="expression" dxfId="871" priority="292" stopIfTrue="1">
      <formula>ISERROR(AW85)</formula>
    </cfRule>
  </conditionalFormatting>
  <conditionalFormatting sqref="AW90:AX90">
    <cfRule type="expression" dxfId="870" priority="291" stopIfTrue="1">
      <formula>ISERROR(AW90)</formula>
    </cfRule>
  </conditionalFormatting>
  <conditionalFormatting sqref="AW73:AX73">
    <cfRule type="expression" dxfId="869" priority="290" stopIfTrue="1">
      <formula>ISERROR(AW73)</formula>
    </cfRule>
  </conditionalFormatting>
  <conditionalFormatting sqref="AW81:AX81">
    <cfRule type="expression" dxfId="868" priority="289" stopIfTrue="1">
      <formula>ISERROR(AW81)</formula>
    </cfRule>
  </conditionalFormatting>
  <conditionalFormatting sqref="AW84:AX84">
    <cfRule type="expression" dxfId="867" priority="288" stopIfTrue="1">
      <formula>ISERROR(AW84)</formula>
    </cfRule>
  </conditionalFormatting>
  <conditionalFormatting sqref="AW113:AX113">
    <cfRule type="expression" dxfId="866" priority="287" stopIfTrue="1">
      <formula>ISERROR(AW113)</formula>
    </cfRule>
  </conditionalFormatting>
  <conditionalFormatting sqref="BB74">
    <cfRule type="expression" dxfId="865" priority="286" stopIfTrue="1">
      <formula>ISERROR(BB74)</formula>
    </cfRule>
  </conditionalFormatting>
  <conditionalFormatting sqref="BB82">
    <cfRule type="expression" dxfId="864" priority="285" stopIfTrue="1">
      <formula>ISERROR(BB82)</formula>
    </cfRule>
  </conditionalFormatting>
  <conditionalFormatting sqref="B13:B14">
    <cfRule type="expression" dxfId="863" priority="283" stopIfTrue="1">
      <formula>ISERROR(B13)</formula>
    </cfRule>
  </conditionalFormatting>
  <conditionalFormatting sqref="AV13:AY13 BA13:BB13">
    <cfRule type="expression" dxfId="862" priority="282" stopIfTrue="1">
      <formula>ISERROR(AV13)</formula>
    </cfRule>
  </conditionalFormatting>
  <conditionalFormatting sqref="BB14">
    <cfRule type="expression" dxfId="861" priority="281" stopIfTrue="1">
      <formula>ISERROR(BB14)</formula>
    </cfRule>
  </conditionalFormatting>
  <conditionalFormatting sqref="BA73">
    <cfRule type="expression" dxfId="860" priority="280" stopIfTrue="1">
      <formula>ISERROR(BA73)</formula>
    </cfRule>
  </conditionalFormatting>
  <conditionalFormatting sqref="BA81">
    <cfRule type="expression" dxfId="859" priority="279" stopIfTrue="1">
      <formula>ISERROR(BA81)</formula>
    </cfRule>
  </conditionalFormatting>
  <conditionalFormatting sqref="BA84">
    <cfRule type="expression" dxfId="858" priority="278" stopIfTrue="1">
      <formula>ISERROR(BA84)</formula>
    </cfRule>
  </conditionalFormatting>
  <conditionalFormatting sqref="BA113">
    <cfRule type="expression" dxfId="857" priority="277" stopIfTrue="1">
      <formula>ISERROR(BA113)</formula>
    </cfRule>
  </conditionalFormatting>
  <conditionalFormatting sqref="AV73">
    <cfRule type="expression" dxfId="856" priority="276" stopIfTrue="1">
      <formula>ISERROR(AV73)</formula>
    </cfRule>
  </conditionalFormatting>
  <conditionalFormatting sqref="AV84">
    <cfRule type="expression" dxfId="855" priority="275" stopIfTrue="1">
      <formula>ISERROR(AV84)</formula>
    </cfRule>
  </conditionalFormatting>
  <conditionalFormatting sqref="AV113">
    <cfRule type="expression" dxfId="854" priority="274" stopIfTrue="1">
      <formula>ISERROR(AV113)</formula>
    </cfRule>
  </conditionalFormatting>
  <conditionalFormatting sqref="AY27 AY55:AY56 AY58:AY59 AY61:AY62 AY67:AY70 AY42:AY43 AY52:AY53">
    <cfRule type="expression" dxfId="853" priority="273" stopIfTrue="1">
      <formula>ISERROR(AY27)</formula>
    </cfRule>
  </conditionalFormatting>
  <conditionalFormatting sqref="AY97:AY112 AY76:AY78 AY80">
    <cfRule type="expression" dxfId="852" priority="272" stopIfTrue="1">
      <formula>ISERROR(AY76)</formula>
    </cfRule>
  </conditionalFormatting>
  <conditionalFormatting sqref="AY85:AY86">
    <cfRule type="expression" dxfId="851" priority="271" stopIfTrue="1">
      <formula>ISERROR(AY85)</formula>
    </cfRule>
  </conditionalFormatting>
  <conditionalFormatting sqref="AY90">
    <cfRule type="expression" dxfId="850" priority="270" stopIfTrue="1">
      <formula>ISERROR(AY90)</formula>
    </cfRule>
  </conditionalFormatting>
  <conditionalFormatting sqref="AY73">
    <cfRule type="expression" dxfId="849" priority="269" stopIfTrue="1">
      <formula>ISERROR(AY73)</formula>
    </cfRule>
  </conditionalFormatting>
  <conditionalFormatting sqref="AY81">
    <cfRule type="expression" dxfId="848" priority="268" stopIfTrue="1">
      <formula>ISERROR(AY81)</formula>
    </cfRule>
  </conditionalFormatting>
  <conditionalFormatting sqref="AY84">
    <cfRule type="expression" dxfId="847" priority="267" stopIfTrue="1">
      <formula>ISERROR(AY84)</formula>
    </cfRule>
  </conditionalFormatting>
  <conditionalFormatting sqref="AY113">
    <cfRule type="expression" dxfId="846" priority="266" stopIfTrue="1">
      <formula>ISERROR(AY113)</formula>
    </cfRule>
  </conditionalFormatting>
  <conditionalFormatting sqref="BA74">
    <cfRule type="expression" dxfId="845" priority="265" stopIfTrue="1">
      <formula>ISERROR(BA74)</formula>
    </cfRule>
  </conditionalFormatting>
  <conditionalFormatting sqref="BA82">
    <cfRule type="expression" dxfId="844" priority="264" stopIfTrue="1">
      <formula>ISERROR(BA82)</formula>
    </cfRule>
  </conditionalFormatting>
  <conditionalFormatting sqref="B114:AE114">
    <cfRule type="expression" dxfId="843" priority="263" stopIfTrue="1">
      <formula>ISERROR(B114)</formula>
    </cfRule>
  </conditionalFormatting>
  <conditionalFormatting sqref="AF114:AR114 AU114:AV114 AZ114:CD114">
    <cfRule type="expression" dxfId="842" priority="262" stopIfTrue="1">
      <formula>ISERROR(AF114)</formula>
    </cfRule>
  </conditionalFormatting>
  <conditionalFormatting sqref="AW114:AX114">
    <cfRule type="expression" dxfId="841" priority="261" stopIfTrue="1">
      <formula>ISERROR(AW114)</formula>
    </cfRule>
  </conditionalFormatting>
  <conditionalFormatting sqref="AY114">
    <cfRule type="expression" dxfId="840" priority="260" stopIfTrue="1">
      <formula>ISERROR(AY114)</formula>
    </cfRule>
  </conditionalFormatting>
  <conditionalFormatting sqref="AT67:AT70">
    <cfRule type="expression" dxfId="839" priority="259" stopIfTrue="1">
      <formula>ISERROR(AT67)</formula>
    </cfRule>
  </conditionalFormatting>
  <conditionalFormatting sqref="AT97:AT112 AT76:AT80 AT72">
    <cfRule type="expression" dxfId="838" priority="258" stopIfTrue="1">
      <formula>ISERROR(AT72)</formula>
    </cfRule>
  </conditionalFormatting>
  <conditionalFormatting sqref="AT85:AT86">
    <cfRule type="expression" dxfId="837" priority="257" stopIfTrue="1">
      <formula>ISERROR(AT85)</formula>
    </cfRule>
  </conditionalFormatting>
  <conditionalFormatting sqref="AT73">
    <cfRule type="expression" dxfId="836" priority="255" stopIfTrue="1">
      <formula>ISERROR(AT73)</formula>
    </cfRule>
  </conditionalFormatting>
  <conditionalFormatting sqref="AT90">
    <cfRule type="expression" dxfId="835" priority="256" stopIfTrue="1">
      <formula>ISERROR(AT90)</formula>
    </cfRule>
  </conditionalFormatting>
  <conditionalFormatting sqref="AT81">
    <cfRule type="expression" dxfId="834" priority="254" stopIfTrue="1">
      <formula>ISERROR(AT81)</formula>
    </cfRule>
  </conditionalFormatting>
  <conditionalFormatting sqref="AT84">
    <cfRule type="expression" dxfId="833" priority="253" stopIfTrue="1">
      <formula>ISERROR(AT84)</formula>
    </cfRule>
  </conditionalFormatting>
  <conditionalFormatting sqref="AT113">
    <cfRule type="expression" dxfId="832" priority="252" stopIfTrue="1">
      <formula>ISERROR(AT113)</formula>
    </cfRule>
  </conditionalFormatting>
  <conditionalFormatting sqref="AT114">
    <cfRule type="expression" dxfId="831" priority="251" stopIfTrue="1">
      <formula>ISERROR(AT114)</formula>
    </cfRule>
  </conditionalFormatting>
  <conditionalFormatting sqref="AS90">
    <cfRule type="expression" dxfId="830" priority="247" stopIfTrue="1">
      <formula>ISERROR(AS90)</formula>
    </cfRule>
  </conditionalFormatting>
  <conditionalFormatting sqref="AS67:AS70">
    <cfRule type="expression" dxfId="829" priority="250" stopIfTrue="1">
      <formula>ISERROR(AS67)</formula>
    </cfRule>
  </conditionalFormatting>
  <conditionalFormatting sqref="AS97:AS112 AS76:AS80 AS72">
    <cfRule type="expression" dxfId="828" priority="249" stopIfTrue="1">
      <formula>ISERROR(AS72)</formula>
    </cfRule>
  </conditionalFormatting>
  <conditionalFormatting sqref="AS85:AS86">
    <cfRule type="expression" dxfId="827" priority="248" stopIfTrue="1">
      <formula>ISERROR(AS85)</formula>
    </cfRule>
  </conditionalFormatting>
  <conditionalFormatting sqref="AS73">
    <cfRule type="expression" dxfId="826" priority="246" stopIfTrue="1">
      <formula>ISERROR(AS73)</formula>
    </cfRule>
  </conditionalFormatting>
  <conditionalFormatting sqref="AS81">
    <cfRule type="expression" dxfId="825" priority="245" stopIfTrue="1">
      <formula>ISERROR(AS81)</formula>
    </cfRule>
  </conditionalFormatting>
  <conditionalFormatting sqref="AS84">
    <cfRule type="expression" dxfId="824" priority="244" stopIfTrue="1">
      <formula>ISERROR(AS84)</formula>
    </cfRule>
  </conditionalFormatting>
  <conditionalFormatting sqref="AS113">
    <cfRule type="expression" dxfId="823" priority="243" stopIfTrue="1">
      <formula>ISERROR(AS113)</formula>
    </cfRule>
  </conditionalFormatting>
  <conditionalFormatting sqref="AS114">
    <cfRule type="expression" dxfId="822" priority="242" stopIfTrue="1">
      <formula>ISERROR(AS114)</formula>
    </cfRule>
  </conditionalFormatting>
  <conditionalFormatting sqref="AX60:AY60">
    <cfRule type="expression" dxfId="821" priority="237" stopIfTrue="1">
      <formula>ISERROR(AX60)</formula>
    </cfRule>
  </conditionalFormatting>
  <conditionalFormatting sqref="AX28:AY28">
    <cfRule type="expression" dxfId="820" priority="241" stopIfTrue="1">
      <formula>ISERROR(AX28)</formula>
    </cfRule>
  </conditionalFormatting>
  <conditionalFormatting sqref="AX44:AY44">
    <cfRule type="expression" dxfId="819" priority="240" stopIfTrue="1">
      <formula>ISERROR(AX44)</formula>
    </cfRule>
  </conditionalFormatting>
  <conditionalFormatting sqref="AX54:AY54">
    <cfRule type="expression" dxfId="818" priority="239" stopIfTrue="1">
      <formula>ISERROR(AX54)</formula>
    </cfRule>
  </conditionalFormatting>
  <conditionalFormatting sqref="AX57:AY57">
    <cfRule type="expression" dxfId="817" priority="238" stopIfTrue="1">
      <formula>ISERROR(AX57)</formula>
    </cfRule>
  </conditionalFormatting>
  <conditionalFormatting sqref="AX74:AY74">
    <cfRule type="expression" dxfId="816" priority="236" stopIfTrue="1">
      <formula>ISERROR(AX74)</formula>
    </cfRule>
  </conditionalFormatting>
  <conditionalFormatting sqref="AX82:AY82">
    <cfRule type="expression" dxfId="815" priority="235" stopIfTrue="1">
      <formula>ISERROR(AX82)</formula>
    </cfRule>
  </conditionalFormatting>
  <conditionalFormatting sqref="BE63:BE64">
    <cfRule type="expression" dxfId="814" priority="231" stopIfTrue="1">
      <formula>ISERROR(BE63)</formula>
    </cfRule>
  </conditionalFormatting>
  <conditionalFormatting sqref="BE65:BE66">
    <cfRule type="expression" dxfId="813" priority="230" stopIfTrue="1">
      <formula>ISERROR(BE65)</formula>
    </cfRule>
  </conditionalFormatting>
  <conditionalFormatting sqref="AS63:BB64">
    <cfRule type="expression" dxfId="812" priority="234" stopIfTrue="1">
      <formula>ISERROR(AS63)</formula>
    </cfRule>
  </conditionalFormatting>
  <conditionalFormatting sqref="AS65:AY66 BK65:CD66 BA65:BD66">
    <cfRule type="expression" dxfId="811" priority="233" stopIfTrue="1">
      <formula>ISERROR(AS65)</formula>
    </cfRule>
  </conditionalFormatting>
  <conditionalFormatting sqref="AZ65:AZ66">
    <cfRule type="expression" dxfId="810" priority="232" stopIfTrue="1">
      <formula>ISERROR(AZ65)</formula>
    </cfRule>
  </conditionalFormatting>
  <conditionalFormatting sqref="AZ77">
    <cfRule type="expression" dxfId="809" priority="229" stopIfTrue="1">
      <formula>ISERROR(AZ77)</formula>
    </cfRule>
  </conditionalFormatting>
  <conditionalFormatting sqref="BA78:BB78">
    <cfRule type="expression" dxfId="808" priority="228" stopIfTrue="1">
      <formula>ISERROR(BA78)</formula>
    </cfRule>
  </conditionalFormatting>
  <conditionalFormatting sqref="AZ13:AZ14">
    <cfRule type="expression" dxfId="807" priority="227" stopIfTrue="1">
      <formula>ISERROR(AZ13)</formula>
    </cfRule>
  </conditionalFormatting>
  <conditionalFormatting sqref="BA14">
    <cfRule type="expression" dxfId="806" priority="226" stopIfTrue="1">
      <formula>ISERROR(BA14)</formula>
    </cfRule>
  </conditionalFormatting>
  <conditionalFormatting sqref="AY41">
    <cfRule type="expression" dxfId="805" priority="225" stopIfTrue="1">
      <formula>ISERROR(AY41)</formula>
    </cfRule>
  </conditionalFormatting>
  <conditionalFormatting sqref="CD113">
    <cfRule type="expression" dxfId="804" priority="163" stopIfTrue="1">
      <formula>ISERROR(CD113)</formula>
    </cfRule>
  </conditionalFormatting>
  <conditionalFormatting sqref="AZ41">
    <cfRule type="expression" dxfId="803" priority="224" stopIfTrue="1">
      <formula>ISERROR(AZ41)</formula>
    </cfRule>
  </conditionalFormatting>
  <conditionalFormatting sqref="AY51">
    <cfRule type="expression" dxfId="802" priority="223" stopIfTrue="1">
      <formula>ISERROR(AY51)</formula>
    </cfRule>
  </conditionalFormatting>
  <conditionalFormatting sqref="AY71">
    <cfRule type="expression" dxfId="801" priority="222" stopIfTrue="1">
      <formula>ISERROR(AY71)</formula>
    </cfRule>
  </conditionalFormatting>
  <conditionalFormatting sqref="AX71">
    <cfRule type="expression" dxfId="800" priority="221" stopIfTrue="1">
      <formula>ISERROR(AX71)</formula>
    </cfRule>
  </conditionalFormatting>
  <conditionalFormatting sqref="AW71">
    <cfRule type="expression" dxfId="799" priority="220" stopIfTrue="1">
      <formula>ISERROR(AW71)</formula>
    </cfRule>
  </conditionalFormatting>
  <conditionalFormatting sqref="AT71">
    <cfRule type="expression" dxfId="798" priority="219" stopIfTrue="1">
      <formula>ISERROR(AT71)</formula>
    </cfRule>
  </conditionalFormatting>
  <conditionalFormatting sqref="AS71">
    <cfRule type="expression" dxfId="797" priority="218" stopIfTrue="1">
      <formula>ISERROR(AS71)</formula>
    </cfRule>
  </conditionalFormatting>
  <conditionalFormatting sqref="BA72:BD72">
    <cfRule type="expression" dxfId="796" priority="217" stopIfTrue="1">
      <formula>ISERROR(BA72)</formula>
    </cfRule>
  </conditionalFormatting>
  <conditionalFormatting sqref="AX72:AY72">
    <cfRule type="expression" dxfId="795" priority="216" stopIfTrue="1">
      <formula>ISERROR(AX72)</formula>
    </cfRule>
  </conditionalFormatting>
  <conditionalFormatting sqref="AY79">
    <cfRule type="expression" dxfId="794" priority="215" stopIfTrue="1">
      <formula>ISERROR(AY79)</formula>
    </cfRule>
  </conditionalFormatting>
  <conditionalFormatting sqref="AX79">
    <cfRule type="expression" dxfId="793" priority="214" stopIfTrue="1">
      <formula>ISERROR(AX79)</formula>
    </cfRule>
  </conditionalFormatting>
  <conditionalFormatting sqref="AW79">
    <cfRule type="expression" dxfId="792" priority="213" stopIfTrue="1">
      <formula>ISERROR(AW79)</formula>
    </cfRule>
  </conditionalFormatting>
  <conditionalFormatting sqref="BA80:BB80">
    <cfRule type="expression" dxfId="791" priority="212" stopIfTrue="1">
      <formula>ISERROR(BA80)</formula>
    </cfRule>
  </conditionalFormatting>
  <conditionalFormatting sqref="BC13:BD14">
    <cfRule type="expression" dxfId="790" priority="211" stopIfTrue="1">
      <formula>ISERROR(BC13)</formula>
    </cfRule>
  </conditionalFormatting>
  <conditionalFormatting sqref="BE13">
    <cfRule type="expression" dxfId="789" priority="210" stopIfTrue="1">
      <formula>ISERROR(BE13)</formula>
    </cfRule>
  </conditionalFormatting>
  <conditionalFormatting sqref="BE14">
    <cfRule type="expression" dxfId="788" priority="209" stopIfTrue="1">
      <formula>ISERROR(BE14)</formula>
    </cfRule>
  </conditionalFormatting>
  <conditionalFormatting sqref="BJ13:CD13 BK14:CD14">
    <cfRule type="expression" dxfId="787" priority="208" stopIfTrue="1">
      <formula>ISERROR(BJ13)</formula>
    </cfRule>
  </conditionalFormatting>
  <conditionalFormatting sqref="BK25:CD26">
    <cfRule type="expression" dxfId="786" priority="207" stopIfTrue="1">
      <formula>ISERROR(BK25)</formula>
    </cfRule>
  </conditionalFormatting>
  <conditionalFormatting sqref="BC28:BD28">
    <cfRule type="expression" dxfId="785" priority="206" stopIfTrue="1">
      <formula>ISERROR(BC28)</formula>
    </cfRule>
  </conditionalFormatting>
  <conditionalFormatting sqref="BJ27:BJ28">
    <cfRule type="expression" dxfId="784" priority="205" stopIfTrue="1">
      <formula>ISERROR(BJ27)</formula>
    </cfRule>
  </conditionalFormatting>
  <conditionalFormatting sqref="BO28">
    <cfRule type="expression" dxfId="783" priority="204" stopIfTrue="1">
      <formula>ISERROR(BO28)</formula>
    </cfRule>
  </conditionalFormatting>
  <conditionalFormatting sqref="BT28">
    <cfRule type="expression" dxfId="782" priority="203" stopIfTrue="1">
      <formula>ISERROR(BT28)</formula>
    </cfRule>
  </conditionalFormatting>
  <conditionalFormatting sqref="BY28">
    <cfRule type="expression" dxfId="781" priority="202" stopIfTrue="1">
      <formula>ISERROR(BY28)</formula>
    </cfRule>
  </conditionalFormatting>
  <conditionalFormatting sqref="CD28">
    <cfRule type="expression" dxfId="780" priority="201" stopIfTrue="1">
      <formula>ISERROR(CD28)</formula>
    </cfRule>
  </conditionalFormatting>
  <conditionalFormatting sqref="BC31:BD32 BC35:BD38">
    <cfRule type="expression" dxfId="779" priority="200" stopIfTrue="1">
      <formula>ISERROR(BC31)</formula>
    </cfRule>
  </conditionalFormatting>
  <conditionalFormatting sqref="BC33:BD34">
    <cfRule type="expression" dxfId="778" priority="199" stopIfTrue="1">
      <formula>ISERROR(BC33)</formula>
    </cfRule>
  </conditionalFormatting>
  <conditionalFormatting sqref="BE41:BE42">
    <cfRule type="expression" dxfId="777" priority="198" stopIfTrue="1">
      <formula>ISERROR(BE41)</formula>
    </cfRule>
  </conditionalFormatting>
  <conditionalFormatting sqref="BC47:BD48">
    <cfRule type="expression" dxfId="776" priority="197" stopIfTrue="1">
      <formula>ISERROR(BC47)</formula>
    </cfRule>
  </conditionalFormatting>
  <conditionalFormatting sqref="BC52:BD52">
    <cfRule type="expression" dxfId="775" priority="196" stopIfTrue="1">
      <formula>ISERROR(BC52)</formula>
    </cfRule>
  </conditionalFormatting>
  <conditionalFormatting sqref="BC67:BD68">
    <cfRule type="expression" dxfId="774" priority="195" stopIfTrue="1">
      <formula>ISERROR(BC67)</formula>
    </cfRule>
  </conditionalFormatting>
  <conditionalFormatting sqref="BC69:BD70">
    <cfRule type="expression" dxfId="773" priority="194" stopIfTrue="1">
      <formula>ISERROR(BC69)</formula>
    </cfRule>
  </conditionalFormatting>
  <conditionalFormatting sqref="BO113">
    <cfRule type="expression" dxfId="772" priority="166" stopIfTrue="1">
      <formula>ISERROR(BO113)</formula>
    </cfRule>
  </conditionalFormatting>
  <conditionalFormatting sqref="BE67:BE68">
    <cfRule type="expression" dxfId="771" priority="193" stopIfTrue="1">
      <formula>ISERROR(BE67)</formula>
    </cfRule>
  </conditionalFormatting>
  <conditionalFormatting sqref="BE69">
    <cfRule type="expression" dxfId="770" priority="192" stopIfTrue="1">
      <formula>ISERROR(BE69)</formula>
    </cfRule>
  </conditionalFormatting>
  <conditionalFormatting sqref="BE71:BE72">
    <cfRule type="expression" dxfId="769" priority="191" stopIfTrue="1">
      <formula>ISERROR(BE71)</formula>
    </cfRule>
  </conditionalFormatting>
  <conditionalFormatting sqref="BC73">
    <cfRule type="expression" dxfId="768" priority="190" stopIfTrue="1">
      <formula>ISERROR(BC73)</formula>
    </cfRule>
  </conditionalFormatting>
  <conditionalFormatting sqref="BD73">
    <cfRule type="expression" dxfId="767" priority="189" stopIfTrue="1">
      <formula>ISERROR(BD73)</formula>
    </cfRule>
  </conditionalFormatting>
  <conditionalFormatting sqref="BC74">
    <cfRule type="expression" dxfId="766" priority="188" stopIfTrue="1">
      <formula>ISERROR(BC74)</formula>
    </cfRule>
  </conditionalFormatting>
  <conditionalFormatting sqref="BD74">
    <cfRule type="expression" dxfId="765" priority="187" stopIfTrue="1">
      <formula>ISERROR(BD74)</formula>
    </cfRule>
  </conditionalFormatting>
  <conditionalFormatting sqref="BK67:CD68">
    <cfRule type="expression" dxfId="764" priority="186" stopIfTrue="1">
      <formula>ISERROR(BK67)</formula>
    </cfRule>
  </conditionalFormatting>
  <conditionalFormatting sqref="BK69:CD69 BK70:BN70">
    <cfRule type="expression" dxfId="763" priority="185" stopIfTrue="1">
      <formula>ISERROR(BK69)</formula>
    </cfRule>
  </conditionalFormatting>
  <conditionalFormatting sqref="BK71:CD72">
    <cfRule type="expression" dxfId="762" priority="184" stopIfTrue="1">
      <formula>ISERROR(BK71)</formula>
    </cfRule>
  </conditionalFormatting>
  <conditionalFormatting sqref="BC77:BD78">
    <cfRule type="expression" dxfId="761" priority="183" stopIfTrue="1">
      <formula>ISERROR(BC77)</formula>
    </cfRule>
  </conditionalFormatting>
  <conditionalFormatting sqref="BC80:BD80">
    <cfRule type="expression" dxfId="760" priority="182" stopIfTrue="1">
      <formula>ISERROR(BC80)</formula>
    </cfRule>
  </conditionalFormatting>
  <conditionalFormatting sqref="BC81">
    <cfRule type="expression" dxfId="759" priority="181" stopIfTrue="1">
      <formula>ISERROR(BC81)</formula>
    </cfRule>
  </conditionalFormatting>
  <conditionalFormatting sqref="BC82">
    <cfRule type="expression" dxfId="758" priority="180" stopIfTrue="1">
      <formula>ISERROR(BC82)</formula>
    </cfRule>
  </conditionalFormatting>
  <conditionalFormatting sqref="BD81">
    <cfRule type="expression" dxfId="757" priority="179" stopIfTrue="1">
      <formula>ISERROR(BD81)</formula>
    </cfRule>
  </conditionalFormatting>
  <conditionalFormatting sqref="BD82">
    <cfRule type="expression" dxfId="756" priority="178" stopIfTrue="1">
      <formula>ISERROR(BD82)</formula>
    </cfRule>
  </conditionalFormatting>
  <conditionalFormatting sqref="BE78">
    <cfRule type="expression" dxfId="755" priority="177" stopIfTrue="1">
      <formula>ISERROR(BE78)</formula>
    </cfRule>
  </conditionalFormatting>
  <conditionalFormatting sqref="BE80">
    <cfRule type="expression" dxfId="754" priority="176" stopIfTrue="1">
      <formula>ISERROR(BE80)</formula>
    </cfRule>
  </conditionalFormatting>
  <conditionalFormatting sqref="BK77:CD78">
    <cfRule type="expression" dxfId="753" priority="175" stopIfTrue="1">
      <formula>ISERROR(BK77)</formula>
    </cfRule>
  </conditionalFormatting>
  <conditionalFormatting sqref="BK79:CD80">
    <cfRule type="expression" dxfId="752" priority="174" stopIfTrue="1">
      <formula>ISERROR(BK79)</formula>
    </cfRule>
  </conditionalFormatting>
  <conditionalFormatting sqref="BC113">
    <cfRule type="expression" dxfId="751" priority="173" stopIfTrue="1">
      <formula>ISERROR(BC113)</formula>
    </cfRule>
  </conditionalFormatting>
  <conditionalFormatting sqref="BD113">
    <cfRule type="expression" dxfId="750" priority="172" stopIfTrue="1">
      <formula>ISERROR(BD113)</formula>
    </cfRule>
  </conditionalFormatting>
  <conditionalFormatting sqref="BC115">
    <cfRule type="expression" dxfId="749" priority="171" stopIfTrue="1">
      <formula>ISERROR(BC115)</formula>
    </cfRule>
  </conditionalFormatting>
  <conditionalFormatting sqref="BC116">
    <cfRule type="expression" dxfId="748" priority="170" stopIfTrue="1">
      <formula>ISERROR(BC116)</formula>
    </cfRule>
  </conditionalFormatting>
  <conditionalFormatting sqref="BD115">
    <cfRule type="expression" dxfId="747" priority="169" stopIfTrue="1">
      <formula>ISERROR(BD115)</formula>
    </cfRule>
  </conditionalFormatting>
  <conditionalFormatting sqref="BD116">
    <cfRule type="expression" dxfId="746" priority="168" stopIfTrue="1">
      <formula>ISERROR(BD116)</formula>
    </cfRule>
  </conditionalFormatting>
  <conditionalFormatting sqref="BJ113">
    <cfRule type="expression" dxfId="745" priority="167" stopIfTrue="1">
      <formula>ISERROR(BJ113)</formula>
    </cfRule>
  </conditionalFormatting>
  <conditionalFormatting sqref="BT113">
    <cfRule type="expression" dxfId="744" priority="165" stopIfTrue="1">
      <formula>ISERROR(BT113)</formula>
    </cfRule>
  </conditionalFormatting>
  <conditionalFormatting sqref="BY113">
    <cfRule type="expression" dxfId="743" priority="164" stopIfTrue="1">
      <formula>ISERROR(BY113)</formula>
    </cfRule>
  </conditionalFormatting>
  <conditionalFormatting sqref="AL132:AO132">
    <cfRule type="expression" dxfId="742" priority="162" stopIfTrue="1">
      <formula>ISERROR(AL132)</formula>
    </cfRule>
  </conditionalFormatting>
  <conditionalFormatting sqref="AK130">
    <cfRule type="expression" dxfId="741" priority="161" stopIfTrue="1">
      <formula>ISERROR(AK130)</formula>
    </cfRule>
  </conditionalFormatting>
  <conditionalFormatting sqref="AP130">
    <cfRule type="expression" dxfId="740" priority="160" stopIfTrue="1">
      <formula>ISERROR(AP130)</formula>
    </cfRule>
  </conditionalFormatting>
  <conditionalFormatting sqref="B143:AA143 AG143:AP143 AZ142:BE143 B142:AY142 AV143:AY143 BK142:CD143">
    <cfRule type="expression" dxfId="739" priority="159" stopIfTrue="1">
      <formula>ISERROR(B142)</formula>
    </cfRule>
  </conditionalFormatting>
  <conditionalFormatting sqref="BK141:CD141 C141:BE141">
    <cfRule type="expression" dxfId="738" priority="158" stopIfTrue="1">
      <formula>ISERROR(C141)</formula>
    </cfRule>
  </conditionalFormatting>
  <conditionalFormatting sqref="AQ143:AU143">
    <cfRule type="expression" dxfId="737" priority="157" stopIfTrue="1">
      <formula>ISERROR(AQ143)</formula>
    </cfRule>
  </conditionalFormatting>
  <conditionalFormatting sqref="B141">
    <cfRule type="expression" dxfId="736" priority="156" stopIfTrue="1">
      <formula>ISERROR(B141)</formula>
    </cfRule>
  </conditionalFormatting>
  <conditionalFormatting sqref="B146:B150">
    <cfRule type="expression" dxfId="735" priority="155" stopIfTrue="1">
      <formula>ISERROR(B146)</formula>
    </cfRule>
  </conditionalFormatting>
  <conditionalFormatting sqref="AF146:AO146 BZ146:CD146 BU146:BX146 BP146:BS146 BK146:BN146 BA146:BI146 AV146:AY146 AQ146:AT146">
    <cfRule type="expression" dxfId="734" priority="154" stopIfTrue="1">
      <formula>ISERROR(AF146)</formula>
    </cfRule>
  </conditionalFormatting>
  <conditionalFormatting sqref="B153">
    <cfRule type="expression" dxfId="733" priority="153" stopIfTrue="1">
      <formula>ISERROR(B153)</formula>
    </cfRule>
  </conditionalFormatting>
  <conditionalFormatting sqref="BY147:BY154 BY156">
    <cfRule type="expression" dxfId="732" priority="152" stopIfTrue="1">
      <formula>ISERROR(BY147)</formula>
    </cfRule>
  </conditionalFormatting>
  <conditionalFormatting sqref="BY146">
    <cfRule type="expression" dxfId="731" priority="151" stopIfTrue="1">
      <formula>ISERROR(BY146)</formula>
    </cfRule>
  </conditionalFormatting>
  <conditionalFormatting sqref="BT147:BT156">
    <cfRule type="expression" dxfId="730" priority="150" stopIfTrue="1">
      <formula>ISERROR(BT147)</formula>
    </cfRule>
  </conditionalFormatting>
  <conditionalFormatting sqref="BT146">
    <cfRule type="expression" dxfId="729" priority="149" stopIfTrue="1">
      <formula>ISERROR(BT146)</formula>
    </cfRule>
  </conditionalFormatting>
  <conditionalFormatting sqref="BO147:BO156">
    <cfRule type="expression" dxfId="728" priority="148" stopIfTrue="1">
      <formula>ISERROR(BO147)</formula>
    </cfRule>
  </conditionalFormatting>
  <conditionalFormatting sqref="BO146">
    <cfRule type="expression" dxfId="727" priority="147" stopIfTrue="1">
      <formula>ISERROR(BO146)</formula>
    </cfRule>
  </conditionalFormatting>
  <conditionalFormatting sqref="BJ147:BJ148 BJ154:BJ156">
    <cfRule type="expression" dxfId="726" priority="146" stopIfTrue="1">
      <formula>ISERROR(BJ147)</formula>
    </cfRule>
  </conditionalFormatting>
  <conditionalFormatting sqref="BJ146">
    <cfRule type="expression" dxfId="725" priority="145" stopIfTrue="1">
      <formula>ISERROR(BJ146)</formula>
    </cfRule>
  </conditionalFormatting>
  <conditionalFormatting sqref="AZ147:AZ156">
    <cfRule type="expression" dxfId="724" priority="144" stopIfTrue="1">
      <formula>ISERROR(AZ147)</formula>
    </cfRule>
  </conditionalFormatting>
  <conditionalFormatting sqref="AZ146">
    <cfRule type="expression" dxfId="723" priority="143" stopIfTrue="1">
      <formula>ISERROR(AZ146)</formula>
    </cfRule>
  </conditionalFormatting>
  <conditionalFormatting sqref="AU147:AU156">
    <cfRule type="expression" dxfId="722" priority="142" stopIfTrue="1">
      <formula>ISERROR(AU147)</formula>
    </cfRule>
  </conditionalFormatting>
  <conditionalFormatting sqref="AU146">
    <cfRule type="expression" dxfId="721" priority="141" stopIfTrue="1">
      <formula>ISERROR(AU146)</formula>
    </cfRule>
  </conditionalFormatting>
  <conditionalFormatting sqref="AP147:AP156">
    <cfRule type="expression" dxfId="720" priority="140" stopIfTrue="1">
      <formula>ISERROR(AP147)</formula>
    </cfRule>
  </conditionalFormatting>
  <conditionalFormatting sqref="AP146">
    <cfRule type="expression" dxfId="719" priority="139" stopIfTrue="1">
      <formula>ISERROR(AP146)</formula>
    </cfRule>
  </conditionalFormatting>
  <conditionalFormatting sqref="BO27">
    <cfRule type="expression" dxfId="718" priority="138" stopIfTrue="1">
      <formula>ISERROR(BO27)</formula>
    </cfRule>
  </conditionalFormatting>
  <conditionalFormatting sqref="BT27">
    <cfRule type="expression" dxfId="717" priority="137" stopIfTrue="1">
      <formula>ISERROR(BT27)</formula>
    </cfRule>
  </conditionalFormatting>
  <conditionalFormatting sqref="BY27">
    <cfRule type="expression" dxfId="716" priority="136" stopIfTrue="1">
      <formula>ISERROR(BY27)</formula>
    </cfRule>
  </conditionalFormatting>
  <conditionalFormatting sqref="CD27">
    <cfRule type="expression" dxfId="715" priority="135" stopIfTrue="1">
      <formula>ISERROR(CD27)</formula>
    </cfRule>
  </conditionalFormatting>
  <conditionalFormatting sqref="A87:AE88 CE87">
    <cfRule type="expression" dxfId="714" priority="134" stopIfTrue="1">
      <formula>ISERROR(A87)</formula>
    </cfRule>
  </conditionalFormatting>
  <conditionalFormatting sqref="BC87 AF87:AR88 AZ88:CD88 AZ87 AU87 AU88:AV88 BE87 BK87:CD87">
    <cfRule type="expression" dxfId="713" priority="133" stopIfTrue="1">
      <formula>ISERROR(AF87)</formula>
    </cfRule>
  </conditionalFormatting>
  <conditionalFormatting sqref="BB87">
    <cfRule type="expression" dxfId="712" priority="132" stopIfTrue="1">
      <formula>ISERROR(BB87)</formula>
    </cfRule>
  </conditionalFormatting>
  <conditionalFormatting sqref="AW88:AX88">
    <cfRule type="expression" dxfId="711" priority="131" stopIfTrue="1">
      <formula>ISERROR(AW88)</formula>
    </cfRule>
  </conditionalFormatting>
  <conditionalFormatting sqref="AW87:AX87">
    <cfRule type="expression" dxfId="710" priority="130" stopIfTrue="1">
      <formula>ISERROR(AW87)</formula>
    </cfRule>
  </conditionalFormatting>
  <conditionalFormatting sqref="BA87">
    <cfRule type="expression" dxfId="709" priority="129" stopIfTrue="1">
      <formula>ISERROR(BA87)</formula>
    </cfRule>
  </conditionalFormatting>
  <conditionalFormatting sqref="AV87">
    <cfRule type="expression" dxfId="708" priority="128" stopIfTrue="1">
      <formula>ISERROR(AV87)</formula>
    </cfRule>
  </conditionalFormatting>
  <conditionalFormatting sqref="AY88">
    <cfRule type="expression" dxfId="707" priority="127" stopIfTrue="1">
      <formula>ISERROR(AY88)</formula>
    </cfRule>
  </conditionalFormatting>
  <conditionalFormatting sqref="AY87">
    <cfRule type="expression" dxfId="706" priority="126" stopIfTrue="1">
      <formula>ISERROR(AY87)</formula>
    </cfRule>
  </conditionalFormatting>
  <conditionalFormatting sqref="AT88">
    <cfRule type="expression" dxfId="705" priority="125" stopIfTrue="1">
      <formula>ISERROR(AT88)</formula>
    </cfRule>
  </conditionalFormatting>
  <conditionalFormatting sqref="AT87">
    <cfRule type="expression" dxfId="704" priority="124" stopIfTrue="1">
      <formula>ISERROR(AT87)</formula>
    </cfRule>
  </conditionalFormatting>
  <conditionalFormatting sqref="AS88">
    <cfRule type="expression" dxfId="703" priority="123" stopIfTrue="1">
      <formula>ISERROR(AS88)</formula>
    </cfRule>
  </conditionalFormatting>
  <conditionalFormatting sqref="AS87">
    <cfRule type="expression" dxfId="702" priority="122" stopIfTrue="1">
      <formula>ISERROR(AS87)</formula>
    </cfRule>
  </conditionalFormatting>
  <conditionalFormatting sqref="BD87">
    <cfRule type="expression" dxfId="701" priority="121" stopIfTrue="1">
      <formula>ISERROR(BD87)</formula>
    </cfRule>
  </conditionalFormatting>
  <conditionalFormatting sqref="CF73">
    <cfRule type="expression" dxfId="700" priority="120" stopIfTrue="1">
      <formula>ISERROR(CF73)</formula>
    </cfRule>
  </conditionalFormatting>
  <conditionalFormatting sqref="CF81">
    <cfRule type="expression" dxfId="699" priority="119" stopIfTrue="1">
      <formula>ISERROR(CF81)</formula>
    </cfRule>
  </conditionalFormatting>
  <conditionalFormatting sqref="CF84">
    <cfRule type="expression" dxfId="698" priority="118" stopIfTrue="1">
      <formula>ISERROR(CF84)</formula>
    </cfRule>
  </conditionalFormatting>
  <conditionalFormatting sqref="CF87">
    <cfRule type="expression" dxfId="697" priority="117" stopIfTrue="1">
      <formula>ISERROR(CF87)</formula>
    </cfRule>
  </conditionalFormatting>
  <conditionalFormatting sqref="CF113">
    <cfRule type="expression" dxfId="696" priority="116" stopIfTrue="1">
      <formula>ISERROR(CF113)</formula>
    </cfRule>
  </conditionalFormatting>
  <conditionalFormatting sqref="CF117">
    <cfRule type="expression" dxfId="695" priority="115" stopIfTrue="1">
      <formula>ISERROR(CF117)</formula>
    </cfRule>
  </conditionalFormatting>
  <conditionalFormatting sqref="CF137">
    <cfRule type="expression" dxfId="694" priority="114" stopIfTrue="1">
      <formula>ISERROR(CF137)</formula>
    </cfRule>
  </conditionalFormatting>
  <conditionalFormatting sqref="BJ78">
    <cfRule type="expression" dxfId="693" priority="32" stopIfTrue="1">
      <formula>ISERROR(BJ78)</formula>
    </cfRule>
  </conditionalFormatting>
  <conditionalFormatting sqref="BF87:BI87">
    <cfRule type="expression" dxfId="692" priority="27" stopIfTrue="1">
      <formula>ISERROR(BF87)</formula>
    </cfRule>
  </conditionalFormatting>
  <conditionalFormatting sqref="BO70:CD70">
    <cfRule type="expression" dxfId="691" priority="61" stopIfTrue="1">
      <formula>ISERROR(BO70)</formula>
    </cfRule>
  </conditionalFormatting>
  <conditionalFormatting sqref="BF15:BI26 BF11:BI12">
    <cfRule type="expression" dxfId="690" priority="60" stopIfTrue="1">
      <formula>ISERROR(BF11)</formula>
    </cfRule>
  </conditionalFormatting>
  <conditionalFormatting sqref="BF13:BI14">
    <cfRule type="expression" dxfId="689" priority="59" stopIfTrue="1">
      <formula>ISERROR(BF13)</formula>
    </cfRule>
  </conditionalFormatting>
  <conditionalFormatting sqref="BF116:BI116">
    <cfRule type="expression" dxfId="688" priority="15" stopIfTrue="1">
      <formula>ISERROR(BF116)</formula>
    </cfRule>
  </conditionalFormatting>
  <conditionalFormatting sqref="BJ14">
    <cfRule type="expression" dxfId="687" priority="58" stopIfTrue="1">
      <formula>ISERROR(BJ14)</formula>
    </cfRule>
  </conditionalFormatting>
  <conditionalFormatting sqref="BJ26">
    <cfRule type="expression" dxfId="686" priority="57" stopIfTrue="1">
      <formula>ISERROR(BJ26)</formula>
    </cfRule>
  </conditionalFormatting>
  <conditionalFormatting sqref="BJ25">
    <cfRule type="expression" dxfId="685" priority="56" stopIfTrue="1">
      <formula>ISERROR(BJ25)</formula>
    </cfRule>
  </conditionalFormatting>
  <conditionalFormatting sqref="BF42:BI42 BF39:BI40">
    <cfRule type="expression" dxfId="684" priority="55" stopIfTrue="1">
      <formula>ISERROR(BF39)</formula>
    </cfRule>
  </conditionalFormatting>
  <conditionalFormatting sqref="BF31:BI32 BF41:BI41 BF35:BI38">
    <cfRule type="expression" dxfId="683" priority="54" stopIfTrue="1">
      <formula>ISERROR(BF31)</formula>
    </cfRule>
  </conditionalFormatting>
  <conditionalFormatting sqref="BF33:BI34">
    <cfRule type="expression" dxfId="682" priority="53" stopIfTrue="1">
      <formula>ISERROR(BF33)</formula>
    </cfRule>
  </conditionalFormatting>
  <conditionalFormatting sqref="BF27:BI27">
    <cfRule type="expression" dxfId="681" priority="52" stopIfTrue="1">
      <formula>ISERROR(BF27)</formula>
    </cfRule>
  </conditionalFormatting>
  <conditionalFormatting sqref="BF28:BI28">
    <cfRule type="expression" dxfId="680" priority="51" stopIfTrue="1">
      <formula>ISERROR(BF28)</formula>
    </cfRule>
  </conditionalFormatting>
  <conditionalFormatting sqref="BF49:BI50">
    <cfRule type="expression" dxfId="679" priority="50" stopIfTrue="1">
      <formula>ISERROR(BF49)</formula>
    </cfRule>
  </conditionalFormatting>
  <conditionalFormatting sqref="BF47:BI48">
    <cfRule type="expression" dxfId="678" priority="49" stopIfTrue="1">
      <formula>ISERROR(BF47)</formula>
    </cfRule>
  </conditionalFormatting>
  <conditionalFormatting sqref="BF51:BI52">
    <cfRule type="expression" dxfId="677" priority="48" stopIfTrue="1">
      <formula>ISERROR(BF51)</formula>
    </cfRule>
  </conditionalFormatting>
  <conditionalFormatting sqref="BF63:BI64">
    <cfRule type="expression" dxfId="676" priority="47" stopIfTrue="1">
      <formula>ISERROR(BF63)</formula>
    </cfRule>
  </conditionalFormatting>
  <conditionalFormatting sqref="BF125:BI136">
    <cfRule type="expression" dxfId="675" priority="13" stopIfTrue="1">
      <formula>ISERROR(BF125)</formula>
    </cfRule>
  </conditionalFormatting>
  <conditionalFormatting sqref="BF67:BI68">
    <cfRule type="expression" dxfId="674" priority="46" stopIfTrue="1">
      <formula>ISERROR(BF67)</formula>
    </cfRule>
  </conditionalFormatting>
  <conditionalFormatting sqref="BF69:BI70">
    <cfRule type="expression" dxfId="673" priority="45" stopIfTrue="1">
      <formula>ISERROR(BF69)</formula>
    </cfRule>
  </conditionalFormatting>
  <conditionalFormatting sqref="BF71:BI72">
    <cfRule type="expression" dxfId="672" priority="44" stopIfTrue="1">
      <formula>ISERROR(BF71)</formula>
    </cfRule>
  </conditionalFormatting>
  <conditionalFormatting sqref="BJ63:BJ64">
    <cfRule type="expression" dxfId="671" priority="43" stopIfTrue="1">
      <formula>ISERROR(BJ63)</formula>
    </cfRule>
  </conditionalFormatting>
  <conditionalFormatting sqref="BF65:BI66">
    <cfRule type="expression" dxfId="670" priority="42" stopIfTrue="1">
      <formula>ISERROR(BF65)</formula>
    </cfRule>
  </conditionalFormatting>
  <conditionalFormatting sqref="BJ65:BJ66">
    <cfRule type="expression" dxfId="669" priority="41" stopIfTrue="1">
      <formula>ISERROR(BJ65)</formula>
    </cfRule>
  </conditionalFormatting>
  <conditionalFormatting sqref="BF7:BI7">
    <cfRule type="expression" dxfId="668" priority="9" stopIfTrue="1">
      <formula>ISERROR(BF7)</formula>
    </cfRule>
  </conditionalFormatting>
  <conditionalFormatting sqref="BJ67:BJ68">
    <cfRule type="expression" dxfId="667" priority="40" stopIfTrue="1">
      <formula>ISERROR(BJ67)</formula>
    </cfRule>
  </conditionalFormatting>
  <conditionalFormatting sqref="BJ69:BJ70">
    <cfRule type="expression" dxfId="666" priority="39" stopIfTrue="1">
      <formula>ISERROR(BJ69)</formula>
    </cfRule>
  </conditionalFormatting>
  <conditionalFormatting sqref="BF73:BI73">
    <cfRule type="expression" dxfId="665" priority="38" stopIfTrue="1">
      <formula>ISERROR(BF73)</formula>
    </cfRule>
  </conditionalFormatting>
  <conditionalFormatting sqref="BF74:BI74">
    <cfRule type="expression" dxfId="664" priority="37" stopIfTrue="1">
      <formula>ISERROR(BF74)</formula>
    </cfRule>
  </conditionalFormatting>
  <conditionalFormatting sqref="BJ71:BJ72">
    <cfRule type="expression" dxfId="663" priority="36" stopIfTrue="1">
      <formula>ISERROR(BJ71)</formula>
    </cfRule>
  </conditionalFormatting>
  <conditionalFormatting sqref="BF77:BI78">
    <cfRule type="expression" dxfId="662" priority="35" stopIfTrue="1">
      <formula>ISERROR(BF77)</formula>
    </cfRule>
  </conditionalFormatting>
  <conditionalFormatting sqref="BF79:BI80">
    <cfRule type="expression" dxfId="661" priority="34" stopIfTrue="1">
      <formula>ISERROR(BF79)</formula>
    </cfRule>
  </conditionalFormatting>
  <conditionalFormatting sqref="BJ77">
    <cfRule type="expression" dxfId="660" priority="33" stopIfTrue="1">
      <formula>ISERROR(BJ77)</formula>
    </cfRule>
  </conditionalFormatting>
  <conditionalFormatting sqref="BJ79">
    <cfRule type="expression" dxfId="659" priority="31" stopIfTrue="1">
      <formula>ISERROR(BJ79)</formula>
    </cfRule>
  </conditionalFormatting>
  <conditionalFormatting sqref="BJ80">
    <cfRule type="expression" dxfId="658" priority="30" stopIfTrue="1">
      <formula>ISERROR(BJ80)</formula>
    </cfRule>
  </conditionalFormatting>
  <conditionalFormatting sqref="BF81:BI81">
    <cfRule type="expression" dxfId="657" priority="29" stopIfTrue="1">
      <formula>ISERROR(BF81)</formula>
    </cfRule>
  </conditionalFormatting>
  <conditionalFormatting sqref="BF82:BI82">
    <cfRule type="expression" dxfId="656" priority="28" stopIfTrue="1">
      <formula>ISERROR(BF82)</formula>
    </cfRule>
  </conditionalFormatting>
  <conditionalFormatting sqref="BF97:BI111">
    <cfRule type="expression" dxfId="655" priority="26" stopIfTrue="1">
      <formula>ISERROR(BF97)</formula>
    </cfRule>
  </conditionalFormatting>
  <conditionalFormatting sqref="BJ87">
    <cfRule type="expression" dxfId="654" priority="25" stopIfTrue="1">
      <formula>ISERROR(BJ87)</formula>
    </cfRule>
  </conditionalFormatting>
  <conditionalFormatting sqref="BJ97">
    <cfRule type="expression" dxfId="653" priority="24" stopIfTrue="1">
      <formula>ISERROR(BJ97)</formula>
    </cfRule>
  </conditionalFormatting>
  <conditionalFormatting sqref="BJ99">
    <cfRule type="expression" dxfId="652" priority="23" stopIfTrue="1">
      <formula>ISERROR(BJ99)</formula>
    </cfRule>
  </conditionalFormatting>
  <conditionalFormatting sqref="BJ101">
    <cfRule type="expression" dxfId="651" priority="22" stopIfTrue="1">
      <formula>ISERROR(BJ101)</formula>
    </cfRule>
  </conditionalFormatting>
  <conditionalFormatting sqref="BJ103">
    <cfRule type="expression" dxfId="650" priority="21" stopIfTrue="1">
      <formula>ISERROR(BJ103)</formula>
    </cfRule>
  </conditionalFormatting>
  <conditionalFormatting sqref="BJ107">
    <cfRule type="expression" dxfId="649" priority="20" stopIfTrue="1">
      <formula>ISERROR(BJ107)</formula>
    </cfRule>
  </conditionalFormatting>
  <conditionalFormatting sqref="BJ109">
    <cfRule type="expression" dxfId="648" priority="19" stopIfTrue="1">
      <formula>ISERROR(BJ109)</formula>
    </cfRule>
  </conditionalFormatting>
  <conditionalFormatting sqref="BJ111">
    <cfRule type="expression" dxfId="647" priority="18" stopIfTrue="1">
      <formula>ISERROR(BJ111)</formula>
    </cfRule>
  </conditionalFormatting>
  <conditionalFormatting sqref="BF113:BI113">
    <cfRule type="expression" dxfId="646" priority="17" stopIfTrue="1">
      <formula>ISERROR(BF113)</formula>
    </cfRule>
  </conditionalFormatting>
  <conditionalFormatting sqref="BF115:BI115">
    <cfRule type="expression" dxfId="645" priority="16" stopIfTrue="1">
      <formula>ISERROR(BF115)</formula>
    </cfRule>
  </conditionalFormatting>
  <conditionalFormatting sqref="BF117:BI120">
    <cfRule type="expression" dxfId="644" priority="14" stopIfTrue="1">
      <formula>ISERROR(BF117)</formula>
    </cfRule>
  </conditionalFormatting>
  <conditionalFormatting sqref="BF137:BI138">
    <cfRule type="expression" dxfId="643" priority="12" stopIfTrue="1">
      <formula>ISERROR(BF137)</formula>
    </cfRule>
  </conditionalFormatting>
  <conditionalFormatting sqref="BF142:BJ143">
    <cfRule type="expression" dxfId="642" priority="11" stopIfTrue="1">
      <formula>ISERROR(BF142)</formula>
    </cfRule>
  </conditionalFormatting>
  <conditionalFormatting sqref="BF141:BJ141">
    <cfRule type="expression" dxfId="641" priority="10" stopIfTrue="1">
      <formula>ISERROR(BF141)</formula>
    </cfRule>
  </conditionalFormatting>
  <conditionalFormatting sqref="AX157">
    <cfRule type="expression" dxfId="640" priority="8" stopIfTrue="1">
      <formula>ISERROR(AX157)</formula>
    </cfRule>
  </conditionalFormatting>
  <conditionalFormatting sqref="AW157">
    <cfRule type="expression" dxfId="639" priority="7" stopIfTrue="1">
      <formula>ISERROR(AW157)</formula>
    </cfRule>
  </conditionalFormatting>
  <conditionalFormatting sqref="AV157">
    <cfRule type="expression" dxfId="638" priority="6" stopIfTrue="1">
      <formula>ISERROR(AV157)</formula>
    </cfRule>
  </conditionalFormatting>
  <conditionalFormatting sqref="BJ149">
    <cfRule type="expression" dxfId="637" priority="5" stopIfTrue="1">
      <formula>ISERROR(BJ149)</formula>
    </cfRule>
  </conditionalFormatting>
  <conditionalFormatting sqref="BJ150">
    <cfRule type="expression" dxfId="636" priority="4" stopIfTrue="1">
      <formula>ISERROR(BJ150)</formula>
    </cfRule>
  </conditionalFormatting>
  <conditionalFormatting sqref="BJ151:BJ153">
    <cfRule type="expression" dxfId="635" priority="3" stopIfTrue="1">
      <formula>ISERROR(BJ151)</formula>
    </cfRule>
  </conditionalFormatting>
  <conditionalFormatting sqref="BY155">
    <cfRule type="expression" dxfId="634" priority="2" stopIfTrue="1">
      <formula>ISERROR(BY155)</formula>
    </cfRule>
  </conditionalFormatting>
  <conditionalFormatting sqref="CD155">
    <cfRule type="expression" dxfId="633" priority="1" stopIfTrue="1">
      <formula>ISERROR(CD155)</formula>
    </cfRule>
  </conditionalFormatting>
  <dataValidations count="1">
    <dataValidation type="custom" allowBlank="1" showInputMessage="1" showErrorMessage="1" sqref="R6:U8 AG7:AJ8 AB7:AE8 AL7:AO8 AQ7:AT8 AV7:AY8 W7:Z8 BF7:BI8 BP8:BS8 BU8:BX8 BZ8:CC8 BK8:BN8 BA7:BD8">
      <formula1>-1</formula1>
    </dataValidation>
  </dataValidations>
  <pageMargins left="0.75" right="0.75" top="1" bottom="1" header="0.5" footer="0.5"/>
  <pageSetup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XCW124"/>
  <sheetViews>
    <sheetView showGridLines="0" workbookViewId="0">
      <pane xSplit="2" ySplit="8" topLeftCell="AF9" activePane="bottomRight" state="frozen"/>
      <selection activeCell="L4" sqref="L4"/>
      <selection pane="topRight" activeCell="L4" sqref="L4"/>
      <selection pane="bottomLeft" activeCell="L4" sqref="L4"/>
      <selection pane="bottomRight" activeCell="B4" sqref="B4:B5"/>
    </sheetView>
  </sheetViews>
  <sheetFormatPr baseColWidth="10" defaultColWidth="9.1640625" defaultRowHeight="12" customHeight="1" outlineLevelRow="1" outlineLevelCol="1" x14ac:dyDescent="0.15"/>
  <cols>
    <col min="1" max="1" width="2" style="2" customWidth="1"/>
    <col min="2" max="2" width="31.1640625" style="2" customWidth="1"/>
    <col min="3" max="3" width="8.83203125" style="2" hidden="1" customWidth="1" outlineLevel="1"/>
    <col min="4" max="4" width="8.6640625" style="2" hidden="1" customWidth="1" outlineLevel="1"/>
    <col min="5" max="6" width="8.83203125" style="2" hidden="1" customWidth="1" outlineLevel="1"/>
    <col min="7" max="7" width="8.6640625" style="2" hidden="1" customWidth="1" collapsed="1"/>
    <col min="8" max="8" width="8.83203125" style="2" hidden="1" customWidth="1" outlineLevel="1"/>
    <col min="9" max="9" width="8.6640625" style="2" hidden="1" customWidth="1" outlineLevel="1"/>
    <col min="10" max="11" width="8.83203125" style="2" hidden="1" customWidth="1" outlineLevel="1"/>
    <col min="12" max="12" width="9.1640625" style="2" hidden="1" customWidth="1" collapsed="1"/>
    <col min="13" max="13" width="8.83203125" style="2" hidden="1" customWidth="1" outlineLevel="1"/>
    <col min="14" max="14" width="8.6640625" style="2" hidden="1" customWidth="1" outlineLevel="1"/>
    <col min="15" max="16" width="8.83203125" style="2" hidden="1" customWidth="1" outlineLevel="1"/>
    <col min="17" max="17" width="8.6640625" style="2" hidden="1" customWidth="1" collapsed="1"/>
    <col min="18" max="18" width="8.83203125" style="2" hidden="1" customWidth="1" outlineLevel="1"/>
    <col min="19" max="19" width="8.6640625" style="2" hidden="1" customWidth="1" outlineLevel="1"/>
    <col min="20" max="21" width="8.83203125" style="2" hidden="1" customWidth="1" outlineLevel="1"/>
    <col min="22" max="22" width="8.6640625" style="2" hidden="1" customWidth="1" collapsed="1"/>
    <col min="23" max="23" width="8.83203125" style="2" hidden="1" customWidth="1" outlineLevel="1"/>
    <col min="24" max="24" width="8.6640625" style="2" hidden="1" customWidth="1" outlineLevel="1"/>
    <col min="25" max="26" width="8.83203125" style="2" hidden="1" customWidth="1" outlineLevel="1"/>
    <col min="27" max="27" width="8.6640625" style="2" hidden="1" customWidth="1" collapsed="1"/>
    <col min="28" max="28" width="8.83203125" style="2" hidden="1" customWidth="1" outlineLevel="1"/>
    <col min="29" max="29" width="8.6640625" style="2" hidden="1" customWidth="1" outlineLevel="1"/>
    <col min="30" max="30" width="8.83203125" style="2" hidden="1" customWidth="1" outlineLevel="1"/>
    <col min="31" max="31" width="9.33203125" style="2" hidden="1" customWidth="1" outlineLevel="1"/>
    <col min="32" max="32" width="9" style="2" customWidth="1" collapsed="1"/>
    <col min="33" max="33" width="8.6640625" style="2" hidden="1" customWidth="1" outlineLevel="1"/>
    <col min="34" max="34" width="8.5" style="2" hidden="1" customWidth="1" outlineLevel="1"/>
    <col min="35" max="36" width="8.6640625" style="2" hidden="1" customWidth="1" outlineLevel="1"/>
    <col min="37" max="37" width="9.5" style="2" customWidth="1" collapsed="1"/>
    <col min="38" max="38" width="8.6640625" style="2" hidden="1" customWidth="1" outlineLevel="1"/>
    <col min="39" max="39" width="8.5" style="2" hidden="1" customWidth="1" outlineLevel="1"/>
    <col min="40" max="41" width="8.6640625" style="2" hidden="1" customWidth="1" outlineLevel="1"/>
    <col min="42" max="42" width="9.5" style="2" customWidth="1" collapsed="1"/>
    <col min="43" max="43" width="8.6640625" style="2" hidden="1" customWidth="1" outlineLevel="1"/>
    <col min="44" max="44" width="8.5" style="2" hidden="1" customWidth="1" outlineLevel="1"/>
    <col min="45" max="45" width="11" style="2" hidden="1" customWidth="1" outlineLevel="1"/>
    <col min="46" max="46" width="8.6640625" style="2" hidden="1" customWidth="1" outlineLevel="1"/>
    <col min="47" max="47" width="10" style="2" customWidth="1" collapsed="1"/>
    <col min="48" max="51" width="8.5" style="2" hidden="1" customWidth="1" outlineLevel="1"/>
    <col min="52" max="52" width="9.5" style="2" customWidth="1" collapsed="1"/>
    <col min="53" max="56" width="8.5" style="2" hidden="1" customWidth="1" outlineLevel="1"/>
    <col min="57" max="57" width="9.5" style="2" bestFit="1" customWidth="1" collapsed="1"/>
    <col min="58" max="61" width="8.5" style="2" hidden="1" customWidth="1" outlineLevel="1"/>
    <col min="62" max="62" width="9.5" style="2" bestFit="1" customWidth="1" collapsed="1"/>
    <col min="63" max="66" width="8.5" style="2" hidden="1" customWidth="1" outlineLevel="1"/>
    <col min="67" max="67" width="9.5" style="2" bestFit="1" customWidth="1" collapsed="1"/>
    <col min="68" max="71" width="8.5" style="2" hidden="1" customWidth="1" outlineLevel="1"/>
    <col min="72" max="72" width="9.5" style="2" bestFit="1" customWidth="1" collapsed="1"/>
    <col min="73" max="76" width="8.5" style="2" hidden="1" customWidth="1" outlineLevel="1"/>
    <col min="77" max="77" width="9.5" style="2" bestFit="1" customWidth="1" collapsed="1"/>
    <col min="78" max="81" width="8.5" style="2" hidden="1" customWidth="1" outlineLevel="1"/>
    <col min="82" max="82" width="9.5" style="2" bestFit="1" customWidth="1" collapsed="1"/>
    <col min="83" max="83" width="1.6640625" style="2" customWidth="1"/>
    <col min="84" max="84" width="37" style="2" customWidth="1"/>
    <col min="85" max="16384" width="9.1640625" style="2"/>
  </cols>
  <sheetData>
    <row r="1" spans="1:84" ht="12" customHeight="1" x14ac:dyDescent="0.15">
      <c r="AZ1" s="3"/>
    </row>
    <row r="2" spans="1:84" x14ac:dyDescent="0.15">
      <c r="B2" s="4" t="s">
        <v>1</v>
      </c>
      <c r="AN2" s="3"/>
      <c r="AW2" s="5"/>
      <c r="AX2" s="5"/>
      <c r="BE2" s="3"/>
      <c r="BJ2" s="3"/>
      <c r="BO2" s="3"/>
      <c r="BY2" s="3"/>
    </row>
    <row r="3" spans="1:84" x14ac:dyDescent="0.15">
      <c r="B3" s="6" t="s">
        <v>2</v>
      </c>
      <c r="AR3" s="7"/>
      <c r="AW3" s="3"/>
      <c r="AY3" s="3"/>
      <c r="BJ3" s="3"/>
    </row>
    <row r="4" spans="1:84" x14ac:dyDescent="0.15">
      <c r="A4" s="8"/>
      <c r="B4" s="9"/>
      <c r="AB4" s="10"/>
      <c r="AC4" s="10"/>
      <c r="AD4" s="10"/>
      <c r="AE4" s="10"/>
      <c r="AF4" s="10"/>
      <c r="AG4" s="10"/>
      <c r="AH4" s="10"/>
      <c r="AI4" s="10"/>
      <c r="AJ4" s="10"/>
      <c r="AK4" s="10"/>
      <c r="AQ4" s="11"/>
      <c r="AR4" s="11"/>
      <c r="AT4" s="11"/>
      <c r="AU4" s="10"/>
      <c r="AY4" s="5"/>
      <c r="BE4" s="3"/>
      <c r="BJ4" s="3"/>
    </row>
    <row r="5" spans="1:84" x14ac:dyDescent="0.15">
      <c r="A5" s="8"/>
      <c r="B5" s="12"/>
      <c r="Y5" s="13"/>
      <c r="Z5" s="14"/>
      <c r="AA5" s="14"/>
      <c r="AB5" s="14"/>
      <c r="AC5" s="14"/>
      <c r="AD5" s="14"/>
      <c r="AE5" s="14"/>
      <c r="AF5" s="15">
        <v>2010</v>
      </c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>
        <f t="shared" ref="AV5:AX5" si="0">AQ5+1</f>
        <v>1</v>
      </c>
      <c r="AW5" s="15">
        <f t="shared" si="0"/>
        <v>1</v>
      </c>
      <c r="AX5" s="15">
        <f t="shared" si="0"/>
        <v>1</v>
      </c>
      <c r="AY5" s="15"/>
      <c r="AZ5" s="16"/>
      <c r="BA5" s="15"/>
      <c r="BB5" s="15"/>
      <c r="BC5" s="15"/>
      <c r="BD5" s="16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7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</row>
    <row r="6" spans="1:84" ht="12" customHeight="1" x14ac:dyDescent="0.15">
      <c r="AB6" s="18"/>
      <c r="AC6" s="18"/>
      <c r="AD6" s="19" t="s">
        <v>3</v>
      </c>
      <c r="AE6" s="20" t="s">
        <v>4</v>
      </c>
      <c r="AG6" s="21"/>
      <c r="BB6" s="3"/>
      <c r="BD6" s="3"/>
      <c r="BE6" s="3"/>
      <c r="BJ6" s="3"/>
    </row>
    <row r="7" spans="1:84" x14ac:dyDescent="0.15">
      <c r="B7" s="22" t="s">
        <v>5</v>
      </c>
      <c r="C7" s="23">
        <v>38412</v>
      </c>
      <c r="D7" s="23">
        <v>38504</v>
      </c>
      <c r="E7" s="23">
        <v>38596</v>
      </c>
      <c r="F7" s="23">
        <v>38687</v>
      </c>
      <c r="G7" s="24"/>
      <c r="H7" s="23">
        <v>38777</v>
      </c>
      <c r="I7" s="23">
        <v>38869</v>
      </c>
      <c r="J7" s="23">
        <v>38961</v>
      </c>
      <c r="K7" s="23">
        <v>39052</v>
      </c>
      <c r="L7" s="24"/>
      <c r="M7" s="23">
        <v>39142</v>
      </c>
      <c r="N7" s="23">
        <v>39234</v>
      </c>
      <c r="O7" s="23">
        <v>39326</v>
      </c>
      <c r="P7" s="23">
        <v>39417</v>
      </c>
      <c r="Q7" s="24"/>
      <c r="R7" s="23">
        <v>39508</v>
      </c>
      <c r="S7" s="23">
        <v>39600</v>
      </c>
      <c r="T7" s="23">
        <v>39692</v>
      </c>
      <c r="U7" s="23">
        <v>39783</v>
      </c>
      <c r="V7" s="24"/>
      <c r="W7" s="23">
        <v>39873</v>
      </c>
      <c r="X7" s="23">
        <v>39965</v>
      </c>
      <c r="Y7" s="23">
        <v>40057</v>
      </c>
      <c r="Z7" s="23">
        <v>40148</v>
      </c>
      <c r="AA7" s="24"/>
      <c r="AB7" s="23">
        <v>40238</v>
      </c>
      <c r="AC7" s="23">
        <v>40330</v>
      </c>
      <c r="AD7" s="23">
        <v>40422</v>
      </c>
      <c r="AE7" s="23">
        <v>40513</v>
      </c>
      <c r="AF7" s="24"/>
      <c r="AG7" s="23">
        <v>40603</v>
      </c>
      <c r="AH7" s="23">
        <v>40695</v>
      </c>
      <c r="AI7" s="23">
        <v>40787</v>
      </c>
      <c r="AJ7" s="23">
        <v>40878</v>
      </c>
      <c r="AK7" s="24"/>
      <c r="AL7" s="23">
        <v>40969</v>
      </c>
      <c r="AM7" s="23">
        <v>41061</v>
      </c>
      <c r="AN7" s="23">
        <v>41153</v>
      </c>
      <c r="AO7" s="23">
        <v>41244</v>
      </c>
      <c r="AP7" s="24"/>
      <c r="AQ7" s="23">
        <v>41334</v>
      </c>
      <c r="AR7" s="23">
        <v>41426</v>
      </c>
      <c r="AS7" s="23">
        <v>41518</v>
      </c>
      <c r="AT7" s="23">
        <v>41609</v>
      </c>
      <c r="AU7" s="24"/>
      <c r="AV7" s="23">
        <v>41699</v>
      </c>
      <c r="AW7" s="23">
        <v>41791</v>
      </c>
      <c r="AX7" s="23">
        <v>41883</v>
      </c>
      <c r="AY7" s="23">
        <v>41974</v>
      </c>
      <c r="AZ7" s="25"/>
      <c r="BA7" s="23">
        <v>42064</v>
      </c>
      <c r="BB7" s="23">
        <v>42156</v>
      </c>
      <c r="BC7" s="23">
        <v>42248</v>
      </c>
      <c r="BD7" s="26">
        <v>42339</v>
      </c>
      <c r="BE7" s="25"/>
      <c r="BF7" s="23">
        <v>42430</v>
      </c>
      <c r="BG7" s="23">
        <v>42522</v>
      </c>
      <c r="BH7" s="23">
        <v>42614</v>
      </c>
      <c r="BI7" s="23">
        <v>42705</v>
      </c>
      <c r="BJ7" s="24"/>
      <c r="BK7" s="23">
        <v>42795</v>
      </c>
      <c r="BL7" s="23">
        <v>42887</v>
      </c>
      <c r="BM7" s="23">
        <v>42979</v>
      </c>
      <c r="BN7" s="23">
        <v>43070</v>
      </c>
      <c r="BO7" s="25"/>
      <c r="BP7" s="23">
        <v>43160</v>
      </c>
      <c r="BQ7" s="23">
        <v>43252</v>
      </c>
      <c r="BR7" s="23">
        <v>43344</v>
      </c>
      <c r="BS7" s="23">
        <v>43435</v>
      </c>
      <c r="BT7" s="24"/>
      <c r="BU7" s="23">
        <v>43525</v>
      </c>
      <c r="BV7" s="23">
        <v>43617</v>
      </c>
      <c r="BW7" s="23">
        <v>43709</v>
      </c>
      <c r="BX7" s="23">
        <v>43800</v>
      </c>
      <c r="BY7" s="25"/>
      <c r="BZ7" s="23">
        <v>43891</v>
      </c>
      <c r="CA7" s="23">
        <v>43983</v>
      </c>
      <c r="CB7" s="23">
        <v>44075</v>
      </c>
      <c r="CC7" s="23">
        <v>44166</v>
      </c>
      <c r="CD7" s="24"/>
      <c r="CF7" s="27"/>
    </row>
    <row r="8" spans="1:84" s="28" customFormat="1" x14ac:dyDescent="0.15">
      <c r="B8" s="29" t="s">
        <v>6</v>
      </c>
      <c r="C8" s="30" t="s">
        <v>7</v>
      </c>
      <c r="D8" s="30" t="s">
        <v>8</v>
      </c>
      <c r="E8" s="30" t="s">
        <v>9</v>
      </c>
      <c r="F8" s="30" t="s">
        <v>10</v>
      </c>
      <c r="G8" s="31" t="s">
        <v>11</v>
      </c>
      <c r="H8" s="30" t="s">
        <v>7</v>
      </c>
      <c r="I8" s="30" t="s">
        <v>8</v>
      </c>
      <c r="J8" s="30" t="s">
        <v>9</v>
      </c>
      <c r="K8" s="30" t="s">
        <v>10</v>
      </c>
      <c r="L8" s="31" t="s">
        <v>12</v>
      </c>
      <c r="M8" s="30" t="s">
        <v>7</v>
      </c>
      <c r="N8" s="30" t="s">
        <v>8</v>
      </c>
      <c r="O8" s="30" t="s">
        <v>9</v>
      </c>
      <c r="P8" s="30" t="s">
        <v>10</v>
      </c>
      <c r="Q8" s="31" t="s">
        <v>13</v>
      </c>
      <c r="R8" s="30" t="s">
        <v>7</v>
      </c>
      <c r="S8" s="30" t="s">
        <v>8</v>
      </c>
      <c r="T8" s="30" t="s">
        <v>9</v>
      </c>
      <c r="U8" s="30" t="s">
        <v>10</v>
      </c>
      <c r="V8" s="31" t="s">
        <v>14</v>
      </c>
      <c r="W8" s="30" t="s">
        <v>7</v>
      </c>
      <c r="X8" s="30" t="s">
        <v>8</v>
      </c>
      <c r="Y8" s="30" t="s">
        <v>9</v>
      </c>
      <c r="Z8" s="30" t="s">
        <v>10</v>
      </c>
      <c r="AA8" s="31" t="s">
        <v>15</v>
      </c>
      <c r="AB8" s="30" t="s">
        <v>7</v>
      </c>
      <c r="AC8" s="30" t="s">
        <v>8</v>
      </c>
      <c r="AD8" s="30" t="s">
        <v>9</v>
      </c>
      <c r="AE8" s="30" t="s">
        <v>10</v>
      </c>
      <c r="AF8" s="31" t="s">
        <v>16</v>
      </c>
      <c r="AG8" s="30" t="s">
        <v>7</v>
      </c>
      <c r="AH8" s="30" t="s">
        <v>8</v>
      </c>
      <c r="AI8" s="30" t="s">
        <v>9</v>
      </c>
      <c r="AJ8" s="30" t="s">
        <v>10</v>
      </c>
      <c r="AK8" s="31" t="s">
        <v>17</v>
      </c>
      <c r="AL8" s="30" t="s">
        <v>7</v>
      </c>
      <c r="AM8" s="30" t="s">
        <v>8</v>
      </c>
      <c r="AN8" s="30" t="s">
        <v>9</v>
      </c>
      <c r="AO8" s="30" t="s">
        <v>10</v>
      </c>
      <c r="AP8" s="31" t="s">
        <v>18</v>
      </c>
      <c r="AQ8" s="30" t="s">
        <v>7</v>
      </c>
      <c r="AR8" s="30" t="s">
        <v>8</v>
      </c>
      <c r="AS8" s="30" t="s">
        <v>9</v>
      </c>
      <c r="AT8" s="30" t="s">
        <v>10</v>
      </c>
      <c r="AU8" s="31" t="s">
        <v>19</v>
      </c>
      <c r="AV8" s="30" t="s">
        <v>7</v>
      </c>
      <c r="AW8" s="30" t="s">
        <v>8</v>
      </c>
      <c r="AX8" s="30" t="s">
        <v>9</v>
      </c>
      <c r="AY8" s="30" t="s">
        <v>10</v>
      </c>
      <c r="AZ8" s="32" t="s">
        <v>20</v>
      </c>
      <c r="BA8" s="30" t="s">
        <v>7</v>
      </c>
      <c r="BB8" s="30" t="s">
        <v>8</v>
      </c>
      <c r="BC8" s="30" t="s">
        <v>9</v>
      </c>
      <c r="BD8" s="33" t="s">
        <v>10</v>
      </c>
      <c r="BE8" s="32" t="s">
        <v>21</v>
      </c>
      <c r="BF8" s="30" t="s">
        <v>22</v>
      </c>
      <c r="BG8" s="30" t="s">
        <v>23</v>
      </c>
      <c r="BH8" s="30" t="s">
        <v>24</v>
      </c>
      <c r="BI8" s="30" t="s">
        <v>25</v>
      </c>
      <c r="BJ8" s="31" t="s">
        <v>26</v>
      </c>
      <c r="BK8" s="30" t="s">
        <v>22</v>
      </c>
      <c r="BL8" s="30" t="s">
        <v>23</v>
      </c>
      <c r="BM8" s="30" t="s">
        <v>24</v>
      </c>
      <c r="BN8" s="30" t="s">
        <v>25</v>
      </c>
      <c r="BO8" s="32" t="s">
        <v>27</v>
      </c>
      <c r="BP8" s="30" t="s">
        <v>22</v>
      </c>
      <c r="BQ8" s="30" t="s">
        <v>23</v>
      </c>
      <c r="BR8" s="30" t="s">
        <v>24</v>
      </c>
      <c r="BS8" s="30" t="s">
        <v>25</v>
      </c>
      <c r="BT8" s="31" t="s">
        <v>28</v>
      </c>
      <c r="BU8" s="30" t="s">
        <v>22</v>
      </c>
      <c r="BV8" s="30" t="s">
        <v>23</v>
      </c>
      <c r="BW8" s="30" t="s">
        <v>24</v>
      </c>
      <c r="BX8" s="30" t="s">
        <v>25</v>
      </c>
      <c r="BY8" s="32" t="s">
        <v>29</v>
      </c>
      <c r="BZ8" s="30" t="s">
        <v>22</v>
      </c>
      <c r="CA8" s="30" t="s">
        <v>23</v>
      </c>
      <c r="CB8" s="30" t="s">
        <v>24</v>
      </c>
      <c r="CC8" s="30" t="s">
        <v>25</v>
      </c>
      <c r="CD8" s="31" t="s">
        <v>30</v>
      </c>
      <c r="CF8" s="27" t="s">
        <v>31</v>
      </c>
    </row>
    <row r="9" spans="1:84" s="28" customFormat="1" x14ac:dyDescent="0.15">
      <c r="B9" s="34" t="s">
        <v>33</v>
      </c>
      <c r="C9" s="35"/>
      <c r="D9" s="36"/>
      <c r="E9" s="36"/>
      <c r="F9" s="36"/>
      <c r="G9" s="34"/>
      <c r="H9" s="36"/>
      <c r="I9" s="36"/>
      <c r="J9" s="36"/>
      <c r="K9" s="36"/>
      <c r="L9" s="34"/>
      <c r="M9" s="36"/>
      <c r="N9" s="36"/>
      <c r="O9" s="36"/>
      <c r="P9" s="36"/>
      <c r="Q9" s="34"/>
      <c r="R9" s="36"/>
      <c r="S9" s="36"/>
      <c r="T9" s="36"/>
      <c r="U9" s="36"/>
      <c r="V9" s="34"/>
      <c r="W9" s="36"/>
      <c r="X9" s="36"/>
      <c r="Y9" s="36"/>
      <c r="Z9" s="36"/>
      <c r="AA9" s="34"/>
      <c r="AB9" s="36"/>
      <c r="AC9" s="36"/>
      <c r="AD9" s="36"/>
      <c r="AE9" s="36"/>
      <c r="AF9" s="34"/>
      <c r="AG9" s="36"/>
      <c r="AH9" s="36"/>
      <c r="AI9" s="36"/>
      <c r="AJ9" s="36"/>
      <c r="AK9" s="34"/>
      <c r="AL9" s="36"/>
      <c r="AM9" s="36"/>
      <c r="AN9" s="36"/>
      <c r="AO9" s="36"/>
      <c r="AP9" s="34"/>
      <c r="AQ9" s="36"/>
      <c r="AR9" s="36"/>
      <c r="AS9" s="36"/>
      <c r="AT9" s="36"/>
      <c r="AU9" s="34"/>
      <c r="AV9" s="36"/>
      <c r="AW9" s="36"/>
      <c r="AX9" s="36"/>
      <c r="AY9" s="36"/>
      <c r="AZ9" s="34"/>
      <c r="BA9" s="36"/>
      <c r="BB9" s="36"/>
      <c r="BC9" s="36"/>
      <c r="BD9" s="36"/>
      <c r="BE9" s="34"/>
      <c r="BF9" s="36"/>
      <c r="BG9" s="36"/>
      <c r="BH9" s="36"/>
      <c r="BI9" s="36"/>
      <c r="BJ9" s="34"/>
      <c r="BK9" s="36"/>
      <c r="BL9" s="36"/>
      <c r="BM9" s="36"/>
      <c r="BN9" s="36"/>
      <c r="BO9" s="34"/>
      <c r="BP9" s="36"/>
      <c r="BQ9" s="36"/>
      <c r="BR9" s="36"/>
      <c r="BS9" s="36"/>
      <c r="BT9" s="34"/>
      <c r="BU9" s="36"/>
      <c r="BV9" s="36"/>
      <c r="BW9" s="36"/>
      <c r="BX9" s="36"/>
      <c r="BY9" s="34"/>
      <c r="BZ9" s="36"/>
      <c r="CA9" s="36"/>
      <c r="CB9" s="36"/>
      <c r="CC9" s="36"/>
      <c r="CD9" s="34"/>
      <c r="CF9" s="37"/>
    </row>
    <row r="10" spans="1:84" s="28" customFormat="1" x14ac:dyDescent="0.15">
      <c r="B10" s="38" t="s">
        <v>34</v>
      </c>
      <c r="C10" s="39">
        <v>175.261</v>
      </c>
      <c r="D10" s="40">
        <v>217.39</v>
      </c>
      <c r="E10" s="40">
        <v>258.05799999999999</v>
      </c>
      <c r="F10" s="40">
        <v>287.61399999999998</v>
      </c>
      <c r="G10" s="41">
        <f>SUM(C10:F10)</f>
        <v>938.32299999999987</v>
      </c>
      <c r="H10" s="40">
        <v>220.52300000000002</v>
      </c>
      <c r="I10" s="40">
        <v>252.80599999999998</v>
      </c>
      <c r="J10" s="40">
        <v>289.55199999999996</v>
      </c>
      <c r="K10" s="40">
        <v>307.64800000000002</v>
      </c>
      <c r="L10" s="41">
        <f>SUM(H10:K10)</f>
        <v>1070.529</v>
      </c>
      <c r="M10" s="40">
        <v>247.005</v>
      </c>
      <c r="N10" s="40">
        <v>203.02699999999999</v>
      </c>
      <c r="O10" s="40">
        <v>188.89</v>
      </c>
      <c r="P10" s="40">
        <v>203.89599999999999</v>
      </c>
      <c r="Q10" s="41">
        <f>SUM(M10:P10)</f>
        <v>842.81799999999998</v>
      </c>
      <c r="R10" s="40">
        <v>208.49799999999999</v>
      </c>
      <c r="S10" s="40">
        <v>186.095</v>
      </c>
      <c r="T10" s="40">
        <v>181.089</v>
      </c>
      <c r="U10" s="40">
        <v>181.49599999999998</v>
      </c>
      <c r="V10" s="41">
        <f>SUM(R10:U10)</f>
        <v>757.178</v>
      </c>
      <c r="W10" s="40">
        <v>173.31899999999999</v>
      </c>
      <c r="X10" s="40">
        <v>193.535</v>
      </c>
      <c r="Y10" s="40">
        <v>212.523</v>
      </c>
      <c r="Z10" s="40">
        <v>241.053</v>
      </c>
      <c r="AA10" s="41">
        <f>SUM(W10:Z10)</f>
        <v>820.43</v>
      </c>
      <c r="AB10" s="40">
        <v>219.63499999999999</v>
      </c>
      <c r="AC10" s="40">
        <v>238.745</v>
      </c>
      <c r="AD10" s="40">
        <v>208.26700000000002</v>
      </c>
      <c r="AE10" s="40">
        <v>514.56399999999996</v>
      </c>
      <c r="AF10" s="41">
        <f>SUM(AB10:AE10)</f>
        <v>1181.211</v>
      </c>
      <c r="AG10" s="40">
        <f>500.421+58.414+6.191</f>
        <v>565.02600000000007</v>
      </c>
      <c r="AH10" s="40">
        <v>609.38699999999994</v>
      </c>
      <c r="AI10" s="40">
        <f>600.584+0.268</f>
        <v>600.85199999999998</v>
      </c>
      <c r="AJ10" s="40">
        <f>688.453</f>
        <v>688.45299999999997</v>
      </c>
      <c r="AK10" s="41">
        <f>SUM(AG10:AJ10)</f>
        <v>2463.7179999999998</v>
      </c>
      <c r="AL10" s="40">
        <f>856.103</f>
        <v>856.10299999999995</v>
      </c>
      <c r="AM10" s="40">
        <f>820.09</f>
        <v>820.09</v>
      </c>
      <c r="AN10" s="40">
        <f>884.14</f>
        <v>884.14</v>
      </c>
      <c r="AO10" s="40">
        <f>986.293</f>
        <v>986.29300000000001</v>
      </c>
      <c r="AP10" s="41">
        <f>SUM(AL10:AO10)</f>
        <v>3546.6260000000002</v>
      </c>
      <c r="AQ10" s="40">
        <f>1068.355</f>
        <v>1068.355</v>
      </c>
      <c r="AR10" s="40">
        <v>1095.7619999999999</v>
      </c>
      <c r="AS10" s="40">
        <f>1541.731</f>
        <v>1541.731</v>
      </c>
      <c r="AT10" s="40">
        <v>2063.7570000000001</v>
      </c>
      <c r="AU10" s="41">
        <f>SUM(AQ10:AT10)</f>
        <v>5769.6049999999996</v>
      </c>
      <c r="AV10" s="40">
        <f>1851.1+35.1</f>
        <v>1886.1999999999998</v>
      </c>
      <c r="AW10" s="40">
        <f>1994.1+47</f>
        <v>2041.1</v>
      </c>
      <c r="AX10" s="40">
        <f>2022.9+33.3</f>
        <v>2056.2000000000003</v>
      </c>
      <c r="AY10" s="40">
        <f>2235.5+44.5</f>
        <v>2280</v>
      </c>
      <c r="AZ10" s="41">
        <f>SUM(AV10:AY10)</f>
        <v>8263.5</v>
      </c>
      <c r="BA10" s="40">
        <f>2190.9</f>
        <v>2190.9</v>
      </c>
      <c r="BB10" s="40">
        <f>2695+37.4</f>
        <v>2732.4</v>
      </c>
      <c r="BC10" s="40">
        <v>2786.8</v>
      </c>
      <c r="BD10" s="40">
        <f>2788.7-4.6</f>
        <v>2784.1</v>
      </c>
      <c r="BE10" s="41">
        <f>SUM(BA10:BD10)</f>
        <v>10494.2</v>
      </c>
      <c r="BF10" s="40">
        <f>Sales!BF142</f>
        <v>2379.2960000000003</v>
      </c>
      <c r="BG10" s="40">
        <f>Sales!BG142</f>
        <v>2743.1110000000003</v>
      </c>
      <c r="BH10" s="40">
        <f>Sales!BH142</f>
        <v>2828.2669999999998</v>
      </c>
      <c r="BI10" s="40">
        <f>Sales!BI142</f>
        <v>3016.0770000000002</v>
      </c>
      <c r="BJ10" s="41">
        <f>SUM(BF10:BI10)</f>
        <v>10966.751</v>
      </c>
      <c r="BK10" s="40">
        <f>Sales!BK142</f>
        <v>0</v>
      </c>
      <c r="BL10" s="40">
        <f>Sales!BL142</f>
        <v>0</v>
      </c>
      <c r="BM10" s="40">
        <f>Sales!BM142</f>
        <v>0</v>
      </c>
      <c r="BN10" s="40">
        <f>Sales!BN142</f>
        <v>0</v>
      </c>
      <c r="BO10" s="41">
        <f>Sales!BO142</f>
        <v>11740.723020000001</v>
      </c>
      <c r="BP10" s="40">
        <f>Sales!BP142</f>
        <v>0</v>
      </c>
      <c r="BQ10" s="40">
        <f>Sales!BQ142</f>
        <v>0</v>
      </c>
      <c r="BR10" s="40">
        <f>Sales!BR142</f>
        <v>0</v>
      </c>
      <c r="BS10" s="40">
        <f>Sales!BS142</f>
        <v>0</v>
      </c>
      <c r="BT10" s="41">
        <f>Sales!BT142</f>
        <v>12447.6115627</v>
      </c>
      <c r="BU10" s="41">
        <f>Sales!BU142</f>
        <v>0</v>
      </c>
      <c r="BV10" s="41">
        <f>Sales!BV142</f>
        <v>0</v>
      </c>
      <c r="BW10" s="41">
        <f>Sales!BW142</f>
        <v>0</v>
      </c>
      <c r="BX10" s="41">
        <f>Sales!BX142</f>
        <v>0</v>
      </c>
      <c r="BY10" s="41">
        <f>Sales!BY142</f>
        <v>13185.359670699003</v>
      </c>
      <c r="BZ10" s="41">
        <f>Sales!BZ142</f>
        <v>0</v>
      </c>
      <c r="CA10" s="41">
        <f>Sales!CA142</f>
        <v>0</v>
      </c>
      <c r="CB10" s="41">
        <f>Sales!CB142</f>
        <v>0</v>
      </c>
      <c r="CC10" s="41">
        <f>Sales!CC142</f>
        <v>0</v>
      </c>
      <c r="CD10" s="41">
        <f>Sales!CD142</f>
        <v>13762.726328055631</v>
      </c>
      <c r="CF10" s="42" t="s">
        <v>35</v>
      </c>
    </row>
    <row r="11" spans="1:84" s="28" customFormat="1" x14ac:dyDescent="0.15">
      <c r="B11" s="43" t="s">
        <v>36</v>
      </c>
      <c r="C11" s="44">
        <v>42.091000000000001</v>
      </c>
      <c r="D11" s="45">
        <v>60.863</v>
      </c>
      <c r="E11" s="45">
        <v>51.991</v>
      </c>
      <c r="F11" s="45">
        <v>53.567</v>
      </c>
      <c r="G11" s="46">
        <f>SUM(C11:F11)</f>
        <v>208.512</v>
      </c>
      <c r="H11" s="45">
        <v>49.329000000000001</v>
      </c>
      <c r="I11" s="45">
        <v>61.819000000000003</v>
      </c>
      <c r="J11" s="45">
        <v>59.332000000000001</v>
      </c>
      <c r="K11" s="45">
        <v>52.801000000000002</v>
      </c>
      <c r="L11" s="46">
        <f>SUM(H11:K11)</f>
        <v>223.28100000000001</v>
      </c>
      <c r="M11" s="45">
        <v>56.415999999999997</v>
      </c>
      <c r="N11" s="45">
        <v>54.533999999999999</v>
      </c>
      <c r="O11" s="45">
        <v>50.457999999999998</v>
      </c>
      <c r="P11" s="45">
        <v>62.271999999999998</v>
      </c>
      <c r="Q11" s="46">
        <f>SUM(M11:P11)</f>
        <v>223.67999999999998</v>
      </c>
      <c r="R11" s="45">
        <v>53.734999999999999</v>
      </c>
      <c r="S11" s="45">
        <v>43.877000000000002</v>
      </c>
      <c r="T11" s="45">
        <v>47.468000000000004</v>
      </c>
      <c r="U11" s="45">
        <v>52.087000000000003</v>
      </c>
      <c r="V11" s="46">
        <f>SUM(R11:U11)</f>
        <v>197.16699999999997</v>
      </c>
      <c r="W11" s="45">
        <v>44.84</v>
      </c>
      <c r="X11" s="45">
        <v>50.057000000000002</v>
      </c>
      <c r="Y11" s="45">
        <v>50.668999999999997</v>
      </c>
      <c r="Z11" s="45">
        <v>58.743000000000002</v>
      </c>
      <c r="AA11" s="46">
        <f>SUM(W11:Z11)</f>
        <v>204.309</v>
      </c>
      <c r="AB11" s="45">
        <v>58.954999999999998</v>
      </c>
      <c r="AC11" s="45">
        <v>63.9</v>
      </c>
      <c r="AD11" s="45">
        <v>62.142000000000003</v>
      </c>
      <c r="AE11" s="45">
        <f>210.648+2.944-53.266</f>
        <v>160.32599999999999</v>
      </c>
      <c r="AF11" s="46">
        <f>SUM(AB11:AE11)</f>
        <v>345.32299999999998</v>
      </c>
      <c r="AG11" s="45">
        <f>169.287+3.21+30.735-31.863-19.6</f>
        <v>151.76900000000003</v>
      </c>
      <c r="AH11" s="45">
        <f>169.912+3.395-16.262+0.275</f>
        <v>157.32000000000002</v>
      </c>
      <c r="AI11" s="45">
        <f>162.568+3.078-2.768-0.138-0.209-2.205</f>
        <v>160.32599999999999</v>
      </c>
      <c r="AJ11" s="45">
        <f>181.983+2.628+0.036-10.317-0.057-0.088-5.014-2.797</f>
        <v>166.374</v>
      </c>
      <c r="AK11" s="46">
        <f>SUM(AG11:AJ11)</f>
        <v>635.7890000000001</v>
      </c>
      <c r="AL11" s="45">
        <f>238.814+4.203+68.819-33.031+0.31-0.074-3.626-50.958</f>
        <v>224.45700000000002</v>
      </c>
      <c r="AM11" s="45">
        <f>197.284+12.483-10.361-0.313</f>
        <v>199.09300000000002</v>
      </c>
      <c r="AN11" s="45">
        <f>219.67+10.582-20.03</f>
        <v>210.22199999999998</v>
      </c>
      <c r="AO11" s="45">
        <f>275.138+10.629+0.894-41.838</f>
        <v>244.82300000000001</v>
      </c>
      <c r="AP11" s="46">
        <f>SUM(AL11:AO11)</f>
        <v>878.59500000000003</v>
      </c>
      <c r="AQ11" s="45">
        <f>284.904+14.951+0.478-53.989</f>
        <v>246.34400000000002</v>
      </c>
      <c r="AR11" s="45">
        <f>283.183+14.026+0.433-38.96</f>
        <v>258.68200000000002</v>
      </c>
      <c r="AS11" s="45">
        <f>560.855+13.58+0.733-159.209</f>
        <v>415.959</v>
      </c>
      <c r="AT11" s="45">
        <f>717.372-183.892+14.565</f>
        <v>548.04500000000007</v>
      </c>
      <c r="AU11" s="46">
        <f>SUM(AQ11:AT11)</f>
        <v>1469.0300000000002</v>
      </c>
      <c r="AV11" s="45">
        <f>504.1+14.3-19.6</f>
        <v>498.79999999999995</v>
      </c>
      <c r="AW11" s="45">
        <f>569.6+16-17.7</f>
        <v>567.9</v>
      </c>
      <c r="AX11" s="45">
        <f>545.8+15-27</f>
        <v>533.79999999999995</v>
      </c>
      <c r="AY11" s="45">
        <f>576.7+13.1-31.1</f>
        <v>558.70000000000005</v>
      </c>
      <c r="AZ11" s="46">
        <f>SUM(AV11:AY11)</f>
        <v>2159.1999999999998</v>
      </c>
      <c r="BA11" s="45">
        <f>560.4+14.3-34</f>
        <v>540.69999999999993</v>
      </c>
      <c r="BB11" s="45">
        <f>669.9+15.2-54.7</f>
        <v>630.4</v>
      </c>
      <c r="BC11" s="45">
        <f>634.6-36.2+13.6</f>
        <v>612</v>
      </c>
      <c r="BD11" s="45">
        <f>727+10-56.3</f>
        <v>680.7</v>
      </c>
      <c r="BE11" s="46">
        <f>SUM(BA11:BD11)</f>
        <v>2463.8000000000002</v>
      </c>
      <c r="BF11" s="47">
        <f>Sales!BF155</f>
        <v>599.46575999999993</v>
      </c>
      <c r="BG11" s="47">
        <f>Sales!BG155</f>
        <v>643.6082899999999</v>
      </c>
      <c r="BH11" s="47">
        <f>Sales!BH155</f>
        <v>652.59412999999995</v>
      </c>
      <c r="BI11" s="47">
        <f>Sales!BI155</f>
        <v>711.200695</v>
      </c>
      <c r="BJ11" s="46">
        <f>SUM(BF11:BI11)</f>
        <v>2606.8688749999997</v>
      </c>
      <c r="BK11" s="47">
        <f>Sales!BK155</f>
        <v>0</v>
      </c>
      <c r="BL11" s="47">
        <f>Sales!BL155</f>
        <v>0</v>
      </c>
      <c r="BM11" s="47">
        <f>Sales!BM155</f>
        <v>0</v>
      </c>
      <c r="BN11" s="47">
        <f>Sales!BN155</f>
        <v>0</v>
      </c>
      <c r="BO11" s="46">
        <f>Sales!BO155</f>
        <v>2760.9358247499995</v>
      </c>
      <c r="BP11" s="47">
        <f>Sales!BP155</f>
        <v>0</v>
      </c>
      <c r="BQ11" s="47">
        <f>Sales!BQ155</f>
        <v>0</v>
      </c>
      <c r="BR11" s="47">
        <f>Sales!BR155</f>
        <v>0</v>
      </c>
      <c r="BS11" s="47">
        <f>Sales!BS155</f>
        <v>0</v>
      </c>
      <c r="BT11" s="46">
        <f>Sales!BT155</f>
        <v>2873.6098364929994</v>
      </c>
      <c r="BU11" s="47">
        <f>Sales!BU155</f>
        <v>0</v>
      </c>
      <c r="BV11" s="47">
        <f>Sales!BV155</f>
        <v>0</v>
      </c>
      <c r="BW11" s="47">
        <f>Sales!BW155</f>
        <v>0</v>
      </c>
      <c r="BX11" s="47">
        <f>Sales!BX155</f>
        <v>0</v>
      </c>
      <c r="BY11" s="46">
        <f>Sales!BY155</f>
        <v>2974.0747237999162</v>
      </c>
      <c r="BZ11" s="47">
        <f>Sales!BZ155</f>
        <v>0</v>
      </c>
      <c r="CA11" s="47">
        <f>Sales!CA155</f>
        <v>0</v>
      </c>
      <c r="CB11" s="47">
        <f>Sales!CB155</f>
        <v>0</v>
      </c>
      <c r="CC11" s="47">
        <f>Sales!CC155</f>
        <v>0</v>
      </c>
      <c r="CD11" s="46">
        <f>Sales!CD155</f>
        <v>3039.7998415895563</v>
      </c>
      <c r="CF11" s="43" t="s">
        <v>37</v>
      </c>
    </row>
    <row r="12" spans="1:84" s="28" customFormat="1" x14ac:dyDescent="0.15">
      <c r="B12" s="38" t="s">
        <v>38</v>
      </c>
      <c r="C12" s="39">
        <f>C10-C11</f>
        <v>133.16999999999999</v>
      </c>
      <c r="D12" s="40">
        <f>D10-D11</f>
        <v>156.52699999999999</v>
      </c>
      <c r="E12" s="40">
        <f>E10-E11</f>
        <v>206.06700000000001</v>
      </c>
      <c r="F12" s="40">
        <f>F10-F11</f>
        <v>234.04699999999997</v>
      </c>
      <c r="G12" s="41">
        <f>SUM(C12:F12)</f>
        <v>729.81099999999992</v>
      </c>
      <c r="H12" s="40">
        <f>H10-H11</f>
        <v>171.19400000000002</v>
      </c>
      <c r="I12" s="40">
        <f>I10-I11</f>
        <v>190.98699999999997</v>
      </c>
      <c r="J12" s="40">
        <f>J10-J11</f>
        <v>230.21999999999997</v>
      </c>
      <c r="K12" s="40">
        <f>K10-K11</f>
        <v>254.84700000000004</v>
      </c>
      <c r="L12" s="41">
        <f>SUM(H12:K12)</f>
        <v>847.24800000000005</v>
      </c>
      <c r="M12" s="40">
        <f>M10-M11</f>
        <v>190.589</v>
      </c>
      <c r="N12" s="40">
        <f>N10-N11</f>
        <v>148.49299999999999</v>
      </c>
      <c r="O12" s="40">
        <f>O10-O11</f>
        <v>138.43199999999999</v>
      </c>
      <c r="P12" s="40">
        <f>P10-P11</f>
        <v>141.624</v>
      </c>
      <c r="Q12" s="41">
        <f>SUM(M12:P12)</f>
        <v>619.13800000000003</v>
      </c>
      <c r="R12" s="40">
        <f>R10-R11</f>
        <v>154.76299999999998</v>
      </c>
      <c r="S12" s="40">
        <f>S10-S11</f>
        <v>142.21799999999999</v>
      </c>
      <c r="T12" s="40">
        <f>T10-T11</f>
        <v>133.62099999999998</v>
      </c>
      <c r="U12" s="40">
        <f>U10-U11</f>
        <v>129.40899999999999</v>
      </c>
      <c r="V12" s="41">
        <f>SUM(R12:U12)</f>
        <v>560.01099999999997</v>
      </c>
      <c r="W12" s="40">
        <f>W10-W11</f>
        <v>128.47899999999998</v>
      </c>
      <c r="X12" s="40">
        <f>X10-X11</f>
        <v>143.47800000000001</v>
      </c>
      <c r="Y12" s="40">
        <f>Y10-Y11</f>
        <v>161.85399999999998</v>
      </c>
      <c r="Z12" s="40">
        <f>Z10-Z11</f>
        <v>182.31</v>
      </c>
      <c r="AA12" s="41">
        <f>SUM(W12:Z12)</f>
        <v>616.12099999999998</v>
      </c>
      <c r="AB12" s="40">
        <f t="shared" ref="AB12:BI12" si="1">AB10-AB11</f>
        <v>160.68</v>
      </c>
      <c r="AC12" s="40">
        <f t="shared" si="1"/>
        <v>174.845</v>
      </c>
      <c r="AD12" s="40">
        <f t="shared" si="1"/>
        <v>146.12500000000003</v>
      </c>
      <c r="AE12" s="40">
        <f t="shared" si="1"/>
        <v>354.23799999999994</v>
      </c>
      <c r="AF12" s="41">
        <f t="shared" si="1"/>
        <v>835.88800000000003</v>
      </c>
      <c r="AG12" s="40">
        <f t="shared" si="1"/>
        <v>413.25700000000006</v>
      </c>
      <c r="AH12" s="40">
        <f t="shared" si="1"/>
        <v>452.06699999999989</v>
      </c>
      <c r="AI12" s="40">
        <f t="shared" si="1"/>
        <v>440.52599999999995</v>
      </c>
      <c r="AJ12" s="40">
        <f t="shared" si="1"/>
        <v>522.07899999999995</v>
      </c>
      <c r="AK12" s="41">
        <f t="shared" si="1"/>
        <v>1827.9289999999996</v>
      </c>
      <c r="AL12" s="40">
        <f t="shared" si="1"/>
        <v>631.64599999999996</v>
      </c>
      <c r="AM12" s="40">
        <f t="shared" si="1"/>
        <v>620.99700000000007</v>
      </c>
      <c r="AN12" s="40">
        <f t="shared" si="1"/>
        <v>673.91800000000001</v>
      </c>
      <c r="AO12" s="40">
        <f t="shared" si="1"/>
        <v>741.47</v>
      </c>
      <c r="AP12" s="41">
        <f t="shared" si="1"/>
        <v>2668.0309999999999</v>
      </c>
      <c r="AQ12" s="40">
        <f t="shared" si="1"/>
        <v>822.01099999999997</v>
      </c>
      <c r="AR12" s="40">
        <f t="shared" si="1"/>
        <v>837.07999999999993</v>
      </c>
      <c r="AS12" s="40">
        <f t="shared" si="1"/>
        <v>1125.7719999999999</v>
      </c>
      <c r="AT12" s="40">
        <f t="shared" si="1"/>
        <v>1515.712</v>
      </c>
      <c r="AU12" s="41">
        <f t="shared" si="1"/>
        <v>4300.5749999999989</v>
      </c>
      <c r="AV12" s="40">
        <f t="shared" si="1"/>
        <v>1387.3999999999999</v>
      </c>
      <c r="AW12" s="40">
        <f t="shared" si="1"/>
        <v>1473.1999999999998</v>
      </c>
      <c r="AX12" s="40">
        <f t="shared" si="1"/>
        <v>1522.4000000000003</v>
      </c>
      <c r="AY12" s="40">
        <f t="shared" si="1"/>
        <v>1721.3</v>
      </c>
      <c r="AZ12" s="41">
        <f t="shared" si="1"/>
        <v>6104.3</v>
      </c>
      <c r="BA12" s="40">
        <f t="shared" si="1"/>
        <v>1650.2000000000003</v>
      </c>
      <c r="BB12" s="40">
        <f t="shared" si="1"/>
        <v>2102</v>
      </c>
      <c r="BC12" s="40">
        <f t="shared" si="1"/>
        <v>2174.8000000000002</v>
      </c>
      <c r="BD12" s="40">
        <f t="shared" si="1"/>
        <v>2103.3999999999996</v>
      </c>
      <c r="BE12" s="41">
        <f>BE10-BE11</f>
        <v>8030.4000000000005</v>
      </c>
      <c r="BF12" s="40">
        <f t="shared" si="1"/>
        <v>1779.8302400000002</v>
      </c>
      <c r="BG12" s="40">
        <f t="shared" si="1"/>
        <v>2099.5027100000007</v>
      </c>
      <c r="BH12" s="40">
        <f t="shared" si="1"/>
        <v>2175.6728699999999</v>
      </c>
      <c r="BI12" s="40">
        <f t="shared" si="1"/>
        <v>2304.8763050000002</v>
      </c>
      <c r="BJ12" s="41">
        <f>BJ10-BJ11</f>
        <v>8359.8821250000001</v>
      </c>
      <c r="BK12" s="40"/>
      <c r="BL12" s="40"/>
      <c r="BM12" s="40"/>
      <c r="BN12" s="40"/>
      <c r="BO12" s="41">
        <f>BO10-BO11</f>
        <v>8979.7871952500027</v>
      </c>
      <c r="BP12" s="40"/>
      <c r="BQ12" s="40"/>
      <c r="BR12" s="40"/>
      <c r="BS12" s="40"/>
      <c r="BT12" s="41">
        <f>BT10-BT11</f>
        <v>9574.0017262069996</v>
      </c>
      <c r="BU12" s="40"/>
      <c r="BV12" s="40"/>
      <c r="BW12" s="40"/>
      <c r="BX12" s="40"/>
      <c r="BY12" s="41">
        <f>BY10-BY11</f>
        <v>10211.284946899086</v>
      </c>
      <c r="BZ12" s="40"/>
      <c r="CA12" s="40"/>
      <c r="CB12" s="40"/>
      <c r="CC12" s="40"/>
      <c r="CD12" s="41">
        <f>CD10-CD11</f>
        <v>10722.926486466074</v>
      </c>
      <c r="CF12" s="43"/>
    </row>
    <row r="13" spans="1:84" s="28" customFormat="1" x14ac:dyDescent="0.15">
      <c r="B13" s="43"/>
      <c r="C13" s="44"/>
      <c r="D13" s="45"/>
      <c r="E13" s="45"/>
      <c r="F13" s="45"/>
      <c r="G13" s="46"/>
      <c r="H13" s="45"/>
      <c r="I13" s="45"/>
      <c r="J13" s="45"/>
      <c r="K13" s="45"/>
      <c r="L13" s="46"/>
      <c r="M13" s="45"/>
      <c r="N13" s="45"/>
      <c r="O13" s="45"/>
      <c r="P13" s="45"/>
      <c r="Q13" s="46"/>
      <c r="R13" s="45"/>
      <c r="S13" s="45"/>
      <c r="T13" s="45"/>
      <c r="U13" s="45"/>
      <c r="V13" s="46"/>
      <c r="W13" s="45"/>
      <c r="X13" s="45"/>
      <c r="Y13" s="47" t="s">
        <v>39</v>
      </c>
      <c r="Z13" s="47"/>
      <c r="AA13" s="43"/>
      <c r="AB13" s="45"/>
      <c r="AC13" s="45"/>
      <c r="AD13" s="45"/>
      <c r="AE13" s="45"/>
      <c r="AF13" s="43"/>
      <c r="AG13" s="47"/>
      <c r="AH13" s="47"/>
      <c r="AI13" s="47"/>
      <c r="AJ13" s="47"/>
      <c r="AK13" s="43"/>
      <c r="AL13" s="47"/>
      <c r="AM13" s="47"/>
      <c r="AN13" s="47"/>
      <c r="AO13" s="47"/>
      <c r="AP13" s="43"/>
      <c r="AQ13" s="47"/>
      <c r="AR13" s="47"/>
      <c r="AS13" s="47"/>
      <c r="AT13" s="47"/>
      <c r="AU13" s="43"/>
      <c r="AZ13" s="43"/>
      <c r="BA13" s="47"/>
      <c r="BB13" s="47"/>
      <c r="BC13" s="47"/>
      <c r="BD13" s="47"/>
      <c r="BE13" s="43"/>
      <c r="BF13" s="47"/>
      <c r="BG13" s="47"/>
      <c r="BH13" s="47"/>
      <c r="BI13" s="47"/>
      <c r="BJ13" s="48"/>
      <c r="BK13" s="47"/>
      <c r="BL13" s="47"/>
      <c r="BM13" s="47"/>
      <c r="BN13" s="47"/>
      <c r="BO13" s="43"/>
      <c r="BP13" s="47"/>
      <c r="BQ13" s="47"/>
      <c r="BR13" s="47"/>
      <c r="BS13" s="47"/>
      <c r="BT13" s="43"/>
      <c r="BU13" s="47"/>
      <c r="BV13" s="47"/>
      <c r="BW13" s="47"/>
      <c r="BX13" s="47"/>
      <c r="BY13" s="43"/>
      <c r="BZ13" s="47"/>
      <c r="CA13" s="47"/>
      <c r="CB13" s="47"/>
      <c r="CC13" s="47"/>
      <c r="CD13" s="43"/>
      <c r="CF13" s="43"/>
    </row>
    <row r="14" spans="1:84" s="28" customFormat="1" x14ac:dyDescent="0.15">
      <c r="B14" s="43" t="s">
        <v>40</v>
      </c>
      <c r="C14" s="44">
        <v>20.486999999999998</v>
      </c>
      <c r="D14" s="45">
        <v>22.751999999999999</v>
      </c>
      <c r="E14" s="45">
        <v>19.913</v>
      </c>
      <c r="F14" s="45">
        <v>26.302</v>
      </c>
      <c r="G14" s="46">
        <f>SUM(C14:F14)</f>
        <v>89.454000000000008</v>
      </c>
      <c r="H14" s="45">
        <v>22.327999999999999</v>
      </c>
      <c r="I14" s="45">
        <v>18.402000000000001</v>
      </c>
      <c r="J14" s="45">
        <v>26.35</v>
      </c>
      <c r="K14" s="45">
        <v>28.399000000000001</v>
      </c>
      <c r="L14" s="46">
        <f>SUM(H14:K14)</f>
        <v>95.479000000000013</v>
      </c>
      <c r="M14" s="45">
        <v>29.722000000000001</v>
      </c>
      <c r="N14" s="45">
        <v>28.446999999999999</v>
      </c>
      <c r="O14" s="45">
        <v>30.673999999999999</v>
      </c>
      <c r="P14" s="45">
        <v>29.274000000000001</v>
      </c>
      <c r="Q14" s="46">
        <f>SUM(M14:P14)</f>
        <v>118.11699999999999</v>
      </c>
      <c r="R14" s="45">
        <f>36.332-7.9</f>
        <v>28.432000000000002</v>
      </c>
      <c r="S14" s="45">
        <v>21.759</v>
      </c>
      <c r="T14" s="45">
        <v>18.667999999999999</v>
      </c>
      <c r="U14" s="45">
        <v>16.085000000000001</v>
      </c>
      <c r="V14" s="46">
        <f>SUM(R14:U14)</f>
        <v>84.944000000000017</v>
      </c>
      <c r="W14" s="45">
        <v>14.528</v>
      </c>
      <c r="X14" s="45">
        <f>44.692-30.414</f>
        <v>14.277999999999999</v>
      </c>
      <c r="Y14" s="45">
        <f>23.202-8.126</f>
        <v>15.076000000000002</v>
      </c>
      <c r="Z14" s="45">
        <f>38.362-20.814</f>
        <v>17.548000000000002</v>
      </c>
      <c r="AA14" s="46">
        <f>SUM(W14:Z14)</f>
        <v>61.43</v>
      </c>
      <c r="AB14" s="45">
        <f>66.887-51.003</f>
        <v>15.884</v>
      </c>
      <c r="AC14" s="45">
        <f>37.258-10.2</f>
        <v>27.058000000000003</v>
      </c>
      <c r="AD14" s="45">
        <v>14.298</v>
      </c>
      <c r="AE14" s="45">
        <f>18.324+28-28</f>
        <v>18.323999999999998</v>
      </c>
      <c r="AF14" s="46">
        <f>SUM(AB14:AE14)</f>
        <v>75.564000000000007</v>
      </c>
      <c r="AG14" s="45">
        <f>13.67+2-2</f>
        <v>13.67</v>
      </c>
      <c r="AH14" s="45">
        <f>17.764-0.55</f>
        <v>17.213999999999999</v>
      </c>
      <c r="AI14" s="45">
        <f>17.476-0.361</f>
        <v>17.114999999999998</v>
      </c>
      <c r="AJ14" s="45">
        <f>16.777+105.2-0.125-105.2</f>
        <v>16.652000000000001</v>
      </c>
      <c r="AK14" s="46">
        <f>SUM(AG14:AJ14)</f>
        <v>64.650999999999996</v>
      </c>
      <c r="AL14" s="45">
        <f>22.006-0.001-0.074</f>
        <v>21.930999999999997</v>
      </c>
      <c r="AM14" s="45">
        <f>17.711+4.568-4.568</f>
        <v>17.710999999999999</v>
      </c>
      <c r="AN14" s="45">
        <f>19.17+145.3-145.3</f>
        <v>19.170000000000016</v>
      </c>
      <c r="AO14" s="45">
        <f>20.165+40.033-40.033</f>
        <v>20.164999999999999</v>
      </c>
      <c r="AP14" s="46">
        <f>SUM(AL14:AO14)</f>
        <v>78.977000000000004</v>
      </c>
      <c r="AQ14" s="45">
        <f>23.795</f>
        <v>23.795000000000002</v>
      </c>
      <c r="AR14" s="45">
        <f>24.469</f>
        <v>24.469000000000001</v>
      </c>
      <c r="AS14" s="45">
        <f>49.009</f>
        <v>49.009</v>
      </c>
      <c r="AT14" s="45">
        <f>59.51</f>
        <v>59.51</v>
      </c>
      <c r="AU14" s="46">
        <f>SUM(AQ14:AT14)</f>
        <v>156.78299999999999</v>
      </c>
      <c r="AV14" s="45">
        <f>61.3-0.3</f>
        <v>61</v>
      </c>
      <c r="AW14" s="45">
        <f>66.5-0.4</f>
        <v>66.099999999999994</v>
      </c>
      <c r="AX14" s="45">
        <f>59.1-0.3</f>
        <v>58.800000000000004</v>
      </c>
      <c r="AY14" s="45">
        <f>59.1+0.7-0.3-0.7</f>
        <v>58.800000000000004</v>
      </c>
      <c r="AZ14" s="46">
        <f>SUM(AV14:AY14)</f>
        <v>244.70000000000002</v>
      </c>
      <c r="BA14" s="45">
        <f>55.8-0.3</f>
        <v>55.5</v>
      </c>
      <c r="BB14" s="45">
        <f>81.1-0.4</f>
        <v>80.699999999999989</v>
      </c>
      <c r="BC14" s="45">
        <f>101.6-0.3</f>
        <v>101.3</v>
      </c>
      <c r="BD14" s="45">
        <f>95.9-0.4</f>
        <v>95.5</v>
      </c>
      <c r="BE14" s="46">
        <f>SUM(BA14:BD14)</f>
        <v>333</v>
      </c>
      <c r="BF14" s="45">
        <f t="shared" ref="BF14:BI14" si="2">BF10*BF54</f>
        <v>107.06832000000001</v>
      </c>
      <c r="BG14" s="45">
        <f t="shared" si="2"/>
        <v>104.238218</v>
      </c>
      <c r="BH14" s="45">
        <f t="shared" si="2"/>
        <v>101.81761199999998</v>
      </c>
      <c r="BI14" s="45">
        <f t="shared" si="2"/>
        <v>99.530541000000014</v>
      </c>
      <c r="BJ14" s="46">
        <f>SUM(BF14:BI14)</f>
        <v>412.65469100000001</v>
      </c>
      <c r="BK14" s="47"/>
      <c r="BL14" s="47"/>
      <c r="BM14" s="47"/>
      <c r="BN14" s="47"/>
      <c r="BO14" s="46">
        <f>BO10*BO54</f>
        <v>410.92530570000008</v>
      </c>
      <c r="BP14" s="47"/>
      <c r="BQ14" s="47"/>
      <c r="BR14" s="47"/>
      <c r="BS14" s="47"/>
      <c r="BT14" s="46">
        <f>BT10*BT54</f>
        <v>410.77118156910001</v>
      </c>
      <c r="BU14" s="47"/>
      <c r="BV14" s="47"/>
      <c r="BW14" s="47"/>
      <c r="BX14" s="47"/>
      <c r="BY14" s="46">
        <f>BY10*BY54</f>
        <v>408.7461497916691</v>
      </c>
      <c r="BZ14" s="47"/>
      <c r="CA14" s="47"/>
      <c r="CB14" s="47"/>
      <c r="CC14" s="47"/>
      <c r="CD14" s="46">
        <f>CD10*CD54</f>
        <v>412.88178984166893</v>
      </c>
      <c r="CF14" s="42" t="s">
        <v>41</v>
      </c>
    </row>
    <row r="15" spans="1:84" s="28" customFormat="1" x14ac:dyDescent="0.15">
      <c r="B15" s="43" t="s">
        <v>42</v>
      </c>
      <c r="C15" s="44">
        <v>75.605000000000004</v>
      </c>
      <c r="D15" s="45">
        <v>58.051000000000002</v>
      </c>
      <c r="E15" s="45">
        <v>42.402000000000001</v>
      </c>
      <c r="F15" s="45">
        <v>53.131</v>
      </c>
      <c r="G15" s="46">
        <f>SUM(C15:F15)</f>
        <v>229.18899999999999</v>
      </c>
      <c r="H15" s="45">
        <v>56.55</v>
      </c>
      <c r="I15" s="45">
        <v>66.67</v>
      </c>
      <c r="J15" s="45">
        <v>50.167999999999999</v>
      </c>
      <c r="K15" s="45">
        <v>65.052999999999997</v>
      </c>
      <c r="L15" s="46">
        <f>SUM(H15:K15)</f>
        <v>238.441</v>
      </c>
      <c r="M15" s="45">
        <v>49.594000000000001</v>
      </c>
      <c r="N15" s="45">
        <v>46.329000000000001</v>
      </c>
      <c r="O15" s="45">
        <v>33.659999999999997</v>
      </c>
      <c r="P15" s="45">
        <v>31.417999999999999</v>
      </c>
      <c r="Q15" s="46">
        <f>SUM(M15:P15)</f>
        <v>161.001</v>
      </c>
      <c r="R15" s="45">
        <v>43.597000000000001</v>
      </c>
      <c r="S15" s="45">
        <f>56.633-6.052-5.414</f>
        <v>45.167000000000002</v>
      </c>
      <c r="T15" s="45">
        <f>44.661-0.728</f>
        <v>43.933</v>
      </c>
      <c r="U15" s="45">
        <f>44.031-0.05+-1.362</f>
        <v>42.619</v>
      </c>
      <c r="V15" s="46">
        <f>SUM(R15:U15)</f>
        <v>175.316</v>
      </c>
      <c r="W15" s="45">
        <f>43.244-1.4</f>
        <v>41.844000000000001</v>
      </c>
      <c r="X15" s="45">
        <f>49.498-1.546-0.629-0</f>
        <v>47.323</v>
      </c>
      <c r="Y15" s="45">
        <f>44.774+0.169-0.399</f>
        <v>44.543999999999997</v>
      </c>
      <c r="Z15" s="45">
        <f>41.085-0.083</f>
        <v>41.002000000000002</v>
      </c>
      <c r="AA15" s="46">
        <f>SUM(W15:Z15)</f>
        <v>174.71300000000002</v>
      </c>
      <c r="AB15" s="45">
        <f>43.513</f>
        <v>43.512999999999998</v>
      </c>
      <c r="AC15" s="45">
        <v>45.094000000000001</v>
      </c>
      <c r="AD15" s="45">
        <v>60.186999999999998</v>
      </c>
      <c r="AE15" s="45">
        <f>127.752+44.078+14.11-17.04-44.078-14.11-(122.729-117.66)</f>
        <v>105.643</v>
      </c>
      <c r="AF15" s="46">
        <f>SUM(AB15:AE15)</f>
        <v>254.43699999999998</v>
      </c>
      <c r="AG15" s="45">
        <f>139.506-23.337</f>
        <v>116.169</v>
      </c>
      <c r="AH15" s="45">
        <f>149.657+1.752+2+2+29.495-16.07-1.752-29.495-2-2-1.923</f>
        <v>131.66400000000002</v>
      </c>
      <c r="AI15" s="45">
        <f>134.801+6.904+25.372-10.579-6.904-25.372</f>
        <v>124.22199999999999</v>
      </c>
      <c r="AJ15" s="45">
        <f>148.508-20.028+9.441+56.718-0.157-12.723-0.402-9.441+20.028-56.718</f>
        <v>135.226</v>
      </c>
      <c r="AK15" s="46">
        <f>SUM(AG15:AJ15)</f>
        <v>507.28100000000001</v>
      </c>
      <c r="AL15" s="45">
        <f>177.286+9.839+3.155+69.842+200.643-0.072-10.28-0.934-3.155-9.839-69.842-200.643</f>
        <v>166.00000000000003</v>
      </c>
      <c r="AM15" s="49">
        <f>185.44+7.729+53.624+43.871+210.57-5.135-7.729-53.624-43.871-215.791</f>
        <v>175.084</v>
      </c>
      <c r="AN15" s="49">
        <f>188.66+5.63+47.477+218.187-9.149-5.63-47.477-218.187</f>
        <v>179.51100000000002</v>
      </c>
      <c r="AO15" s="45">
        <f>204.697-28.464+261.801+299.485-6.017+28.464-261.801-299.485</f>
        <v>198.67999999999989</v>
      </c>
      <c r="AP15" s="46">
        <f>SUM(AL15:AO15)</f>
        <v>719.27499999999986</v>
      </c>
      <c r="AQ15" s="45">
        <f>241.899-2.185+4.448+56.884+326.175+0.29+2.185-4.448-56.884-326.175</f>
        <v>242.18899999999991</v>
      </c>
      <c r="AR15" s="45">
        <f>257.373-17.604</f>
        <v>239.76900000000001</v>
      </c>
      <c r="AS15" s="45">
        <f>355.637-4.025</f>
        <v>351.61200000000002</v>
      </c>
      <c r="AT15" s="45">
        <f>450.254-0.369</f>
        <v>449.88499999999999</v>
      </c>
      <c r="AU15" s="46">
        <f>SUM(AQ15:AT15)</f>
        <v>1283.4549999999999</v>
      </c>
      <c r="AV15" s="45">
        <f>482-6</f>
        <v>476</v>
      </c>
      <c r="AW15" s="45">
        <f>515.7-4.1</f>
        <v>511.6</v>
      </c>
      <c r="AX15" s="45">
        <f>504.1-3.3</f>
        <v>500.8</v>
      </c>
      <c r="AY15" s="45">
        <f>524.5+0.5</f>
        <v>525</v>
      </c>
      <c r="AZ15" s="46">
        <f>SUM(AV15:AY15)</f>
        <v>2013.4</v>
      </c>
      <c r="BA15" s="45">
        <f>573.8-9</f>
        <v>564.79999999999995</v>
      </c>
      <c r="BB15" s="45">
        <f>685.5+4.4</f>
        <v>689.9</v>
      </c>
      <c r="BC15" s="45">
        <f>697.6-23.9</f>
        <v>673.7</v>
      </c>
      <c r="BD15" s="45">
        <f>725.8-47.9</f>
        <v>677.9</v>
      </c>
      <c r="BE15" s="46">
        <f>SUM(BA15:BD15)</f>
        <v>2606.2999999999997</v>
      </c>
      <c r="BF15" s="45">
        <f t="shared" ref="BF15:BI15" si="3">BF10*BF55</f>
        <v>713.78880000000004</v>
      </c>
      <c r="BG15" s="45">
        <f t="shared" si="3"/>
        <v>685.77775000000008</v>
      </c>
      <c r="BH15" s="45">
        <f t="shared" si="3"/>
        <v>678.7840799999999</v>
      </c>
      <c r="BI15" s="45">
        <f t="shared" si="3"/>
        <v>678.61732500000005</v>
      </c>
      <c r="BJ15" s="46">
        <f>SUM(BF15:BI15)</f>
        <v>2756.9679550000001</v>
      </c>
      <c r="BK15" s="47"/>
      <c r="BL15" s="47"/>
      <c r="BM15" s="47"/>
      <c r="BN15" s="47"/>
      <c r="BO15" s="46">
        <f>BO10*BO55</f>
        <v>2935.1807550000003</v>
      </c>
      <c r="BP15" s="47"/>
      <c r="BQ15" s="47"/>
      <c r="BR15" s="47"/>
      <c r="BS15" s="47"/>
      <c r="BT15" s="46">
        <f>BT10*BT55</f>
        <v>3087.0076675495998</v>
      </c>
      <c r="BU15" s="47"/>
      <c r="BV15" s="47"/>
      <c r="BW15" s="47"/>
      <c r="BX15" s="47"/>
      <c r="BY15" s="46">
        <f>BY10*BY55</f>
        <v>3230.4131193212556</v>
      </c>
      <c r="BZ15" s="47"/>
      <c r="CA15" s="47"/>
      <c r="CB15" s="47"/>
      <c r="CC15" s="47"/>
      <c r="CD15" s="46">
        <f>CD10*CD55</f>
        <v>3371.8679503736294</v>
      </c>
      <c r="CF15" s="43" t="s">
        <v>43</v>
      </c>
    </row>
    <row r="16" spans="1:84" s="28" customFormat="1" hidden="1" outlineLevel="1" x14ac:dyDescent="0.15">
      <c r="B16" s="43" t="s">
        <v>44</v>
      </c>
      <c r="C16" s="44">
        <v>16.033999999999999</v>
      </c>
      <c r="D16" s="45">
        <v>15.477</v>
      </c>
      <c r="E16" s="45">
        <v>15.443</v>
      </c>
      <c r="F16" s="45">
        <v>15.442</v>
      </c>
      <c r="G16" s="46">
        <f>SUM(C16:F16)</f>
        <v>62.396000000000001</v>
      </c>
      <c r="H16" s="45">
        <v>14.824</v>
      </c>
      <c r="I16" s="45">
        <v>14.824999999999999</v>
      </c>
      <c r="J16" s="45">
        <v>14.824</v>
      </c>
      <c r="K16" s="45">
        <v>11.984</v>
      </c>
      <c r="L16" s="46">
        <f>SUM(H16:K16)</f>
        <v>56.457000000000001</v>
      </c>
      <c r="M16" s="45">
        <v>11.981</v>
      </c>
      <c r="N16" s="45">
        <v>11.981999999999999</v>
      </c>
      <c r="O16" s="45">
        <v>11.978999999999999</v>
      </c>
      <c r="P16" s="45">
        <v>12.106999999999999</v>
      </c>
      <c r="Q16" s="46">
        <f>SUM(M16:P16)</f>
        <v>48.048999999999999</v>
      </c>
      <c r="R16" s="45">
        <v>11.694000000000001</v>
      </c>
      <c r="S16" s="45">
        <v>11.691000000000001</v>
      </c>
      <c r="T16" s="45">
        <v>12.342000000000001</v>
      </c>
      <c r="U16" s="45">
        <v>15.641999999999999</v>
      </c>
      <c r="V16" s="46">
        <f>SUM(R16:U16)</f>
        <v>51.369</v>
      </c>
      <c r="W16" s="45">
        <v>15.503</v>
      </c>
      <c r="X16" s="45">
        <v>21.777999999999999</v>
      </c>
      <c r="Y16" s="45">
        <v>33.121000000000002</v>
      </c>
      <c r="Z16" s="45">
        <v>34.328000000000003</v>
      </c>
      <c r="AA16" s="46">
        <f>SUM(W16:Z16)</f>
        <v>104.73</v>
      </c>
      <c r="AB16" s="45">
        <v>33</v>
      </c>
      <c r="AC16" s="45">
        <v>33.299999999999997</v>
      </c>
      <c r="AD16" s="45">
        <v>35.499000000000002</v>
      </c>
      <c r="AE16" s="45">
        <v>117.66</v>
      </c>
      <c r="AF16" s="46">
        <f>SUM(AB16:AE16)</f>
        <v>219.459</v>
      </c>
      <c r="AG16" s="45">
        <v>112.04300000000001</v>
      </c>
      <c r="AH16" s="45">
        <v>114.946</v>
      </c>
      <c r="AI16" s="45">
        <f>138.027</f>
        <v>138.02699999999999</v>
      </c>
      <c r="AJ16" s="45">
        <f>192.798</f>
        <v>192.798</v>
      </c>
      <c r="AK16" s="46">
        <f>SUM(AG16:AJ16)</f>
        <v>557.81399999999996</v>
      </c>
      <c r="AL16" s="45">
        <v>200.643</v>
      </c>
      <c r="AM16" s="45">
        <f>'BS &amp; CF'!Y104</f>
        <v>211.101</v>
      </c>
      <c r="AN16" s="45">
        <f>'BS &amp; CF'!Z104</f>
        <v>218.18700000000001</v>
      </c>
      <c r="AO16" s="45">
        <f>'BS &amp; CF'!AA104</f>
        <v>301.51099999999997</v>
      </c>
      <c r="AP16" s="46">
        <f>SUM(AL16:AO16)</f>
        <v>931.44200000000001</v>
      </c>
      <c r="AU16" s="50"/>
      <c r="AZ16" s="50"/>
      <c r="BA16" s="47"/>
      <c r="BB16" s="47"/>
      <c r="BC16" s="47"/>
      <c r="BD16" s="47"/>
      <c r="BE16" s="43"/>
      <c r="BF16" s="47"/>
      <c r="BG16" s="47"/>
      <c r="BH16" s="47"/>
      <c r="BI16" s="47"/>
      <c r="BJ16" s="43"/>
      <c r="BK16" s="47"/>
      <c r="BL16" s="47"/>
      <c r="BM16" s="47"/>
      <c r="BN16" s="47"/>
      <c r="BO16" s="43"/>
      <c r="BP16" s="47"/>
      <c r="BQ16" s="47"/>
      <c r="BR16" s="47"/>
      <c r="BS16" s="47"/>
      <c r="BT16" s="43"/>
      <c r="BU16" s="47"/>
      <c r="BV16" s="47"/>
      <c r="BW16" s="47"/>
      <c r="BX16" s="47"/>
      <c r="BY16" s="43"/>
      <c r="BZ16" s="47"/>
      <c r="CA16" s="47"/>
      <c r="CB16" s="47"/>
      <c r="CC16" s="47"/>
      <c r="CD16" s="43"/>
      <c r="CF16" s="43"/>
    </row>
    <row r="17" spans="2:84" s="28" customFormat="1" hidden="1" outlineLevel="1" x14ac:dyDescent="0.15">
      <c r="B17" s="43" t="s">
        <v>45</v>
      </c>
      <c r="C17" s="44">
        <v>0</v>
      </c>
      <c r="D17" s="45">
        <f>26.56+18.607</f>
        <v>45.167000000000002</v>
      </c>
      <c r="E17" s="45">
        <v>1.1180000000000001</v>
      </c>
      <c r="F17" s="45">
        <f>2.67+0.085</f>
        <v>2.7549999999999999</v>
      </c>
      <c r="G17" s="41">
        <f>SUM(C17:F17)</f>
        <v>49.040000000000006</v>
      </c>
      <c r="H17" s="45">
        <v>0</v>
      </c>
      <c r="I17" s="45">
        <v>4.5</v>
      </c>
      <c r="J17" s="45">
        <f>143+46.8</f>
        <v>189.8</v>
      </c>
      <c r="K17" s="45">
        <f>3.5+15.126+14.4</f>
        <v>33.025999999999996</v>
      </c>
      <c r="L17" s="41">
        <f>SUM(H17:K17)</f>
        <v>227.32600000000002</v>
      </c>
      <c r="M17" s="45">
        <v>0.64500000000000002</v>
      </c>
      <c r="N17" s="45">
        <f>0+-1.612+0.887</f>
        <v>-0.72500000000000009</v>
      </c>
      <c r="O17" s="45">
        <f>2.062+-0.123+-0.82</f>
        <v>1.1189999999999998</v>
      </c>
      <c r="P17" s="45">
        <f>93.052+9.91+0+-0.044</f>
        <v>102.91800000000001</v>
      </c>
      <c r="Q17" s="41">
        <f>SUM(M17:P17)</f>
        <v>103.95700000000001</v>
      </c>
      <c r="R17" s="45"/>
      <c r="S17" s="45"/>
      <c r="T17" s="45"/>
      <c r="U17" s="45"/>
      <c r="V17" s="41" t="s">
        <v>39</v>
      </c>
      <c r="W17" s="45"/>
      <c r="X17" s="45"/>
      <c r="Y17" s="51"/>
      <c r="Z17" s="51"/>
      <c r="AA17" s="46"/>
      <c r="AB17" s="45"/>
      <c r="AC17" s="45"/>
      <c r="AD17" s="45">
        <f>95.916+28.0037+38.5</f>
        <v>162.41969999999998</v>
      </c>
      <c r="AE17" s="45"/>
      <c r="AF17" s="46"/>
      <c r="AG17" s="47"/>
      <c r="AH17" s="47"/>
      <c r="AI17" s="52"/>
      <c r="AJ17" s="47"/>
      <c r="AK17" s="50"/>
      <c r="AL17" s="47"/>
      <c r="AM17" s="47"/>
      <c r="AN17" s="47"/>
      <c r="AO17" s="47"/>
      <c r="AP17" s="50"/>
      <c r="AQ17" s="47"/>
      <c r="AR17" s="47"/>
      <c r="AS17" s="47"/>
      <c r="AT17" s="47"/>
      <c r="AU17" s="50"/>
      <c r="AV17" s="47"/>
      <c r="AW17" s="47"/>
      <c r="AX17" s="47"/>
      <c r="AY17" s="47"/>
      <c r="AZ17" s="50"/>
      <c r="BA17" s="47"/>
      <c r="BB17" s="47"/>
      <c r="BC17" s="47"/>
      <c r="BD17" s="47"/>
      <c r="BE17" s="46"/>
      <c r="BF17" s="47"/>
      <c r="BG17" s="47"/>
      <c r="BH17" s="47"/>
      <c r="BI17" s="47"/>
      <c r="BJ17" s="46"/>
      <c r="BK17" s="47"/>
      <c r="BL17" s="47"/>
      <c r="BM17" s="47"/>
      <c r="BN17" s="47"/>
      <c r="BO17" s="46"/>
      <c r="BP17" s="47"/>
      <c r="BQ17" s="47"/>
      <c r="BR17" s="47"/>
      <c r="BS17" s="47"/>
      <c r="BT17" s="46"/>
      <c r="BU17" s="47"/>
      <c r="BV17" s="47"/>
      <c r="BW17" s="47"/>
      <c r="BX17" s="47"/>
      <c r="BY17" s="46"/>
      <c r="BZ17" s="47"/>
      <c r="CA17" s="47"/>
      <c r="CB17" s="47"/>
      <c r="CC17" s="47"/>
      <c r="CD17" s="46"/>
      <c r="CF17" s="43"/>
    </row>
    <row r="18" spans="2:84" s="28" customFormat="1" hidden="1" outlineLevel="1" x14ac:dyDescent="0.15">
      <c r="B18" s="43"/>
      <c r="C18" s="44"/>
      <c r="D18" s="45"/>
      <c r="E18" s="45"/>
      <c r="F18" s="45"/>
      <c r="G18" s="46"/>
      <c r="H18" s="45"/>
      <c r="I18" s="45"/>
      <c r="J18" s="45"/>
      <c r="K18" s="45"/>
      <c r="L18" s="46"/>
      <c r="M18" s="45"/>
      <c r="N18" s="45"/>
      <c r="O18" s="45"/>
      <c r="P18" s="45"/>
      <c r="Q18" s="46"/>
      <c r="R18" s="45"/>
      <c r="S18" s="45"/>
      <c r="T18" s="45"/>
      <c r="U18" s="45"/>
      <c r="V18" s="46"/>
      <c r="W18" s="45"/>
      <c r="X18" s="45"/>
      <c r="Y18" s="47"/>
      <c r="Z18" s="47"/>
      <c r="AA18" s="43"/>
      <c r="AB18" s="45"/>
      <c r="AC18" s="45"/>
      <c r="AD18" s="45"/>
      <c r="AE18" s="45"/>
      <c r="AF18" s="43"/>
      <c r="AG18" s="47"/>
      <c r="AH18" s="47"/>
      <c r="AI18" s="47"/>
      <c r="AJ18" s="47"/>
      <c r="AK18" s="43"/>
      <c r="AL18" s="47"/>
      <c r="AM18" s="47"/>
      <c r="AN18" s="47"/>
      <c r="AO18" s="47"/>
      <c r="AP18" s="43"/>
      <c r="AQ18" s="47"/>
      <c r="AR18" s="47"/>
      <c r="AS18" s="47"/>
      <c r="AT18" s="47"/>
      <c r="AU18" s="43"/>
      <c r="AV18" s="47"/>
      <c r="AW18" s="47"/>
      <c r="AX18" s="47"/>
      <c r="AY18" s="47"/>
      <c r="AZ18" s="43"/>
      <c r="BA18" s="47"/>
      <c r="BB18" s="47"/>
      <c r="BC18" s="47"/>
      <c r="BD18" s="47"/>
      <c r="BE18" s="43"/>
      <c r="BF18" s="47"/>
      <c r="BG18" s="47"/>
      <c r="BH18" s="47"/>
      <c r="BI18" s="47"/>
      <c r="BJ18" s="43"/>
      <c r="BK18" s="47"/>
      <c r="BL18" s="47"/>
      <c r="BM18" s="47"/>
      <c r="BN18" s="47"/>
      <c r="BO18" s="43"/>
      <c r="BP18" s="47"/>
      <c r="BQ18" s="47"/>
      <c r="BR18" s="47"/>
      <c r="BS18" s="47"/>
      <c r="BT18" s="43"/>
      <c r="BU18" s="47"/>
      <c r="BV18" s="47"/>
      <c r="BW18" s="47"/>
      <c r="BX18" s="47"/>
      <c r="BY18" s="43"/>
      <c r="BZ18" s="47"/>
      <c r="CA18" s="47"/>
      <c r="CB18" s="47"/>
      <c r="CC18" s="47"/>
      <c r="CD18" s="43"/>
      <c r="CF18" s="43"/>
    </row>
    <row r="19" spans="2:84" s="28" customFormat="1" hidden="1" outlineLevel="1" x14ac:dyDescent="0.15">
      <c r="B19" s="38" t="s">
        <v>46</v>
      </c>
      <c r="C19" s="44"/>
      <c r="D19" s="45"/>
      <c r="E19" s="45"/>
      <c r="F19" s="45"/>
      <c r="G19" s="41">
        <f>SUM(C20:F20)</f>
        <v>348.77199999999993</v>
      </c>
      <c r="H19" s="40">
        <f>H12-SUM(H14:H16)</f>
        <v>77.492000000000019</v>
      </c>
      <c r="I19" s="40">
        <f>I12-SUM(I14:I16)</f>
        <v>91.089999999999961</v>
      </c>
      <c r="J19" s="40">
        <f>J12-SUM(J14:J16)</f>
        <v>138.87799999999999</v>
      </c>
      <c r="K19" s="40">
        <f>K12-SUM(K14:K16)</f>
        <v>149.41100000000006</v>
      </c>
      <c r="L19" s="41">
        <f>SUM(H19:K19)</f>
        <v>456.87100000000004</v>
      </c>
      <c r="M19" s="40">
        <f>M12-SUM(M14:M16)</f>
        <v>99.292000000000002</v>
      </c>
      <c r="N19" s="40">
        <f>N12-SUM(N14:N16)</f>
        <v>61.734999999999999</v>
      </c>
      <c r="O19" s="40">
        <f>O12-SUM(O14:O16)</f>
        <v>62.118999999999986</v>
      </c>
      <c r="P19" s="40">
        <f>P12-SUM(P14:P16)</f>
        <v>68.824999999999989</v>
      </c>
      <c r="Q19" s="41">
        <f>SUM(M19:P19)</f>
        <v>291.97099999999995</v>
      </c>
      <c r="R19" s="40">
        <f>R12-SUM(R14:R16,R17)</f>
        <v>71.039999999999978</v>
      </c>
      <c r="S19" s="40">
        <f>S12-SUM(S14:S16,S17)</f>
        <v>63.600999999999985</v>
      </c>
      <c r="T19" s="40">
        <f>T12-SUM(T14:T16,T17)</f>
        <v>58.677999999999983</v>
      </c>
      <c r="U19" s="40">
        <f>U12-SUM(U14:U16,U17)</f>
        <v>55.062999999999988</v>
      </c>
      <c r="V19" s="41">
        <f>SUM(R19:U19)</f>
        <v>248.38199999999995</v>
      </c>
      <c r="W19" s="40">
        <f>W12-SUM(W14:W16,W17)</f>
        <v>56.603999999999985</v>
      </c>
      <c r="X19" s="40">
        <f>X12-SUM(X14:X17)</f>
        <v>60.099000000000018</v>
      </c>
      <c r="Y19" s="40">
        <f>Y12-SUM(Y14:Y17)</f>
        <v>69.112999999999985</v>
      </c>
      <c r="Z19" s="40">
        <f>Z12-SUM(Z14:Z17)</f>
        <v>89.431999999999988</v>
      </c>
      <c r="AA19" s="41">
        <f>SUM(W19:Z19)</f>
        <v>275.24799999999993</v>
      </c>
      <c r="AB19" s="40">
        <f>AB12-SUM(AB14:AB16)</f>
        <v>68.283000000000015</v>
      </c>
      <c r="AC19" s="40">
        <f>AC12-SUM(AC14:AC17)</f>
        <v>69.393000000000001</v>
      </c>
      <c r="AD19" s="40">
        <f>AD12-SUM(AD14:AD17)</f>
        <v>-126.27869999999993</v>
      </c>
      <c r="AE19" s="45"/>
      <c r="AF19" s="43"/>
      <c r="AG19" s="47"/>
      <c r="AH19" s="47"/>
      <c r="AI19" s="47"/>
      <c r="AJ19" s="47"/>
      <c r="AK19" s="43"/>
      <c r="AL19" s="47"/>
      <c r="AM19" s="47"/>
      <c r="AN19" s="47"/>
      <c r="AO19" s="47"/>
      <c r="AP19" s="43"/>
      <c r="AQ19" s="47"/>
      <c r="AR19" s="47"/>
      <c r="AS19" s="47"/>
      <c r="AT19" s="47"/>
      <c r="AU19" s="43"/>
      <c r="AV19" s="47"/>
      <c r="AW19" s="47"/>
      <c r="AX19" s="47"/>
      <c r="AY19" s="47"/>
      <c r="AZ19" s="43"/>
      <c r="BA19" s="47"/>
      <c r="BB19" s="47"/>
      <c r="BC19" s="47"/>
      <c r="BD19" s="47"/>
      <c r="BE19" s="43"/>
      <c r="BF19" s="47"/>
      <c r="BG19" s="47"/>
      <c r="BH19" s="47"/>
      <c r="BI19" s="47"/>
      <c r="BJ19" s="43"/>
      <c r="BK19" s="47"/>
      <c r="BL19" s="47"/>
      <c r="BM19" s="47"/>
      <c r="BN19" s="47"/>
      <c r="BO19" s="43"/>
      <c r="BP19" s="47"/>
      <c r="BQ19" s="47"/>
      <c r="BR19" s="47"/>
      <c r="BS19" s="47"/>
      <c r="BT19" s="43"/>
      <c r="BU19" s="47"/>
      <c r="BV19" s="47"/>
      <c r="BW19" s="47"/>
      <c r="BX19" s="47"/>
      <c r="BY19" s="43"/>
      <c r="BZ19" s="47"/>
      <c r="CA19" s="47"/>
      <c r="CB19" s="47"/>
      <c r="CC19" s="47"/>
      <c r="CD19" s="43"/>
      <c r="CF19" s="43"/>
    </row>
    <row r="20" spans="2:84" s="28" customFormat="1" collapsed="1" x14ac:dyDescent="0.15">
      <c r="B20" s="38" t="s">
        <v>47</v>
      </c>
      <c r="C20" s="39">
        <f>C12-SUM(C14:C16)</f>
        <v>21.043999999999983</v>
      </c>
      <c r="D20" s="40">
        <f>D12-SUM(D14:D16)</f>
        <v>60.246999999999986</v>
      </c>
      <c r="E20" s="40">
        <f>E12-SUM(E14:E16)</f>
        <v>128.30900000000003</v>
      </c>
      <c r="F20" s="40">
        <f>F12-SUM(F14:F16)</f>
        <v>139.17199999999997</v>
      </c>
      <c r="G20" s="46">
        <f t="shared" ref="G20:AA20" si="4">G19+G16</f>
        <v>411.16799999999995</v>
      </c>
      <c r="H20" s="28">
        <f t="shared" si="4"/>
        <v>92.316000000000017</v>
      </c>
      <c r="I20" s="28">
        <f t="shared" si="4"/>
        <v>105.91499999999996</v>
      </c>
      <c r="J20" s="28">
        <f t="shared" si="4"/>
        <v>153.702</v>
      </c>
      <c r="K20" s="28">
        <f t="shared" si="4"/>
        <v>161.39500000000007</v>
      </c>
      <c r="L20" s="46">
        <f t="shared" si="4"/>
        <v>513.32800000000009</v>
      </c>
      <c r="M20" s="28">
        <f t="shared" si="4"/>
        <v>111.273</v>
      </c>
      <c r="N20" s="28">
        <f t="shared" si="4"/>
        <v>73.716999999999999</v>
      </c>
      <c r="O20" s="28">
        <f t="shared" si="4"/>
        <v>74.097999999999985</v>
      </c>
      <c r="P20" s="28">
        <f t="shared" si="4"/>
        <v>80.931999999999988</v>
      </c>
      <c r="Q20" s="46">
        <f t="shared" si="4"/>
        <v>340.01999999999992</v>
      </c>
      <c r="R20" s="28">
        <f t="shared" si="4"/>
        <v>82.73399999999998</v>
      </c>
      <c r="S20" s="28">
        <f t="shared" si="4"/>
        <v>75.291999999999987</v>
      </c>
      <c r="T20" s="28">
        <f t="shared" si="4"/>
        <v>71.019999999999982</v>
      </c>
      <c r="U20" s="28">
        <f t="shared" si="4"/>
        <v>70.704999999999984</v>
      </c>
      <c r="V20" s="46">
        <f t="shared" si="4"/>
        <v>299.75099999999998</v>
      </c>
      <c r="W20" s="28">
        <f t="shared" si="4"/>
        <v>72.106999999999985</v>
      </c>
      <c r="X20" s="28">
        <f t="shared" si="4"/>
        <v>81.87700000000001</v>
      </c>
      <c r="Y20" s="28">
        <f t="shared" si="4"/>
        <v>102.23399999999998</v>
      </c>
      <c r="Z20" s="28">
        <f t="shared" si="4"/>
        <v>123.75999999999999</v>
      </c>
      <c r="AA20" s="46">
        <f t="shared" si="4"/>
        <v>379.97799999999995</v>
      </c>
      <c r="AB20" s="28">
        <f>AB19+AB16</f>
        <v>101.28300000000002</v>
      </c>
      <c r="AC20" s="28">
        <f>AC19+AC16</f>
        <v>102.693</v>
      </c>
      <c r="AD20" s="28">
        <f>AD19+AD16</f>
        <v>-90.779699999999934</v>
      </c>
      <c r="AE20" s="40">
        <f>AE12-SUM(AE14:AE15)</f>
        <v>230.27099999999996</v>
      </c>
      <c r="AF20" s="41">
        <f>SUM(AB20:AE20)</f>
        <v>343.46730000000002</v>
      </c>
      <c r="AG20" s="40">
        <f>AG12-SUM(AG14:AG15)</f>
        <v>283.41800000000006</v>
      </c>
      <c r="AH20" s="40">
        <f>AH12-SUM(AH14:AH15)</f>
        <v>303.18899999999985</v>
      </c>
      <c r="AI20" s="40">
        <f>AI12-SUM(AI14:AI15)</f>
        <v>299.18899999999996</v>
      </c>
      <c r="AJ20" s="40">
        <f>AJ12-SUM(AJ14:AJ15)</f>
        <v>370.20099999999996</v>
      </c>
      <c r="AK20" s="41">
        <f>SUM(AG20:AJ20)</f>
        <v>1255.9969999999998</v>
      </c>
      <c r="AL20" s="40">
        <f t="shared" ref="AL20:BI20" si="5">AL12-SUM(AL14:AL15)</f>
        <v>443.71499999999992</v>
      </c>
      <c r="AM20" s="40">
        <f t="shared" si="5"/>
        <v>428.20200000000006</v>
      </c>
      <c r="AN20" s="40">
        <f t="shared" si="5"/>
        <v>475.23699999999997</v>
      </c>
      <c r="AO20" s="40">
        <f t="shared" si="5"/>
        <v>522.62500000000011</v>
      </c>
      <c r="AP20" s="41">
        <f>SUM(AL20:AO20)</f>
        <v>1869.779</v>
      </c>
      <c r="AQ20" s="40">
        <f t="shared" si="5"/>
        <v>556.02700000000004</v>
      </c>
      <c r="AR20" s="40">
        <f t="shared" si="5"/>
        <v>572.84199999999987</v>
      </c>
      <c r="AS20" s="40">
        <f t="shared" si="5"/>
        <v>725.15099999999984</v>
      </c>
      <c r="AT20" s="40">
        <f t="shared" si="5"/>
        <v>1006.317</v>
      </c>
      <c r="AU20" s="41">
        <f t="shared" si="5"/>
        <v>2860.3369999999991</v>
      </c>
      <c r="AV20" s="40">
        <f t="shared" si="5"/>
        <v>850.39999999999986</v>
      </c>
      <c r="AW20" s="40">
        <f t="shared" si="5"/>
        <v>895.49999999999977</v>
      </c>
      <c r="AX20" s="40">
        <f>AX12-SUM(AX14:AX15)</f>
        <v>962.8000000000003</v>
      </c>
      <c r="AY20" s="40">
        <f t="shared" si="5"/>
        <v>1137.5</v>
      </c>
      <c r="AZ20" s="41">
        <f t="shared" si="5"/>
        <v>3846.2000000000003</v>
      </c>
      <c r="BA20" s="40">
        <f t="shared" si="5"/>
        <v>1029.9000000000003</v>
      </c>
      <c r="BB20" s="40">
        <f>BB12-SUM(BB14:BB15)</f>
        <v>1331.4</v>
      </c>
      <c r="BC20" s="40">
        <f>BC12-SUM(BC14:BC15)</f>
        <v>1399.8000000000002</v>
      </c>
      <c r="BD20" s="40">
        <f>BD12-SUM(BD14:BD15)</f>
        <v>1329.9999999999995</v>
      </c>
      <c r="BE20" s="41">
        <f t="shared" si="5"/>
        <v>5091.1000000000004</v>
      </c>
      <c r="BF20" s="40">
        <f t="shared" si="5"/>
        <v>958.97312000000022</v>
      </c>
      <c r="BG20" s="40">
        <f t="shared" si="5"/>
        <v>1309.4867420000005</v>
      </c>
      <c r="BH20" s="40">
        <f t="shared" si="5"/>
        <v>1395.0711780000001</v>
      </c>
      <c r="BI20" s="40">
        <f t="shared" si="5"/>
        <v>1526.7284390000002</v>
      </c>
      <c r="BJ20" s="41">
        <f>BJ12-SUM(BJ14:BJ15)</f>
        <v>5190.2594790000003</v>
      </c>
      <c r="BK20" s="47"/>
      <c r="BL20" s="47"/>
      <c r="BM20" s="47"/>
      <c r="BN20" s="47"/>
      <c r="BO20" s="41">
        <f>BO12-SUM(BO14:BO15)</f>
        <v>5633.6811345500028</v>
      </c>
      <c r="BP20" s="47"/>
      <c r="BQ20" s="47"/>
      <c r="BR20" s="47"/>
      <c r="BS20" s="47"/>
      <c r="BT20" s="41">
        <f>BT12-SUM(BT14:BT15)</f>
        <v>6076.2228770882994</v>
      </c>
      <c r="BU20" s="47"/>
      <c r="BV20" s="47"/>
      <c r="BW20" s="47"/>
      <c r="BX20" s="47"/>
      <c r="BY20" s="41">
        <f>BY12-SUM(BY14:BY15)</f>
        <v>6572.1256777861618</v>
      </c>
      <c r="BZ20" s="47"/>
      <c r="CA20" s="47"/>
      <c r="CB20" s="47"/>
      <c r="CC20" s="47"/>
      <c r="CD20" s="41">
        <f>CD12-SUM(CD14:CD15)</f>
        <v>6938.176746250776</v>
      </c>
      <c r="CF20" s="43"/>
    </row>
    <row r="21" spans="2:84" s="28" customFormat="1" x14ac:dyDescent="0.15">
      <c r="B21" s="38"/>
      <c r="C21" s="39"/>
      <c r="D21" s="40"/>
      <c r="E21" s="40"/>
      <c r="F21" s="40"/>
      <c r="G21" s="41"/>
      <c r="H21" s="40"/>
      <c r="I21" s="40"/>
      <c r="J21" s="40"/>
      <c r="K21" s="40"/>
      <c r="L21" s="41"/>
      <c r="M21" s="40"/>
      <c r="N21" s="40"/>
      <c r="O21" s="40"/>
      <c r="P21" s="40"/>
      <c r="Q21" s="41"/>
      <c r="R21" s="40"/>
      <c r="S21" s="40"/>
      <c r="T21" s="40"/>
      <c r="U21" s="40"/>
      <c r="V21" s="41"/>
      <c r="W21" s="40"/>
      <c r="X21" s="40"/>
      <c r="Y21" s="47"/>
      <c r="Z21" s="47"/>
      <c r="AA21" s="43"/>
      <c r="AB21" s="45"/>
      <c r="AC21" s="45"/>
      <c r="AD21" s="45"/>
      <c r="AE21" s="45"/>
      <c r="AF21" s="43"/>
      <c r="AG21" s="47"/>
      <c r="AH21" s="47"/>
      <c r="AI21" s="47"/>
      <c r="AJ21" s="47"/>
      <c r="AK21" s="43"/>
      <c r="AL21" s="47"/>
      <c r="AM21" s="47"/>
      <c r="AN21" s="47"/>
      <c r="AO21" s="47"/>
      <c r="AP21" s="43" t="s">
        <v>39</v>
      </c>
      <c r="AQ21" s="47"/>
      <c r="AR21" s="47"/>
      <c r="AS21" s="47"/>
      <c r="AT21" s="47"/>
      <c r="AU21" s="43"/>
      <c r="AZ21" s="43"/>
      <c r="BA21" s="47"/>
      <c r="BB21" s="47"/>
      <c r="BC21" s="47"/>
      <c r="BD21" s="47"/>
      <c r="BE21" s="43"/>
      <c r="BF21" s="47"/>
      <c r="BG21" s="47"/>
      <c r="BH21" s="47"/>
      <c r="BI21" s="47"/>
      <c r="BJ21" s="43"/>
      <c r="BK21" s="47"/>
      <c r="BL21" s="47"/>
      <c r="BM21" s="47"/>
      <c r="BN21" s="47"/>
      <c r="BO21" s="43"/>
      <c r="BP21" s="47"/>
      <c r="BQ21" s="47"/>
      <c r="BR21" s="47"/>
      <c r="BS21" s="47"/>
      <c r="BT21" s="43"/>
      <c r="BU21" s="47"/>
      <c r="BV21" s="47"/>
      <c r="BW21" s="47"/>
      <c r="BX21" s="47"/>
      <c r="BY21" s="43"/>
      <c r="BZ21" s="47"/>
      <c r="CA21" s="47"/>
      <c r="CB21" s="47"/>
      <c r="CC21" s="47"/>
      <c r="CD21" s="43"/>
      <c r="CF21" s="43"/>
    </row>
    <row r="22" spans="2:84" s="28" customFormat="1" x14ac:dyDescent="0.15">
      <c r="B22" s="43" t="s">
        <v>48</v>
      </c>
      <c r="C22" s="44">
        <f>0.378</f>
        <v>0.378</v>
      </c>
      <c r="D22" s="45">
        <f>0.912</f>
        <v>0.91200000000000003</v>
      </c>
      <c r="E22" s="45">
        <f>2.386</f>
        <v>2.3860000000000001</v>
      </c>
      <c r="F22" s="45">
        <f>3.499</f>
        <v>3.4990000000000001</v>
      </c>
      <c r="G22" s="46">
        <f>SUM(C22:F22)</f>
        <v>7.1750000000000007</v>
      </c>
      <c r="H22" s="45">
        <f>5.196</f>
        <v>5.1959999999999997</v>
      </c>
      <c r="I22" s="45">
        <f>6.116</f>
        <v>6.1159999999999997</v>
      </c>
      <c r="J22" s="45">
        <f>7.577</f>
        <v>7.577</v>
      </c>
      <c r="K22" s="45">
        <f>10.31</f>
        <v>10.31</v>
      </c>
      <c r="L22" s="46">
        <f>SUM(H22:K22)</f>
        <v>29.198999999999998</v>
      </c>
      <c r="M22" s="45">
        <f>9.761</f>
        <v>9.7609999999999992</v>
      </c>
      <c r="N22" s="45">
        <f>6.07</f>
        <v>6.07</v>
      </c>
      <c r="O22" s="45">
        <f>3.789</f>
        <v>3.7890000000000001</v>
      </c>
      <c r="P22" s="45">
        <f>4.943</f>
        <v>4.9429999999999996</v>
      </c>
      <c r="Q22" s="46">
        <f>SUM(M22:P22)</f>
        <v>24.563000000000002</v>
      </c>
      <c r="R22" s="45">
        <f>3.468</f>
        <v>3.468</v>
      </c>
      <c r="S22" s="45">
        <f>3.412</f>
        <v>3.4119999999999999</v>
      </c>
      <c r="T22" s="45">
        <f>1.783</f>
        <v>1.7829999999999999</v>
      </c>
      <c r="U22" s="45">
        <f>0.737</f>
        <v>0.73699999999999999</v>
      </c>
      <c r="V22" s="46">
        <f>SUM(R22:U22)</f>
        <v>9.4</v>
      </c>
      <c r="W22" s="45">
        <f>0.334</f>
        <v>0.33400000000000002</v>
      </c>
      <c r="X22" s="45">
        <v>0.251</v>
      </c>
      <c r="Y22" s="45">
        <v>0.23799999999999999</v>
      </c>
      <c r="Z22" s="45">
        <v>0.29499999999999998</v>
      </c>
      <c r="AA22" s="46">
        <f>SUM(W22:Z22)</f>
        <v>1.1179999999999999</v>
      </c>
      <c r="AB22" s="45">
        <v>0.188</v>
      </c>
      <c r="AC22" s="45">
        <v>0.23400000000000001</v>
      </c>
      <c r="AD22" s="45">
        <v>0.126</v>
      </c>
      <c r="AE22" s="45">
        <f>1.294-AB22-AC22-AD22</f>
        <v>0.74600000000000011</v>
      </c>
      <c r="AF22" s="46">
        <f>SUM(AB22:AE22)</f>
        <v>1.294</v>
      </c>
      <c r="AG22" s="45">
        <v>0.80300000000000005</v>
      </c>
      <c r="AH22" s="45">
        <v>0.84699999999999998</v>
      </c>
      <c r="AI22" s="45">
        <v>1.052</v>
      </c>
      <c r="AJ22" s="45">
        <f>4.084-AG22-AH22-AI22</f>
        <v>1.3819999999999997</v>
      </c>
      <c r="AK22" s="46">
        <f>SUM(AG22:AJ22)</f>
        <v>4.0839999999999996</v>
      </c>
      <c r="AL22" s="45">
        <v>1.123</v>
      </c>
      <c r="AM22" s="45">
        <v>1.02</v>
      </c>
      <c r="AN22" s="45">
        <v>1.1559999999999999</v>
      </c>
      <c r="AO22" s="45">
        <f>5.986-AL22-AM22-AN22</f>
        <v>2.6869999999999994</v>
      </c>
      <c r="AP22" s="46">
        <f>SUM(AL22:AO22)</f>
        <v>5.9859999999999989</v>
      </c>
      <c r="AQ22" s="45">
        <v>1.5960000000000001</v>
      </c>
      <c r="AR22" s="45">
        <f>1.054</f>
        <v>1.054</v>
      </c>
      <c r="AS22" s="45">
        <v>2.6859999999999999</v>
      </c>
      <c r="AT22" s="45"/>
      <c r="AU22" s="46">
        <f>SUM(AQ22:AT22)</f>
        <v>5.3360000000000003</v>
      </c>
      <c r="AV22" s="45">
        <v>1.8</v>
      </c>
      <c r="AW22" s="51">
        <v>0</v>
      </c>
      <c r="AX22" s="51">
        <v>0</v>
      </c>
      <c r="AY22" s="51">
        <v>0</v>
      </c>
      <c r="AZ22" s="46">
        <f>SUM(AV22:AY22)</f>
        <v>1.8</v>
      </c>
      <c r="BA22" s="51"/>
      <c r="BB22" s="51"/>
      <c r="BC22" s="51"/>
      <c r="BD22" s="51"/>
      <c r="BE22" s="46">
        <f>SUM(BA22:BD22)</f>
        <v>0</v>
      </c>
      <c r="BF22" s="47"/>
      <c r="BG22" s="47"/>
      <c r="BH22" s="47"/>
      <c r="BI22" s="47"/>
      <c r="BJ22" s="46">
        <f>SUM(BF22:BI22)</f>
        <v>0</v>
      </c>
      <c r="BK22" s="47"/>
      <c r="BL22" s="47"/>
      <c r="BM22" s="47"/>
      <c r="BN22" s="47"/>
      <c r="BO22" s="50">
        <v>15</v>
      </c>
      <c r="BP22" s="47"/>
      <c r="BQ22" s="47"/>
      <c r="BR22" s="47"/>
      <c r="BS22" s="47"/>
      <c r="BT22" s="53">
        <v>15</v>
      </c>
      <c r="BU22" s="54"/>
      <c r="BV22" s="54"/>
      <c r="BW22" s="54"/>
      <c r="BX22" s="54"/>
      <c r="BY22" s="53">
        <v>15</v>
      </c>
      <c r="BZ22" s="54"/>
      <c r="CA22" s="54"/>
      <c r="CB22" s="54"/>
      <c r="CC22" s="54"/>
      <c r="CD22" s="53">
        <v>15</v>
      </c>
      <c r="CF22" s="43"/>
    </row>
    <row r="23" spans="2:84" s="28" customFormat="1" x14ac:dyDescent="0.15">
      <c r="B23" s="43" t="s">
        <v>49</v>
      </c>
      <c r="C23" s="44">
        <v>-8.8970000000000002</v>
      </c>
      <c r="D23" s="45">
        <v>-9.5739999999999998</v>
      </c>
      <c r="E23" s="45">
        <v>-9.4499999999999993</v>
      </c>
      <c r="F23" s="45">
        <v>-9.2050000000000001</v>
      </c>
      <c r="G23" s="46">
        <f>SUM(C23:F23)</f>
        <v>-37.125999999999998</v>
      </c>
      <c r="H23" s="45">
        <v>-9.0239999999999991</v>
      </c>
      <c r="I23" s="45">
        <v>-8.4849999999999994</v>
      </c>
      <c r="J23" s="45">
        <v>-8.9510000000000005</v>
      </c>
      <c r="K23" s="45">
        <v>-8.7430000000000003</v>
      </c>
      <c r="L23" s="46">
        <f>SUM(H23:K23)</f>
        <v>-35.203000000000003</v>
      </c>
      <c r="M23" s="45">
        <v>-8.6769999999999996</v>
      </c>
      <c r="N23" s="45">
        <v>-0.45300000000000001</v>
      </c>
      <c r="O23" s="45">
        <v>-0.245</v>
      </c>
      <c r="P23" s="45">
        <v>-0.37</v>
      </c>
      <c r="Q23" s="46">
        <f>SUM(M23:P23)</f>
        <v>-9.7449999999999974</v>
      </c>
      <c r="R23" s="45">
        <v>-0.24199999999999999</v>
      </c>
      <c r="S23" s="45">
        <v>-0.23599999999999999</v>
      </c>
      <c r="T23" s="45">
        <v>-0.246</v>
      </c>
      <c r="U23" s="45">
        <v>-0.29399999999999998</v>
      </c>
      <c r="V23" s="46">
        <f>SUM(R23:U23)</f>
        <v>-1.018</v>
      </c>
      <c r="W23" s="45">
        <v>-0.34</v>
      </c>
      <c r="X23" s="45">
        <f>-4.049+0.537</f>
        <v>-3.5120000000000005</v>
      </c>
      <c r="Y23" s="45">
        <v>-10.997999999999999</v>
      </c>
      <c r="Z23" s="45">
        <v>-10.031000000000001</v>
      </c>
      <c r="AA23" s="46">
        <f>SUM(W23:Z23)</f>
        <v>-24.881</v>
      </c>
      <c r="AB23" s="45">
        <f>-9.827</f>
        <v>-9.827</v>
      </c>
      <c r="AC23" s="45">
        <v>-9.952</v>
      </c>
      <c r="AD23" s="45">
        <v>-11.218</v>
      </c>
      <c r="AE23" s="45">
        <f>-84.307-AB23-AC23-AD23</f>
        <v>-53.31</v>
      </c>
      <c r="AF23" s="46">
        <f>SUM(AB23:AE23)</f>
        <v>-84.307000000000002</v>
      </c>
      <c r="AG23" s="45">
        <f>-68.334+3.596-0.803</f>
        <v>-65.540999999999997</v>
      </c>
      <c r="AH23" s="45">
        <f>-81.987-14.748+3.138+14.748</f>
        <v>-78.84899999999999</v>
      </c>
      <c r="AI23" s="45">
        <f>-86.452+12.686-1.052</f>
        <v>-74.817999999999998</v>
      </c>
      <c r="AJ23" s="45">
        <f>-94.055-3.519+8.069+3.519</f>
        <v>-85.986000000000004</v>
      </c>
      <c r="AK23" s="46">
        <f>SUM(AG23:AJ23)</f>
        <v>-305.19399999999996</v>
      </c>
      <c r="AL23" s="45">
        <f>-102.025+5.75</f>
        <v>-96.275000000000006</v>
      </c>
      <c r="AM23" s="45">
        <f>-100.614-0.395</f>
        <v>-101.009</v>
      </c>
      <c r="AN23" s="45">
        <f>-116.042+8.859</f>
        <v>-107.18300000000001</v>
      </c>
      <c r="AO23" s="45">
        <f>-160.228+22.188-2.7</f>
        <v>-140.74</v>
      </c>
      <c r="AP23" s="46">
        <f>SUM(AL23:AO23)</f>
        <v>-445.20699999999999</v>
      </c>
      <c r="AQ23" s="45">
        <f>-153.719+9.647-1.596</f>
        <v>-145.66800000000001</v>
      </c>
      <c r="AR23" s="45">
        <f>-176.793+33.279</f>
        <v>-143.51400000000001</v>
      </c>
      <c r="AS23" s="45">
        <f>-249.306+27.572</f>
        <v>-221.73400000000001</v>
      </c>
      <c r="AT23" s="45">
        <f>-260.215+18.963</f>
        <v>-241.25199999999998</v>
      </c>
      <c r="AU23" s="46">
        <f>SUM(AQ23:AT23)</f>
        <v>-752.16800000000001</v>
      </c>
      <c r="AV23" s="45">
        <f>-246.5+12.2</f>
        <v>-234.3</v>
      </c>
      <c r="AW23" s="45">
        <f>-240+11.2</f>
        <v>-228.8</v>
      </c>
      <c r="AX23" s="45">
        <f>-257.6+34.7</f>
        <v>-222.90000000000003</v>
      </c>
      <c r="AY23" s="45">
        <f>-223.7-35.9+11.9+35.9</f>
        <v>-211.79999999999995</v>
      </c>
      <c r="AZ23" s="46">
        <f>SUM(AV23:AY23)</f>
        <v>-897.8</v>
      </c>
      <c r="BA23" s="49">
        <f>-296.9+90.5</f>
        <v>-206.39999999999998</v>
      </c>
      <c r="BB23" s="49">
        <f>-411.8+20.7</f>
        <v>-391.1</v>
      </c>
      <c r="BC23" s="49">
        <f>-419.5+20.3</f>
        <v>-399.2</v>
      </c>
      <c r="BD23" s="49">
        <f>-431.7+27.7</f>
        <v>-404</v>
      </c>
      <c r="BE23" s="55">
        <f>SUM(BA23:BD23)</f>
        <v>-1400.7</v>
      </c>
      <c r="BF23" s="49">
        <f>-'BS &amp; CF'!AR112</f>
        <v>-402.68549999999999</v>
      </c>
      <c r="BG23" s="49">
        <f>-'BS &amp; CF'!AS112</f>
        <v>-415.63912499999998</v>
      </c>
      <c r="BH23" s="49">
        <f>-'BS &amp; CF'!AT112</f>
        <v>-408.76412499999998</v>
      </c>
      <c r="BI23" s="49">
        <f>-'BS &amp; CF'!AU112</f>
        <v>-401.88912499999998</v>
      </c>
      <c r="BJ23" s="46">
        <f>SUM(BF23:BI23)</f>
        <v>-1628.9778749999998</v>
      </c>
      <c r="BK23" s="47"/>
      <c r="BL23" s="47"/>
      <c r="BM23" s="47"/>
      <c r="BN23" s="47"/>
      <c r="BO23" s="46">
        <f>-'BS &amp; CF'!BA112</f>
        <v>-1373.8064999999999</v>
      </c>
      <c r="BP23" s="47"/>
      <c r="BQ23" s="47"/>
      <c r="BR23" s="47"/>
      <c r="BS23" s="47"/>
      <c r="BT23" s="46">
        <f>-'BS &amp; CF'!BF112</f>
        <v>-1153.8064999999999</v>
      </c>
      <c r="BU23" s="47"/>
      <c r="BV23" s="47"/>
      <c r="BW23" s="47"/>
      <c r="BX23" s="47"/>
      <c r="BY23" s="46">
        <f>-'BS &amp; CF'!BK112</f>
        <v>-988.80649999999991</v>
      </c>
      <c r="BZ23" s="47"/>
      <c r="CA23" s="47"/>
      <c r="CB23" s="47"/>
      <c r="CC23" s="47"/>
      <c r="CD23" s="46">
        <f>-'BS &amp; CF'!BP112</f>
        <v>-823.80649999999991</v>
      </c>
      <c r="CF23" s="42" t="s">
        <v>50</v>
      </c>
    </row>
    <row r="24" spans="2:84" s="28" customFormat="1" x14ac:dyDescent="0.15">
      <c r="B24" s="43" t="s">
        <v>51</v>
      </c>
      <c r="C24" s="44">
        <f>-0.538+-0.27</f>
        <v>-0.80800000000000005</v>
      </c>
      <c r="D24" s="45">
        <f>-0.153+-0.263</f>
        <v>-0.41600000000000004</v>
      </c>
      <c r="E24" s="45">
        <f>-1.462+-0.271</f>
        <v>-1.7330000000000001</v>
      </c>
      <c r="F24" s="45">
        <f>0.736+-0.356</f>
        <v>0.38</v>
      </c>
      <c r="G24" s="46">
        <f>SUM(C24:F24)</f>
        <v>-2.5770000000000004</v>
      </c>
      <c r="H24" s="45">
        <f>-0.59+-0.318</f>
        <v>-0.90799999999999992</v>
      </c>
      <c r="I24" s="45">
        <f>1.401+0.05</f>
        <v>1.4510000000000001</v>
      </c>
      <c r="J24" s="45">
        <f>-0.25+-0.205</f>
        <v>-0.45499999999999996</v>
      </c>
      <c r="K24" s="45">
        <f>-1.277+-0.056</f>
        <v>-1.333</v>
      </c>
      <c r="L24" s="46">
        <f>SUM(H24:K24)</f>
        <v>-1.2449999999999997</v>
      </c>
      <c r="M24" s="45">
        <f>-0.288+-0.424+0</f>
        <v>-0.71199999999999997</v>
      </c>
      <c r="N24" s="45">
        <f>0.763+-0.469+15.716+0+-12.463</f>
        <v>3.5469999999999988</v>
      </c>
      <c r="O24" s="45">
        <f>5.255+-0.432+0+0+0</f>
        <v>4.8229999999999995</v>
      </c>
      <c r="P24" s="45">
        <f>-0.239+-1.203+-8.949+8.64+0</f>
        <v>-1.7509999999999994</v>
      </c>
      <c r="Q24" s="46">
        <f>SUM(M24:P24)</f>
        <v>5.9069999999999991</v>
      </c>
      <c r="R24" s="45">
        <f>0.221</f>
        <v>0.221</v>
      </c>
      <c r="S24" s="45">
        <f>-1.564+0</f>
        <v>-1.5640000000000001</v>
      </c>
      <c r="T24" s="45">
        <f>0.204+0</f>
        <v>0.20399999999999999</v>
      </c>
      <c r="U24" s="45">
        <f>0.082+0</f>
        <v>8.2000000000000003E-2</v>
      </c>
      <c r="V24" s="46">
        <f>SUM(R24:U24)</f>
        <v>-1.0569999999999999</v>
      </c>
      <c r="W24" s="45">
        <f>0.407+-0.006+0</f>
        <v>0.40099999999999997</v>
      </c>
      <c r="X24" s="45">
        <f>0.314</f>
        <v>0.314</v>
      </c>
      <c r="Y24" s="45">
        <v>0.19700000000000001</v>
      </c>
      <c r="Z24" s="45">
        <v>-0.41099999999999998</v>
      </c>
      <c r="AA24" s="46">
        <f>SUM(W24:Z24)</f>
        <v>0.50099999999999989</v>
      </c>
      <c r="AB24" s="45">
        <f>-0.155</f>
        <v>-0.155</v>
      </c>
      <c r="AC24" s="45">
        <v>0.66700000000000004</v>
      </c>
      <c r="AD24" s="45">
        <f>-5.774+0.301-5.005</f>
        <v>-10.478</v>
      </c>
      <c r="AE24" s="45">
        <f>-32.413+0.229+3.624+32.413</f>
        <v>3.852999999999998</v>
      </c>
      <c r="AF24" s="46">
        <f>SUM(AB24:AE24)</f>
        <v>-6.1130000000000013</v>
      </c>
      <c r="AG24" s="45">
        <f>-8.262+1.769+2.807+8.262-1.769</f>
        <v>2.8070000000000004</v>
      </c>
      <c r="AH24" s="45">
        <v>21.158000000000001</v>
      </c>
      <c r="AI24" s="45">
        <f>-10.315-0.14-3.59+10.315</f>
        <v>-3.7300000000000004</v>
      </c>
      <c r="AJ24" s="45">
        <f>-0.011+26.487</f>
        <v>26.475999999999999</v>
      </c>
      <c r="AK24" s="46">
        <f>SUM(AG24:AJ24)</f>
        <v>46.710999999999999</v>
      </c>
      <c r="AL24" s="47">
        <f>-0.133+2.059+24.299+0.133</f>
        <v>26.358000000000001</v>
      </c>
      <c r="AM24" s="47">
        <f>-4.238-0.035+1.002</f>
        <v>-3.2710000000000008</v>
      </c>
      <c r="AN24" s="47">
        <f>-2.322-1.603+2.322</f>
        <v>-1.6029999999999998</v>
      </c>
      <c r="AO24" s="45">
        <f>-17.625+0.032+1.263+17.625</f>
        <v>1.2950000000000017</v>
      </c>
      <c r="AP24" s="46">
        <f>SUM(AL24:AO24)</f>
        <v>22.779000000000003</v>
      </c>
      <c r="AQ24" s="45">
        <f>-21.379+1.859+1.439+21.379</f>
        <v>3.2979999999999983</v>
      </c>
      <c r="AR24" s="45">
        <f>-10.082+8.304+3.963</f>
        <v>2.1849999999999996</v>
      </c>
      <c r="AS24" s="45">
        <f>5.079-7.721</f>
        <v>-2.6420000000000003</v>
      </c>
      <c r="AT24" s="45">
        <f>-5.902+0.193</f>
        <v>-5.7090000000000005</v>
      </c>
      <c r="AU24" s="46">
        <f>SUM(AQ24:AT24)</f>
        <v>-2.868000000000003</v>
      </c>
      <c r="AV24" s="45">
        <f>-13.4+12.6</f>
        <v>-0.80000000000000071</v>
      </c>
      <c r="AW24" s="45">
        <f>0.4-5.4+2.5+3.4-0.4</f>
        <v>0.49999999999999989</v>
      </c>
      <c r="AX24" s="45">
        <f>-53+3.4+55.2</f>
        <v>5.6000000000000014</v>
      </c>
      <c r="AY24" s="45">
        <f>-81.1+72.7</f>
        <v>-8.3999999999999915</v>
      </c>
      <c r="AZ24" s="46">
        <f>SUM(AV24:AY24)</f>
        <v>-3.0999999999999908</v>
      </c>
      <c r="BA24" s="47">
        <f>6.1-6.1-71.1+76</f>
        <v>4.9000000000000057</v>
      </c>
      <c r="BB24" s="47">
        <f>5.6-10.4</f>
        <v>-4.8000000000000007</v>
      </c>
      <c r="BC24" s="47">
        <f>-34+31</f>
        <v>-3</v>
      </c>
      <c r="BD24" s="47">
        <f>-3.3-1.4</f>
        <v>-4.6999999999999993</v>
      </c>
      <c r="BE24" s="46">
        <f>SUM(BA24:BD24)</f>
        <v>-7.5999999999999943</v>
      </c>
      <c r="BF24" s="47">
        <v>0</v>
      </c>
      <c r="BG24" s="47">
        <v>0</v>
      </c>
      <c r="BH24" s="47">
        <v>0</v>
      </c>
      <c r="BI24" s="47">
        <v>0</v>
      </c>
      <c r="BJ24" s="50">
        <v>0</v>
      </c>
      <c r="BK24" s="47"/>
      <c r="BL24" s="47"/>
      <c r="BM24" s="47"/>
      <c r="BN24" s="47"/>
      <c r="BO24" s="50">
        <v>0</v>
      </c>
      <c r="BP24" s="47"/>
      <c r="BQ24" s="47"/>
      <c r="BR24" s="47"/>
      <c r="BS24" s="47"/>
      <c r="BT24" s="50">
        <v>0</v>
      </c>
      <c r="BU24" s="47"/>
      <c r="BV24" s="47"/>
      <c r="BW24" s="47"/>
      <c r="BX24" s="47"/>
      <c r="BY24" s="50">
        <v>0</v>
      </c>
      <c r="BZ24" s="47"/>
      <c r="CA24" s="47"/>
      <c r="CB24" s="47"/>
      <c r="CC24" s="47"/>
      <c r="CD24" s="50">
        <v>0</v>
      </c>
      <c r="CF24" s="43"/>
    </row>
    <row r="25" spans="2:84" s="28" customFormat="1" x14ac:dyDescent="0.15">
      <c r="B25" s="38"/>
      <c r="C25" s="44"/>
      <c r="D25" s="45"/>
      <c r="E25" s="45"/>
      <c r="F25" s="45"/>
      <c r="G25" s="46"/>
      <c r="H25" s="45"/>
      <c r="I25" s="45"/>
      <c r="J25" s="45"/>
      <c r="K25" s="45"/>
      <c r="L25" s="46"/>
      <c r="M25" s="45"/>
      <c r="N25" s="45"/>
      <c r="O25" s="45"/>
      <c r="P25" s="45"/>
      <c r="Q25" s="46"/>
      <c r="R25" s="45"/>
      <c r="S25" s="45"/>
      <c r="T25" s="45"/>
      <c r="U25" s="45"/>
      <c r="V25" s="46"/>
      <c r="W25" s="45"/>
      <c r="X25" s="45"/>
      <c r="Y25" s="47"/>
      <c r="Z25" s="47"/>
      <c r="AA25" s="43"/>
      <c r="AB25" s="45"/>
      <c r="AC25" s="45"/>
      <c r="AD25" s="45"/>
      <c r="AE25" s="45"/>
      <c r="AF25" s="43"/>
      <c r="AG25" s="47"/>
      <c r="AH25" s="47"/>
      <c r="AI25" s="47"/>
      <c r="AJ25" s="47"/>
      <c r="AK25" s="43"/>
      <c r="AL25" s="47"/>
      <c r="AM25" s="52"/>
      <c r="AN25" s="52"/>
      <c r="AO25" s="47"/>
      <c r="AP25" s="43"/>
      <c r="AQ25" s="47"/>
      <c r="AR25" s="47"/>
      <c r="AS25" s="47"/>
      <c r="AT25" s="47"/>
      <c r="AU25" s="43"/>
      <c r="AZ25" s="43"/>
      <c r="BA25" s="47"/>
      <c r="BB25" s="47"/>
      <c r="BC25" s="47"/>
      <c r="BD25" s="47"/>
      <c r="BE25" s="43"/>
      <c r="BF25" s="47"/>
      <c r="BG25" s="47"/>
      <c r="BH25" s="47"/>
      <c r="BI25" s="47"/>
      <c r="BJ25" s="43"/>
      <c r="BK25" s="47"/>
      <c r="BL25" s="47"/>
      <c r="BM25" s="47"/>
      <c r="BN25" s="47"/>
      <c r="BO25" s="43"/>
      <c r="BP25" s="47"/>
      <c r="BQ25" s="47"/>
      <c r="BR25" s="47"/>
      <c r="BS25" s="47"/>
      <c r="BT25" s="43"/>
      <c r="BU25" s="47"/>
      <c r="BV25" s="47"/>
      <c r="BW25" s="47"/>
      <c r="BX25" s="47"/>
      <c r="BY25" s="43"/>
      <c r="BZ25" s="47"/>
      <c r="CA25" s="47"/>
      <c r="CB25" s="47"/>
      <c r="CC25" s="47"/>
      <c r="CD25" s="43"/>
      <c r="CF25" s="43"/>
    </row>
    <row r="26" spans="2:84" s="28" customFormat="1" x14ac:dyDescent="0.15">
      <c r="B26" s="38" t="s">
        <v>52</v>
      </c>
      <c r="C26" s="39">
        <f>C20+C22+C23</f>
        <v>12.524999999999983</v>
      </c>
      <c r="D26" s="40">
        <f>D20+D22+D23</f>
        <v>51.584999999999987</v>
      </c>
      <c r="E26" s="40">
        <f>E20+E22+E23</f>
        <v>121.24500000000002</v>
      </c>
      <c r="F26" s="40">
        <f>F20+F22+F23</f>
        <v>133.46599999999995</v>
      </c>
      <c r="G26" s="41">
        <f>SUM(C26:F26)</f>
        <v>318.82099999999991</v>
      </c>
      <c r="H26" s="40">
        <f>H19+H22+H23</f>
        <v>73.664000000000016</v>
      </c>
      <c r="I26" s="40">
        <f>I19+I22+I23</f>
        <v>88.720999999999961</v>
      </c>
      <c r="J26" s="40">
        <f>J19+J22+J23</f>
        <v>137.50399999999999</v>
      </c>
      <c r="K26" s="40">
        <f>K19+K22+K23</f>
        <v>150.97800000000007</v>
      </c>
      <c r="L26" s="41">
        <f>SUM(H26:K26)</f>
        <v>450.86700000000008</v>
      </c>
      <c r="M26" s="40">
        <f>M19+M22+M23</f>
        <v>100.376</v>
      </c>
      <c r="N26" s="40">
        <f>N19+N22+N23</f>
        <v>67.352000000000004</v>
      </c>
      <c r="O26" s="40">
        <f>O19+O22+O23</f>
        <v>65.662999999999982</v>
      </c>
      <c r="P26" s="40">
        <f>P19+P22+P23</f>
        <v>73.397999999999982</v>
      </c>
      <c r="Q26" s="41">
        <f>SUM(M26:P26)</f>
        <v>306.78899999999999</v>
      </c>
      <c r="R26" s="40">
        <f>R19+R22+R23+R24</f>
        <v>74.486999999999981</v>
      </c>
      <c r="S26" s="40">
        <f>S19+S22+S23+S24</f>
        <v>65.212999999999994</v>
      </c>
      <c r="T26" s="40">
        <f>T19+T22+T23+T24</f>
        <v>60.418999999999983</v>
      </c>
      <c r="U26" s="40">
        <f>U19+U22+U23+U24</f>
        <v>55.587999999999994</v>
      </c>
      <c r="V26" s="41">
        <f>SUM(R26:U26)</f>
        <v>255.70699999999997</v>
      </c>
      <c r="W26" s="40">
        <f>W19+W22+W23+W24</f>
        <v>56.998999999999988</v>
      </c>
      <c r="X26" s="40">
        <f>X19+X22+X23+X24</f>
        <v>57.152000000000015</v>
      </c>
      <c r="Y26" s="40">
        <f>Y19+Y22+Y23+Y24</f>
        <v>58.54999999999999</v>
      </c>
      <c r="Z26" s="40">
        <f>Z19+Z22+Z23+Z24</f>
        <v>79.284999999999982</v>
      </c>
      <c r="AA26" s="41">
        <f>SUM(W26:Z26)</f>
        <v>251.98599999999999</v>
      </c>
      <c r="AB26" s="40">
        <f>AB19+AB22+AB23+AB24</f>
        <v>58.489000000000019</v>
      </c>
      <c r="AC26" s="40">
        <f>AC19+AC22+AC23+AC24</f>
        <v>60.341999999999999</v>
      </c>
      <c r="AD26" s="40">
        <f>AD19+AD22+AD23+AD24</f>
        <v>-147.84869999999992</v>
      </c>
      <c r="AE26" s="40">
        <f>AE20+AE22+AE23+AE24</f>
        <v>181.55999999999997</v>
      </c>
      <c r="AF26" s="41">
        <f>SUM(AB26:AE26)</f>
        <v>152.54230000000007</v>
      </c>
      <c r="AG26" s="40">
        <f t="shared" ref="AG26:AY26" si="6">AG20+AG22+AG23+AG24</f>
        <v>221.48700000000005</v>
      </c>
      <c r="AH26" s="40">
        <f t="shared" si="6"/>
        <v>246.34499999999986</v>
      </c>
      <c r="AI26" s="40">
        <f t="shared" si="6"/>
        <v>221.69300000000001</v>
      </c>
      <c r="AJ26" s="40">
        <f t="shared" si="6"/>
        <v>312.07299999999998</v>
      </c>
      <c r="AK26" s="41">
        <f t="shared" si="6"/>
        <v>1001.598</v>
      </c>
      <c r="AL26" s="40">
        <f t="shared" si="6"/>
        <v>374.92099999999988</v>
      </c>
      <c r="AM26" s="40">
        <f t="shared" si="6"/>
        <v>324.94200000000001</v>
      </c>
      <c r="AN26" s="40">
        <f t="shared" si="6"/>
        <v>367.60699999999997</v>
      </c>
      <c r="AO26" s="40">
        <f t="shared" si="6"/>
        <v>385.86700000000013</v>
      </c>
      <c r="AP26" s="41">
        <f t="shared" si="6"/>
        <v>1453.337</v>
      </c>
      <c r="AQ26" s="40">
        <f t="shared" si="6"/>
        <v>415.25300000000004</v>
      </c>
      <c r="AR26" s="40">
        <f t="shared" si="6"/>
        <v>432.56699999999984</v>
      </c>
      <c r="AS26" s="56">
        <f t="shared" si="6"/>
        <v>503.46099999999984</v>
      </c>
      <c r="AT26" s="56">
        <f t="shared" si="6"/>
        <v>759.35600000000011</v>
      </c>
      <c r="AU26" s="41">
        <f t="shared" si="6"/>
        <v>2110.6369999999988</v>
      </c>
      <c r="AV26" s="40">
        <f t="shared" si="6"/>
        <v>617.09999999999991</v>
      </c>
      <c r="AW26" s="40">
        <f t="shared" si="6"/>
        <v>667.19999999999982</v>
      </c>
      <c r="AX26" s="40">
        <f t="shared" si="6"/>
        <v>745.50000000000034</v>
      </c>
      <c r="AY26" s="40">
        <f t="shared" si="6"/>
        <v>917.30000000000007</v>
      </c>
      <c r="AZ26" s="41">
        <f>SUM(AV26:AY26)</f>
        <v>2947.1000000000004</v>
      </c>
      <c r="BA26" s="40">
        <f>BA20+BA22+BA23+BA24</f>
        <v>828.40000000000032</v>
      </c>
      <c r="BB26" s="40">
        <f>BB20+BB22+BB23+BB24</f>
        <v>935.50000000000011</v>
      </c>
      <c r="BC26" s="40">
        <f>BC20+BC22+BC23+BC24</f>
        <v>997.60000000000014</v>
      </c>
      <c r="BD26" s="40">
        <f>BD20+BD22+BD23+BD24</f>
        <v>921.2999999999995</v>
      </c>
      <c r="BE26" s="41">
        <f>SUM(BA26:BD26)</f>
        <v>3682.8</v>
      </c>
      <c r="BF26" s="40">
        <f t="shared" ref="BF26:BI26" si="7">BF20+BF22+BF23+BF24</f>
        <v>556.28762000000029</v>
      </c>
      <c r="BG26" s="40">
        <f t="shared" si="7"/>
        <v>893.84761700000058</v>
      </c>
      <c r="BH26" s="40">
        <f t="shared" si="7"/>
        <v>986.30705300000022</v>
      </c>
      <c r="BI26" s="40">
        <f t="shared" si="7"/>
        <v>1124.8393140000003</v>
      </c>
      <c r="BJ26" s="41">
        <f>BJ20+BJ22+BJ23+BJ24</f>
        <v>3561.2816040000007</v>
      </c>
      <c r="BK26" s="47"/>
      <c r="BL26" s="47"/>
      <c r="BM26" s="47"/>
      <c r="BN26" s="47"/>
      <c r="BO26" s="41">
        <f>BO20+BO22+BO23+BO24</f>
        <v>4274.8746345500031</v>
      </c>
      <c r="BP26" s="47"/>
      <c r="BQ26" s="47"/>
      <c r="BR26" s="47"/>
      <c r="BS26" s="47"/>
      <c r="BT26" s="41">
        <f>BT20+BT22+BT23+BT24</f>
        <v>4937.4163770882997</v>
      </c>
      <c r="BU26" s="47"/>
      <c r="BV26" s="47"/>
      <c r="BW26" s="47"/>
      <c r="BX26" s="47"/>
      <c r="BY26" s="41">
        <f>BY20+BY22+BY23+BY24</f>
        <v>5598.3191777861621</v>
      </c>
      <c r="BZ26" s="47"/>
      <c r="CA26" s="47"/>
      <c r="CB26" s="47"/>
      <c r="CC26" s="47"/>
      <c r="CD26" s="41">
        <f>CD20+CD22+CD23+CD24</f>
        <v>6129.3702462507763</v>
      </c>
      <c r="CF26" s="43"/>
    </row>
    <row r="27" spans="2:84" s="28" customFormat="1" x14ac:dyDescent="0.15">
      <c r="B27" s="43" t="s">
        <v>53</v>
      </c>
      <c r="C27" s="44">
        <v>0.58499999999999996</v>
      </c>
      <c r="D27" s="45">
        <v>2.2949999999999999</v>
      </c>
      <c r="E27" s="45">
        <v>9.0950000000000006</v>
      </c>
      <c r="F27" s="45">
        <v>10.574999999999999</v>
      </c>
      <c r="G27" s="46">
        <f>SUM(C27:F27)</f>
        <v>22.55</v>
      </c>
      <c r="H27" s="45">
        <v>4.1500000000000004</v>
      </c>
      <c r="I27" s="45">
        <v>5.35</v>
      </c>
      <c r="J27" s="45">
        <v>3.7</v>
      </c>
      <c r="K27" s="45">
        <v>1.3</v>
      </c>
      <c r="L27" s="46">
        <f>SUM(H27:K27)</f>
        <v>14.5</v>
      </c>
      <c r="M27" s="45">
        <v>5.2</v>
      </c>
      <c r="N27" s="45">
        <v>3.8</v>
      </c>
      <c r="O27" s="45">
        <v>3.5</v>
      </c>
      <c r="P27" s="45">
        <v>0.7</v>
      </c>
      <c r="Q27" s="46">
        <f>SUM(M27:P27)</f>
        <v>13.2</v>
      </c>
      <c r="R27" s="45">
        <v>5.4</v>
      </c>
      <c r="S27" s="45">
        <v>5.6</v>
      </c>
      <c r="T27" s="45">
        <v>4.5999999999999996</v>
      </c>
      <c r="U27" s="45">
        <f>-88.6+90</f>
        <v>1.4000000000000057</v>
      </c>
      <c r="V27" s="46">
        <f>SUM(R27:U27)</f>
        <v>17.000000000000007</v>
      </c>
      <c r="W27" s="45">
        <v>12.3</v>
      </c>
      <c r="X27" s="45">
        <v>3.7</v>
      </c>
      <c r="Y27" s="45">
        <v>7.5</v>
      </c>
      <c r="Z27" s="45">
        <v>10.156063193851407</v>
      </c>
      <c r="AA27" s="46">
        <f>SUM(W27:Z27)</f>
        <v>33.656063193851409</v>
      </c>
      <c r="AB27" s="45">
        <f>9.1</f>
        <v>9.1</v>
      </c>
      <c r="AC27" s="45">
        <v>5.4</v>
      </c>
      <c r="AD27" s="45">
        <v>60</v>
      </c>
      <c r="AE27" s="45">
        <f>-102.57+116.57</f>
        <v>14</v>
      </c>
      <c r="AF27" s="46">
        <f>SUM(AB27:AE27)</f>
        <v>88.5</v>
      </c>
      <c r="AG27" s="45">
        <f>-3.373+19.773</f>
        <v>16.399999999999999</v>
      </c>
      <c r="AH27" s="45">
        <f>-12.624+18.724</f>
        <v>6.1</v>
      </c>
      <c r="AI27" s="45">
        <f>-29.001+38.601</f>
        <v>9.5999999999999979</v>
      </c>
      <c r="AJ27" s="45">
        <f>-132.561+145.861</f>
        <v>13.299999999999983</v>
      </c>
      <c r="AK27" s="46">
        <f>SUM(AG27:AJ27)</f>
        <v>45.399999999999977</v>
      </c>
      <c r="AL27" s="45">
        <f>-0.26+14.859</f>
        <v>14.599</v>
      </c>
      <c r="AM27" s="45">
        <f>4.55+5.85</f>
        <v>10.399999999999999</v>
      </c>
      <c r="AN27" s="45">
        <f>-96.992+107.093</f>
        <v>10.100999999999999</v>
      </c>
      <c r="AO27" s="45">
        <f>-185.501+191.801</f>
        <v>6.2999999999999829</v>
      </c>
      <c r="AP27" s="46">
        <f>SUM(AL27:AO27)</f>
        <v>41.399999999999977</v>
      </c>
      <c r="AQ27" s="45">
        <f>-27.264+37.355</f>
        <v>10.090999999999998</v>
      </c>
      <c r="AR27" s="45">
        <f>-51.211+63.22</f>
        <v>12.009</v>
      </c>
      <c r="AS27" s="45">
        <f>-169.225+185.611</f>
        <v>16.385999999999996</v>
      </c>
      <c r="AT27" s="45">
        <f>-203.083+229.698</f>
        <v>26.615000000000009</v>
      </c>
      <c r="AU27" s="46">
        <f>SUM(AQ27:AT27)</f>
        <v>65.100999999999999</v>
      </c>
      <c r="AV27" s="45">
        <f>25.1-10</f>
        <v>15.100000000000001</v>
      </c>
      <c r="AW27" s="45">
        <f>-1+21.4</f>
        <v>20.399999999999999</v>
      </c>
      <c r="AX27" s="45">
        <f>100.3-74.6</f>
        <v>25.700000000000003</v>
      </c>
      <c r="AY27" s="45">
        <f>56-18.6</f>
        <v>37.4</v>
      </c>
      <c r="AZ27" s="46">
        <f>SUM(AV27:AY27)</f>
        <v>98.6</v>
      </c>
      <c r="BA27" s="45">
        <f>80.9-62.6</f>
        <v>18.300000000000004</v>
      </c>
      <c r="BB27" s="45">
        <f>-13.1+50.1</f>
        <v>37</v>
      </c>
      <c r="BC27" s="45">
        <f>-57.4+91.5</f>
        <v>34.1</v>
      </c>
      <c r="BD27" s="45">
        <f>123.8+83.2-160.9</f>
        <v>46.099999999999994</v>
      </c>
      <c r="BE27" s="46">
        <f>SUM(BA27:BD27)</f>
        <v>135.5</v>
      </c>
      <c r="BF27" s="45">
        <f t="shared" ref="BF27:BI27" si="8">BF26*BF58</f>
        <v>83.443143000000035</v>
      </c>
      <c r="BG27" s="45">
        <f t="shared" si="8"/>
        <v>134.07714255000008</v>
      </c>
      <c r="BH27" s="45">
        <f t="shared" si="8"/>
        <v>147.94605795000004</v>
      </c>
      <c r="BI27" s="45">
        <f t="shared" si="8"/>
        <v>168.72589710000003</v>
      </c>
      <c r="BJ27" s="46">
        <f>SUM(BF27:BI27)</f>
        <v>534.1922406000001</v>
      </c>
      <c r="BK27" s="47"/>
      <c r="BL27" s="47"/>
      <c r="BM27" s="47"/>
      <c r="BN27" s="47"/>
      <c r="BO27" s="46">
        <f>BO26*BO58</f>
        <v>641.23119518250041</v>
      </c>
      <c r="BP27" s="47"/>
      <c r="BQ27" s="47"/>
      <c r="BR27" s="47"/>
      <c r="BS27" s="47"/>
      <c r="BT27" s="46">
        <f>BT26*BT58</f>
        <v>740.6124565632449</v>
      </c>
      <c r="BU27" s="47"/>
      <c r="BV27" s="47"/>
      <c r="BW27" s="47"/>
      <c r="BX27" s="47"/>
      <c r="BY27" s="46">
        <f>BY26*BY58</f>
        <v>839.74787666792429</v>
      </c>
      <c r="BZ27" s="47"/>
      <c r="CA27" s="47"/>
      <c r="CB27" s="47"/>
      <c r="CC27" s="47"/>
      <c r="CD27" s="46">
        <f>CD26*CD58</f>
        <v>919.40553693761638</v>
      </c>
      <c r="CF27" s="43" t="s">
        <v>54</v>
      </c>
    </row>
    <row r="28" spans="2:84" s="28" customFormat="1" x14ac:dyDescent="0.15">
      <c r="B28" s="43" t="s">
        <v>55</v>
      </c>
      <c r="C28" s="44"/>
      <c r="D28" s="45"/>
      <c r="E28" s="45">
        <v>-7.6360000000000001</v>
      </c>
      <c r="F28" s="45">
        <v>-0.79700000000000004</v>
      </c>
      <c r="G28" s="46"/>
      <c r="H28" s="45">
        <v>-4.12</v>
      </c>
      <c r="I28" s="45">
        <v>0.27200000000000002</v>
      </c>
      <c r="J28" s="45">
        <v>0</v>
      </c>
      <c r="K28" s="45"/>
      <c r="L28" s="46"/>
      <c r="M28" s="45"/>
      <c r="N28" s="45"/>
      <c r="O28" s="45"/>
      <c r="P28" s="45"/>
      <c r="Q28" s="46"/>
      <c r="R28" s="45"/>
      <c r="S28" s="45"/>
      <c r="T28" s="45"/>
      <c r="U28" s="45"/>
      <c r="V28" s="46"/>
      <c r="W28" s="45"/>
      <c r="X28" s="45"/>
      <c r="Y28" s="47"/>
      <c r="Z28" s="47"/>
      <c r="AA28" s="43"/>
      <c r="AB28" s="45"/>
      <c r="AC28" s="45"/>
      <c r="AD28" s="45"/>
      <c r="AE28" s="45"/>
      <c r="AF28" s="43"/>
      <c r="AG28" s="47"/>
      <c r="AH28" s="47"/>
      <c r="AI28" s="47"/>
      <c r="AJ28" s="47"/>
      <c r="AK28" s="43"/>
      <c r="AL28" s="47"/>
      <c r="AM28" s="47"/>
      <c r="AN28" s="47"/>
      <c r="AO28" s="47"/>
      <c r="AP28" s="43"/>
      <c r="AQ28" s="47"/>
      <c r="AR28" s="47"/>
      <c r="AS28" s="47"/>
      <c r="AT28" s="47"/>
      <c r="AU28" s="43"/>
      <c r="AZ28" s="43"/>
      <c r="BA28" s="47"/>
      <c r="BB28" s="47"/>
      <c r="BC28" s="47"/>
      <c r="BD28" s="47"/>
      <c r="BE28" s="43"/>
      <c r="BF28" s="47"/>
      <c r="BG28" s="47"/>
      <c r="BH28" s="47"/>
      <c r="BI28" s="47"/>
      <c r="BJ28" s="43"/>
      <c r="BK28" s="47"/>
      <c r="BL28" s="47"/>
      <c r="BM28" s="47"/>
      <c r="BN28" s="47"/>
      <c r="BO28" s="43"/>
      <c r="BP28" s="47"/>
      <c r="BQ28" s="47"/>
      <c r="BR28" s="47"/>
      <c r="BS28" s="47"/>
      <c r="BT28" s="43"/>
      <c r="BU28" s="47"/>
      <c r="BV28" s="47"/>
      <c r="BW28" s="47"/>
      <c r="BX28" s="47"/>
      <c r="BY28" s="43"/>
      <c r="BZ28" s="47"/>
      <c r="CA28" s="47"/>
      <c r="CB28" s="47"/>
      <c r="CC28" s="47"/>
      <c r="CD28" s="43"/>
      <c r="CF28" s="43"/>
    </row>
    <row r="29" spans="2:84" s="28" customFormat="1" x14ac:dyDescent="0.15">
      <c r="B29" s="43" t="s">
        <v>56</v>
      </c>
      <c r="C29" s="44"/>
      <c r="D29" s="45"/>
      <c r="E29" s="45"/>
      <c r="F29" s="45"/>
      <c r="G29" s="46"/>
      <c r="H29" s="45"/>
      <c r="I29" s="45"/>
      <c r="J29" s="45"/>
      <c r="K29" s="45"/>
      <c r="L29" s="46"/>
      <c r="M29" s="45"/>
      <c r="N29" s="45"/>
      <c r="O29" s="45"/>
      <c r="P29" s="45"/>
      <c r="Q29" s="46"/>
      <c r="R29" s="45"/>
      <c r="S29" s="45"/>
      <c r="T29" s="45"/>
      <c r="U29" s="45"/>
      <c r="V29" s="46"/>
      <c r="W29" s="45"/>
      <c r="X29" s="45"/>
      <c r="Y29" s="47"/>
      <c r="Z29" s="47"/>
      <c r="AA29" s="43"/>
      <c r="AB29" s="45"/>
      <c r="AC29" s="45"/>
      <c r="AD29" s="45"/>
      <c r="AE29" s="45"/>
      <c r="AF29" s="43"/>
      <c r="AG29" s="47"/>
      <c r="AH29" s="47"/>
      <c r="AI29" s="47"/>
      <c r="AJ29" s="47"/>
      <c r="AK29" s="43"/>
      <c r="AL29" s="47"/>
      <c r="AM29" s="47"/>
      <c r="AN29" s="47"/>
      <c r="AO29" s="47"/>
      <c r="AP29" s="43"/>
      <c r="AQ29" s="47"/>
      <c r="AR29" s="47"/>
      <c r="AS29" s="47">
        <v>1.268</v>
      </c>
      <c r="AT29" s="45">
        <v>1.2050000000000001</v>
      </c>
      <c r="AU29" s="43">
        <f>SUM(AQ29:AT29)</f>
        <v>2.4729999999999999</v>
      </c>
      <c r="AV29" s="45">
        <f>2.3</f>
        <v>2.2999999999999998</v>
      </c>
      <c r="AW29" s="45">
        <v>-3.8</v>
      </c>
      <c r="AX29" s="45">
        <v>1</v>
      </c>
      <c r="AY29" s="45">
        <f>-0.8</f>
        <v>-0.8</v>
      </c>
      <c r="AZ29" s="43">
        <f>SUM(AV29:AY29)</f>
        <v>-1.3</v>
      </c>
      <c r="BA29" s="47">
        <v>0.8</v>
      </c>
      <c r="BB29" s="47">
        <v>1.4</v>
      </c>
      <c r="BC29" s="47">
        <v>2.2000000000000002</v>
      </c>
      <c r="BD29" s="47">
        <v>-0.5</v>
      </c>
      <c r="BE29" s="43">
        <f>SUM(BA29:BD29)</f>
        <v>3.9000000000000004</v>
      </c>
      <c r="BF29" s="47">
        <v>0</v>
      </c>
      <c r="BG29" s="47">
        <v>0</v>
      </c>
      <c r="BH29" s="47">
        <v>0</v>
      </c>
      <c r="BI29" s="47">
        <v>0</v>
      </c>
      <c r="BJ29" s="50">
        <v>0</v>
      </c>
      <c r="BK29" s="47"/>
      <c r="BL29" s="47"/>
      <c r="BM29" s="47"/>
      <c r="BN29" s="47"/>
      <c r="BO29" s="50">
        <v>0</v>
      </c>
      <c r="BP29" s="47"/>
      <c r="BQ29" s="47"/>
      <c r="BR29" s="47"/>
      <c r="BS29" s="47"/>
      <c r="BT29" s="50">
        <v>0</v>
      </c>
      <c r="BU29" s="47"/>
      <c r="BV29" s="47"/>
      <c r="BW29" s="47"/>
      <c r="BX29" s="47"/>
      <c r="BY29" s="50">
        <v>0</v>
      </c>
      <c r="BZ29" s="47"/>
      <c r="CA29" s="47"/>
      <c r="CB29" s="47"/>
      <c r="CC29" s="47"/>
      <c r="CD29" s="50">
        <v>0</v>
      </c>
      <c r="CF29" s="43"/>
    </row>
    <row r="30" spans="2:84" s="28" customFormat="1" x14ac:dyDescent="0.15">
      <c r="B30" s="43"/>
      <c r="C30" s="44"/>
      <c r="D30" s="45"/>
      <c r="E30" s="45"/>
      <c r="F30" s="45"/>
      <c r="G30" s="46"/>
      <c r="H30" s="45"/>
      <c r="I30" s="45"/>
      <c r="J30" s="45"/>
      <c r="K30" s="45"/>
      <c r="L30" s="46"/>
      <c r="M30" s="45"/>
      <c r="N30" s="45"/>
      <c r="O30" s="45"/>
      <c r="P30" s="45"/>
      <c r="Q30" s="46"/>
      <c r="R30" s="45"/>
      <c r="S30" s="45"/>
      <c r="T30" s="45"/>
      <c r="U30" s="45"/>
      <c r="V30" s="46"/>
      <c r="W30" s="45"/>
      <c r="X30" s="45"/>
      <c r="Y30" s="47"/>
      <c r="Z30" s="47"/>
      <c r="AA30" s="43"/>
      <c r="AB30" s="45"/>
      <c r="AC30" s="45"/>
      <c r="AD30" s="45"/>
      <c r="AE30" s="45"/>
      <c r="AF30" s="43"/>
      <c r="AG30" s="47"/>
      <c r="AH30" s="57"/>
      <c r="AI30" s="47"/>
      <c r="AJ30" s="47"/>
      <c r="AK30" s="43"/>
      <c r="AL30" s="47"/>
      <c r="AM30" s="47"/>
      <c r="AN30" s="47"/>
      <c r="AO30" s="47"/>
      <c r="AP30" s="43"/>
      <c r="AQ30" s="47"/>
      <c r="AR30" s="52"/>
      <c r="AS30" s="52"/>
      <c r="AT30" s="47"/>
      <c r="AU30" s="43"/>
      <c r="AZ30" s="43"/>
      <c r="BA30" s="47"/>
      <c r="BB30" s="47"/>
      <c r="BC30" s="47"/>
      <c r="BD30" s="47"/>
      <c r="BE30" s="43"/>
      <c r="BF30" s="47"/>
      <c r="BG30" s="47"/>
      <c r="BH30" s="47"/>
      <c r="BI30" s="47"/>
      <c r="BJ30" s="58"/>
      <c r="BK30" s="47"/>
      <c r="BL30" s="47"/>
      <c r="BM30" s="47"/>
      <c r="BN30" s="47"/>
      <c r="BO30" s="58"/>
      <c r="BP30" s="47"/>
      <c r="BQ30" s="47"/>
      <c r="BR30" s="47"/>
      <c r="BS30" s="47"/>
      <c r="BT30" s="58"/>
      <c r="BU30" s="47"/>
      <c r="BV30" s="47"/>
      <c r="BW30" s="47"/>
      <c r="BX30" s="47"/>
      <c r="BY30" s="43"/>
      <c r="BZ30" s="47"/>
      <c r="CA30" s="47"/>
      <c r="CB30" s="47"/>
      <c r="CC30" s="47"/>
      <c r="CD30" s="43"/>
      <c r="CF30" s="43"/>
    </row>
    <row r="31" spans="2:84" s="28" customFormat="1" x14ac:dyDescent="0.15">
      <c r="B31" s="43" t="s">
        <v>57</v>
      </c>
      <c r="C31" s="44"/>
      <c r="D31" s="45"/>
      <c r="E31" s="45"/>
      <c r="F31" s="45"/>
      <c r="G31" s="41">
        <f>SUM(C32:F32)</f>
        <v>287.83799999999997</v>
      </c>
      <c r="H31" s="40">
        <f>H26-H27+H28</f>
        <v>65.394000000000005</v>
      </c>
      <c r="I31" s="40">
        <f>I26-I27+I28</f>
        <v>83.642999999999972</v>
      </c>
      <c r="J31" s="40">
        <f>J26-J27+J28</f>
        <v>133.804</v>
      </c>
      <c r="K31" s="40">
        <f>K26-K27+K28</f>
        <v>149.67800000000005</v>
      </c>
      <c r="L31" s="41">
        <f>SUM(H31:K31)</f>
        <v>432.51900000000006</v>
      </c>
      <c r="M31" s="40">
        <f>M26-M27</f>
        <v>95.176000000000002</v>
      </c>
      <c r="N31" s="40">
        <f>N26-N27</f>
        <v>63.552000000000007</v>
      </c>
      <c r="O31" s="40">
        <f>O26-O27</f>
        <v>62.162999999999982</v>
      </c>
      <c r="P31" s="40">
        <f>P26-P27</f>
        <v>72.697999999999979</v>
      </c>
      <c r="Q31" s="41">
        <f>SUM(M31:P31)</f>
        <v>293.58899999999994</v>
      </c>
      <c r="R31" s="40">
        <f>R26-R27</f>
        <v>69.086999999999975</v>
      </c>
      <c r="S31" s="40">
        <f>S26-S27</f>
        <v>59.612999999999992</v>
      </c>
      <c r="T31" s="40">
        <f>T26-T27</f>
        <v>55.818999999999981</v>
      </c>
      <c r="U31" s="40">
        <f>U26-U27</f>
        <v>54.187999999999988</v>
      </c>
      <c r="V31" s="41">
        <f>SUM(R31:U31)</f>
        <v>238.70699999999994</v>
      </c>
      <c r="W31" s="40">
        <f>W26-W27</f>
        <v>44.698999999999984</v>
      </c>
      <c r="X31" s="40">
        <f>X26-X27</f>
        <v>53.452000000000012</v>
      </c>
      <c r="Y31" s="40">
        <f>Y26-Y27</f>
        <v>51.04999999999999</v>
      </c>
      <c r="Z31" s="40">
        <f>Z26-Z27</f>
        <v>69.128936806148573</v>
      </c>
      <c r="AA31" s="41">
        <f>SUM(W31:Z31)</f>
        <v>218.32993680614857</v>
      </c>
      <c r="AB31" s="40">
        <f>AB26-AB27</f>
        <v>49.389000000000017</v>
      </c>
      <c r="AC31" s="40">
        <f>AC26-AC27</f>
        <v>54.942</v>
      </c>
      <c r="AD31" s="40">
        <f>AD26-AD27</f>
        <v>-207.84869999999992</v>
      </c>
      <c r="AE31" s="45"/>
      <c r="AF31" s="43"/>
      <c r="AJ31" s="47"/>
      <c r="AK31" s="43"/>
      <c r="AL31" s="47"/>
      <c r="AM31" s="52"/>
      <c r="AN31" s="52"/>
      <c r="AO31" s="47"/>
      <c r="AP31" s="43"/>
      <c r="AQ31" s="47"/>
      <c r="AR31" s="47"/>
      <c r="AS31" s="47"/>
      <c r="AT31" s="47"/>
      <c r="AU31" s="43"/>
      <c r="AV31" s="28">
        <f>AV32-599.7</f>
        <v>0</v>
      </c>
      <c r="AW31" s="28">
        <f>AV31/2</f>
        <v>0</v>
      </c>
      <c r="AZ31" s="43"/>
      <c r="BA31" s="47"/>
      <c r="BB31" s="47"/>
      <c r="BC31" s="47"/>
      <c r="BD31" s="47"/>
      <c r="BE31" s="59"/>
      <c r="BF31" s="47"/>
      <c r="BG31" s="47"/>
      <c r="BH31" s="47"/>
      <c r="BI31" s="47"/>
      <c r="BJ31" s="59"/>
      <c r="BK31" s="47"/>
      <c r="BL31" s="47"/>
      <c r="BM31" s="47"/>
      <c r="BN31" s="47"/>
      <c r="BO31" s="60"/>
      <c r="BP31" s="47"/>
      <c r="BQ31" s="47"/>
      <c r="BR31" s="47"/>
      <c r="BS31" s="47"/>
      <c r="BT31" s="61"/>
      <c r="BU31" s="47"/>
      <c r="BV31" s="47"/>
      <c r="BW31" s="47"/>
      <c r="BX31" s="47"/>
      <c r="BY31" s="43"/>
      <c r="BZ31" s="47"/>
      <c r="CA31" s="47"/>
      <c r="CB31" s="47"/>
      <c r="CC31" s="47"/>
      <c r="CD31" s="43"/>
      <c r="CF31" s="43"/>
    </row>
    <row r="32" spans="2:84" s="28" customFormat="1" x14ac:dyDescent="0.15">
      <c r="B32" s="38" t="s">
        <v>58</v>
      </c>
      <c r="C32" s="39">
        <f>C26-C27+C28</f>
        <v>11.939999999999984</v>
      </c>
      <c r="D32" s="40">
        <f>D26-D27+D28</f>
        <v>49.289999999999985</v>
      </c>
      <c r="E32" s="40">
        <f>E26-E27+E28</f>
        <v>104.51400000000002</v>
      </c>
      <c r="F32" s="40">
        <f>F26-F27+F28</f>
        <v>122.09399999999995</v>
      </c>
      <c r="G32" s="41">
        <f t="shared" ref="G32:AA32" si="9">G31+G16</f>
        <v>350.23399999999998</v>
      </c>
      <c r="H32" s="28">
        <f t="shared" si="9"/>
        <v>80.218000000000004</v>
      </c>
      <c r="I32" s="28">
        <f t="shared" si="9"/>
        <v>98.467999999999975</v>
      </c>
      <c r="J32" s="28">
        <f t="shared" si="9"/>
        <v>148.62800000000001</v>
      </c>
      <c r="K32" s="28">
        <f t="shared" si="9"/>
        <v>161.66200000000006</v>
      </c>
      <c r="L32" s="41">
        <f t="shared" si="9"/>
        <v>488.97600000000006</v>
      </c>
      <c r="M32" s="28">
        <f t="shared" si="9"/>
        <v>107.157</v>
      </c>
      <c r="N32" s="28">
        <f t="shared" si="9"/>
        <v>75.534000000000006</v>
      </c>
      <c r="O32" s="28">
        <f t="shared" si="9"/>
        <v>74.141999999999982</v>
      </c>
      <c r="P32" s="28">
        <f t="shared" si="9"/>
        <v>84.804999999999978</v>
      </c>
      <c r="Q32" s="41">
        <f t="shared" si="9"/>
        <v>341.63799999999992</v>
      </c>
      <c r="R32" s="28">
        <f t="shared" si="9"/>
        <v>80.780999999999977</v>
      </c>
      <c r="S32" s="28">
        <f t="shared" si="9"/>
        <v>71.303999999999988</v>
      </c>
      <c r="T32" s="28">
        <f t="shared" si="9"/>
        <v>68.160999999999987</v>
      </c>
      <c r="U32" s="28">
        <f t="shared" si="9"/>
        <v>69.829999999999984</v>
      </c>
      <c r="V32" s="41">
        <f t="shared" si="9"/>
        <v>290.07599999999991</v>
      </c>
      <c r="W32" s="28">
        <f t="shared" si="9"/>
        <v>60.201999999999984</v>
      </c>
      <c r="X32" s="28">
        <f t="shared" si="9"/>
        <v>75.230000000000018</v>
      </c>
      <c r="Y32" s="28">
        <f t="shared" si="9"/>
        <v>84.170999999999992</v>
      </c>
      <c r="Z32" s="28">
        <f t="shared" si="9"/>
        <v>103.45693680614858</v>
      </c>
      <c r="AA32" s="41">
        <f t="shared" si="9"/>
        <v>323.05993680614858</v>
      </c>
      <c r="AB32" s="28">
        <f>AB31+AB16</f>
        <v>82.38900000000001</v>
      </c>
      <c r="AC32" s="28">
        <f>AC31+AC16</f>
        <v>88.24199999999999</v>
      </c>
      <c r="AD32" s="28">
        <f>AD31+AD16</f>
        <v>-172.34969999999993</v>
      </c>
      <c r="AE32" s="40">
        <f>AE26-AE27</f>
        <v>167.55999999999997</v>
      </c>
      <c r="AF32" s="41">
        <f>SUM(AB32:AE32)</f>
        <v>165.84130000000005</v>
      </c>
      <c r="AG32" s="40">
        <f>AG26-AG27</f>
        <v>205.08700000000005</v>
      </c>
      <c r="AH32" s="40">
        <f>AH26-AH27</f>
        <v>240.24499999999986</v>
      </c>
      <c r="AI32" s="40">
        <f>AI26-AI27</f>
        <v>212.09300000000002</v>
      </c>
      <c r="AJ32" s="40">
        <f>AJ26-AJ27</f>
        <v>298.77300000000002</v>
      </c>
      <c r="AK32" s="41">
        <f>SUM(AG32:AJ32)</f>
        <v>956.19799999999998</v>
      </c>
      <c r="AL32" s="40">
        <f>AL26-AL27</f>
        <v>360.32199999999989</v>
      </c>
      <c r="AM32" s="40">
        <f>AM26-AM27</f>
        <v>314.54200000000003</v>
      </c>
      <c r="AN32" s="40">
        <f>AN26-AN27</f>
        <v>357.50599999999997</v>
      </c>
      <c r="AO32" s="40">
        <f>AO26-AO27</f>
        <v>379.56700000000012</v>
      </c>
      <c r="AP32" s="41">
        <f>SUM(AL32:AO32)</f>
        <v>1411.9369999999999</v>
      </c>
      <c r="AQ32" s="40">
        <f>AQ26-AQ27-AQ29</f>
        <v>405.16200000000003</v>
      </c>
      <c r="AR32" s="40">
        <f>AR26-AR27-AR29</f>
        <v>420.55799999999982</v>
      </c>
      <c r="AS32" s="40">
        <f>AS26-AS27-AS29</f>
        <v>485.80699999999985</v>
      </c>
      <c r="AT32" s="40">
        <f t="shared" ref="AT32:AY32" si="10">AT26-AT27-AT29</f>
        <v>731.53600000000006</v>
      </c>
      <c r="AU32" s="41">
        <f>SUM(AQ32:AT32)</f>
        <v>2043.0629999999996</v>
      </c>
      <c r="AV32" s="40">
        <f>AV26-AV27-AV29</f>
        <v>599.69999999999993</v>
      </c>
      <c r="AW32" s="40">
        <f>AW26-AW27-AW29</f>
        <v>650.5999999999998</v>
      </c>
      <c r="AX32" s="40">
        <f t="shared" si="10"/>
        <v>718.8000000000003</v>
      </c>
      <c r="AY32" s="40">
        <f t="shared" si="10"/>
        <v>880.7</v>
      </c>
      <c r="AZ32" s="41">
        <f>SUM(AV32:AY32)</f>
        <v>2849.8</v>
      </c>
      <c r="BA32" s="40">
        <f>BA26-BA27-BA29</f>
        <v>809.30000000000041</v>
      </c>
      <c r="BB32" s="40">
        <f>BB26-BB27-BB29</f>
        <v>897.10000000000014</v>
      </c>
      <c r="BC32" s="40">
        <f>BC26-BC27-BC29</f>
        <v>961.30000000000007</v>
      </c>
      <c r="BD32" s="40">
        <f>BD26-BD27-BD29</f>
        <v>875.69999999999948</v>
      </c>
      <c r="BE32" s="41">
        <f>SUM(BA32:BD32)</f>
        <v>3543.4</v>
      </c>
      <c r="BF32" s="47">
        <f>BF26-BF27-BF29</f>
        <v>472.84447700000027</v>
      </c>
      <c r="BG32" s="47">
        <f>BG26-BG27-BG29</f>
        <v>759.77047445000051</v>
      </c>
      <c r="BH32" s="47">
        <f>BH26-BH27-BH29</f>
        <v>838.36099505000016</v>
      </c>
      <c r="BI32" s="47">
        <f>BI26-BI27-BI29</f>
        <v>956.11341690000029</v>
      </c>
      <c r="BJ32" s="41">
        <f>BJ26-BJ27-BJ29</f>
        <v>3027.0893634000004</v>
      </c>
      <c r="BK32" s="47"/>
      <c r="BL32" s="47"/>
      <c r="BM32" s="47"/>
      <c r="BN32" s="47"/>
      <c r="BO32" s="41">
        <f t="shared" ref="BO32:BT32" si="11">BO26-BO27-BO29</f>
        <v>3633.6434393675027</v>
      </c>
      <c r="BP32" s="47">
        <f t="shared" si="11"/>
        <v>0</v>
      </c>
      <c r="BQ32" s="47">
        <f t="shared" si="11"/>
        <v>0</v>
      </c>
      <c r="BR32" s="47">
        <f t="shared" si="11"/>
        <v>0</v>
      </c>
      <c r="BS32" s="47">
        <f t="shared" si="11"/>
        <v>0</v>
      </c>
      <c r="BT32" s="41">
        <f t="shared" si="11"/>
        <v>4196.8039205250552</v>
      </c>
      <c r="BU32" s="47"/>
      <c r="BV32" s="47"/>
      <c r="BW32" s="47"/>
      <c r="BX32" s="47"/>
      <c r="BY32" s="41">
        <f t="shared" ref="BY32:CD32" si="12">BY26-BY27-BY29</f>
        <v>4758.5713011182379</v>
      </c>
      <c r="BZ32" s="47">
        <f t="shared" si="12"/>
        <v>0</v>
      </c>
      <c r="CA32" s="47">
        <f t="shared" si="12"/>
        <v>0</v>
      </c>
      <c r="CB32" s="47">
        <f t="shared" si="12"/>
        <v>0</v>
      </c>
      <c r="CC32" s="47">
        <f t="shared" si="12"/>
        <v>0</v>
      </c>
      <c r="CD32" s="41">
        <f t="shared" si="12"/>
        <v>5209.9647093131598</v>
      </c>
      <c r="CF32" s="43"/>
    </row>
    <row r="33" spans="1:84" s="28" customFormat="1" x14ac:dyDescent="0.15">
      <c r="B33" s="43" t="s">
        <v>59</v>
      </c>
      <c r="C33" s="44">
        <v>159.447</v>
      </c>
      <c r="D33" s="45">
        <v>159.441</v>
      </c>
      <c r="E33" s="45">
        <v>159.583</v>
      </c>
      <c r="F33" s="45">
        <v>160.25</v>
      </c>
      <c r="G33" s="46">
        <v>159.25800000000001</v>
      </c>
      <c r="H33" s="45">
        <v>159.73699999999999</v>
      </c>
      <c r="I33" s="45">
        <v>160.071</v>
      </c>
      <c r="J33" s="45">
        <v>160.232</v>
      </c>
      <c r="K33" s="45">
        <v>160.26499999999999</v>
      </c>
      <c r="L33" s="46">
        <v>159.25800000000001</v>
      </c>
      <c r="M33" s="45">
        <v>160.458</v>
      </c>
      <c r="N33" s="45">
        <v>160.988</v>
      </c>
      <c r="O33" s="45">
        <v>161.02000000000001</v>
      </c>
      <c r="P33" s="45">
        <v>161.024</v>
      </c>
      <c r="Q33" s="46">
        <v>160.875</v>
      </c>
      <c r="R33" s="45">
        <v>161.024</v>
      </c>
      <c r="S33" s="45">
        <v>160.709</v>
      </c>
      <c r="T33" s="45">
        <v>158.715</v>
      </c>
      <c r="U33" s="45">
        <v>158.495</v>
      </c>
      <c r="V33" s="46">
        <v>159.72999999999999</v>
      </c>
      <c r="W33" s="45">
        <v>158.27000000000001</v>
      </c>
      <c r="X33" s="45">
        <v>158.33099999999999</v>
      </c>
      <c r="Y33" s="45">
        <v>158.65199999999999</v>
      </c>
      <c r="Z33" s="45">
        <v>158.785</v>
      </c>
      <c r="AA33" s="46">
        <f>AVERAGE(W33:Z33)</f>
        <v>158.5095</v>
      </c>
      <c r="AB33" s="45">
        <v>158.387</v>
      </c>
      <c r="AC33" s="45">
        <v>161.01900000000001</v>
      </c>
      <c r="AD33" s="45">
        <v>163.29499999999999</v>
      </c>
      <c r="AE33" s="45">
        <v>330.452</v>
      </c>
      <c r="AF33" s="46">
        <f>AVERAGE(AB33:AE33)</f>
        <v>203.28825000000001</v>
      </c>
      <c r="AG33" s="45">
        <v>332.9</v>
      </c>
      <c r="AH33" s="45">
        <v>331.36900000000003</v>
      </c>
      <c r="AI33" s="45">
        <v>322.78300000000002</v>
      </c>
      <c r="AJ33" s="45">
        <v>317.39</v>
      </c>
      <c r="AK33" s="46">
        <f>AVERAGE(AG33:AJ33)</f>
        <v>326.1105</v>
      </c>
      <c r="AL33" s="45">
        <v>316.39699999999999</v>
      </c>
      <c r="AM33" s="45">
        <v>312.63099999999997</v>
      </c>
      <c r="AN33" s="45">
        <v>311.74299999999999</v>
      </c>
      <c r="AO33" s="45">
        <v>311.73899999999998</v>
      </c>
      <c r="AP33" s="46">
        <f>AVERAGE(AL33:AO33)</f>
        <v>313.1275</v>
      </c>
      <c r="AQ33" s="45">
        <v>312.35000000000002</v>
      </c>
      <c r="AR33" s="45">
        <v>314.447</v>
      </c>
      <c r="AS33" s="45">
        <v>340.22300000000001</v>
      </c>
      <c r="AT33" s="45">
        <v>340.86500000000001</v>
      </c>
      <c r="AU33" s="46">
        <v>327.46600000000001</v>
      </c>
      <c r="AV33" s="45">
        <v>341.5</v>
      </c>
      <c r="AW33" s="45">
        <v>341.3</v>
      </c>
      <c r="AX33" s="45">
        <f>341.3</f>
        <v>341.3</v>
      </c>
      <c r="AY33" s="45">
        <f>341.9</f>
        <v>341.9</v>
      </c>
      <c r="AZ33" s="46">
        <f>AVERAGE(AV33:AY33)</f>
        <v>341.5</v>
      </c>
      <c r="BA33" s="49">
        <v>343.4</v>
      </c>
      <c r="BB33" s="49">
        <v>350.9</v>
      </c>
      <c r="BC33" s="45">
        <v>351</v>
      </c>
      <c r="BD33" s="45">
        <v>349.9</v>
      </c>
      <c r="BE33" s="55">
        <f>AVERAGE(BA33:BD33)</f>
        <v>348.79999999999995</v>
      </c>
      <c r="BF33" s="45">
        <f>BD33+'BS &amp; CF'!AR126/2</f>
        <v>349.9</v>
      </c>
      <c r="BG33" s="45">
        <f>BF33+'BS &amp; CF'!AS126/2</f>
        <v>349.9</v>
      </c>
      <c r="BH33" s="45">
        <f>BG33+'BS &amp; CF'!AT126/2</f>
        <v>349.9</v>
      </c>
      <c r="BI33" s="45">
        <f>BH33+'BS &amp; CF'!AU126/2</f>
        <v>349.9</v>
      </c>
      <c r="BJ33" s="55">
        <f>AVERAGE(BF33:BI33)</f>
        <v>349.9</v>
      </c>
      <c r="BK33" s="47"/>
      <c r="BL33" s="47"/>
      <c r="BM33" s="47"/>
      <c r="BN33" s="47"/>
      <c r="BO33" s="46">
        <f>BJ33*1.01+'BS &amp; CF'!BA126</f>
        <v>353.399</v>
      </c>
      <c r="BP33" s="47"/>
      <c r="BQ33" s="47"/>
      <c r="BR33" s="47"/>
      <c r="BS33" s="47"/>
      <c r="BT33" s="46">
        <f>BO33*1.01+'BS &amp; CF'!BF126</f>
        <v>352.64049658172468</v>
      </c>
      <c r="BU33" s="47"/>
      <c r="BV33" s="47"/>
      <c r="BW33" s="47"/>
      <c r="BX33" s="47"/>
      <c r="BY33" s="46">
        <f>BT33*1.01+'BS &amp; CF'!BK126</f>
        <v>352.14741117578171</v>
      </c>
      <c r="BZ33" s="47"/>
      <c r="CA33" s="47"/>
      <c r="CB33" s="47"/>
      <c r="CC33" s="47"/>
      <c r="CD33" s="46">
        <f>BY33*1.01+'BS &amp; CF'!BP126</f>
        <v>351.85452370418625</v>
      </c>
      <c r="CF33" s="43"/>
    </row>
    <row r="34" spans="1:84" s="28" customFormat="1" x14ac:dyDescent="0.15">
      <c r="B34" s="43"/>
      <c r="C34" s="44"/>
      <c r="D34" s="45"/>
      <c r="E34" s="45"/>
      <c r="F34" s="45"/>
      <c r="G34" s="46"/>
      <c r="H34" s="45"/>
      <c r="I34" s="45"/>
      <c r="J34" s="45"/>
      <c r="K34" s="45"/>
      <c r="L34" s="46"/>
      <c r="M34" s="45"/>
      <c r="N34" s="45"/>
      <c r="O34" s="45"/>
      <c r="P34" s="45"/>
      <c r="Q34" s="46"/>
      <c r="R34" s="45"/>
      <c r="S34" s="45"/>
      <c r="T34" s="45"/>
      <c r="U34" s="45"/>
      <c r="V34" s="46"/>
      <c r="W34" s="45"/>
      <c r="X34" s="45"/>
      <c r="Y34" s="47"/>
      <c r="Z34" s="47"/>
      <c r="AA34" s="43"/>
      <c r="AB34" s="45"/>
      <c r="AC34" s="45"/>
      <c r="AD34" s="45"/>
      <c r="AE34" s="45"/>
      <c r="AF34" s="43"/>
      <c r="AG34" s="47"/>
      <c r="AH34" s="47"/>
      <c r="AI34" s="47"/>
      <c r="AJ34" s="47" t="s">
        <v>39</v>
      </c>
      <c r="AK34" s="43"/>
      <c r="AL34" s="47"/>
      <c r="AM34" s="47"/>
      <c r="AN34" s="47"/>
      <c r="AO34" s="47"/>
      <c r="AP34" s="43"/>
      <c r="AQ34" s="47"/>
      <c r="AR34" s="47"/>
      <c r="AS34" s="52"/>
      <c r="AT34" s="47"/>
      <c r="AU34" s="59"/>
      <c r="AV34" s="62"/>
      <c r="AW34" s="63"/>
      <c r="AZ34" s="43"/>
      <c r="BA34" s="47"/>
      <c r="BB34" s="47"/>
      <c r="BC34" s="47"/>
      <c r="BD34" s="47"/>
      <c r="BE34" s="43"/>
      <c r="BF34" s="47"/>
      <c r="BG34" s="47"/>
      <c r="BH34" s="47"/>
      <c r="BI34" s="47"/>
      <c r="BJ34" s="64"/>
      <c r="BK34" s="47"/>
      <c r="BL34" s="47"/>
      <c r="BM34" s="47"/>
      <c r="BN34" s="47"/>
      <c r="BO34" s="64"/>
      <c r="BP34" s="47"/>
      <c r="BQ34" s="47"/>
      <c r="BR34" s="47"/>
      <c r="BS34" s="47"/>
      <c r="BT34" s="64"/>
      <c r="BU34" s="47"/>
      <c r="BV34" s="47"/>
      <c r="BW34" s="47"/>
      <c r="BX34" s="47"/>
      <c r="BY34" s="43"/>
      <c r="BZ34" s="47"/>
      <c r="CA34" s="47"/>
      <c r="CB34" s="47"/>
      <c r="CC34" s="47"/>
      <c r="CD34" s="43"/>
      <c r="CF34" s="43"/>
    </row>
    <row r="35" spans="1:84" s="12" customFormat="1" hidden="1" x14ac:dyDescent="0.15">
      <c r="B35" s="65" t="s">
        <v>60</v>
      </c>
      <c r="C35" s="66">
        <f>C32/C33</f>
        <v>7.4883817193173802E-2</v>
      </c>
      <c r="D35" s="67">
        <f>D32/D33</f>
        <v>0.30914256684290731</v>
      </c>
      <c r="E35" s="67">
        <f>E32/E33</f>
        <v>0.65491938364362134</v>
      </c>
      <c r="F35" s="67">
        <f>F32/F33</f>
        <v>0.76189703588143498</v>
      </c>
      <c r="G35" s="68">
        <f>SUM(C35:F35)</f>
        <v>1.8008428035611375</v>
      </c>
      <c r="H35" s="67">
        <f>H31/H33</f>
        <v>0.40938542729611804</v>
      </c>
      <c r="I35" s="67">
        <f>I31/I33</f>
        <v>0.52253687426204609</v>
      </c>
      <c r="J35" s="67">
        <f>J31/J33</f>
        <v>0.83506415697239</v>
      </c>
      <c r="K35" s="67">
        <f>K31/K33</f>
        <v>0.93394066078058258</v>
      </c>
      <c r="L35" s="68">
        <f>SUM(H35:K35)</f>
        <v>2.7009271193111366</v>
      </c>
      <c r="M35" s="67">
        <f>M31/M33</f>
        <v>0.59315210210771663</v>
      </c>
      <c r="N35" s="67">
        <f>N31/N33</f>
        <v>0.39476234253484738</v>
      </c>
      <c r="O35" s="67">
        <f>O31/O33</f>
        <v>0.38605763259222442</v>
      </c>
      <c r="P35" s="67">
        <f>P31/P33</f>
        <v>0.45147307233704281</v>
      </c>
      <c r="Q35" s="68">
        <f>SUM(M35:P35)</f>
        <v>1.8254451495718313</v>
      </c>
      <c r="R35" s="67">
        <f>R31/R33</f>
        <v>0.42904784379968186</v>
      </c>
      <c r="S35" s="67">
        <f>S31/S33</f>
        <v>0.37093753305664268</v>
      </c>
      <c r="T35" s="67">
        <f>T31/T33</f>
        <v>0.35169328670888056</v>
      </c>
      <c r="U35" s="67">
        <f>U31/U33</f>
        <v>0.3418909113852171</v>
      </c>
      <c r="V35" s="68">
        <f>SUM(R35:U35)</f>
        <v>1.4935695749504221</v>
      </c>
      <c r="W35" s="67">
        <f>W31/W33</f>
        <v>0.28242244266127492</v>
      </c>
      <c r="X35" s="67">
        <f>X31/X33</f>
        <v>0.33759655405448091</v>
      </c>
      <c r="Y35" s="67">
        <f>Y31/Y33</f>
        <v>0.32177344124246776</v>
      </c>
      <c r="Z35" s="67">
        <f>Z31/Z33</f>
        <v>0.43536188434769391</v>
      </c>
      <c r="AA35" s="68">
        <f>SUM(W35:Z35)</f>
        <v>1.3771543223059175</v>
      </c>
      <c r="AB35" s="67">
        <f>AB31/AB33</f>
        <v>0.31182483410886003</v>
      </c>
      <c r="AC35" s="67">
        <f>AC31/AC33</f>
        <v>0.34121439084828498</v>
      </c>
      <c r="AD35" s="67">
        <f>AD31/AD33</f>
        <v>-1.2728417893995525</v>
      </c>
      <c r="AE35" s="67">
        <f>AE32/AE33</f>
        <v>0.50706305303039467</v>
      </c>
      <c r="AF35" s="68">
        <f>SUM(AB35:AE35)</f>
        <v>-0.11273951141201277</v>
      </c>
      <c r="AG35" s="67">
        <f>AG32/AG33</f>
        <v>0.6160618804445781</v>
      </c>
      <c r="AH35" s="67">
        <f>AH32/AH33</f>
        <v>0.72500746901490432</v>
      </c>
      <c r="AI35" s="67">
        <f>AI32/AI33</f>
        <v>0.65707611615233763</v>
      </c>
      <c r="AJ35" s="67">
        <f>AJ32/AJ33</f>
        <v>0.94134345757585314</v>
      </c>
      <c r="AK35" s="68">
        <f>SUM(AG35:AJ35)</f>
        <v>2.9394889231876729</v>
      </c>
      <c r="AL35" s="69"/>
      <c r="AM35" s="69"/>
      <c r="AN35" s="69"/>
      <c r="AO35" s="69"/>
      <c r="AP35" s="68">
        <f>AP32/AP33</f>
        <v>4.5091440387701489</v>
      </c>
      <c r="AQ35" s="69"/>
      <c r="AR35" s="69"/>
      <c r="AS35" s="69"/>
      <c r="AT35" s="69"/>
      <c r="AU35" s="68">
        <f>AU32/AU33</f>
        <v>6.2390080191531325</v>
      </c>
      <c r="AZ35" s="68">
        <f>AZ32/AZ33</f>
        <v>8.3449487554904831</v>
      </c>
      <c r="BA35" s="69"/>
      <c r="BB35" s="69"/>
      <c r="BC35" s="69"/>
      <c r="BD35" s="69"/>
      <c r="BE35" s="68">
        <f>BE32/BE33</f>
        <v>10.158830275229359</v>
      </c>
      <c r="BF35" s="69"/>
      <c r="BG35" s="69"/>
      <c r="BH35" s="69"/>
      <c r="BI35" s="69"/>
      <c r="BJ35" s="68">
        <f>BJ32/BJ33</f>
        <v>8.6512985521577601</v>
      </c>
      <c r="BK35" s="69"/>
      <c r="BL35" s="69"/>
      <c r="BM35" s="69"/>
      <c r="BN35" s="69"/>
      <c r="BO35" s="68"/>
      <c r="BP35" s="69"/>
      <c r="BQ35" s="69"/>
      <c r="BR35" s="69"/>
      <c r="BS35" s="69"/>
      <c r="BT35" s="68">
        <f>BT32/BT33</f>
        <v>11.901083287955394</v>
      </c>
      <c r="BU35" s="69"/>
      <c r="BV35" s="69"/>
      <c r="BW35" s="69"/>
      <c r="BX35" s="69"/>
      <c r="BY35" s="68"/>
      <c r="BZ35" s="69"/>
      <c r="CA35" s="69"/>
      <c r="CB35" s="69"/>
      <c r="CC35" s="69"/>
      <c r="CD35" s="68">
        <f>CD32/CD33</f>
        <v>14.807155680321223</v>
      </c>
      <c r="CF35" s="70"/>
    </row>
    <row r="36" spans="1:84" s="28" customFormat="1" hidden="1" x14ac:dyDescent="0.15">
      <c r="B36" s="43" t="s">
        <v>61</v>
      </c>
      <c r="C36" s="44"/>
      <c r="D36" s="45"/>
      <c r="E36" s="45"/>
      <c r="F36" s="45"/>
      <c r="G36" s="46"/>
      <c r="H36" s="45"/>
      <c r="I36" s="45"/>
      <c r="J36" s="45"/>
      <c r="K36" s="45"/>
      <c r="L36" s="46"/>
      <c r="M36" s="45"/>
      <c r="N36" s="45"/>
      <c r="O36" s="45"/>
      <c r="P36" s="45"/>
      <c r="Q36" s="46"/>
      <c r="R36" s="45"/>
      <c r="S36" s="45"/>
      <c r="T36" s="45"/>
      <c r="U36" s="45"/>
      <c r="V36" s="46"/>
      <c r="W36" s="45">
        <v>26.690999999999999</v>
      </c>
      <c r="X36" s="45">
        <v>32.088999999999999</v>
      </c>
      <c r="Y36" s="45">
        <v>43.292999999999999</v>
      </c>
      <c r="Z36" s="45">
        <v>46.813000000000002</v>
      </c>
      <c r="AA36" s="43">
        <f>SUM(W36:Z36)</f>
        <v>148.88600000000002</v>
      </c>
      <c r="AB36" s="45">
        <v>40.048000000000002</v>
      </c>
      <c r="AC36" s="45">
        <v>40.232999999999997</v>
      </c>
      <c r="AD36" s="45"/>
      <c r="AE36" s="45">
        <v>0</v>
      </c>
      <c r="AF36" s="43"/>
      <c r="AG36" s="45">
        <f>'BS &amp; CF'!S104+'BS &amp; CF'!S105</f>
        <v>127.002</v>
      </c>
      <c r="AH36" s="45">
        <f>'BS &amp; CF'!T104+'BS &amp; CF'!T105</f>
        <v>122.276</v>
      </c>
      <c r="AI36" s="45">
        <f>'BS &amp; CF'!U104+'BS &amp; CF'!U105</f>
        <v>154.93600000000001</v>
      </c>
      <c r="AJ36" s="45">
        <f>'BS &amp; CF'!V104+'BS &amp; CF'!V105</f>
        <v>208.38899999999992</v>
      </c>
      <c r="AK36" s="43">
        <f>SUM(AG36:AJ36)</f>
        <v>612.60299999999995</v>
      </c>
      <c r="AL36" s="71"/>
      <c r="AM36" s="47"/>
      <c r="AN36" s="47"/>
      <c r="AO36" s="72"/>
      <c r="AP36" s="43">
        <f>'BS &amp; CF'!AB104+'BS &amp; CF'!AB105</f>
        <v>986.22199999999998</v>
      </c>
      <c r="AQ36" s="71"/>
      <c r="AR36" s="47"/>
      <c r="AS36" s="47"/>
      <c r="AT36" s="72"/>
      <c r="AU36" s="43">
        <f>'BS &amp; CF'!AG104+'BS &amp; CF'!AG105</f>
        <v>2015.806</v>
      </c>
      <c r="AX36" s="73"/>
      <c r="AZ36" s="43">
        <f>'BS &amp; CF'!AL104+'BS &amp; CF'!AL105</f>
        <v>1737.6</v>
      </c>
      <c r="BA36" s="47"/>
      <c r="BB36" s="47"/>
      <c r="BC36" s="47"/>
      <c r="BD36" s="47"/>
      <c r="BE36" s="43">
        <f>'BS &amp; CF'!AQ104+'BS &amp; CF'!AQ105</f>
        <v>2401</v>
      </c>
      <c r="BF36" s="47"/>
      <c r="BG36" s="47"/>
      <c r="BH36" s="47"/>
      <c r="BI36" s="47"/>
      <c r="BJ36" s="43">
        <f>'BS &amp; CF'!AV104+'BS &amp; CF'!AV105</f>
        <v>2746.2</v>
      </c>
      <c r="BK36" s="47"/>
      <c r="BL36" s="47"/>
      <c r="BM36" s="47"/>
      <c r="BN36" s="47"/>
      <c r="BO36" s="43"/>
      <c r="BP36" s="47"/>
      <c r="BQ36" s="47"/>
      <c r="BR36" s="47"/>
      <c r="BS36" s="47"/>
      <c r="BT36" s="43">
        <f>'BS &amp; CF'!BF104+'BS &amp; CF'!BF105</f>
        <v>2548.3000000000002</v>
      </c>
      <c r="BU36" s="47"/>
      <c r="BV36" s="47"/>
      <c r="BW36" s="47"/>
      <c r="BX36" s="47"/>
      <c r="BY36" s="43"/>
      <c r="BZ36" s="47"/>
      <c r="CA36" s="47"/>
      <c r="CB36" s="47"/>
      <c r="CC36" s="47"/>
      <c r="CD36" s="43">
        <f>'BS &amp; CF'!BZ104+'BS &amp; CF'!BZ105</f>
        <v>0</v>
      </c>
      <c r="CF36" s="43"/>
    </row>
    <row r="37" spans="1:84" s="28" customFormat="1" hidden="1" x14ac:dyDescent="0.15">
      <c r="B37" s="43" t="s">
        <v>45</v>
      </c>
      <c r="C37" s="44"/>
      <c r="D37" s="45"/>
      <c r="E37" s="45"/>
      <c r="F37" s="45"/>
      <c r="G37" s="46"/>
      <c r="H37" s="45"/>
      <c r="I37" s="45"/>
      <c r="J37" s="45"/>
      <c r="K37" s="45"/>
      <c r="L37" s="46"/>
      <c r="M37" s="45"/>
      <c r="N37" s="45"/>
      <c r="O37" s="45"/>
      <c r="P37" s="45"/>
      <c r="Q37" s="46"/>
      <c r="R37" s="45"/>
      <c r="S37" s="45"/>
      <c r="T37" s="45"/>
      <c r="U37" s="45"/>
      <c r="V37" s="46"/>
      <c r="W37" s="45">
        <f>27.851+39.003-W31-W36+2.9</f>
        <v>-1.6359999999999837</v>
      </c>
      <c r="X37" s="45">
        <f>69.99+24.09-X36-X31+5.6-22+1.5+0.6</f>
        <v>-5.7610000000000134</v>
      </c>
      <c r="Y37" s="45">
        <f>30.137+40.362-Y36-Y31+24.6+1.4+0.4+0.2</f>
        <v>2.7560000000000073</v>
      </c>
      <c r="Z37" s="45">
        <f>57.995+73-Z36-Z31</f>
        <v>15.053063193851429</v>
      </c>
      <c r="AA37" s="43"/>
      <c r="AB37" s="45">
        <f>-3.15+90.029-AB36-AB31+5.95</f>
        <v>3.3919999999999719</v>
      </c>
      <c r="AC37" s="45">
        <f>33.969+52.701-AC36-AC31+10.2</f>
        <v>1.6950000000000038</v>
      </c>
      <c r="AD37" s="45">
        <v>0</v>
      </c>
      <c r="AE37" s="45">
        <v>0</v>
      </c>
      <c r="AF37" s="43"/>
      <c r="AG37" s="45">
        <v>0</v>
      </c>
      <c r="AH37" s="45">
        <v>0</v>
      </c>
      <c r="AI37" s="45">
        <v>0</v>
      </c>
      <c r="AJ37" s="45">
        <v>0</v>
      </c>
      <c r="AK37" s="43">
        <f>SUM(AG37:AJ37)</f>
        <v>0</v>
      </c>
      <c r="AL37" s="71"/>
      <c r="AM37" s="47"/>
      <c r="AN37" s="47"/>
      <c r="AO37" s="72"/>
      <c r="AP37" s="43"/>
      <c r="AQ37" s="71"/>
      <c r="AR37" s="47"/>
      <c r="AS37" s="47"/>
      <c r="AT37" s="72"/>
      <c r="AU37" s="43"/>
      <c r="AX37" s="74"/>
      <c r="AZ37" s="43"/>
      <c r="BA37" s="47"/>
      <c r="BB37" s="47"/>
      <c r="BC37" s="47"/>
      <c r="BD37" s="47"/>
      <c r="BE37" s="43"/>
      <c r="BF37" s="47"/>
      <c r="BG37" s="47"/>
      <c r="BH37" s="47"/>
      <c r="BI37" s="47"/>
      <c r="BJ37" s="43"/>
      <c r="BK37" s="47"/>
      <c r="BL37" s="47"/>
      <c r="BM37" s="47"/>
      <c r="BN37" s="47"/>
      <c r="BO37" s="43"/>
      <c r="BP37" s="47"/>
      <c r="BQ37" s="47"/>
      <c r="BR37" s="47"/>
      <c r="BS37" s="47"/>
      <c r="BT37" s="43"/>
      <c r="BU37" s="47"/>
      <c r="BV37" s="47"/>
      <c r="BW37" s="47"/>
      <c r="BX37" s="47"/>
      <c r="BY37" s="43"/>
      <c r="BZ37" s="47"/>
      <c r="CA37" s="47"/>
      <c r="CB37" s="47"/>
      <c r="CC37" s="47"/>
      <c r="CD37" s="43"/>
      <c r="CF37" s="43"/>
    </row>
    <row r="38" spans="1:84" s="12" customFormat="1" x14ac:dyDescent="0.15">
      <c r="B38" s="75" t="s">
        <v>62</v>
      </c>
      <c r="C38" s="76"/>
      <c r="D38" s="77"/>
      <c r="E38" s="77"/>
      <c r="F38" s="77"/>
      <c r="G38" s="78"/>
      <c r="H38" s="77"/>
      <c r="I38" s="77"/>
      <c r="J38" s="77"/>
      <c r="K38" s="77"/>
      <c r="L38" s="78"/>
      <c r="M38" s="77"/>
      <c r="N38" s="77"/>
      <c r="O38" s="77"/>
      <c r="P38" s="77"/>
      <c r="Q38" s="78"/>
      <c r="R38" s="79"/>
      <c r="S38" s="79"/>
      <c r="T38" s="79"/>
      <c r="U38" s="79"/>
      <c r="V38" s="78"/>
      <c r="W38" s="79">
        <f>(W31+W36+W37)/W33</f>
        <v>0.44072787009540659</v>
      </c>
      <c r="X38" s="79">
        <f>(X31+X36+X37)/X33</f>
        <v>0.50388110982688172</v>
      </c>
      <c r="Y38" s="79">
        <f>(Y31+Y36+Y37)/Y33</f>
        <v>0.61202506114010535</v>
      </c>
      <c r="Z38" s="79">
        <f>(Z31+Z36+Z37)/Z33</f>
        <v>0.82498346821173285</v>
      </c>
      <c r="AA38" s="78">
        <f>SUM(W38:Z38)</f>
        <v>2.3816175092741267</v>
      </c>
      <c r="AB38" s="79">
        <f>(AB31+AB36+AB37)/AB33</f>
        <v>0.58608976746828956</v>
      </c>
      <c r="AC38" s="79">
        <f>(AC31+AC36+AC37)/AC33</f>
        <v>0.60160602164961896</v>
      </c>
      <c r="AD38" s="79">
        <f>(AD31+AD36+AD37)/AD33</f>
        <v>-1.2728417893995525</v>
      </c>
      <c r="AE38" s="79">
        <f t="shared" ref="AE38:AU38" si="13">(AE32)/AE33</f>
        <v>0.50706305303039467</v>
      </c>
      <c r="AF38" s="78">
        <f>(AF32)/AF33</f>
        <v>0.81579382969748637</v>
      </c>
      <c r="AG38" s="80">
        <f>(AG32)/AG33</f>
        <v>0.6160618804445781</v>
      </c>
      <c r="AH38" s="79">
        <f>(AH32)/AH33</f>
        <v>0.72500746901490432</v>
      </c>
      <c r="AI38" s="79">
        <f>(AI32)/AI33</f>
        <v>0.65707611615233763</v>
      </c>
      <c r="AJ38" s="80">
        <f t="shared" si="13"/>
        <v>0.94134345757585314</v>
      </c>
      <c r="AK38" s="81">
        <f t="shared" si="13"/>
        <v>2.9321288336315452</v>
      </c>
      <c r="AL38" s="80">
        <f t="shared" si="13"/>
        <v>1.1388287499565417</v>
      </c>
      <c r="AM38" s="80">
        <f t="shared" si="13"/>
        <v>1.0061126375823257</v>
      </c>
      <c r="AN38" s="80">
        <f t="shared" si="13"/>
        <v>1.1467972015410128</v>
      </c>
      <c r="AO38" s="80">
        <f t="shared" si="13"/>
        <v>1.2175794494753629</v>
      </c>
      <c r="AP38" s="81">
        <f t="shared" si="13"/>
        <v>4.5091440387701489</v>
      </c>
      <c r="AQ38" s="80">
        <f t="shared" si="13"/>
        <v>1.2971410276932929</v>
      </c>
      <c r="AR38" s="80">
        <f t="shared" si="13"/>
        <v>1.337452734483076</v>
      </c>
      <c r="AS38" s="80">
        <f t="shared" si="13"/>
        <v>1.4279075782648434</v>
      </c>
      <c r="AT38" s="80">
        <f t="shared" si="13"/>
        <v>2.1461164977337068</v>
      </c>
      <c r="AU38" s="81">
        <f t="shared" si="13"/>
        <v>6.2390080191531325</v>
      </c>
      <c r="AV38" s="80">
        <f>(AV32)/AV33</f>
        <v>1.7560761346998535</v>
      </c>
      <c r="AW38" s="80">
        <f>(AW32)/AW33</f>
        <v>1.9062408438324048</v>
      </c>
      <c r="AX38" s="80">
        <f>(AX32)/AX33</f>
        <v>2.1060650454145922</v>
      </c>
      <c r="AY38" s="80">
        <f>(AY32)/AY33</f>
        <v>2.5758993857853176</v>
      </c>
      <c r="AZ38" s="78">
        <f>SUM(AV38:AY38)</f>
        <v>8.3442814097321687</v>
      </c>
      <c r="BA38" s="80">
        <f>(BA32)/BA33</f>
        <v>2.3567268491555051</v>
      </c>
      <c r="BB38" s="80">
        <f>(BB32)/BB33</f>
        <v>2.5565688230265038</v>
      </c>
      <c r="BC38" s="80">
        <f>(BC32)/BC33</f>
        <v>2.7387464387464391</v>
      </c>
      <c r="BD38" s="80">
        <f>(BD32)/BD33</f>
        <v>2.5027150614461262</v>
      </c>
      <c r="BE38" s="81">
        <f>(BE32)/BE33</f>
        <v>10.158830275229359</v>
      </c>
      <c r="BF38" s="80">
        <f t="shared" ref="BF38:BI38" si="14">(BF32)/BF33</f>
        <v>1.3513703258073744</v>
      </c>
      <c r="BG38" s="80">
        <f t="shared" si="14"/>
        <v>2.1713931821949144</v>
      </c>
      <c r="BH38" s="80">
        <f t="shared" si="14"/>
        <v>2.3960017006287515</v>
      </c>
      <c r="BI38" s="80">
        <f t="shared" si="14"/>
        <v>2.7325333435267227</v>
      </c>
      <c r="BJ38" s="81">
        <f>(BJ32)/BJ33</f>
        <v>8.6512985521577601</v>
      </c>
      <c r="BK38" s="69"/>
      <c r="BL38" s="69"/>
      <c r="BM38" s="69"/>
      <c r="BN38" s="69"/>
      <c r="BO38" s="81">
        <f>(BO32)/BO33</f>
        <v>10.281985629182604</v>
      </c>
      <c r="BP38" s="69"/>
      <c r="BQ38" s="69"/>
      <c r="BR38" s="69"/>
      <c r="BS38" s="69"/>
      <c r="BT38" s="81">
        <f>(BT32)/BT33</f>
        <v>11.901083287955394</v>
      </c>
      <c r="BU38" s="69"/>
      <c r="BV38" s="69"/>
      <c r="BW38" s="69"/>
      <c r="BX38" s="69"/>
      <c r="BY38" s="81">
        <f>(BY32)/BY33</f>
        <v>13.513009467341783</v>
      </c>
      <c r="BZ38" s="69"/>
      <c r="CA38" s="69"/>
      <c r="CB38" s="69"/>
      <c r="CC38" s="69"/>
      <c r="CD38" s="81">
        <f>(CD32)/CD33</f>
        <v>14.807155680321223</v>
      </c>
      <c r="CF38" s="82" t="s">
        <v>63</v>
      </c>
    </row>
    <row r="39" spans="1:84" s="12" customFormat="1" x14ac:dyDescent="0.15">
      <c r="B39" s="83" t="s">
        <v>64</v>
      </c>
      <c r="C39" s="84"/>
      <c r="D39" s="85"/>
      <c r="E39" s="85"/>
      <c r="F39" s="85"/>
      <c r="G39" s="86"/>
      <c r="H39" s="85"/>
      <c r="I39" s="85"/>
      <c r="J39" s="85"/>
      <c r="K39" s="85"/>
      <c r="L39" s="86"/>
      <c r="M39" s="85"/>
      <c r="N39" s="85"/>
      <c r="O39" s="85"/>
      <c r="P39" s="85"/>
      <c r="Q39" s="86"/>
      <c r="R39" s="87"/>
      <c r="S39" s="87"/>
      <c r="T39" s="87"/>
      <c r="U39" s="87"/>
      <c r="V39" s="86"/>
      <c r="W39" s="87"/>
      <c r="X39" s="87"/>
      <c r="Y39" s="87"/>
      <c r="Z39" s="87"/>
      <c r="AA39" s="86"/>
      <c r="AB39" s="87"/>
      <c r="AC39" s="87"/>
      <c r="AD39" s="87"/>
      <c r="AE39" s="87"/>
      <c r="AF39" s="86"/>
      <c r="AG39" s="88">
        <v>0.56000000000000005</v>
      </c>
      <c r="AH39" s="87">
        <v>0.54</v>
      </c>
      <c r="AI39" s="87">
        <v>0.66</v>
      </c>
      <c r="AJ39" s="88">
        <v>0.87</v>
      </c>
      <c r="AK39" s="89">
        <f>SUM(AG39:AJ39)</f>
        <v>2.6300000000000003</v>
      </c>
      <c r="AL39" s="88">
        <v>0.91</v>
      </c>
      <c r="AM39" s="88">
        <f>AM38-0.14</f>
        <v>0.86611263758232571</v>
      </c>
      <c r="AN39" s="88">
        <f>AN38</f>
        <v>1.1467972015410128</v>
      </c>
      <c r="AO39" s="88">
        <f>AO38</f>
        <v>1.2175794494753629</v>
      </c>
      <c r="AP39" s="89">
        <f>SUM(AL39:AO39)</f>
        <v>4.140489288598701</v>
      </c>
      <c r="AQ39" s="88">
        <f>AQ38</f>
        <v>1.2971410276932929</v>
      </c>
      <c r="AR39" s="88">
        <f>AR38</f>
        <v>1.337452734483076</v>
      </c>
      <c r="AS39" s="88">
        <f>AS38</f>
        <v>1.4279075782648434</v>
      </c>
      <c r="AT39" s="88">
        <f>AT38</f>
        <v>2.1461164977337068</v>
      </c>
      <c r="AU39" s="89">
        <f>SUM(AQ39:AT39)</f>
        <v>6.2086178381749191</v>
      </c>
      <c r="AV39" s="88">
        <f>AV38</f>
        <v>1.7560761346998535</v>
      </c>
      <c r="AW39" s="88">
        <f>AW38</f>
        <v>1.9062408438324048</v>
      </c>
      <c r="AX39" s="88">
        <f>AX38</f>
        <v>2.1060650454145922</v>
      </c>
      <c r="AY39" s="88">
        <f>AY38</f>
        <v>2.5758993857853176</v>
      </c>
      <c r="AZ39" s="89">
        <f>SUM(AV39:AY39)</f>
        <v>8.3442814097321687</v>
      </c>
      <c r="BA39" s="88">
        <f>BA38</f>
        <v>2.3567268491555051</v>
      </c>
      <c r="BB39" s="88">
        <f>BB38</f>
        <v>2.5565688230265038</v>
      </c>
      <c r="BC39" s="88">
        <f>BC38</f>
        <v>2.7387464387464391</v>
      </c>
      <c r="BD39" s="88">
        <f>BD38</f>
        <v>2.5027150614461262</v>
      </c>
      <c r="BE39" s="89">
        <f>BE38</f>
        <v>10.158830275229359</v>
      </c>
      <c r="BF39" s="88">
        <f t="shared" ref="BF39:BI39" si="15">BF38</f>
        <v>1.3513703258073744</v>
      </c>
      <c r="BG39" s="88">
        <f t="shared" si="15"/>
        <v>2.1713931821949144</v>
      </c>
      <c r="BH39" s="88">
        <f t="shared" si="15"/>
        <v>2.3960017006287515</v>
      </c>
      <c r="BI39" s="88">
        <f t="shared" si="15"/>
        <v>2.7325333435267227</v>
      </c>
      <c r="BJ39" s="89">
        <f>BJ38</f>
        <v>8.6512985521577601</v>
      </c>
      <c r="BK39" s="85"/>
      <c r="BL39" s="85"/>
      <c r="BM39" s="85"/>
      <c r="BN39" s="85"/>
      <c r="BO39" s="89">
        <f>BO38</f>
        <v>10.281985629182604</v>
      </c>
      <c r="BP39" s="85"/>
      <c r="BQ39" s="85"/>
      <c r="BR39" s="85"/>
      <c r="BS39" s="85"/>
      <c r="BT39" s="89">
        <f>BT38</f>
        <v>11.901083287955394</v>
      </c>
      <c r="BU39" s="85"/>
      <c r="BV39" s="85"/>
      <c r="BW39" s="85"/>
      <c r="BX39" s="85"/>
      <c r="BY39" s="89">
        <f>BY38</f>
        <v>13.513009467341783</v>
      </c>
      <c r="BZ39" s="85"/>
      <c r="CA39" s="85"/>
      <c r="CB39" s="85"/>
      <c r="CC39" s="85"/>
      <c r="CD39" s="89">
        <f>CD38</f>
        <v>14.807155680321223</v>
      </c>
      <c r="CF39" s="90"/>
    </row>
    <row r="40" spans="1:84" s="91" customFormat="1" ht="16.5" hidden="1" customHeight="1" x14ac:dyDescent="0.15">
      <c r="B40" s="69"/>
      <c r="G40" s="92"/>
      <c r="L40" s="92"/>
      <c r="Q40" s="92"/>
      <c r="V40" s="92"/>
      <c r="AA40" s="92"/>
      <c r="AF40" s="92"/>
      <c r="AK40" s="92"/>
      <c r="AP40" s="92"/>
      <c r="AU40" s="92"/>
      <c r="AZ40" s="93"/>
      <c r="BA40" s="69"/>
      <c r="BB40" s="69"/>
      <c r="BC40" s="69"/>
      <c r="BD40" s="69"/>
      <c r="BE40" s="67"/>
      <c r="BF40" s="69"/>
      <c r="BG40" s="69"/>
      <c r="BH40" s="69"/>
      <c r="BI40" s="69"/>
      <c r="BJ40" s="67"/>
      <c r="BK40" s="67"/>
      <c r="BL40" s="67"/>
      <c r="BM40" s="67"/>
      <c r="BN40" s="67"/>
      <c r="BO40" s="67"/>
      <c r="BP40" s="69"/>
      <c r="BQ40" s="69"/>
      <c r="BR40" s="69"/>
      <c r="BS40" s="69"/>
      <c r="BT40" s="67"/>
      <c r="BU40" s="69"/>
      <c r="BV40" s="69"/>
      <c r="BW40" s="69"/>
      <c r="BX40" s="69"/>
      <c r="BY40" s="67"/>
      <c r="BZ40" s="69"/>
      <c r="CA40" s="69"/>
      <c r="CB40" s="69"/>
      <c r="CC40" s="69"/>
      <c r="CD40" s="67"/>
    </row>
    <row r="42" spans="1:84" s="91" customFormat="1" ht="4.5" customHeight="1" x14ac:dyDescent="0.15">
      <c r="B42" s="69"/>
      <c r="G42" s="92"/>
      <c r="L42" s="92"/>
      <c r="Q42" s="92"/>
      <c r="V42" s="92"/>
      <c r="AA42" s="92"/>
      <c r="AF42" s="92"/>
      <c r="AK42" s="92"/>
      <c r="AP42" s="92"/>
      <c r="AU42" s="92"/>
    </row>
    <row r="43" spans="1:84" s="96" customFormat="1" hidden="1" outlineLevel="1" x14ac:dyDescent="0.15">
      <c r="A43" s="94"/>
      <c r="B43" s="95" t="s">
        <v>65</v>
      </c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69"/>
      <c r="AC43" s="69"/>
      <c r="AD43" s="69"/>
      <c r="AE43" s="69"/>
      <c r="AF43" s="69"/>
      <c r="AG43" s="69"/>
      <c r="AH43" s="69"/>
      <c r="AI43" s="69"/>
      <c r="AR43" s="97"/>
      <c r="AS43" s="97"/>
      <c r="AT43" s="98"/>
      <c r="AY43" s="98"/>
      <c r="AZ43" s="99"/>
      <c r="BA43" s="98"/>
      <c r="BB43" s="98"/>
      <c r="BC43" s="98"/>
      <c r="BD43" s="98">
        <v>2.6006385162393166</v>
      </c>
      <c r="BE43" s="99">
        <v>10.257177165938554</v>
      </c>
      <c r="BF43" s="98">
        <v>2.5158303885327635</v>
      </c>
      <c r="BG43" s="98">
        <v>3.2338903514957256</v>
      </c>
      <c r="BH43" s="98">
        <v>3.5769881360398865</v>
      </c>
      <c r="BI43" s="98">
        <v>4.0511698755982914</v>
      </c>
      <c r="BJ43" s="99">
        <v>13.377878751666664</v>
      </c>
      <c r="BK43" s="98"/>
      <c r="BL43" s="98"/>
      <c r="BM43" s="98"/>
      <c r="BN43" s="98"/>
      <c r="BO43" s="99">
        <v>16.407486586021182</v>
      </c>
      <c r="BP43" s="98"/>
      <c r="BQ43" s="98"/>
      <c r="BR43" s="98"/>
      <c r="BS43" s="98"/>
      <c r="BT43" s="99">
        <v>19.057892705096812</v>
      </c>
      <c r="BU43" s="98"/>
      <c r="BV43" s="98"/>
      <c r="BW43" s="98"/>
      <c r="BX43" s="98"/>
      <c r="BY43" s="99">
        <v>21.862441517442988</v>
      </c>
      <c r="BZ43" s="98"/>
      <c r="CA43" s="98"/>
      <c r="CB43" s="98"/>
      <c r="CC43" s="98"/>
      <c r="CD43" s="99">
        <v>24.015082981666694</v>
      </c>
      <c r="CF43" s="100"/>
    </row>
    <row r="44" spans="1:84" s="107" customFormat="1" hidden="1" outlineLevel="1" x14ac:dyDescent="0.15">
      <c r="A44" s="101"/>
      <c r="B44" s="102" t="s">
        <v>66</v>
      </c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3"/>
      <c r="AC44" s="103"/>
      <c r="AD44" s="103"/>
      <c r="AE44" s="103"/>
      <c r="AF44" s="103"/>
      <c r="AG44" s="103"/>
      <c r="AH44" s="69"/>
      <c r="AI44" s="69"/>
      <c r="AJ44" s="96"/>
      <c r="AK44" s="96"/>
      <c r="AL44" s="104"/>
      <c r="AM44" s="96"/>
      <c r="AN44" s="96"/>
      <c r="AO44" s="96"/>
      <c r="AP44" s="96"/>
      <c r="AQ44" s="96"/>
      <c r="AR44" s="103"/>
      <c r="AS44" s="103"/>
      <c r="AT44" s="105"/>
      <c r="AU44" s="96"/>
      <c r="AV44" s="96"/>
      <c r="AW44" s="96"/>
      <c r="AX44" s="96"/>
      <c r="AY44" s="105"/>
      <c r="AZ44" s="106"/>
      <c r="BA44" s="105"/>
      <c r="BB44" s="105"/>
      <c r="BC44" s="105"/>
      <c r="BD44" s="105">
        <f>ROUND(BD38,2)-ROUND(BD43,2)</f>
        <v>-0.10000000000000009</v>
      </c>
      <c r="BE44" s="106">
        <f t="shared" ref="BE44:CD44" si="16">ROUND(BE38,2)-ROUND(BE43,2)</f>
        <v>-9.9999999999999645E-2</v>
      </c>
      <c r="BF44" s="105">
        <f t="shared" si="16"/>
        <v>-1.17</v>
      </c>
      <c r="BG44" s="105">
        <f t="shared" si="16"/>
        <v>-1.06</v>
      </c>
      <c r="BH44" s="105">
        <f t="shared" si="16"/>
        <v>-1.1800000000000002</v>
      </c>
      <c r="BI44" s="105">
        <f t="shared" si="16"/>
        <v>-1.3199999999999998</v>
      </c>
      <c r="BJ44" s="106">
        <f t="shared" si="16"/>
        <v>-4.7300000000000004</v>
      </c>
      <c r="BK44" s="106">
        <f t="shared" si="16"/>
        <v>0</v>
      </c>
      <c r="BL44" s="106">
        <f t="shared" si="16"/>
        <v>0</v>
      </c>
      <c r="BM44" s="106">
        <f t="shared" si="16"/>
        <v>0</v>
      </c>
      <c r="BN44" s="106">
        <f t="shared" si="16"/>
        <v>0</v>
      </c>
      <c r="BO44" s="106">
        <f t="shared" si="16"/>
        <v>-6.1300000000000008</v>
      </c>
      <c r="BP44" s="106">
        <f t="shared" si="16"/>
        <v>0</v>
      </c>
      <c r="BQ44" s="106">
        <f t="shared" si="16"/>
        <v>0</v>
      </c>
      <c r="BR44" s="106">
        <f t="shared" si="16"/>
        <v>0</v>
      </c>
      <c r="BS44" s="106">
        <f t="shared" si="16"/>
        <v>0</v>
      </c>
      <c r="BT44" s="106">
        <f t="shared" si="16"/>
        <v>-7.1599999999999984</v>
      </c>
      <c r="BU44" s="106">
        <f t="shared" si="16"/>
        <v>0</v>
      </c>
      <c r="BV44" s="106">
        <f t="shared" si="16"/>
        <v>0</v>
      </c>
      <c r="BW44" s="106">
        <f t="shared" si="16"/>
        <v>0</v>
      </c>
      <c r="BX44" s="106">
        <f t="shared" si="16"/>
        <v>0</v>
      </c>
      <c r="BY44" s="106">
        <f t="shared" si="16"/>
        <v>-8.35</v>
      </c>
      <c r="BZ44" s="106">
        <f t="shared" si="16"/>
        <v>0</v>
      </c>
      <c r="CA44" s="106">
        <f t="shared" si="16"/>
        <v>0</v>
      </c>
      <c r="CB44" s="106">
        <f t="shared" si="16"/>
        <v>0</v>
      </c>
      <c r="CC44" s="106">
        <f t="shared" si="16"/>
        <v>0</v>
      </c>
      <c r="CD44" s="106">
        <f t="shared" si="16"/>
        <v>-9.2099999999999991</v>
      </c>
      <c r="CF44" s="100"/>
    </row>
    <row r="45" spans="1:84" s="96" customFormat="1" hidden="1" outlineLevel="1" x14ac:dyDescent="0.15">
      <c r="A45" s="94"/>
      <c r="B45" s="108" t="s">
        <v>67</v>
      </c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69"/>
      <c r="AI45" s="69"/>
      <c r="AO45" s="104"/>
      <c r="AR45" s="94"/>
      <c r="AS45" s="94"/>
      <c r="AT45" s="109"/>
      <c r="AY45" s="109"/>
      <c r="AZ45" s="108"/>
      <c r="BA45" s="109"/>
      <c r="BB45" s="109"/>
      <c r="BC45" s="109"/>
      <c r="BD45" s="109">
        <v>2722.6620000000003</v>
      </c>
      <c r="BE45" s="108">
        <v>10432.762000000001</v>
      </c>
      <c r="BF45" s="109">
        <v>2826.203</v>
      </c>
      <c r="BG45" s="109">
        <v>3084.7579999999998</v>
      </c>
      <c r="BH45" s="109">
        <v>3181.192</v>
      </c>
      <c r="BI45" s="109">
        <v>3404.0306400000004</v>
      </c>
      <c r="BJ45" s="108">
        <v>12496.183639999999</v>
      </c>
      <c r="BK45" s="109">
        <v>0</v>
      </c>
      <c r="BL45" s="109">
        <v>0</v>
      </c>
      <c r="BM45" s="109">
        <v>0</v>
      </c>
      <c r="BN45" s="109">
        <v>0</v>
      </c>
      <c r="BO45" s="108">
        <v>13815.920630799999</v>
      </c>
      <c r="BP45" s="109">
        <v>0</v>
      </c>
      <c r="BQ45" s="109">
        <v>0</v>
      </c>
      <c r="BR45" s="109">
        <v>0</v>
      </c>
      <c r="BS45" s="109">
        <v>0</v>
      </c>
      <c r="BT45" s="108">
        <v>15023.072101384001</v>
      </c>
      <c r="BU45" s="109">
        <v>0</v>
      </c>
      <c r="BV45" s="109">
        <v>0</v>
      </c>
      <c r="BW45" s="109">
        <v>0</v>
      </c>
      <c r="BX45" s="109">
        <v>0</v>
      </c>
      <c r="BY45" s="108">
        <v>16309.9662911376</v>
      </c>
      <c r="BZ45" s="109">
        <v>0</v>
      </c>
      <c r="CA45" s="109">
        <v>0</v>
      </c>
      <c r="CB45" s="109">
        <v>0</v>
      </c>
      <c r="CC45" s="109">
        <v>0</v>
      </c>
      <c r="CD45" s="108">
        <v>17310.681795970813</v>
      </c>
      <c r="CE45" s="96">
        <v>0</v>
      </c>
      <c r="CF45" s="100">
        <v>0</v>
      </c>
    </row>
    <row r="46" spans="1:84" s="111" customFormat="1" hidden="1" outlineLevel="1" x14ac:dyDescent="0.15">
      <c r="A46" s="101"/>
      <c r="B46" s="102" t="s">
        <v>66</v>
      </c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69"/>
      <c r="AI46" s="69"/>
      <c r="AJ46" s="96"/>
      <c r="AK46" s="96"/>
      <c r="AL46" s="96"/>
      <c r="AM46" s="96"/>
      <c r="AN46" s="96"/>
      <c r="AO46" s="104"/>
      <c r="AP46" s="96"/>
      <c r="AQ46" s="96"/>
      <c r="AR46" s="101"/>
      <c r="AS46" s="101"/>
      <c r="AT46" s="110"/>
      <c r="AU46" s="96"/>
      <c r="AV46" s="96"/>
      <c r="AW46" s="96"/>
      <c r="AX46" s="96"/>
      <c r="AY46" s="110"/>
      <c r="AZ46" s="102"/>
      <c r="BA46" s="110"/>
      <c r="BB46" s="110"/>
      <c r="BC46" s="110"/>
      <c r="BD46" s="110">
        <f>ROUND(BD10,0)-ROUND(BD45,0)</f>
        <v>61</v>
      </c>
      <c r="BE46" s="102">
        <f t="shared" ref="BE46:CD46" si="17">ROUND(BE10,0)-ROUND(BE45,0)</f>
        <v>61</v>
      </c>
      <c r="BF46" s="110">
        <f t="shared" si="17"/>
        <v>-447</v>
      </c>
      <c r="BG46" s="110">
        <f t="shared" si="17"/>
        <v>-342</v>
      </c>
      <c r="BH46" s="110">
        <f t="shared" si="17"/>
        <v>-353</v>
      </c>
      <c r="BI46" s="110">
        <f t="shared" si="17"/>
        <v>-388</v>
      </c>
      <c r="BJ46" s="102">
        <f t="shared" si="17"/>
        <v>-1529</v>
      </c>
      <c r="BK46" s="102">
        <f t="shared" si="17"/>
        <v>0</v>
      </c>
      <c r="BL46" s="102">
        <f t="shared" si="17"/>
        <v>0</v>
      </c>
      <c r="BM46" s="102">
        <f t="shared" si="17"/>
        <v>0</v>
      </c>
      <c r="BN46" s="102">
        <f t="shared" si="17"/>
        <v>0</v>
      </c>
      <c r="BO46" s="102">
        <f t="shared" si="17"/>
        <v>-2075</v>
      </c>
      <c r="BP46" s="102">
        <f t="shared" si="17"/>
        <v>0</v>
      </c>
      <c r="BQ46" s="102">
        <f t="shared" si="17"/>
        <v>0</v>
      </c>
      <c r="BR46" s="102">
        <f t="shared" si="17"/>
        <v>0</v>
      </c>
      <c r="BS46" s="102">
        <f t="shared" si="17"/>
        <v>0</v>
      </c>
      <c r="BT46" s="102">
        <f t="shared" si="17"/>
        <v>-2575</v>
      </c>
      <c r="BU46" s="102">
        <f t="shared" si="17"/>
        <v>0</v>
      </c>
      <c r="BV46" s="102">
        <f t="shared" si="17"/>
        <v>0</v>
      </c>
      <c r="BW46" s="102">
        <f t="shared" si="17"/>
        <v>0</v>
      </c>
      <c r="BX46" s="102">
        <f t="shared" si="17"/>
        <v>0</v>
      </c>
      <c r="BY46" s="102">
        <f t="shared" si="17"/>
        <v>-3125</v>
      </c>
      <c r="BZ46" s="102">
        <f t="shared" si="17"/>
        <v>0</v>
      </c>
      <c r="CA46" s="102">
        <f t="shared" si="17"/>
        <v>0</v>
      </c>
      <c r="CB46" s="102">
        <f t="shared" si="17"/>
        <v>0</v>
      </c>
      <c r="CC46" s="102">
        <f t="shared" si="17"/>
        <v>0</v>
      </c>
      <c r="CD46" s="102">
        <f t="shared" si="17"/>
        <v>-3548</v>
      </c>
      <c r="CF46" s="100"/>
    </row>
    <row r="47" spans="1:84" s="96" customFormat="1" hidden="1" outlineLevel="1" x14ac:dyDescent="0.15">
      <c r="A47" s="94"/>
      <c r="B47" s="108" t="s">
        <v>68</v>
      </c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69"/>
      <c r="AC47" s="69"/>
      <c r="AD47" s="69"/>
      <c r="AE47" s="69"/>
      <c r="AF47" s="69"/>
      <c r="AG47" s="69"/>
      <c r="AR47" s="101"/>
      <c r="AS47" s="101"/>
      <c r="AT47" s="112"/>
      <c r="AY47" s="112"/>
      <c r="AZ47" s="113"/>
      <c r="BA47" s="112"/>
      <c r="BB47" s="112"/>
      <c r="BC47" s="112"/>
      <c r="BD47" s="112">
        <f>BD38</f>
        <v>2.5027150614461262</v>
      </c>
      <c r="BE47" s="113">
        <f t="shared" ref="BE47:CD47" si="18">BE38</f>
        <v>10.158830275229359</v>
      </c>
      <c r="BF47" s="114">
        <f t="shared" si="18"/>
        <v>1.3513703258073744</v>
      </c>
      <c r="BG47" s="114">
        <f t="shared" si="18"/>
        <v>2.1713931821949144</v>
      </c>
      <c r="BH47" s="114">
        <f t="shared" si="18"/>
        <v>2.3960017006287515</v>
      </c>
      <c r="BI47" s="114">
        <f t="shared" si="18"/>
        <v>2.7325333435267227</v>
      </c>
      <c r="BJ47" s="113">
        <f t="shared" si="18"/>
        <v>8.6512985521577601</v>
      </c>
      <c r="BK47" s="113">
        <f t="shared" si="18"/>
        <v>0</v>
      </c>
      <c r="BL47" s="113">
        <f t="shared" si="18"/>
        <v>0</v>
      </c>
      <c r="BM47" s="113">
        <f t="shared" si="18"/>
        <v>0</v>
      </c>
      <c r="BN47" s="113">
        <f t="shared" si="18"/>
        <v>0</v>
      </c>
      <c r="BO47" s="113">
        <f t="shared" si="18"/>
        <v>10.281985629182604</v>
      </c>
      <c r="BP47" s="113">
        <f t="shared" si="18"/>
        <v>0</v>
      </c>
      <c r="BQ47" s="113">
        <f t="shared" si="18"/>
        <v>0</v>
      </c>
      <c r="BR47" s="113">
        <f t="shared" si="18"/>
        <v>0</v>
      </c>
      <c r="BS47" s="113">
        <f t="shared" si="18"/>
        <v>0</v>
      </c>
      <c r="BT47" s="113">
        <f t="shared" si="18"/>
        <v>11.901083287955394</v>
      </c>
      <c r="BU47" s="113">
        <f t="shared" si="18"/>
        <v>0</v>
      </c>
      <c r="BV47" s="113">
        <f t="shared" si="18"/>
        <v>0</v>
      </c>
      <c r="BW47" s="113">
        <f t="shared" si="18"/>
        <v>0</v>
      </c>
      <c r="BX47" s="113">
        <f t="shared" si="18"/>
        <v>0</v>
      </c>
      <c r="BY47" s="113">
        <f t="shared" si="18"/>
        <v>13.513009467341783</v>
      </c>
      <c r="BZ47" s="113">
        <f t="shared" si="18"/>
        <v>0</v>
      </c>
      <c r="CA47" s="113">
        <f t="shared" si="18"/>
        <v>0</v>
      </c>
      <c r="CB47" s="113">
        <f t="shared" si="18"/>
        <v>0</v>
      </c>
      <c r="CC47" s="113">
        <f t="shared" si="18"/>
        <v>0</v>
      </c>
      <c r="CD47" s="113">
        <f t="shared" si="18"/>
        <v>14.807155680321223</v>
      </c>
      <c r="CF47" s="100"/>
    </row>
    <row r="48" spans="1:84" s="96" customFormat="1" hidden="1" outlineLevel="1" x14ac:dyDescent="0.15">
      <c r="A48" s="94"/>
      <c r="B48" s="108" t="s">
        <v>69</v>
      </c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69"/>
      <c r="AC48" s="69"/>
      <c r="AD48" s="69"/>
      <c r="AE48" s="69"/>
      <c r="AF48" s="69"/>
      <c r="AG48" s="69"/>
      <c r="AR48" s="101"/>
      <c r="AS48" s="101"/>
      <c r="AT48" s="112"/>
      <c r="AY48" s="112"/>
      <c r="AZ48" s="113"/>
      <c r="BA48" s="112"/>
      <c r="BB48" s="112"/>
      <c r="BC48" s="112"/>
      <c r="BD48" s="112" t="e">
        <f ca="1">_xll.BDP("vrx us equity","best_eps","BEST_FPERIOD_OVERRIDE=1Fq")</f>
        <v>#NAME?</v>
      </c>
      <c r="BE48" s="113" t="e">
        <f ca="1">_xll.BDP("vrx us equity","best_eps","BEST_FPERIOD_OVERRIDE=15bc")</f>
        <v>#NAME?</v>
      </c>
      <c r="BF48" s="112" t="e">
        <f ca="1">_xll.BDP("vrx us equity","best_eps","BEST_FPERIOD_OVERRIDE=2Fq")</f>
        <v>#NAME?</v>
      </c>
      <c r="BG48" s="112" t="e">
        <f ca="1">_xll.BDP("vrx us equity","best_eps","BEST_FPERIOD_OVERRIDE=3Fq")</f>
        <v>#NAME?</v>
      </c>
      <c r="BH48" s="112" t="e">
        <f ca="1">_xll.BDP("vrx us equity","best_eps","BEST_FPERIOD_OVERRIDE=4Fq")</f>
        <v>#NAME?</v>
      </c>
      <c r="BI48" s="109"/>
      <c r="BJ48" s="113" t="e">
        <f ca="1">_xll.BDP("vrx us equity","best_eps","BEST_FPERIOD_OVERRIDE=16bc")</f>
        <v>#NAME?</v>
      </c>
      <c r="BK48" s="113" t="e">
        <f ca="1">_xll.BDP("vrx us equity","best_eps","BEST_FPERIOD_OVERRIDE=16bc")</f>
        <v>#NAME?</v>
      </c>
      <c r="BL48" s="113" t="e">
        <f ca="1">_xll.BDP("vrx us equity","best_eps","BEST_FPERIOD_OVERRIDE=16bc")</f>
        <v>#NAME?</v>
      </c>
      <c r="BM48" s="113" t="e">
        <f ca="1">_xll.BDP("vrx us equity","best_eps","BEST_FPERIOD_OVERRIDE=16bc")</f>
        <v>#NAME?</v>
      </c>
      <c r="BN48" s="113" t="e">
        <f ca="1">_xll.BDP("vrx us equity","best_eps","BEST_FPERIOD_OVERRIDE=16bc")</f>
        <v>#NAME?</v>
      </c>
      <c r="BO48" s="113" t="e">
        <f ca="1">_xll.BDP("vrx us equity","best_eps","BEST_FPERIOD_OVERRIDE=17bc")</f>
        <v>#NAME?</v>
      </c>
      <c r="BP48" s="113" t="e">
        <f ca="1">_xll.BDP("vrx us equity","best_eps","BEST_FPERIOD_OVERRIDE=16bc")</f>
        <v>#NAME?</v>
      </c>
      <c r="BQ48" s="113" t="e">
        <f ca="1">_xll.BDP("vrx us equity","best_eps","BEST_FPERIOD_OVERRIDE=16bc")</f>
        <v>#NAME?</v>
      </c>
      <c r="BR48" s="113" t="e">
        <f ca="1">_xll.BDP("vrx us equity","best_eps","BEST_FPERIOD_OVERRIDE=16bc")</f>
        <v>#NAME?</v>
      </c>
      <c r="BS48" s="113" t="e">
        <f ca="1">_xll.BDP("vrx us equity","best_eps","BEST_FPERIOD_OVERRIDE=16bc")</f>
        <v>#NAME?</v>
      </c>
      <c r="BT48" s="113" t="e">
        <f ca="1">_xll.BDP("vrx us equity","best_eps","BEST_FPERIOD_OVERRIDE=18bc")</f>
        <v>#NAME?</v>
      </c>
      <c r="BU48" s="113" t="e">
        <f ca="1">_xll.BDP("vrx us equity","best_eps","BEST_FPERIOD_OVERRIDE=16bc")</f>
        <v>#NAME?</v>
      </c>
      <c r="BV48" s="113" t="e">
        <f ca="1">_xll.BDP("vrx us equity","best_eps","BEST_FPERIOD_OVERRIDE=16bc")</f>
        <v>#NAME?</v>
      </c>
      <c r="BW48" s="113" t="e">
        <f ca="1">_xll.BDP("vrx us equity","best_eps","BEST_FPERIOD_OVERRIDE=16bc")</f>
        <v>#NAME?</v>
      </c>
      <c r="BX48" s="113" t="e">
        <f ca="1">_xll.BDP("vrx us equity","best_eps","BEST_FPERIOD_OVERRIDE=16bc")</f>
        <v>#NAME?</v>
      </c>
      <c r="BY48" s="113" t="e">
        <f ca="1">_xll.BDP("vrx us equity","best_eps","BEST_FPERIOD_OVERRIDE=19bc")</f>
        <v>#NAME?</v>
      </c>
      <c r="BZ48" s="113" t="e">
        <f ca="1">_xll.BDP("vrx us equity","best_eps","BEST_FPERIOD_OVERRIDE=16bc")</f>
        <v>#NAME?</v>
      </c>
      <c r="CA48" s="113" t="e">
        <f ca="1">_xll.BDP("vrx us equity","best_eps","BEST_FPERIOD_OVERRIDE=16bc")</f>
        <v>#NAME?</v>
      </c>
      <c r="CB48" s="113" t="e">
        <f ca="1">_xll.BDP("vrx us equity","best_eps","BEST_FPERIOD_OVERRIDE=16bc")</f>
        <v>#NAME?</v>
      </c>
      <c r="CC48" s="113" t="e">
        <f ca="1">_xll.BDP("vrx us equity","best_eps","BEST_FPERIOD_OVERRIDE=16bc")</f>
        <v>#NAME?</v>
      </c>
      <c r="CD48" s="113" t="e">
        <f ca="1">_xll.BDP("vrx us equity","best_eps","BEST_FPERIOD_OVERRIDE=20bc")</f>
        <v>#NAME?</v>
      </c>
      <c r="CF48" s="100"/>
    </row>
    <row r="49" spans="1:84" s="96" customFormat="1" hidden="1" outlineLevel="1" x14ac:dyDescent="0.15">
      <c r="A49" s="94"/>
      <c r="B49" s="108" t="s">
        <v>70</v>
      </c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69"/>
      <c r="AI49" s="69"/>
      <c r="AO49" s="104"/>
      <c r="AR49" s="94"/>
      <c r="AS49" s="94"/>
      <c r="AT49" s="109"/>
      <c r="AY49" s="109"/>
      <c r="AZ49" s="108"/>
      <c r="BA49" s="109"/>
      <c r="BB49" s="109"/>
      <c r="BC49" s="109"/>
      <c r="BD49" s="109">
        <f>BD10</f>
        <v>2784.1</v>
      </c>
      <c r="BE49" s="108">
        <f t="shared" ref="BE49:CD49" si="19">BE10</f>
        <v>10494.2</v>
      </c>
      <c r="BF49" s="109">
        <f t="shared" si="19"/>
        <v>2379.2960000000003</v>
      </c>
      <c r="BG49" s="109">
        <f t="shared" si="19"/>
        <v>2743.1110000000003</v>
      </c>
      <c r="BH49" s="109">
        <f t="shared" si="19"/>
        <v>2828.2669999999998</v>
      </c>
      <c r="BI49" s="109">
        <f t="shared" si="19"/>
        <v>3016.0770000000002</v>
      </c>
      <c r="BJ49" s="108">
        <f t="shared" si="19"/>
        <v>10966.751</v>
      </c>
      <c r="BK49" s="109">
        <f t="shared" si="19"/>
        <v>0</v>
      </c>
      <c r="BL49" s="109">
        <f t="shared" si="19"/>
        <v>0</v>
      </c>
      <c r="BM49" s="109">
        <f t="shared" si="19"/>
        <v>0</v>
      </c>
      <c r="BN49" s="109">
        <f t="shared" si="19"/>
        <v>0</v>
      </c>
      <c r="BO49" s="108">
        <f t="shared" si="19"/>
        <v>11740.723020000001</v>
      </c>
      <c r="BP49" s="109">
        <f t="shared" si="19"/>
        <v>0</v>
      </c>
      <c r="BQ49" s="109">
        <f t="shared" si="19"/>
        <v>0</v>
      </c>
      <c r="BR49" s="109">
        <f t="shared" si="19"/>
        <v>0</v>
      </c>
      <c r="BS49" s="109">
        <f t="shared" si="19"/>
        <v>0</v>
      </c>
      <c r="BT49" s="108">
        <f t="shared" si="19"/>
        <v>12447.6115627</v>
      </c>
      <c r="BU49" s="109">
        <f t="shared" si="19"/>
        <v>0</v>
      </c>
      <c r="BV49" s="109">
        <f t="shared" si="19"/>
        <v>0</v>
      </c>
      <c r="BW49" s="109">
        <f t="shared" si="19"/>
        <v>0</v>
      </c>
      <c r="BX49" s="109">
        <f t="shared" si="19"/>
        <v>0</v>
      </c>
      <c r="BY49" s="108">
        <f t="shared" si="19"/>
        <v>13185.359670699003</v>
      </c>
      <c r="BZ49" s="109">
        <f t="shared" si="19"/>
        <v>0</v>
      </c>
      <c r="CA49" s="109">
        <f t="shared" si="19"/>
        <v>0</v>
      </c>
      <c r="CB49" s="109">
        <f t="shared" si="19"/>
        <v>0</v>
      </c>
      <c r="CC49" s="109">
        <f t="shared" si="19"/>
        <v>0</v>
      </c>
      <c r="CD49" s="108">
        <f t="shared" si="19"/>
        <v>13762.726328055631</v>
      </c>
      <c r="CF49" s="100"/>
    </row>
    <row r="50" spans="1:84" s="96" customFormat="1" hidden="1" outlineLevel="1" x14ac:dyDescent="0.15">
      <c r="A50" s="94"/>
      <c r="B50" s="115" t="s">
        <v>71</v>
      </c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R50" s="101"/>
      <c r="AS50" s="101"/>
      <c r="AT50" s="116"/>
      <c r="AY50" s="116"/>
      <c r="AZ50" s="115"/>
      <c r="BA50" s="116" t="s">
        <v>39</v>
      </c>
      <c r="BB50" s="116"/>
      <c r="BC50" s="116"/>
      <c r="BD50" s="116" t="e">
        <f ca="1">_xll.BDP("vrx us equity","best_sales","BEST_FPERIOD_OVERRIDE=1Fq")</f>
        <v>#NAME?</v>
      </c>
      <c r="BE50" s="115" t="e">
        <f ca="1">_xll.BDP("vrx us equity","best_sales","BEST_FPERIOD_OVERRIDE=15bc")</f>
        <v>#NAME?</v>
      </c>
      <c r="BF50" s="116" t="e">
        <f ca="1">_xll.BDP("vrx us equity","best_sales","BEST_FPERIOD_OVERRIDE=2Fq")</f>
        <v>#NAME?</v>
      </c>
      <c r="BG50" s="116" t="e">
        <f ca="1">_xll.BDP("vrx us equity","best_sales","BEST_FPERIOD_OVERRIDE=3Fq")</f>
        <v>#NAME?</v>
      </c>
      <c r="BH50" s="116" t="e">
        <f ca="1">_xll.BDP("vrx us equity","best_sales","BEST_FPERIOD_OVERRIDE=4Fq")</f>
        <v>#NAME?</v>
      </c>
      <c r="BI50" s="116"/>
      <c r="BJ50" s="115" t="e">
        <f ca="1">_xll.BDP("vrx us equity","best_sales","BEST_FPERIOD_OVERRIDE=16bc")</f>
        <v>#NAME?</v>
      </c>
      <c r="BK50" s="115" t="e">
        <f ca="1">_xll.BDP("vrx us equity","best_sales","BEST_FPERIOD_OVERRIDE=16bc")</f>
        <v>#NAME?</v>
      </c>
      <c r="BL50" s="115" t="e">
        <f ca="1">_xll.BDP("vrx us equity","best_sales","BEST_FPERIOD_OVERRIDE=16bc")</f>
        <v>#NAME?</v>
      </c>
      <c r="BM50" s="115" t="e">
        <f ca="1">_xll.BDP("vrx us equity","best_sales","BEST_FPERIOD_OVERRIDE=16bc")</f>
        <v>#NAME?</v>
      </c>
      <c r="BN50" s="115" t="e">
        <f ca="1">_xll.BDP("vrx us equity","best_sales","BEST_FPERIOD_OVERRIDE=16bc")</f>
        <v>#NAME?</v>
      </c>
      <c r="BO50" s="115" t="e">
        <f ca="1">_xll.BDP("vrx us equity","best_sales","BEST_FPERIOD_OVERRIDE=17bc")</f>
        <v>#NAME?</v>
      </c>
      <c r="BP50" s="115" t="e">
        <f ca="1">_xll.BDP("vrx us equity","best_sales","BEST_FPERIOD_OVERRIDE=16bc")</f>
        <v>#NAME?</v>
      </c>
      <c r="BQ50" s="115" t="e">
        <f ca="1">_xll.BDP("vrx us equity","best_sales","BEST_FPERIOD_OVERRIDE=16bc")</f>
        <v>#NAME?</v>
      </c>
      <c r="BR50" s="115" t="e">
        <f ca="1">_xll.BDP("vrx us equity","best_sales","BEST_FPERIOD_OVERRIDE=16bc")</f>
        <v>#NAME?</v>
      </c>
      <c r="BS50" s="115" t="e">
        <f ca="1">_xll.BDP("vrx us equity","best_sales","BEST_FPERIOD_OVERRIDE=16bc")</f>
        <v>#NAME?</v>
      </c>
      <c r="BT50" s="115" t="e">
        <f ca="1">_xll.BDP("vrx us equity","best_sales","BEST_FPERIOD_OVERRIDE=18bc")</f>
        <v>#NAME?</v>
      </c>
      <c r="BU50" s="115" t="e">
        <f ca="1">_xll.BDP("vrx us equity","best_sales","BEST_FPERIOD_OVERRIDE=16bc")</f>
        <v>#NAME?</v>
      </c>
      <c r="BV50" s="115" t="e">
        <f ca="1">_xll.BDP("vrx us equity","best_sales","BEST_FPERIOD_OVERRIDE=16bc")</f>
        <v>#NAME?</v>
      </c>
      <c r="BW50" s="115" t="e">
        <f ca="1">_xll.BDP("vrx us equity","best_sales","BEST_FPERIOD_OVERRIDE=16bc")</f>
        <v>#NAME?</v>
      </c>
      <c r="BX50" s="115" t="e">
        <f ca="1">_xll.BDP("vrx us equity","best_sales","BEST_FPERIOD_OVERRIDE=16bc")</f>
        <v>#NAME?</v>
      </c>
      <c r="BY50" s="115" t="e">
        <f ca="1">_xll.BDP("vrx us equity","best_sales","BEST_FPERIOD_OVERRIDE=17bc")</f>
        <v>#NAME?</v>
      </c>
      <c r="BZ50" s="115" t="e">
        <f ca="1">_xll.BDP("vrx us equity","best_sales","BEST_FPERIOD_OVERRIDE=16bc")</f>
        <v>#NAME?</v>
      </c>
      <c r="CA50" s="115" t="e">
        <f ca="1">_xll.BDP("vrx us equity","best_sales","BEST_FPERIOD_OVERRIDE=16bc")</f>
        <v>#NAME?</v>
      </c>
      <c r="CB50" s="115" t="e">
        <f ca="1">_xll.BDP("vrx us equity","best_sales","BEST_FPERIOD_OVERRIDE=16bc")</f>
        <v>#NAME?</v>
      </c>
      <c r="CC50" s="115" t="e">
        <f ca="1">_xll.BDP("vrx us equity","best_sales","BEST_FPERIOD_OVERRIDE=16bc")</f>
        <v>#NAME?</v>
      </c>
      <c r="CD50" s="115" t="e">
        <f ca="1">_xll.BDP("vrx us equity","best_sales","BEST_FPERIOD_OVERRIDE=18bc")</f>
        <v>#NAME?</v>
      </c>
      <c r="CF50" s="100"/>
    </row>
    <row r="51" spans="1:84" s="91" customFormat="1" ht="4.5" customHeight="1" collapsed="1" x14ac:dyDescent="0.15">
      <c r="B51" s="69"/>
      <c r="G51" s="92"/>
      <c r="L51" s="92"/>
      <c r="Q51" s="92"/>
      <c r="V51" s="92"/>
      <c r="AA51" s="92"/>
      <c r="AF51" s="92"/>
      <c r="AK51" s="92"/>
      <c r="AP51" s="92"/>
      <c r="AU51" s="92" t="s">
        <v>39</v>
      </c>
    </row>
    <row r="52" spans="1:84" s="28" customFormat="1" x14ac:dyDescent="0.15">
      <c r="B52" s="34" t="s">
        <v>72</v>
      </c>
      <c r="C52" s="35"/>
      <c r="D52" s="36"/>
      <c r="E52" s="36"/>
      <c r="F52" s="36"/>
      <c r="G52" s="34"/>
      <c r="H52" s="35"/>
      <c r="I52" s="36"/>
      <c r="J52" s="36"/>
      <c r="K52" s="36"/>
      <c r="L52" s="34"/>
      <c r="M52" s="35"/>
      <c r="N52" s="36"/>
      <c r="O52" s="36"/>
      <c r="P52" s="36"/>
      <c r="Q52" s="34"/>
      <c r="R52" s="35"/>
      <c r="S52" s="36"/>
      <c r="T52" s="36"/>
      <c r="U52" s="36"/>
      <c r="V52" s="34"/>
      <c r="W52" s="35"/>
      <c r="X52" s="36"/>
      <c r="Y52" s="36"/>
      <c r="Z52" s="36"/>
      <c r="AA52" s="34"/>
      <c r="AB52" s="35"/>
      <c r="AC52" s="36"/>
      <c r="AD52" s="36"/>
      <c r="AE52" s="36"/>
      <c r="AF52" s="34"/>
      <c r="AG52" s="35"/>
      <c r="AH52" s="36"/>
      <c r="AI52" s="36"/>
      <c r="AJ52" s="36"/>
      <c r="AK52" s="34"/>
      <c r="AL52" s="35"/>
      <c r="AM52" s="36"/>
      <c r="AN52" s="36"/>
      <c r="AO52" s="36"/>
      <c r="AP52" s="34"/>
      <c r="AQ52" s="35"/>
      <c r="AR52" s="36"/>
      <c r="AS52" s="36"/>
      <c r="AT52" s="36"/>
      <c r="AU52" s="34"/>
      <c r="AV52" s="35"/>
      <c r="AW52" s="36"/>
      <c r="AX52" s="36"/>
      <c r="AY52" s="36"/>
      <c r="AZ52" s="34"/>
      <c r="BA52" s="35"/>
      <c r="BB52" s="36"/>
      <c r="BC52" s="36"/>
      <c r="BD52" s="36"/>
      <c r="BE52" s="117"/>
      <c r="BF52" s="36"/>
      <c r="BG52" s="36"/>
      <c r="BH52" s="36"/>
      <c r="BI52" s="36"/>
      <c r="BJ52" s="118"/>
      <c r="BK52" s="35"/>
      <c r="BL52" s="36"/>
      <c r="BM52" s="36"/>
      <c r="BN52" s="36"/>
      <c r="BO52" s="117"/>
      <c r="BP52" s="35"/>
      <c r="BQ52" s="36"/>
      <c r="BR52" s="36"/>
      <c r="BS52" s="36"/>
      <c r="BT52" s="117"/>
      <c r="BU52" s="35"/>
      <c r="BV52" s="36"/>
      <c r="BW52" s="36"/>
      <c r="BX52" s="36"/>
      <c r="BY52" s="117"/>
      <c r="BZ52" s="35"/>
      <c r="CA52" s="36"/>
      <c r="CB52" s="36"/>
      <c r="CC52" s="36"/>
      <c r="CD52" s="117"/>
      <c r="CF52" s="37"/>
    </row>
    <row r="53" spans="1:84" s="119" customFormat="1" x14ac:dyDescent="0.15">
      <c r="B53" s="70" t="s">
        <v>73</v>
      </c>
      <c r="C53" s="120">
        <f t="shared" ref="C53:BI53" si="20">C$12/C$10</f>
        <v>0.7598381841938594</v>
      </c>
      <c r="D53" s="92">
        <f t="shared" si="20"/>
        <v>0.72002852017112096</v>
      </c>
      <c r="E53" s="92">
        <f t="shared" si="20"/>
        <v>0.7985297878771439</v>
      </c>
      <c r="F53" s="92">
        <f t="shared" si="20"/>
        <v>0.81375385064704775</v>
      </c>
      <c r="G53" s="121">
        <f>G$12/G$10</f>
        <v>0.77778227753129792</v>
      </c>
      <c r="H53" s="120">
        <f t="shared" si="20"/>
        <v>0.77630904712887094</v>
      </c>
      <c r="I53" s="92">
        <f t="shared" si="20"/>
        <v>0.75546862020679884</v>
      </c>
      <c r="J53" s="92">
        <f t="shared" si="20"/>
        <v>0.79509034646626509</v>
      </c>
      <c r="K53" s="92">
        <f t="shared" si="20"/>
        <v>0.82837203557312256</v>
      </c>
      <c r="L53" s="121">
        <f>L$12/L$10</f>
        <v>0.79142928402686896</v>
      </c>
      <c r="M53" s="120">
        <f t="shared" si="20"/>
        <v>0.77159976518693951</v>
      </c>
      <c r="N53" s="92">
        <f t="shared" si="20"/>
        <v>0.73139533165539561</v>
      </c>
      <c r="O53" s="92">
        <f t="shared" si="20"/>
        <v>0.73287098311186405</v>
      </c>
      <c r="P53" s="92">
        <f t="shared" si="20"/>
        <v>0.69458939851689094</v>
      </c>
      <c r="Q53" s="121">
        <f t="shared" si="20"/>
        <v>0.7346046240113524</v>
      </c>
      <c r="R53" s="120">
        <f t="shared" si="20"/>
        <v>0.74227570528254461</v>
      </c>
      <c r="S53" s="92">
        <f t="shared" si="20"/>
        <v>0.76422257449152309</v>
      </c>
      <c r="T53" s="92">
        <f t="shared" si="20"/>
        <v>0.73787474667152608</v>
      </c>
      <c r="U53" s="92">
        <f t="shared" si="20"/>
        <v>0.71301295896328298</v>
      </c>
      <c r="V53" s="121">
        <f t="shared" si="20"/>
        <v>0.73960284107567831</v>
      </c>
      <c r="W53" s="120">
        <f>W$12/W$10</f>
        <v>0.74128629867469809</v>
      </c>
      <c r="X53" s="92">
        <f t="shared" si="20"/>
        <v>0.74135427700415957</v>
      </c>
      <c r="Y53" s="92">
        <f t="shared" si="20"/>
        <v>0.76158345214400314</v>
      </c>
      <c r="Z53" s="92">
        <f t="shared" si="20"/>
        <v>0.75630670433473135</v>
      </c>
      <c r="AA53" s="121">
        <f>AA$12/AA$10</f>
        <v>0.75097327011445225</v>
      </c>
      <c r="AB53" s="120">
        <f t="shared" si="20"/>
        <v>0.73157738976028419</v>
      </c>
      <c r="AC53" s="92">
        <f t="shared" si="20"/>
        <v>0.73235041571551229</v>
      </c>
      <c r="AD53" s="92">
        <f t="shared" si="20"/>
        <v>0.70162339688956965</v>
      </c>
      <c r="AE53" s="92">
        <f t="shared" si="20"/>
        <v>0.68842359745337789</v>
      </c>
      <c r="AF53" s="121">
        <f>AF$12/AF$10</f>
        <v>0.70765341670539816</v>
      </c>
      <c r="AG53" s="120">
        <f t="shared" si="20"/>
        <v>0.7313946614846043</v>
      </c>
      <c r="AH53" s="92">
        <f t="shared" si="20"/>
        <v>0.74183892994107181</v>
      </c>
      <c r="AI53" s="92">
        <f t="shared" si="20"/>
        <v>0.73316890016177028</v>
      </c>
      <c r="AJ53" s="92">
        <f t="shared" si="20"/>
        <v>0.75833644417265955</v>
      </c>
      <c r="AK53" s="122">
        <f>AK$12/AK$10</f>
        <v>0.74193921544592345</v>
      </c>
      <c r="AL53" s="120">
        <f t="shared" si="20"/>
        <v>0.73781542641481224</v>
      </c>
      <c r="AM53" s="92">
        <f t="shared" si="20"/>
        <v>0.75723030399102542</v>
      </c>
      <c r="AN53" s="92">
        <f t="shared" si="20"/>
        <v>0.76222996358042849</v>
      </c>
      <c r="AO53" s="92">
        <f t="shared" si="20"/>
        <v>0.75177457408701065</v>
      </c>
      <c r="AP53" s="122">
        <f>AP$12/AP$10</f>
        <v>0.75227300538596398</v>
      </c>
      <c r="AQ53" s="120">
        <f t="shared" si="20"/>
        <v>0.76941746891248686</v>
      </c>
      <c r="AR53" s="92">
        <f t="shared" si="20"/>
        <v>0.7639250129133881</v>
      </c>
      <c r="AS53" s="92">
        <f>AS$12/AS$10</f>
        <v>0.73020001543719359</v>
      </c>
      <c r="AT53" s="92">
        <f>AT$12/AT$10</f>
        <v>0.73444305700719603</v>
      </c>
      <c r="AU53" s="122">
        <f>AU$12/AU$10</f>
        <v>0.74538464938240989</v>
      </c>
      <c r="AV53" s="120">
        <f t="shared" si="20"/>
        <v>0.73555296363057998</v>
      </c>
      <c r="AW53" s="92">
        <f t="shared" si="20"/>
        <v>0.72176767429327315</v>
      </c>
      <c r="AX53" s="92">
        <f>AX$12/AX$10</f>
        <v>0.74039490321953128</v>
      </c>
      <c r="AY53" s="92">
        <f t="shared" si="20"/>
        <v>0.75495614035087721</v>
      </c>
      <c r="AZ53" s="122">
        <f>AZ$12/AZ$10</f>
        <v>0.73870635929085737</v>
      </c>
      <c r="BA53" s="92">
        <f t="shared" si="20"/>
        <v>0.7532064448400202</v>
      </c>
      <c r="BB53" s="92">
        <f t="shared" si="20"/>
        <v>0.76928707363489968</v>
      </c>
      <c r="BC53" s="92">
        <f>BC$12/BC$10</f>
        <v>0.78039328261805652</v>
      </c>
      <c r="BD53" s="92">
        <f t="shared" si="20"/>
        <v>0.75550447182213276</v>
      </c>
      <c r="BE53" s="122">
        <f>BE$12/BE$10</f>
        <v>0.76522269444073865</v>
      </c>
      <c r="BF53" s="92">
        <f t="shared" si="20"/>
        <v>0.74804910360039278</v>
      </c>
      <c r="BG53" s="92">
        <f t="shared" si="20"/>
        <v>0.76537285950149314</v>
      </c>
      <c r="BH53" s="92">
        <f t="shared" si="20"/>
        <v>0.76926006985903383</v>
      </c>
      <c r="BI53" s="123">
        <f t="shared" si="20"/>
        <v>0.76419677116996687</v>
      </c>
      <c r="BJ53" s="122">
        <f>BJ$12/BJ$10</f>
        <v>0.76229341990166455</v>
      </c>
      <c r="BO53" s="122">
        <f>BO$12/BO$10</f>
        <v>0.76484107324167172</v>
      </c>
      <c r="BT53" s="122">
        <f>BT$12/BT$10</f>
        <v>0.76914367692000118</v>
      </c>
      <c r="BY53" s="122">
        <f>BY$12/BY$10</f>
        <v>0.77444113789258129</v>
      </c>
      <c r="CD53" s="122">
        <f>CD$12/CD$10</f>
        <v>0.77912807614339785</v>
      </c>
      <c r="CF53" s="42"/>
    </row>
    <row r="54" spans="1:84" s="119" customFormat="1" x14ac:dyDescent="0.15">
      <c r="B54" s="70" t="s">
        <v>74</v>
      </c>
      <c r="C54" s="120">
        <f t="shared" ref="C54:BA54" si="21">C$14/C10</f>
        <v>0.11689423203108507</v>
      </c>
      <c r="D54" s="92">
        <f t="shared" si="21"/>
        <v>0.10465982795896775</v>
      </c>
      <c r="E54" s="92">
        <f t="shared" si="21"/>
        <v>7.716482341179115E-2</v>
      </c>
      <c r="F54" s="92">
        <f t="shared" si="21"/>
        <v>9.1448955892272282E-2</v>
      </c>
      <c r="G54" s="120">
        <f t="shared" si="21"/>
        <v>9.5333909538613051E-2</v>
      </c>
      <c r="H54" s="120">
        <f t="shared" si="21"/>
        <v>0.10125020972869042</v>
      </c>
      <c r="I54" s="92">
        <f t="shared" si="21"/>
        <v>7.2790993884638819E-2</v>
      </c>
      <c r="J54" s="92">
        <f t="shared" si="21"/>
        <v>9.1002652373321558E-2</v>
      </c>
      <c r="K54" s="92">
        <f t="shared" si="21"/>
        <v>9.2310042646141038E-2</v>
      </c>
      <c r="L54" s="120">
        <f t="shared" si="21"/>
        <v>8.9188616095407056E-2</v>
      </c>
      <c r="M54" s="120">
        <f t="shared" si="21"/>
        <v>0.12032954798485862</v>
      </c>
      <c r="N54" s="92">
        <f t="shared" si="21"/>
        <v>0.1401143690248095</v>
      </c>
      <c r="O54" s="92">
        <f t="shared" si="21"/>
        <v>0.16239080946582668</v>
      </c>
      <c r="P54" s="92">
        <f t="shared" si="21"/>
        <v>0.14357319417742379</v>
      </c>
      <c r="Q54" s="120">
        <f t="shared" si="21"/>
        <v>0.14014532200308963</v>
      </c>
      <c r="R54" s="120">
        <f t="shared" si="21"/>
        <v>0.13636581645867107</v>
      </c>
      <c r="S54" s="92">
        <f t="shared" si="21"/>
        <v>0.11692415164297805</v>
      </c>
      <c r="T54" s="92">
        <f t="shared" si="21"/>
        <v>0.10308743214662404</v>
      </c>
      <c r="U54" s="92">
        <f t="shared" si="21"/>
        <v>8.8624542689646063E-2</v>
      </c>
      <c r="V54" s="120">
        <f t="shared" si="21"/>
        <v>0.11218498160274072</v>
      </c>
      <c r="W54" s="120">
        <f t="shared" si="21"/>
        <v>8.3822316076137077E-2</v>
      </c>
      <c r="X54" s="92">
        <f t="shared" si="21"/>
        <v>7.3774769421551659E-2</v>
      </c>
      <c r="Y54" s="92">
        <f t="shared" si="21"/>
        <v>7.0938204335530761E-2</v>
      </c>
      <c r="Z54" s="92">
        <f t="shared" si="21"/>
        <v>7.2797268650462765E-2</v>
      </c>
      <c r="AA54" s="120">
        <f t="shared" si="21"/>
        <v>7.487537023268287E-2</v>
      </c>
      <c r="AB54" s="120">
        <f t="shared" si="21"/>
        <v>7.2319985430373129E-2</v>
      </c>
      <c r="AC54" s="92">
        <f t="shared" si="21"/>
        <v>0.11333431066619197</v>
      </c>
      <c r="AD54" s="92">
        <f t="shared" si="21"/>
        <v>6.8652258879227143E-2</v>
      </c>
      <c r="AE54" s="92">
        <f t="shared" si="21"/>
        <v>3.5610730637977005E-2</v>
      </c>
      <c r="AF54" s="120">
        <f t="shared" si="21"/>
        <v>6.3971635888930942E-2</v>
      </c>
      <c r="AG54" s="120">
        <f t="shared" si="21"/>
        <v>2.4193576932742916E-2</v>
      </c>
      <c r="AH54" s="92">
        <f t="shared" si="21"/>
        <v>2.8248059115143578E-2</v>
      </c>
      <c r="AI54" s="92">
        <f t="shared" si="21"/>
        <v>2.8484551936250522E-2</v>
      </c>
      <c r="AJ54" s="92">
        <f t="shared" si="21"/>
        <v>2.418756254965844E-2</v>
      </c>
      <c r="AK54" s="120">
        <f t="shared" si="21"/>
        <v>2.6241233777567076E-2</v>
      </c>
      <c r="AL54" s="120">
        <f t="shared" si="21"/>
        <v>2.561724465397271E-2</v>
      </c>
      <c r="AM54" s="92">
        <f t="shared" si="21"/>
        <v>2.1596410150105473E-2</v>
      </c>
      <c r="AN54" s="92">
        <f t="shared" si="21"/>
        <v>2.1682086547379392E-2</v>
      </c>
      <c r="AO54" s="92">
        <f t="shared" si="21"/>
        <v>2.0445242945047768E-2</v>
      </c>
      <c r="AP54" s="122">
        <f t="shared" si="21"/>
        <v>2.2268206458758266E-2</v>
      </c>
      <c r="AQ54" s="120">
        <f t="shared" si="21"/>
        <v>2.2272559214867718E-2</v>
      </c>
      <c r="AR54" s="92">
        <f t="shared" si="21"/>
        <v>2.2330579085604357E-2</v>
      </c>
      <c r="AS54" s="92">
        <f t="shared" si="21"/>
        <v>3.1788295104658339E-2</v>
      </c>
      <c r="AT54" s="92">
        <f>AT$14/AT10</f>
        <v>2.8835759248787524E-2</v>
      </c>
      <c r="AU54" s="121">
        <f t="shared" si="21"/>
        <v>2.7173957315968771E-2</v>
      </c>
      <c r="AV54" s="120">
        <f t="shared" si="21"/>
        <v>3.2340154808609904E-2</v>
      </c>
      <c r="AW54" s="92">
        <f t="shared" si="21"/>
        <v>3.2384498554700894E-2</v>
      </c>
      <c r="AX54" s="92">
        <f t="shared" si="21"/>
        <v>2.8596440035016046E-2</v>
      </c>
      <c r="AY54" s="92">
        <f t="shared" si="21"/>
        <v>2.5789473684210529E-2</v>
      </c>
      <c r="AZ54" s="121">
        <f t="shared" si="21"/>
        <v>2.9612149815453501E-2</v>
      </c>
      <c r="BA54" s="92">
        <f t="shared" si="21"/>
        <v>2.5332055319731615E-2</v>
      </c>
      <c r="BB54" s="92">
        <f>BB$14/BB10</f>
        <v>2.9534475186649093E-2</v>
      </c>
      <c r="BC54" s="92">
        <f>BC$14/BC10</f>
        <v>3.6349935409789001E-2</v>
      </c>
      <c r="BD54" s="92">
        <f t="shared" ref="BD54" si="22">BD$14/BD10</f>
        <v>3.4301928810028373E-2</v>
      </c>
      <c r="BE54" s="124">
        <f>BE$14/BE10</f>
        <v>3.1731813763793332E-2</v>
      </c>
      <c r="BF54" s="125">
        <v>4.4999999999999998E-2</v>
      </c>
      <c r="BG54" s="125">
        <v>3.7999999999999999E-2</v>
      </c>
      <c r="BH54" s="125">
        <v>3.5999999999999997E-2</v>
      </c>
      <c r="BI54" s="126">
        <v>3.3000000000000002E-2</v>
      </c>
      <c r="BJ54" s="124">
        <f>BJ$14/BJ10</f>
        <v>3.7627797968605291E-2</v>
      </c>
      <c r="BK54" s="127"/>
      <c r="BL54" s="127"/>
      <c r="BM54" s="127"/>
      <c r="BN54" s="127"/>
      <c r="BO54" s="128">
        <v>3.5000000000000003E-2</v>
      </c>
      <c r="BP54" s="126"/>
      <c r="BQ54" s="126"/>
      <c r="BR54" s="126"/>
      <c r="BS54" s="126"/>
      <c r="BT54" s="126">
        <v>3.3000000000000002E-2</v>
      </c>
      <c r="BU54" s="127"/>
      <c r="BV54" s="127"/>
      <c r="BW54" s="127"/>
      <c r="BX54" s="127"/>
      <c r="BY54" s="128">
        <v>3.1E-2</v>
      </c>
      <c r="BZ54" s="126"/>
      <c r="CA54" s="126"/>
      <c r="CB54" s="126"/>
      <c r="CC54" s="126"/>
      <c r="CD54" s="126">
        <v>0.03</v>
      </c>
      <c r="CF54" s="42"/>
    </row>
    <row r="55" spans="1:84" s="119" customFormat="1" x14ac:dyDescent="0.15">
      <c r="B55" s="70" t="s">
        <v>75</v>
      </c>
      <c r="C55" s="120">
        <f t="shared" ref="C55:BA55" si="23">C$15/C$10</f>
        <v>0.43138519122908126</v>
      </c>
      <c r="D55" s="92">
        <f t="shared" si="23"/>
        <v>0.2670362022172133</v>
      </c>
      <c r="E55" s="92">
        <f t="shared" si="23"/>
        <v>0.16431189887544662</v>
      </c>
      <c r="F55" s="92">
        <f t="shared" si="23"/>
        <v>0.1847302287093118</v>
      </c>
      <c r="G55" s="121">
        <f>G$15/G$10</f>
        <v>0.24425384435849917</v>
      </c>
      <c r="H55" s="120">
        <f t="shared" si="23"/>
        <v>0.25643583662475111</v>
      </c>
      <c r="I55" s="92">
        <f t="shared" si="23"/>
        <v>0.2637200066454119</v>
      </c>
      <c r="J55" s="92">
        <f t="shared" si="23"/>
        <v>0.17326076145217442</v>
      </c>
      <c r="K55" s="92">
        <f t="shared" si="23"/>
        <v>0.21145269918868315</v>
      </c>
      <c r="L55" s="121">
        <f>L$15/L$10</f>
        <v>0.22273193906937599</v>
      </c>
      <c r="M55" s="120">
        <f t="shared" si="23"/>
        <v>0.2007813607012004</v>
      </c>
      <c r="N55" s="92">
        <f t="shared" si="23"/>
        <v>0.22819132430661934</v>
      </c>
      <c r="O55" s="92">
        <f t="shared" si="23"/>
        <v>0.17819895177087194</v>
      </c>
      <c r="P55" s="92">
        <f t="shared" si="23"/>
        <v>0.15408835877113825</v>
      </c>
      <c r="Q55" s="121">
        <f>Q$15/Q$10</f>
        <v>0.19102700701693606</v>
      </c>
      <c r="R55" s="120">
        <f t="shared" si="23"/>
        <v>0.20910032710145901</v>
      </c>
      <c r="S55" s="92">
        <f t="shared" si="23"/>
        <v>0.24270936887073807</v>
      </c>
      <c r="T55" s="92">
        <f t="shared" si="23"/>
        <v>0.24260446520771553</v>
      </c>
      <c r="U55" s="92">
        <f t="shared" si="23"/>
        <v>0.23482060210693351</v>
      </c>
      <c r="V55" s="121">
        <f>V$15/V$10</f>
        <v>0.23153868707226041</v>
      </c>
      <c r="W55" s="120">
        <f t="shared" si="23"/>
        <v>0.24142765651775053</v>
      </c>
      <c r="X55" s="92">
        <f t="shared" si="23"/>
        <v>0.24451907923631386</v>
      </c>
      <c r="Y55" s="92">
        <f t="shared" si="23"/>
        <v>0.20959613782978784</v>
      </c>
      <c r="Z55" s="92">
        <f t="shared" si="23"/>
        <v>0.1700953732166785</v>
      </c>
      <c r="AA55" s="121">
        <f>AA$15/AA$10</f>
        <v>0.21295296368977248</v>
      </c>
      <c r="AB55" s="120">
        <f t="shared" si="23"/>
        <v>0.1981150545222756</v>
      </c>
      <c r="AC55" s="92">
        <f t="shared" si="23"/>
        <v>0.18887934825860228</v>
      </c>
      <c r="AD55" s="92">
        <f t="shared" si="23"/>
        <v>0.28898961429319092</v>
      </c>
      <c r="AE55" s="92">
        <f t="shared" si="23"/>
        <v>0.20530585116720176</v>
      </c>
      <c r="AF55" s="121">
        <f>AF$15/AF$10</f>
        <v>0.21540351385146259</v>
      </c>
      <c r="AG55" s="120">
        <f t="shared" si="23"/>
        <v>0.20559938834673092</v>
      </c>
      <c r="AH55" s="92">
        <f t="shared" si="23"/>
        <v>0.21605974528501598</v>
      </c>
      <c r="AI55" s="92">
        <f t="shared" si="23"/>
        <v>0.20674309147676964</v>
      </c>
      <c r="AJ55" s="92">
        <f t="shared" si="23"/>
        <v>0.19642008967932453</v>
      </c>
      <c r="AK55" s="121">
        <f>AK$15/AK$10</f>
        <v>0.20590059414267381</v>
      </c>
      <c r="AL55" s="120">
        <f t="shared" si="23"/>
        <v>0.19390190199076518</v>
      </c>
      <c r="AM55" s="92">
        <f t="shared" si="23"/>
        <v>0.21349364094184783</v>
      </c>
      <c r="AN55" s="92">
        <f t="shared" si="23"/>
        <v>0.20303458728255711</v>
      </c>
      <c r="AO55" s="92">
        <f t="shared" si="23"/>
        <v>0.20144115389645864</v>
      </c>
      <c r="AP55" s="122">
        <f>AP$15/AP$10</f>
        <v>0.20280542690433098</v>
      </c>
      <c r="AQ55" s="120">
        <f t="shared" si="23"/>
        <v>0.22669337439334294</v>
      </c>
      <c r="AR55" s="92">
        <f t="shared" si="23"/>
        <v>0.21881485213029839</v>
      </c>
      <c r="AS55" s="92">
        <f t="shared" si="23"/>
        <v>0.22806313163580419</v>
      </c>
      <c r="AT55" s="92">
        <f t="shared" si="23"/>
        <v>0.2179932036572135</v>
      </c>
      <c r="AU55" s="121">
        <f>AU$15/AU$10</f>
        <v>0.22245110367174184</v>
      </c>
      <c r="AV55" s="120">
        <f t="shared" si="23"/>
        <v>0.25235924080161171</v>
      </c>
      <c r="AW55" s="92">
        <f t="shared" si="23"/>
        <v>0.25064915976679242</v>
      </c>
      <c r="AX55" s="92">
        <f t="shared" si="23"/>
        <v>0.24355607431183735</v>
      </c>
      <c r="AY55" s="92">
        <f t="shared" si="23"/>
        <v>0.23026315789473684</v>
      </c>
      <c r="AZ55" s="121">
        <f>AZ$15/AZ$10</f>
        <v>0.24364978519997582</v>
      </c>
      <c r="BA55" s="92">
        <f t="shared" si="23"/>
        <v>0.25779360080332281</v>
      </c>
      <c r="BB55" s="92">
        <f>BB$15/BB$10</f>
        <v>0.2524886546625677</v>
      </c>
      <c r="BC55" s="92">
        <f>BC$15/BC$10</f>
        <v>0.24174680637290083</v>
      </c>
      <c r="BD55" s="92">
        <f t="shared" ref="BD55" si="24">BD$15/BD$10</f>
        <v>0.24348981717610718</v>
      </c>
      <c r="BE55" s="121">
        <f>BE$15/BE$10</f>
        <v>0.24835623487259625</v>
      </c>
      <c r="BF55" s="129">
        <v>0.3</v>
      </c>
      <c r="BG55" s="129">
        <v>0.25</v>
      </c>
      <c r="BH55" s="129">
        <v>0.24</v>
      </c>
      <c r="BI55" s="130">
        <v>0.22500000000000001</v>
      </c>
      <c r="BJ55" s="121">
        <f>BJ$15/BJ$10</f>
        <v>0.25139332104832141</v>
      </c>
      <c r="BO55" s="131">
        <v>0.25</v>
      </c>
      <c r="BP55" s="130"/>
      <c r="BQ55" s="130"/>
      <c r="BR55" s="130"/>
      <c r="BS55" s="130"/>
      <c r="BT55" s="130">
        <v>0.248</v>
      </c>
      <c r="BY55" s="131">
        <v>0.245</v>
      </c>
      <c r="BZ55" s="130"/>
      <c r="CA55" s="130"/>
      <c r="CB55" s="130"/>
      <c r="CC55" s="130"/>
      <c r="CD55" s="130">
        <v>0.245</v>
      </c>
      <c r="CF55" s="42"/>
    </row>
    <row r="56" spans="1:84" s="119" customFormat="1" x14ac:dyDescent="0.15">
      <c r="B56" s="70" t="s">
        <v>76</v>
      </c>
      <c r="C56" s="120">
        <f>C$20/C$10</f>
        <v>0.12007234923913468</v>
      </c>
      <c r="D56" s="92">
        <f>D$20/D$10</f>
        <v>0.2771378628271769</v>
      </c>
      <c r="E56" s="92">
        <f>E$20/E$10</f>
        <v>0.4972099295507213</v>
      </c>
      <c r="F56" s="92">
        <f>F$20/F$10</f>
        <v>0.48388465095579486</v>
      </c>
      <c r="G56" s="121">
        <f t="shared" ref="G56:AD56" si="25">G$19/G$10</f>
        <v>0.37169716611444031</v>
      </c>
      <c r="H56" s="120">
        <f t="shared" si="25"/>
        <v>0.35140098765208166</v>
      </c>
      <c r="I56" s="92">
        <f t="shared" si="25"/>
        <v>0.36031581528919393</v>
      </c>
      <c r="J56" s="92">
        <f t="shared" si="25"/>
        <v>0.47963060175719735</v>
      </c>
      <c r="K56" s="92">
        <f t="shared" si="25"/>
        <v>0.48565568441855644</v>
      </c>
      <c r="L56" s="121">
        <f t="shared" si="25"/>
        <v>0.4267712504752324</v>
      </c>
      <c r="M56" s="120">
        <f t="shared" si="25"/>
        <v>0.40198376551081966</v>
      </c>
      <c r="N56" s="92">
        <f t="shared" si="25"/>
        <v>0.30407285730469347</v>
      </c>
      <c r="O56" s="92">
        <f t="shared" si="25"/>
        <v>0.32886335962729624</v>
      </c>
      <c r="P56" s="92">
        <f t="shared" si="25"/>
        <v>0.3375495350570879</v>
      </c>
      <c r="Q56" s="121">
        <f t="shared" si="25"/>
        <v>0.346422359275668</v>
      </c>
      <c r="R56" s="120">
        <f t="shared" si="25"/>
        <v>0.34072269278362372</v>
      </c>
      <c r="S56" s="92">
        <f t="shared" si="25"/>
        <v>0.34176630215750015</v>
      </c>
      <c r="T56" s="92">
        <f t="shared" si="25"/>
        <v>0.32402851636488128</v>
      </c>
      <c r="U56" s="92">
        <f t="shared" si="25"/>
        <v>0.30338409661920923</v>
      </c>
      <c r="V56" s="121">
        <f t="shared" si="25"/>
        <v>0.32803647226940025</v>
      </c>
      <c r="W56" s="120">
        <f t="shared" si="25"/>
        <v>0.32658854482197558</v>
      </c>
      <c r="X56" s="92">
        <f t="shared" si="25"/>
        <v>0.31053297853101514</v>
      </c>
      <c r="Y56" s="92">
        <f t="shared" si="25"/>
        <v>0.32520244867614323</v>
      </c>
      <c r="Z56" s="92">
        <f t="shared" si="25"/>
        <v>0.37100554649807299</v>
      </c>
      <c r="AA56" s="121">
        <f t="shared" si="25"/>
        <v>0.33549236376046704</v>
      </c>
      <c r="AB56" s="120">
        <f t="shared" si="25"/>
        <v>0.31089307259771903</v>
      </c>
      <c r="AC56" s="92">
        <f t="shared" si="25"/>
        <v>0.29065739596640766</v>
      </c>
      <c r="AD56" s="92">
        <f t="shared" si="25"/>
        <v>-0.60633081573172853</v>
      </c>
      <c r="AE56" s="92">
        <f t="shared" ref="AE56:BJ56" si="26">AE$20/AE$10</f>
        <v>0.44750701564819922</v>
      </c>
      <c r="AF56" s="121">
        <f t="shared" si="26"/>
        <v>0.29077556846321279</v>
      </c>
      <c r="AG56" s="120">
        <f t="shared" si="26"/>
        <v>0.5016016962051304</v>
      </c>
      <c r="AH56" s="92">
        <f t="shared" si="26"/>
        <v>0.49753112554091222</v>
      </c>
      <c r="AI56" s="92">
        <f t="shared" si="26"/>
        <v>0.49794125674875006</v>
      </c>
      <c r="AJ56" s="92">
        <f t="shared" si="26"/>
        <v>0.53772879194367662</v>
      </c>
      <c r="AK56" s="121">
        <f t="shared" si="26"/>
        <v>0.50979738752568271</v>
      </c>
      <c r="AL56" s="120">
        <f t="shared" si="26"/>
        <v>0.51829627977007431</v>
      </c>
      <c r="AM56" s="92">
        <f t="shared" si="26"/>
        <v>0.52214025289907207</v>
      </c>
      <c r="AN56" s="92">
        <f t="shared" si="26"/>
        <v>0.53751328975049195</v>
      </c>
      <c r="AO56" s="92">
        <f t="shared" si="26"/>
        <v>0.52988817724550419</v>
      </c>
      <c r="AP56" s="121">
        <f t="shared" si="26"/>
        <v>0.5271993720228747</v>
      </c>
      <c r="AQ56" s="120">
        <f t="shared" si="26"/>
        <v>0.52045153530427624</v>
      </c>
      <c r="AR56" s="92">
        <f t="shared" si="26"/>
        <v>0.52277958169748528</v>
      </c>
      <c r="AS56" s="92">
        <f t="shared" si="26"/>
        <v>0.47034858869673102</v>
      </c>
      <c r="AT56" s="92">
        <f t="shared" si="26"/>
        <v>0.48761409410119505</v>
      </c>
      <c r="AU56" s="121">
        <f t="shared" si="26"/>
        <v>0.49575958839469936</v>
      </c>
      <c r="AV56" s="120">
        <f t="shared" si="26"/>
        <v>0.45085356802035836</v>
      </c>
      <c r="AW56" s="92">
        <f t="shared" si="26"/>
        <v>0.43873401597177986</v>
      </c>
      <c r="AX56" s="92">
        <f t="shared" si="26"/>
        <v>0.46824238887267783</v>
      </c>
      <c r="AY56" s="92">
        <f t="shared" si="26"/>
        <v>0.49890350877192985</v>
      </c>
      <c r="AZ56" s="121">
        <f t="shared" si="26"/>
        <v>0.46544442427542815</v>
      </c>
      <c r="BA56" s="92">
        <f t="shared" si="26"/>
        <v>0.47008078871696574</v>
      </c>
      <c r="BB56" s="92">
        <f>BB$20/BB$10</f>
        <v>0.48726394378568294</v>
      </c>
      <c r="BC56" s="92">
        <f>BC$20/BC$10</f>
        <v>0.50229654083536679</v>
      </c>
      <c r="BD56" s="92">
        <f t="shared" si="26"/>
        <v>0.47771272583599711</v>
      </c>
      <c r="BE56" s="121">
        <f t="shared" si="26"/>
        <v>0.48513464580434906</v>
      </c>
      <c r="BF56" s="92">
        <f t="shared" si="26"/>
        <v>0.40304910360039276</v>
      </c>
      <c r="BG56" s="92">
        <f t="shared" si="26"/>
        <v>0.47737285950149316</v>
      </c>
      <c r="BH56" s="92">
        <f t="shared" si="26"/>
        <v>0.49326006985903392</v>
      </c>
      <c r="BI56" s="92">
        <f t="shared" si="26"/>
        <v>0.50619677116996686</v>
      </c>
      <c r="BJ56" s="121">
        <f t="shared" si="26"/>
        <v>0.47327230088473787</v>
      </c>
      <c r="BK56" s="120"/>
      <c r="BL56" s="92"/>
      <c r="BM56" s="92"/>
      <c r="BN56" s="92"/>
      <c r="BO56" s="121">
        <f>BO$20/BO$10</f>
        <v>0.4798410732416718</v>
      </c>
      <c r="BP56" s="120"/>
      <c r="BQ56" s="92"/>
      <c r="BR56" s="92"/>
      <c r="BS56" s="92"/>
      <c r="BT56" s="121">
        <f>BT$20/BT$10</f>
        <v>0.48814367692000116</v>
      </c>
      <c r="BU56" s="120"/>
      <c r="BV56" s="92"/>
      <c r="BW56" s="92"/>
      <c r="BX56" s="92"/>
      <c r="BY56" s="121">
        <f>BY$20/BY$10</f>
        <v>0.49844113789258127</v>
      </c>
      <c r="BZ56" s="120"/>
      <c r="CA56" s="92"/>
      <c r="CB56" s="92"/>
      <c r="CC56" s="92"/>
      <c r="CD56" s="121">
        <f>CD$20/CD$10</f>
        <v>0.50412807614339794</v>
      </c>
      <c r="CF56" s="42"/>
    </row>
    <row r="57" spans="1:84" s="119" customFormat="1" x14ac:dyDescent="0.15">
      <c r="B57" s="70" t="s">
        <v>77</v>
      </c>
      <c r="C57" s="120">
        <f t="shared" ref="C57:BJ57" si="27">C$26/C$10</f>
        <v>7.1464843861440835E-2</v>
      </c>
      <c r="D57" s="92">
        <f t="shared" si="27"/>
        <v>0.23729242375454249</v>
      </c>
      <c r="E57" s="92">
        <f t="shared" si="27"/>
        <v>0.46983623836501881</v>
      </c>
      <c r="F57" s="92">
        <f t="shared" si="27"/>
        <v>0.46404556106448214</v>
      </c>
      <c r="G57" s="121">
        <f t="shared" si="27"/>
        <v>0.33977745403235343</v>
      </c>
      <c r="H57" s="120">
        <f t="shared" si="27"/>
        <v>0.33404225409594468</v>
      </c>
      <c r="I57" s="92">
        <f t="shared" si="27"/>
        <v>0.35094499339414398</v>
      </c>
      <c r="J57" s="92">
        <f t="shared" si="27"/>
        <v>0.47488534011162076</v>
      </c>
      <c r="K57" s="92">
        <f t="shared" si="27"/>
        <v>0.49074916788017492</v>
      </c>
      <c r="L57" s="121">
        <f t="shared" si="27"/>
        <v>0.42116280829384356</v>
      </c>
      <c r="M57" s="120">
        <f t="shared" si="27"/>
        <v>0.40637234064087774</v>
      </c>
      <c r="N57" s="92">
        <f t="shared" si="27"/>
        <v>0.33173912829328123</v>
      </c>
      <c r="O57" s="92">
        <f t="shared" si="27"/>
        <v>0.3476256022023399</v>
      </c>
      <c r="P57" s="92">
        <f t="shared" si="27"/>
        <v>0.35997763565739388</v>
      </c>
      <c r="Q57" s="121">
        <f t="shared" si="27"/>
        <v>0.36400385373829225</v>
      </c>
      <c r="R57" s="120">
        <f t="shared" si="27"/>
        <v>0.35725522546978861</v>
      </c>
      <c r="S57" s="92">
        <f t="shared" si="27"/>
        <v>0.35042854456057387</v>
      </c>
      <c r="T57" s="92">
        <f t="shared" si="27"/>
        <v>0.33364257354118682</v>
      </c>
      <c r="U57" s="92">
        <f t="shared" si="27"/>
        <v>0.30627672235200776</v>
      </c>
      <c r="V57" s="121">
        <f t="shared" si="27"/>
        <v>0.33771055154798468</v>
      </c>
      <c r="W57" s="120">
        <f t="shared" si="27"/>
        <v>0.32886757943445316</v>
      </c>
      <c r="X57" s="92">
        <f t="shared" si="27"/>
        <v>0.2953057586483066</v>
      </c>
      <c r="Y57" s="92">
        <f t="shared" si="27"/>
        <v>0.2754995929852298</v>
      </c>
      <c r="Z57" s="92">
        <f t="shared" si="27"/>
        <v>0.32891106934989395</v>
      </c>
      <c r="AA57" s="121">
        <f t="shared" si="27"/>
        <v>0.30713893933668929</v>
      </c>
      <c r="AB57" s="120">
        <f t="shared" si="27"/>
        <v>0.26630090832517594</v>
      </c>
      <c r="AC57" s="92">
        <f t="shared" si="27"/>
        <v>0.25274665438019644</v>
      </c>
      <c r="AD57" s="92">
        <f t="shared" si="27"/>
        <v>-0.70989979209380216</v>
      </c>
      <c r="AE57" s="92">
        <f t="shared" si="27"/>
        <v>0.35284240638676623</v>
      </c>
      <c r="AF57" s="121">
        <f t="shared" si="27"/>
        <v>0.12914060231406588</v>
      </c>
      <c r="AG57" s="120">
        <f t="shared" si="27"/>
        <v>0.39199435070244559</v>
      </c>
      <c r="AH57" s="92">
        <f t="shared" si="27"/>
        <v>0.40425050091321257</v>
      </c>
      <c r="AI57" s="92">
        <f t="shared" si="27"/>
        <v>0.36896440387982404</v>
      </c>
      <c r="AJ57" s="92">
        <f t="shared" si="27"/>
        <v>0.45329601294496502</v>
      </c>
      <c r="AK57" s="121">
        <f t="shared" si="27"/>
        <v>0.40653922242724211</v>
      </c>
      <c r="AL57" s="120">
        <f t="shared" si="27"/>
        <v>0.43793912648361227</v>
      </c>
      <c r="AM57" s="92">
        <f t="shared" si="27"/>
        <v>0.39622724335133946</v>
      </c>
      <c r="AN57" s="92">
        <f t="shared" si="27"/>
        <v>0.41577917524373964</v>
      </c>
      <c r="AO57" s="92">
        <f t="shared" si="27"/>
        <v>0.391229583906608</v>
      </c>
      <c r="AP57" s="121">
        <f t="shared" si="27"/>
        <v>0.4097801685320076</v>
      </c>
      <c r="AQ57" s="120">
        <f t="shared" si="27"/>
        <v>0.38868447285780477</v>
      </c>
      <c r="AR57" s="92">
        <f t="shared" si="27"/>
        <v>0.39476364392997737</v>
      </c>
      <c r="AS57" s="92">
        <f t="shared" si="27"/>
        <v>0.32655567021743731</v>
      </c>
      <c r="AT57" s="92">
        <f t="shared" si="27"/>
        <v>0.36794835826117128</v>
      </c>
      <c r="AU57" s="121">
        <f t="shared" si="27"/>
        <v>0.3658200171415546</v>
      </c>
      <c r="AV57" s="120">
        <f t="shared" si="27"/>
        <v>0.32716573003923233</v>
      </c>
      <c r="AW57" s="92">
        <f t="shared" si="27"/>
        <v>0.32688256332369792</v>
      </c>
      <c r="AX57" s="92">
        <f t="shared" si="27"/>
        <v>0.36256200758681073</v>
      </c>
      <c r="AY57" s="92">
        <f t="shared" si="27"/>
        <v>0.40232456140350881</v>
      </c>
      <c r="AZ57" s="121">
        <f t="shared" si="27"/>
        <v>0.3566406486355661</v>
      </c>
      <c r="BA57" s="92">
        <f t="shared" si="27"/>
        <v>0.37810945273631852</v>
      </c>
      <c r="BB57" s="92">
        <f>BB$26/BB$10</f>
        <v>0.34237300541648369</v>
      </c>
      <c r="BC57" s="92">
        <f>BC$26/BC$10</f>
        <v>0.35797330271278888</v>
      </c>
      <c r="BD57" s="92">
        <f t="shared" si="27"/>
        <v>0.33091483782910081</v>
      </c>
      <c r="BE57" s="121">
        <f t="shared" si="27"/>
        <v>0.35093670789579007</v>
      </c>
      <c r="BF57" s="92">
        <f t="shared" si="27"/>
        <v>0.23380345278603429</v>
      </c>
      <c r="BG57" s="92">
        <f t="shared" si="27"/>
        <v>0.32585178543631682</v>
      </c>
      <c r="BH57" s="92">
        <f t="shared" si="27"/>
        <v>0.3487319453927088</v>
      </c>
      <c r="BI57" s="92">
        <f t="shared" si="27"/>
        <v>0.37294781068255228</v>
      </c>
      <c r="BJ57" s="121">
        <f t="shared" si="27"/>
        <v>0.32473442717902512</v>
      </c>
      <c r="BK57" s="120"/>
      <c r="BL57" s="92"/>
      <c r="BM57" s="92"/>
      <c r="BN57" s="92"/>
      <c r="BO57" s="121">
        <f>BO$26/BO$10</f>
        <v>0.36410659098829523</v>
      </c>
      <c r="BP57" s="120"/>
      <c r="BQ57" s="92"/>
      <c r="BR57" s="92"/>
      <c r="BS57" s="92"/>
      <c r="BT57" s="121">
        <f>BT$26/BT$10</f>
        <v>0.39665572404938776</v>
      </c>
      <c r="BU57" s="120"/>
      <c r="BV57" s="92"/>
      <c r="BW57" s="92"/>
      <c r="BX57" s="92"/>
      <c r="BY57" s="121">
        <f>BY$26/BY$10</f>
        <v>0.42458600429588245</v>
      </c>
      <c r="BZ57" s="120"/>
      <c r="CA57" s="92"/>
      <c r="CB57" s="92"/>
      <c r="CC57" s="92"/>
      <c r="CD57" s="121">
        <f>CD$26/CD$10</f>
        <v>0.44536017792898458</v>
      </c>
      <c r="CF57" s="42"/>
    </row>
    <row r="58" spans="1:84" s="119" customFormat="1" x14ac:dyDescent="0.15">
      <c r="B58" s="70" t="s">
        <v>78</v>
      </c>
      <c r="C58" s="120">
        <f t="shared" ref="C58:BA58" si="28">C$27/C$26</f>
        <v>4.6706586826347367E-2</v>
      </c>
      <c r="D58" s="92">
        <f t="shared" si="28"/>
        <v>4.4489677231753427E-2</v>
      </c>
      <c r="E58" s="92">
        <f t="shared" si="28"/>
        <v>7.50134026145408E-2</v>
      </c>
      <c r="F58" s="92">
        <f t="shared" si="28"/>
        <v>7.923366250580674E-2</v>
      </c>
      <c r="G58" s="121">
        <f>G$27/G$26</f>
        <v>7.0729343424680333E-2</v>
      </c>
      <c r="H58" s="120">
        <f t="shared" si="28"/>
        <v>5.633688097306689E-2</v>
      </c>
      <c r="I58" s="92">
        <f t="shared" si="28"/>
        <v>6.0301394258405583E-2</v>
      </c>
      <c r="J58" s="92">
        <f t="shared" si="28"/>
        <v>2.6908308121945546E-2</v>
      </c>
      <c r="K58" s="92">
        <f t="shared" si="28"/>
        <v>8.6105260369060358E-3</v>
      </c>
      <c r="L58" s="121">
        <f>L$27/L$26</f>
        <v>3.2160260121055648E-2</v>
      </c>
      <c r="M58" s="120">
        <f t="shared" si="28"/>
        <v>5.1805212401370843E-2</v>
      </c>
      <c r="N58" s="92">
        <f t="shared" si="28"/>
        <v>5.6420002375579044E-2</v>
      </c>
      <c r="O58" s="92">
        <f t="shared" si="28"/>
        <v>5.3302468665763075E-2</v>
      </c>
      <c r="P58" s="92">
        <f t="shared" si="28"/>
        <v>9.5370446061200601E-3</v>
      </c>
      <c r="Q58" s="121">
        <f t="shared" si="28"/>
        <v>4.3026314502801602E-2</v>
      </c>
      <c r="R58" s="120">
        <f t="shared" si="28"/>
        <v>7.2495871762857975E-2</v>
      </c>
      <c r="S58" s="92">
        <f t="shared" si="28"/>
        <v>8.587244874488216E-2</v>
      </c>
      <c r="T58" s="92">
        <f t="shared" si="28"/>
        <v>7.6134990648637033E-2</v>
      </c>
      <c r="U58" s="92">
        <f t="shared" si="28"/>
        <v>2.5185291789594982E-2</v>
      </c>
      <c r="V58" s="121">
        <f t="shared" si="28"/>
        <v>6.6482341116981578E-2</v>
      </c>
      <c r="W58" s="120">
        <f t="shared" si="28"/>
        <v>0.21579325953086903</v>
      </c>
      <c r="X58" s="92">
        <f t="shared" si="28"/>
        <v>6.4739641657334812E-2</v>
      </c>
      <c r="Y58" s="92">
        <f t="shared" si="28"/>
        <v>0.12809564474807858</v>
      </c>
      <c r="Z58" s="92">
        <f t="shared" si="28"/>
        <v>0.12809564474807858</v>
      </c>
      <c r="AA58" s="121">
        <f>AA$27/AA$26</f>
        <v>0.13356322650405741</v>
      </c>
      <c r="AB58" s="120">
        <f t="shared" si="28"/>
        <v>0.15558481081912834</v>
      </c>
      <c r="AC58" s="92">
        <f t="shared" si="28"/>
        <v>8.9489907527095569E-2</v>
      </c>
      <c r="AD58" s="92">
        <f t="shared" si="28"/>
        <v>-0.40582027437508772</v>
      </c>
      <c r="AE58" s="92">
        <f t="shared" si="28"/>
        <v>7.7109495483586699E-2</v>
      </c>
      <c r="AF58" s="121">
        <f>AF$27/AF$26</f>
        <v>0.58016694385753953</v>
      </c>
      <c r="AG58" s="120">
        <f t="shared" si="28"/>
        <v>7.4044977809081328E-2</v>
      </c>
      <c r="AH58" s="92">
        <f t="shared" si="28"/>
        <v>2.4762020743266569E-2</v>
      </c>
      <c r="AI58" s="92">
        <f t="shared" si="28"/>
        <v>4.3303126395510899E-2</v>
      </c>
      <c r="AJ58" s="92">
        <f t="shared" si="28"/>
        <v>4.2618233554328581E-2</v>
      </c>
      <c r="AK58" s="121">
        <f>AK$27/AK$26</f>
        <v>4.5327566548655225E-2</v>
      </c>
      <c r="AL58" s="120">
        <f t="shared" si="28"/>
        <v>3.8938869788568808E-2</v>
      </c>
      <c r="AM58" s="92">
        <f t="shared" si="28"/>
        <v>3.2005711788565337E-2</v>
      </c>
      <c r="AN58" s="92">
        <f t="shared" si="28"/>
        <v>2.7477713971714359E-2</v>
      </c>
      <c r="AO58" s="92">
        <f t="shared" si="28"/>
        <v>1.632686910256638E-2</v>
      </c>
      <c r="AP58" s="121">
        <f>AP$27/AP$26</f>
        <v>2.8486166663340973E-2</v>
      </c>
      <c r="AQ58" s="120">
        <f t="shared" si="28"/>
        <v>2.4300847916812151E-2</v>
      </c>
      <c r="AR58" s="92">
        <f t="shared" si="28"/>
        <v>2.7762173258709066E-2</v>
      </c>
      <c r="AS58" s="92">
        <f t="shared" si="28"/>
        <v>3.254671166187649E-2</v>
      </c>
      <c r="AT58" s="123">
        <f t="shared" si="28"/>
        <v>3.5049436627879418E-2</v>
      </c>
      <c r="AU58" s="121">
        <f>AU$27/AU$26</f>
        <v>3.0844242757044456E-2</v>
      </c>
      <c r="AV58" s="120">
        <f t="shared" si="28"/>
        <v>2.4469291848970998E-2</v>
      </c>
      <c r="AW58" s="92">
        <f t="shared" si="28"/>
        <v>3.0575539568345331E-2</v>
      </c>
      <c r="AX58" s="92">
        <f t="shared" si="28"/>
        <v>3.4473507712944322E-2</v>
      </c>
      <c r="AY58" s="92">
        <f t="shared" si="28"/>
        <v>4.0771830371743152E-2</v>
      </c>
      <c r="AZ58" s="121">
        <f>AZ$27/AZ$26</f>
        <v>3.3456618370601605E-2</v>
      </c>
      <c r="BA58" s="92">
        <f t="shared" si="28"/>
        <v>2.2090777402221144E-2</v>
      </c>
      <c r="BB58" s="92">
        <f>BB$27/BB$26</f>
        <v>3.9551042223409938E-2</v>
      </c>
      <c r="BC58" s="92">
        <f>BC$27/BC$26</f>
        <v>3.4182036888532476E-2</v>
      </c>
      <c r="BD58" s="92">
        <f t="shared" ref="BD58" si="29">BD$27/BD$26</f>
        <v>5.0037989797025964E-2</v>
      </c>
      <c r="BE58" s="121">
        <f>BE$27/BE$26</f>
        <v>3.6792657760399694E-2</v>
      </c>
      <c r="BF58" s="125">
        <v>0.15</v>
      </c>
      <c r="BG58" s="125">
        <v>0.15</v>
      </c>
      <c r="BH58" s="125">
        <v>0.15</v>
      </c>
      <c r="BI58" s="126">
        <v>0.15</v>
      </c>
      <c r="BJ58" s="121">
        <f>BJ$27/BJ$26</f>
        <v>0.15</v>
      </c>
      <c r="BK58" s="132"/>
      <c r="BL58" s="129"/>
      <c r="BM58" s="129"/>
      <c r="BN58" s="129"/>
      <c r="BO58" s="131">
        <v>0.15</v>
      </c>
      <c r="BP58" s="132"/>
      <c r="BQ58" s="129"/>
      <c r="BR58" s="129"/>
      <c r="BS58" s="129"/>
      <c r="BT58" s="131">
        <v>0.15</v>
      </c>
      <c r="BU58" s="132"/>
      <c r="BV58" s="129"/>
      <c r="BW58" s="129"/>
      <c r="BX58" s="129"/>
      <c r="BY58" s="131">
        <v>0.15</v>
      </c>
      <c r="BZ58" s="132"/>
      <c r="CA58" s="129"/>
      <c r="CB58" s="129"/>
      <c r="CC58" s="129"/>
      <c r="CD58" s="131">
        <v>0.15</v>
      </c>
      <c r="CF58" s="42"/>
    </row>
    <row r="59" spans="1:84" s="119" customFormat="1" x14ac:dyDescent="0.15">
      <c r="B59" s="90" t="s">
        <v>79</v>
      </c>
      <c r="C59" s="133">
        <f>C$32/C$10</f>
        <v>6.8126964926595104E-2</v>
      </c>
      <c r="D59" s="134">
        <f>D$32/D$10</f>
        <v>0.22673536041216241</v>
      </c>
      <c r="E59" s="134">
        <f>E$32/E$10</f>
        <v>0.4050019762999017</v>
      </c>
      <c r="F59" s="134">
        <f>F$32/F$10</f>
        <v>0.4245064565702642</v>
      </c>
      <c r="G59" s="135">
        <f t="shared" ref="G59:AD59" si="30">G$31/G$10</f>
        <v>0.30675790745830595</v>
      </c>
      <c r="H59" s="133">
        <f t="shared" si="30"/>
        <v>0.29654049690961942</v>
      </c>
      <c r="I59" s="134">
        <f t="shared" si="30"/>
        <v>0.33085844481539195</v>
      </c>
      <c r="J59" s="134">
        <f t="shared" si="30"/>
        <v>0.46210697905730236</v>
      </c>
      <c r="K59" s="134">
        <f t="shared" si="30"/>
        <v>0.48652355939255265</v>
      </c>
      <c r="L59" s="135">
        <f t="shared" si="30"/>
        <v>0.40402361822986588</v>
      </c>
      <c r="M59" s="133">
        <f t="shared" si="30"/>
        <v>0.38532013521993486</v>
      </c>
      <c r="N59" s="134">
        <f t="shared" si="30"/>
        <v>0.31302240588690178</v>
      </c>
      <c r="O59" s="134">
        <f t="shared" si="30"/>
        <v>0.32909629943353269</v>
      </c>
      <c r="P59" s="134">
        <f t="shared" si="30"/>
        <v>0.35654451288892369</v>
      </c>
      <c r="Q59" s="135">
        <f t="shared" si="30"/>
        <v>0.34834210944711663</v>
      </c>
      <c r="R59" s="133">
        <f t="shared" si="30"/>
        <v>0.33135569645751989</v>
      </c>
      <c r="S59" s="134">
        <f t="shared" si="30"/>
        <v>0.32033638732905234</v>
      </c>
      <c r="T59" s="134">
        <f t="shared" si="30"/>
        <v>0.30824069932464138</v>
      </c>
      <c r="U59" s="134">
        <f t="shared" si="30"/>
        <v>0.29856305373121167</v>
      </c>
      <c r="V59" s="135">
        <f t="shared" si="30"/>
        <v>0.31525876346116755</v>
      </c>
      <c r="W59" s="133">
        <f t="shared" si="30"/>
        <v>0.2579001725142655</v>
      </c>
      <c r="X59" s="134">
        <f t="shared" si="30"/>
        <v>0.27618776965406783</v>
      </c>
      <c r="Y59" s="134">
        <f t="shared" si="30"/>
        <v>0.24020929499395355</v>
      </c>
      <c r="Z59" s="134">
        <f t="shared" si="30"/>
        <v>0.28677899385673927</v>
      </c>
      <c r="AA59" s="135">
        <f t="shared" si="30"/>
        <v>0.26611647161384711</v>
      </c>
      <c r="AB59" s="133">
        <f t="shared" si="30"/>
        <v>0.22486853188244141</v>
      </c>
      <c r="AC59" s="134">
        <f t="shared" si="30"/>
        <v>0.23012837965192989</v>
      </c>
      <c r="AD59" s="134">
        <f t="shared" si="30"/>
        <v>-0.99799152050012674</v>
      </c>
      <c r="AE59" s="134">
        <f t="shared" ref="AE59:BJ59" si="31">AE$32/AE$10</f>
        <v>0.32563490644506804</v>
      </c>
      <c r="AF59" s="135">
        <f t="shared" si="31"/>
        <v>0.14039938673107519</v>
      </c>
      <c r="AG59" s="134">
        <f t="shared" si="31"/>
        <v>0.36296913770339778</v>
      </c>
      <c r="AH59" s="134">
        <f t="shared" si="31"/>
        <v>0.39424044162412375</v>
      </c>
      <c r="AI59" s="134">
        <f t="shared" si="31"/>
        <v>0.35298709166317166</v>
      </c>
      <c r="AJ59" s="134">
        <f t="shared" si="31"/>
        <v>0.43397733759603058</v>
      </c>
      <c r="AK59" s="135">
        <f t="shared" si="31"/>
        <v>0.38811178876803271</v>
      </c>
      <c r="AL59" s="134">
        <f t="shared" si="31"/>
        <v>0.42088627186214733</v>
      </c>
      <c r="AM59" s="134">
        <f t="shared" si="31"/>
        <v>0.38354570839785879</v>
      </c>
      <c r="AN59" s="134">
        <f t="shared" si="31"/>
        <v>0.40435451399099687</v>
      </c>
      <c r="AO59" s="134">
        <f t="shared" si="31"/>
        <v>0.38484202970111325</v>
      </c>
      <c r="AP59" s="135">
        <f t="shared" si="31"/>
        <v>0.39810710235587282</v>
      </c>
      <c r="AQ59" s="134">
        <f t="shared" si="31"/>
        <v>0.37923911059526094</v>
      </c>
      <c r="AR59" s="134">
        <f t="shared" si="31"/>
        <v>0.38380414725095396</v>
      </c>
      <c r="AS59" s="134">
        <f t="shared" si="31"/>
        <v>0.31510490481153963</v>
      </c>
      <c r="AT59" s="134">
        <f t="shared" si="31"/>
        <v>0.35446808902404692</v>
      </c>
      <c r="AU59" s="135">
        <f t="shared" si="31"/>
        <v>0.35410795019763047</v>
      </c>
      <c r="AV59" s="134">
        <f t="shared" si="31"/>
        <v>0.31794083342169438</v>
      </c>
      <c r="AW59" s="134">
        <f t="shared" si="31"/>
        <v>0.31874969379256274</v>
      </c>
      <c r="AX59" s="134">
        <f t="shared" si="31"/>
        <v>0.34957688940764525</v>
      </c>
      <c r="AY59" s="134">
        <f t="shared" si="31"/>
        <v>0.38627192982456143</v>
      </c>
      <c r="AZ59" s="135">
        <f t="shared" si="31"/>
        <v>0.34486597688630727</v>
      </c>
      <c r="BA59" s="134">
        <f t="shared" si="31"/>
        <v>0.3693915742388974</v>
      </c>
      <c r="BB59" s="134">
        <f>BB$32/BB$10</f>
        <v>0.32831942614551313</v>
      </c>
      <c r="BC59" s="134">
        <f>BC$32/BC$10</f>
        <v>0.34494761016219322</v>
      </c>
      <c r="BD59" s="134">
        <f t="shared" si="31"/>
        <v>0.314536115800438</v>
      </c>
      <c r="BE59" s="135">
        <f t="shared" si="31"/>
        <v>0.3376531798517276</v>
      </c>
      <c r="BF59" s="134">
        <f t="shared" si="31"/>
        <v>0.19873293486812915</v>
      </c>
      <c r="BG59" s="134">
        <f t="shared" si="31"/>
        <v>0.27697401762086932</v>
      </c>
      <c r="BH59" s="134">
        <f t="shared" si="31"/>
        <v>0.29642215358380247</v>
      </c>
      <c r="BI59" s="134">
        <f t="shared" si="31"/>
        <v>0.31700563908016943</v>
      </c>
      <c r="BJ59" s="135">
        <f t="shared" si="31"/>
        <v>0.27602426310217132</v>
      </c>
      <c r="BK59" s="133"/>
      <c r="BL59" s="134"/>
      <c r="BM59" s="134"/>
      <c r="BN59" s="134"/>
      <c r="BO59" s="135">
        <f>BO$32/BO$10</f>
        <v>0.30949060234005099</v>
      </c>
      <c r="BP59" s="133"/>
      <c r="BQ59" s="134"/>
      <c r="BR59" s="134"/>
      <c r="BS59" s="134"/>
      <c r="BT59" s="135">
        <f>BT$32/BT$10</f>
        <v>0.33715736544197966</v>
      </c>
      <c r="BU59" s="133"/>
      <c r="BV59" s="134"/>
      <c r="BW59" s="134"/>
      <c r="BX59" s="134"/>
      <c r="BY59" s="135">
        <f>BY$32/BY$10</f>
        <v>0.3608981036515001</v>
      </c>
      <c r="BZ59" s="133"/>
      <c r="CA59" s="134"/>
      <c r="CB59" s="134"/>
      <c r="CC59" s="134"/>
      <c r="CD59" s="135">
        <f>CD$32/CD$10</f>
        <v>0.37855615123963687</v>
      </c>
      <c r="CF59" s="136"/>
    </row>
    <row r="60" spans="1:84" s="91" customFormat="1" ht="4.5" customHeight="1" x14ac:dyDescent="0.15">
      <c r="B60" s="69"/>
      <c r="G60" s="92"/>
      <c r="L60" s="92"/>
      <c r="Q60" s="92"/>
      <c r="V60" s="92"/>
      <c r="AA60" s="92"/>
      <c r="AF60" s="92"/>
      <c r="AK60" s="92"/>
      <c r="AP60" s="92"/>
      <c r="AU60" s="92"/>
    </row>
    <row r="61" spans="1:84" s="28" customFormat="1" x14ac:dyDescent="0.15">
      <c r="B61" s="34" t="s">
        <v>80</v>
      </c>
      <c r="C61" s="35"/>
      <c r="D61" s="36"/>
      <c r="E61" s="36"/>
      <c r="F61" s="36"/>
      <c r="G61" s="34"/>
      <c r="H61" s="35"/>
      <c r="I61" s="36"/>
      <c r="J61" s="36"/>
      <c r="K61" s="36"/>
      <c r="L61" s="34"/>
      <c r="M61" s="35"/>
      <c r="N61" s="36"/>
      <c r="O61" s="36"/>
      <c r="P61" s="36"/>
      <c r="Q61" s="34"/>
      <c r="R61" s="35"/>
      <c r="S61" s="36"/>
      <c r="T61" s="36"/>
      <c r="U61" s="36"/>
      <c r="V61" s="34"/>
      <c r="W61" s="35"/>
      <c r="X61" s="36"/>
      <c r="Y61" s="36"/>
      <c r="Z61" s="36"/>
      <c r="AA61" s="34"/>
      <c r="AB61" s="35"/>
      <c r="AC61" s="36"/>
      <c r="AD61" s="36"/>
      <c r="AE61" s="36"/>
      <c r="AF61" s="34"/>
      <c r="AG61" s="35"/>
      <c r="AH61" s="36"/>
      <c r="AI61" s="36"/>
      <c r="AJ61" s="36"/>
      <c r="AK61" s="34"/>
      <c r="AL61" s="35"/>
      <c r="AM61" s="36"/>
      <c r="AN61" s="36"/>
      <c r="AO61" s="36"/>
      <c r="AP61" s="34"/>
      <c r="AQ61" s="35"/>
      <c r="AR61" s="36"/>
      <c r="AS61" s="36"/>
      <c r="AT61" s="36"/>
      <c r="AU61" s="34"/>
      <c r="AV61" s="35"/>
      <c r="AW61" s="36"/>
      <c r="AX61" s="36"/>
      <c r="AY61" s="36"/>
      <c r="AZ61" s="34"/>
      <c r="BA61" s="35"/>
      <c r="BB61" s="36"/>
      <c r="BC61" s="36"/>
      <c r="BD61" s="36"/>
      <c r="BE61" s="34"/>
      <c r="BF61" s="36"/>
      <c r="BG61" s="36"/>
      <c r="BH61" s="36"/>
      <c r="BI61" s="36"/>
      <c r="BJ61" s="34"/>
      <c r="BK61" s="35"/>
      <c r="BL61" s="36"/>
      <c r="BM61" s="36"/>
      <c r="BN61" s="36"/>
      <c r="BO61" s="34"/>
      <c r="BP61" s="35"/>
      <c r="BQ61" s="36"/>
      <c r="BR61" s="36"/>
      <c r="BS61" s="36"/>
      <c r="BT61" s="34"/>
      <c r="BU61" s="35"/>
      <c r="BV61" s="36"/>
      <c r="BW61" s="36"/>
      <c r="BX61" s="36"/>
      <c r="BY61" s="34"/>
      <c r="BZ61" s="35"/>
      <c r="CA61" s="36"/>
      <c r="CB61" s="36"/>
      <c r="CC61" s="36"/>
      <c r="CD61" s="34"/>
      <c r="CF61" s="37"/>
    </row>
    <row r="62" spans="1:84" s="119" customFormat="1" x14ac:dyDescent="0.15">
      <c r="B62" s="70" t="s">
        <v>81</v>
      </c>
      <c r="C62" s="120"/>
      <c r="D62" s="92"/>
      <c r="E62" s="92"/>
      <c r="F62" s="92"/>
      <c r="G62" s="121"/>
      <c r="H62" s="120">
        <f t="shared" ref="H62:AL62" si="32">H10/C10-1</f>
        <v>0.25825483136579175</v>
      </c>
      <c r="I62" s="92">
        <f t="shared" si="32"/>
        <v>0.16291457748746496</v>
      </c>
      <c r="J62" s="92">
        <f t="shared" si="32"/>
        <v>0.1220423315688719</v>
      </c>
      <c r="K62" s="92">
        <f t="shared" si="32"/>
        <v>6.9655858198836018E-2</v>
      </c>
      <c r="L62" s="121">
        <f t="shared" si="32"/>
        <v>0.14089604539161904</v>
      </c>
      <c r="M62" s="120">
        <f t="shared" si="32"/>
        <v>0.12008724713521923</v>
      </c>
      <c r="N62" s="92">
        <f t="shared" si="32"/>
        <v>-0.1969059278656361</v>
      </c>
      <c r="O62" s="92">
        <f t="shared" si="32"/>
        <v>-0.34764740012156703</v>
      </c>
      <c r="P62" s="92">
        <f t="shared" si="32"/>
        <v>-0.33724256292906185</v>
      </c>
      <c r="Q62" s="121">
        <f t="shared" si="32"/>
        <v>-0.21270885702302322</v>
      </c>
      <c r="R62" s="92">
        <f t="shared" si="32"/>
        <v>-0.15589562964312464</v>
      </c>
      <c r="S62" s="92">
        <f t="shared" si="32"/>
        <v>-8.339777468021492E-2</v>
      </c>
      <c r="T62" s="92">
        <f t="shared" si="32"/>
        <v>-4.1299168828418553E-2</v>
      </c>
      <c r="U62" s="92">
        <f t="shared" si="32"/>
        <v>-0.10985992859104643</v>
      </c>
      <c r="V62" s="121">
        <f t="shared" si="32"/>
        <v>-0.10161149856789953</v>
      </c>
      <c r="W62" s="92">
        <f t="shared" si="32"/>
        <v>-0.16872583909677796</v>
      </c>
      <c r="X62" s="92">
        <f t="shared" si="32"/>
        <v>3.9979580321878538E-2</v>
      </c>
      <c r="Y62" s="92">
        <f t="shared" si="32"/>
        <v>0.1735831552441065</v>
      </c>
      <c r="Z62" s="92">
        <f t="shared" si="32"/>
        <v>0.32814497289196476</v>
      </c>
      <c r="AA62" s="121">
        <f t="shared" si="32"/>
        <v>8.3536500003962066E-2</v>
      </c>
      <c r="AB62" s="92">
        <f t="shared" si="32"/>
        <v>0.26722979015572434</v>
      </c>
      <c r="AC62" s="92">
        <f t="shared" si="32"/>
        <v>0.23360115741338783</v>
      </c>
      <c r="AD62" s="92">
        <f t="shared" si="32"/>
        <v>-2.0026067766782729E-2</v>
      </c>
      <c r="AE62" s="92">
        <f t="shared" si="32"/>
        <v>1.1346508859047595</v>
      </c>
      <c r="AF62" s="121">
        <f t="shared" si="32"/>
        <v>0.43974623063515494</v>
      </c>
      <c r="AG62" s="92">
        <f t="shared" si="32"/>
        <v>1.5725681243881899</v>
      </c>
      <c r="AH62" s="92">
        <f t="shared" si="32"/>
        <v>1.5524597373766986</v>
      </c>
      <c r="AI62" s="92">
        <f t="shared" si="32"/>
        <v>1.8850081866066151</v>
      </c>
      <c r="AJ62" s="92">
        <f t="shared" si="32"/>
        <v>0.33793463981156857</v>
      </c>
      <c r="AK62" s="121">
        <f t="shared" si="32"/>
        <v>1.085756058824376</v>
      </c>
      <c r="AL62" s="92">
        <f t="shared" si="32"/>
        <v>0.51515682464169754</v>
      </c>
      <c r="AM62" s="92">
        <f>AM10/AH10-1</f>
        <v>0.34576221678506447</v>
      </c>
      <c r="AN62" s="92">
        <f>AN10/AI10-1</f>
        <v>0.47147716908656379</v>
      </c>
      <c r="AO62" s="92">
        <f>AO10/AJ10-1</f>
        <v>0.43262212525764299</v>
      </c>
      <c r="AP62" s="121">
        <f>AP10/AK10-1</f>
        <v>0.43954218786403332</v>
      </c>
      <c r="AQ62" s="92">
        <f t="shared" ref="AQ62:BJ62" si="33">AQ10/AL10-1</f>
        <v>0.24792811145387894</v>
      </c>
      <c r="AR62" s="92">
        <f t="shared" si="33"/>
        <v>0.33614847150922444</v>
      </c>
      <c r="AS62" s="92">
        <f t="shared" si="33"/>
        <v>0.74376343113081633</v>
      </c>
      <c r="AT62" s="92">
        <f t="shared" si="33"/>
        <v>1.0924380483284382</v>
      </c>
      <c r="AU62" s="121">
        <f>AU10/AP10-1</f>
        <v>0.62678698007627509</v>
      </c>
      <c r="AV62" s="92">
        <f t="shared" si="33"/>
        <v>0.76551801601527569</v>
      </c>
      <c r="AW62" s="92">
        <f t="shared" si="33"/>
        <v>0.86272201445204333</v>
      </c>
      <c r="AX62" s="92">
        <f t="shared" si="33"/>
        <v>0.33369569659039122</v>
      </c>
      <c r="AY62" s="92">
        <f t="shared" si="33"/>
        <v>0.10478123151126795</v>
      </c>
      <c r="AZ62" s="121">
        <f t="shared" si="33"/>
        <v>0.43224709490511071</v>
      </c>
      <c r="BA62" s="92">
        <f t="shared" si="33"/>
        <v>0.16154172410136791</v>
      </c>
      <c r="BB62" s="92">
        <f t="shared" si="33"/>
        <v>0.33868992210082816</v>
      </c>
      <c r="BC62" s="92">
        <f t="shared" si="33"/>
        <v>0.35531563077521633</v>
      </c>
      <c r="BD62" s="92">
        <f t="shared" si="33"/>
        <v>0.22109649122807018</v>
      </c>
      <c r="BE62" s="121">
        <f t="shared" si="33"/>
        <v>0.26994614872632661</v>
      </c>
      <c r="BF62" s="92">
        <f t="shared" si="33"/>
        <v>8.5990232324615556E-2</v>
      </c>
      <c r="BG62" s="92">
        <f t="shared" si="33"/>
        <v>3.9199970721710553E-3</v>
      </c>
      <c r="BH62" s="92">
        <f t="shared" si="33"/>
        <v>1.4879790440648577E-2</v>
      </c>
      <c r="BI62" s="92">
        <f t="shared" si="33"/>
        <v>8.3322078948313782E-2</v>
      </c>
      <c r="BJ62" s="121">
        <f t="shared" si="33"/>
        <v>4.5029730708391336E-2</v>
      </c>
      <c r="BO62" s="121">
        <f>BO10/BJ10-1</f>
        <v>7.0574413515908319E-2</v>
      </c>
      <c r="BT62" s="121">
        <f>BT10/BO10-1</f>
        <v>6.0208263281216423E-2</v>
      </c>
      <c r="BY62" s="121">
        <f>BY10/BT10-1</f>
        <v>5.9268246304351901E-2</v>
      </c>
      <c r="CD62" s="121">
        <f>CD10/BY10-1</f>
        <v>4.3788464765179835E-2</v>
      </c>
      <c r="CF62" s="42"/>
    </row>
    <row r="63" spans="1:84" s="119" customFormat="1" x14ac:dyDescent="0.15">
      <c r="B63" s="70" t="s">
        <v>38</v>
      </c>
      <c r="C63" s="120"/>
      <c r="D63" s="92"/>
      <c r="E63" s="92"/>
      <c r="F63" s="92"/>
      <c r="G63" s="121"/>
      <c r="H63" s="120">
        <f t="shared" ref="H63:BJ63" si="34">H12/C12-1</f>
        <v>0.2855297739731173</v>
      </c>
      <c r="I63" s="92">
        <f t="shared" si="34"/>
        <v>0.22015371150025231</v>
      </c>
      <c r="J63" s="92">
        <f t="shared" si="34"/>
        <v>0.11720945129496707</v>
      </c>
      <c r="K63" s="92">
        <f t="shared" si="34"/>
        <v>8.8871038722991846E-2</v>
      </c>
      <c r="L63" s="121">
        <f t="shared" si="34"/>
        <v>0.16091426410399423</v>
      </c>
      <c r="M63" s="120">
        <f t="shared" si="34"/>
        <v>0.11329252193417982</v>
      </c>
      <c r="N63" s="92">
        <f t="shared" si="34"/>
        <v>-0.22249681915523034</v>
      </c>
      <c r="O63" s="92">
        <f t="shared" si="34"/>
        <v>-0.39869689861871249</v>
      </c>
      <c r="P63" s="92">
        <f t="shared" si="34"/>
        <v>-0.44427833170490538</v>
      </c>
      <c r="Q63" s="121">
        <f t="shared" si="34"/>
        <v>-0.26923639831548729</v>
      </c>
      <c r="R63" s="92">
        <f t="shared" si="34"/>
        <v>-0.18797517170455813</v>
      </c>
      <c r="S63" s="92">
        <f t="shared" si="34"/>
        <v>-4.2257884210030183E-2</v>
      </c>
      <c r="T63" s="92">
        <f t="shared" si="34"/>
        <v>-3.4753525196486446E-2</v>
      </c>
      <c r="U63" s="92">
        <f t="shared" si="34"/>
        <v>-8.6249505733491549E-2</v>
      </c>
      <c r="V63" s="121">
        <f t="shared" si="34"/>
        <v>-9.549890331396238E-2</v>
      </c>
      <c r="W63" s="92">
        <f t="shared" si="34"/>
        <v>-0.16983387502180747</v>
      </c>
      <c r="X63" s="92">
        <f t="shared" si="34"/>
        <v>8.8596380205039349E-3</v>
      </c>
      <c r="Y63" s="92">
        <f t="shared" si="34"/>
        <v>0.21129163829038844</v>
      </c>
      <c r="Z63" s="92">
        <f t="shared" si="34"/>
        <v>0.40878918776901152</v>
      </c>
      <c r="AA63" s="121">
        <f t="shared" si="34"/>
        <v>0.10019446046595526</v>
      </c>
      <c r="AB63" s="92">
        <f t="shared" si="34"/>
        <v>0.25063239906910884</v>
      </c>
      <c r="AC63" s="92">
        <f t="shared" si="34"/>
        <v>0.21861888233736182</v>
      </c>
      <c r="AD63" s="92">
        <f t="shared" si="34"/>
        <v>-9.718017472536955E-2</v>
      </c>
      <c r="AE63" s="92">
        <f t="shared" si="34"/>
        <v>0.94305304152268077</v>
      </c>
      <c r="AF63" s="121">
        <f t="shared" si="34"/>
        <v>0.35669454538962331</v>
      </c>
      <c r="AG63" s="92">
        <f t="shared" si="34"/>
        <v>1.5719255663430425</v>
      </c>
      <c r="AH63" s="92">
        <f t="shared" si="34"/>
        <v>1.5855300408933619</v>
      </c>
      <c r="AI63" s="92">
        <f t="shared" si="34"/>
        <v>2.014720273738237</v>
      </c>
      <c r="AJ63" s="92">
        <f t="shared" si="34"/>
        <v>0.47380856937990856</v>
      </c>
      <c r="AK63" s="121">
        <f t="shared" si="34"/>
        <v>1.1868109124667416</v>
      </c>
      <c r="AL63" s="92">
        <f t="shared" si="34"/>
        <v>0.5284580781450765</v>
      </c>
      <c r="AM63" s="92">
        <f t="shared" si="34"/>
        <v>0.37368354690787031</v>
      </c>
      <c r="AN63" s="92">
        <f t="shared" si="34"/>
        <v>0.52980300822198934</v>
      </c>
      <c r="AO63" s="92">
        <f t="shared" si="34"/>
        <v>0.42022567465843319</v>
      </c>
      <c r="AP63" s="121">
        <f t="shared" si="34"/>
        <v>0.45959224893308237</v>
      </c>
      <c r="AQ63" s="92">
        <f t="shared" si="34"/>
        <v>0.30137925356924611</v>
      </c>
      <c r="AR63" s="92">
        <f t="shared" si="34"/>
        <v>0.34796142332410596</v>
      </c>
      <c r="AS63" s="92">
        <f t="shared" si="34"/>
        <v>0.67048810092622535</v>
      </c>
      <c r="AT63" s="92">
        <f t="shared" si="34"/>
        <v>1.044198686393246</v>
      </c>
      <c r="AU63" s="121">
        <f>AU12/AP12-1</f>
        <v>0.61189094129715849</v>
      </c>
      <c r="AV63" s="92">
        <f t="shared" si="34"/>
        <v>0.68781196358686181</v>
      </c>
      <c r="AW63" s="92">
        <f t="shared" si="34"/>
        <v>0.75992736655994642</v>
      </c>
      <c r="AX63" s="92">
        <f t="shared" si="34"/>
        <v>0.35231645484165575</v>
      </c>
      <c r="AY63" s="92">
        <f t="shared" si="34"/>
        <v>0.1356379048262466</v>
      </c>
      <c r="AZ63" s="121">
        <f t="shared" si="34"/>
        <v>0.4194148456892397</v>
      </c>
      <c r="BA63" s="92">
        <f t="shared" si="34"/>
        <v>0.18941905722935015</v>
      </c>
      <c r="BB63" s="92">
        <f t="shared" si="34"/>
        <v>0.42682595710019022</v>
      </c>
      <c r="BC63" s="92">
        <f t="shared" si="34"/>
        <v>0.42853389385181284</v>
      </c>
      <c r="BD63" s="92">
        <f t="shared" si="34"/>
        <v>0.22198338465113565</v>
      </c>
      <c r="BE63" s="121">
        <f t="shared" si="34"/>
        <v>0.31553167439346042</v>
      </c>
      <c r="BF63" s="92">
        <f t="shared" si="34"/>
        <v>7.8554260089686023E-2</v>
      </c>
      <c r="BG63" s="92">
        <f t="shared" si="34"/>
        <v>-1.18805423406243E-3</v>
      </c>
      <c r="BH63" s="92">
        <f t="shared" si="34"/>
        <v>4.013564465696895E-4</v>
      </c>
      <c r="BI63" s="92">
        <f t="shared" si="34"/>
        <v>9.5786015498716681E-2</v>
      </c>
      <c r="BJ63" s="121">
        <f t="shared" si="34"/>
        <v>4.1029354079497926E-2</v>
      </c>
      <c r="BO63" s="121">
        <f>BO12/BJ12-1</f>
        <v>7.4152369732127354E-2</v>
      </c>
      <c r="BT63" s="121">
        <f>BT12/BO12-1</f>
        <v>6.6172451310573921E-2</v>
      </c>
      <c r="BY63" s="121">
        <f>BY12/BT12-1</f>
        <v>6.6563934174739714E-2</v>
      </c>
      <c r="CD63" s="121">
        <f>CD12/BY12-1</f>
        <v>5.0105500162578531E-2</v>
      </c>
      <c r="CF63" s="42"/>
    </row>
    <row r="64" spans="1:84" s="119" customFormat="1" x14ac:dyDescent="0.15">
      <c r="B64" s="70" t="s">
        <v>40</v>
      </c>
      <c r="C64" s="120"/>
      <c r="D64" s="92"/>
      <c r="E64" s="92"/>
      <c r="F64" s="92"/>
      <c r="G64" s="121"/>
      <c r="H64" s="120">
        <f t="shared" ref="H64:BJ65" si="35">H14/C14-1</f>
        <v>8.9861863620832816E-2</v>
      </c>
      <c r="I64" s="92">
        <f t="shared" si="35"/>
        <v>-0.19119198312236274</v>
      </c>
      <c r="J64" s="92">
        <f t="shared" si="35"/>
        <v>0.32325616431476933</v>
      </c>
      <c r="K64" s="92">
        <f t="shared" si="35"/>
        <v>7.9727777355334206E-2</v>
      </c>
      <c r="L64" s="121">
        <f t="shared" si="35"/>
        <v>6.735305296577021E-2</v>
      </c>
      <c r="M64" s="120">
        <f t="shared" si="35"/>
        <v>0.3311537083482623</v>
      </c>
      <c r="N64" s="92">
        <f t="shared" si="35"/>
        <v>0.54586457993696325</v>
      </c>
      <c r="O64" s="92">
        <f t="shared" si="35"/>
        <v>0.16409867172675519</v>
      </c>
      <c r="P64" s="92">
        <f t="shared" si="35"/>
        <v>3.081094404732565E-2</v>
      </c>
      <c r="Q64" s="121">
        <f t="shared" si="35"/>
        <v>0.23709925742833482</v>
      </c>
      <c r="R64" s="92">
        <f t="shared" si="35"/>
        <v>-4.3402193661260968E-2</v>
      </c>
      <c r="S64" s="92">
        <f t="shared" si="35"/>
        <v>-0.23510387738601601</v>
      </c>
      <c r="T64" s="92">
        <f t="shared" si="35"/>
        <v>-0.39140640281671779</v>
      </c>
      <c r="U64" s="92">
        <f t="shared" si="35"/>
        <v>-0.45053631208580991</v>
      </c>
      <c r="V64" s="121">
        <f t="shared" si="35"/>
        <v>-0.28084865006730597</v>
      </c>
      <c r="W64" s="92">
        <f t="shared" si="35"/>
        <v>-0.48902644907146875</v>
      </c>
      <c r="X64" s="92">
        <f t="shared" si="35"/>
        <v>-0.34381175605496583</v>
      </c>
      <c r="Y64" s="92">
        <f t="shared" si="35"/>
        <v>-0.19241482751232042</v>
      </c>
      <c r="Z64" s="92">
        <f t="shared" si="35"/>
        <v>9.0954305253341694E-2</v>
      </c>
      <c r="AA64" s="121">
        <f t="shared" si="35"/>
        <v>-0.27681766811075548</v>
      </c>
      <c r="AB64" s="92">
        <f t="shared" si="35"/>
        <v>9.3337004405286361E-2</v>
      </c>
      <c r="AC64" s="92">
        <f t="shared" si="35"/>
        <v>0.89508334500630382</v>
      </c>
      <c r="AD64" s="92">
        <f t="shared" si="35"/>
        <v>-5.1605200318387001E-2</v>
      </c>
      <c r="AE64" s="92">
        <f t="shared" si="35"/>
        <v>4.4221563710963974E-2</v>
      </c>
      <c r="AF64" s="121">
        <f t="shared" si="35"/>
        <v>0.23008302132508551</v>
      </c>
      <c r="AG64" s="92">
        <f t="shared" si="35"/>
        <v>-0.13938554520271973</v>
      </c>
      <c r="AH64" s="92">
        <f t="shared" si="35"/>
        <v>-0.36381107251090261</v>
      </c>
      <c r="AI64" s="92">
        <f t="shared" si="35"/>
        <v>0.19702056231640785</v>
      </c>
      <c r="AJ64" s="92">
        <f t="shared" si="35"/>
        <v>-9.1246452739576323E-2</v>
      </c>
      <c r="AK64" s="121">
        <f t="shared" si="35"/>
        <v>-0.14442062357736496</v>
      </c>
      <c r="AL64" s="92">
        <f t="shared" si="35"/>
        <v>0.60431602048280886</v>
      </c>
      <c r="AM64" s="92">
        <f t="shared" si="35"/>
        <v>2.887184849541069E-2</v>
      </c>
      <c r="AN64" s="92">
        <f t="shared" si="35"/>
        <v>0.12007011393514566</v>
      </c>
      <c r="AO64" s="92">
        <f t="shared" si="35"/>
        <v>0.2109656497717991</v>
      </c>
      <c r="AP64" s="121">
        <f t="shared" si="35"/>
        <v>0.22158976659293761</v>
      </c>
      <c r="AQ64" s="92">
        <f t="shared" si="35"/>
        <v>8.4993844329944057E-2</v>
      </c>
      <c r="AR64" s="92">
        <f t="shared" si="35"/>
        <v>0.38157077522443705</v>
      </c>
      <c r="AS64" s="92">
        <f t="shared" si="35"/>
        <v>1.5565466875326011</v>
      </c>
      <c r="AT64" s="92">
        <f t="shared" si="35"/>
        <v>1.9511529878502354</v>
      </c>
      <c r="AU64" s="121">
        <f>AU14/AP14-1</f>
        <v>0.98517289843878575</v>
      </c>
      <c r="AV64" s="92">
        <f t="shared" si="35"/>
        <v>1.56356377390208</v>
      </c>
      <c r="AW64" s="92">
        <f t="shared" si="35"/>
        <v>1.7013772528505453</v>
      </c>
      <c r="AX64" s="92">
        <f t="shared" si="35"/>
        <v>0.19977963231243256</v>
      </c>
      <c r="AY64" s="92">
        <f t="shared" si="35"/>
        <v>-1.1930767938161502E-2</v>
      </c>
      <c r="AZ64" s="121">
        <f t="shared" si="35"/>
        <v>0.56075594930572858</v>
      </c>
      <c r="BA64" s="92">
        <f t="shared" si="35"/>
        <v>-9.0163934426229497E-2</v>
      </c>
      <c r="BB64" s="92">
        <f>BB14/AW14-1</f>
        <v>0.22087745839636908</v>
      </c>
      <c r="BC64" s="92">
        <f>BC14/AX14-1</f>
        <v>0.72278911564625825</v>
      </c>
      <c r="BD64" s="92">
        <f t="shared" si="35"/>
        <v>0.62414965986394555</v>
      </c>
      <c r="BE64" s="121">
        <f t="shared" si="35"/>
        <v>0.36085002043318348</v>
      </c>
      <c r="BF64" s="92">
        <f t="shared" si="35"/>
        <v>0.92915891891891911</v>
      </c>
      <c r="BG64" s="92">
        <f t="shared" si="35"/>
        <v>0.29167556381660487</v>
      </c>
      <c r="BH64" s="92">
        <f t="shared" si="35"/>
        <v>5.1096939782822037E-3</v>
      </c>
      <c r="BI64" s="92">
        <f t="shared" si="35"/>
        <v>4.2204617801047339E-2</v>
      </c>
      <c r="BJ64" s="121">
        <f t="shared" si="35"/>
        <v>0.23920327627627636</v>
      </c>
      <c r="BO64" s="121">
        <f>BO14/BJ14-1</f>
        <v>-4.1908775974630608E-3</v>
      </c>
      <c r="BT64" s="121">
        <f>BT14/BO14-1</f>
        <v>-3.7506604913883912E-4</v>
      </c>
      <c r="BY64" s="121">
        <f>BY14/BT14-1</f>
        <v>-4.9298292292451196E-3</v>
      </c>
      <c r="CD64" s="121">
        <f>CD14/BY14-1</f>
        <v>1.0117869127593604E-2</v>
      </c>
      <c r="CF64" s="42"/>
    </row>
    <row r="65" spans="2:84" s="119" customFormat="1" x14ac:dyDescent="0.15">
      <c r="B65" s="70" t="s">
        <v>42</v>
      </c>
      <c r="C65" s="120"/>
      <c r="D65" s="92"/>
      <c r="E65" s="92"/>
      <c r="F65" s="92"/>
      <c r="G65" s="121"/>
      <c r="H65" s="120">
        <f>H15/C15-1</f>
        <v>-0.25203359566166261</v>
      </c>
      <c r="I65" s="92">
        <f>I15/D15-1</f>
        <v>0.14847289452378076</v>
      </c>
      <c r="J65" s="92">
        <f>J15/E15-1</f>
        <v>0.18315173812556007</v>
      </c>
      <c r="K65" s="92">
        <f>K15/F15-1</f>
        <v>0.224388774914833</v>
      </c>
      <c r="L65" s="121">
        <f>L15/G15-1</f>
        <v>4.0368429549411333E-2</v>
      </c>
      <c r="M65" s="120">
        <f t="shared" si="35"/>
        <v>-0.1230061892130857</v>
      </c>
      <c r="N65" s="92">
        <f t="shared" si="35"/>
        <v>-0.30509974501274939</v>
      </c>
      <c r="O65" s="92">
        <f t="shared" si="35"/>
        <v>-0.32905437729229792</v>
      </c>
      <c r="P65" s="92">
        <f t="shared" si="35"/>
        <v>-0.51703995203910658</v>
      </c>
      <c r="Q65" s="121">
        <f t="shared" si="35"/>
        <v>-0.32477635977034147</v>
      </c>
      <c r="R65" s="120">
        <f>R15/M15-1</f>
        <v>-0.12092188571198126</v>
      </c>
      <c r="S65" s="92">
        <f>S15/N15-1</f>
        <v>-2.5081482440803771E-2</v>
      </c>
      <c r="T65" s="92">
        <f>T15/O15-1</f>
        <v>0.3051990493166965</v>
      </c>
      <c r="U65" s="92">
        <f>U15/P15-1</f>
        <v>0.35651537335285499</v>
      </c>
      <c r="V65" s="121">
        <f>V15/Q15-1</f>
        <v>8.891249122676248E-2</v>
      </c>
      <c r="W65" s="120">
        <f t="shared" si="35"/>
        <v>-4.0209188705644938E-2</v>
      </c>
      <c r="X65" s="92">
        <f t="shared" si="35"/>
        <v>4.7733965062988437E-2</v>
      </c>
      <c r="Y65" s="92">
        <f t="shared" si="35"/>
        <v>1.3907541028383985E-2</v>
      </c>
      <c r="Z65" s="92">
        <f t="shared" si="35"/>
        <v>-3.7940824514887672E-2</v>
      </c>
      <c r="AA65" s="121">
        <f t="shared" si="35"/>
        <v>-3.43950352506317E-3</v>
      </c>
      <c r="AB65" s="120">
        <f t="shared" si="35"/>
        <v>3.9886244144919258E-2</v>
      </c>
      <c r="AC65" s="92">
        <f t="shared" si="35"/>
        <v>-4.7101832090104212E-2</v>
      </c>
      <c r="AD65" s="92">
        <f t="shared" si="35"/>
        <v>0.35118085488505746</v>
      </c>
      <c r="AE65" s="92">
        <f t="shared" si="35"/>
        <v>1.5765328520559971</v>
      </c>
      <c r="AF65" s="121">
        <f t="shared" si="35"/>
        <v>0.45631406935946361</v>
      </c>
      <c r="AG65" s="120">
        <f t="shared" si="35"/>
        <v>1.6697538666605385</v>
      </c>
      <c r="AH65" s="92">
        <f t="shared" si="35"/>
        <v>1.9197675965760412</v>
      </c>
      <c r="AI65" s="92">
        <f t="shared" si="35"/>
        <v>1.0639340721418247</v>
      </c>
      <c r="AJ65" s="92">
        <f t="shared" si="35"/>
        <v>0.28002801889382156</v>
      </c>
      <c r="AK65" s="121">
        <f t="shared" si="35"/>
        <v>0.99373911813140392</v>
      </c>
      <c r="AL65" s="120">
        <f t="shared" si="35"/>
        <v>0.42895264657524845</v>
      </c>
      <c r="AM65" s="92">
        <f t="shared" si="35"/>
        <v>0.32977883096366489</v>
      </c>
      <c r="AN65" s="92">
        <f t="shared" si="35"/>
        <v>0.4450821915602714</v>
      </c>
      <c r="AO65" s="92">
        <f t="shared" si="35"/>
        <v>0.46924408028041875</v>
      </c>
      <c r="AP65" s="121">
        <f t="shared" si="35"/>
        <v>0.41790250374053017</v>
      </c>
      <c r="AQ65" s="120">
        <f t="shared" si="35"/>
        <v>0.45896987951807144</v>
      </c>
      <c r="AR65" s="92">
        <f t="shared" si="35"/>
        <v>0.3694512348358503</v>
      </c>
      <c r="AS65" s="92">
        <f t="shared" si="35"/>
        <v>0.95872119257315691</v>
      </c>
      <c r="AT65" s="92">
        <f t="shared" si="35"/>
        <v>1.2643698409502728</v>
      </c>
      <c r="AU65" s="121">
        <f>AU15/AP15-1</f>
        <v>0.78437315352264458</v>
      </c>
      <c r="AV65" s="120">
        <f t="shared" si="35"/>
        <v>0.96540718199422848</v>
      </c>
      <c r="AW65" s="92">
        <f t="shared" si="35"/>
        <v>1.1337203725252221</v>
      </c>
      <c r="AX65" s="92">
        <f t="shared" si="35"/>
        <v>0.42429723672684649</v>
      </c>
      <c r="AY65" s="92">
        <f t="shared" si="35"/>
        <v>0.16696489102770706</v>
      </c>
      <c r="AZ65" s="121">
        <f t="shared" si="35"/>
        <v>0.5687343927134183</v>
      </c>
      <c r="BA65" s="120">
        <f t="shared" si="35"/>
        <v>0.1865546218487395</v>
      </c>
      <c r="BB65" s="92">
        <f>BB15/AW15-1</f>
        <v>0.34851446442533218</v>
      </c>
      <c r="BC65" s="92">
        <f>BC15/AX15-1</f>
        <v>0.34524760383386588</v>
      </c>
      <c r="BD65" s="92">
        <f t="shared" si="35"/>
        <v>0.2912380952380953</v>
      </c>
      <c r="BE65" s="121">
        <f t="shared" si="35"/>
        <v>0.29447700407271271</v>
      </c>
      <c r="BF65" s="92">
        <f t="shared" si="35"/>
        <v>0.2637903682719549</v>
      </c>
      <c r="BG65" s="92">
        <f t="shared" si="35"/>
        <v>-5.9751413248295693E-3</v>
      </c>
      <c r="BH65" s="92">
        <f t="shared" si="35"/>
        <v>7.5465043788034425E-3</v>
      </c>
      <c r="BI65" s="92">
        <f t="shared" si="35"/>
        <v>1.0581575453607606E-3</v>
      </c>
      <c r="BJ65" s="121">
        <f t="shared" si="35"/>
        <v>5.7809137474581052E-2</v>
      </c>
      <c r="BO65" s="121">
        <f>BO15/BJ15-1</f>
        <v>6.4640867398112478E-2</v>
      </c>
      <c r="BT65" s="121">
        <f>BT15/BO15-1</f>
        <v>5.1726597174966527E-2</v>
      </c>
      <c r="BY65" s="121">
        <f>BY15/BT15-1</f>
        <v>4.6454517518412342E-2</v>
      </c>
      <c r="CD65" s="121">
        <f>CD15/BY15-1</f>
        <v>4.3788464765179835E-2</v>
      </c>
      <c r="CF65" s="42"/>
    </row>
    <row r="66" spans="2:84" s="119" customFormat="1" x14ac:dyDescent="0.15">
      <c r="B66" s="70" t="s">
        <v>82</v>
      </c>
      <c r="C66" s="120"/>
      <c r="D66" s="92"/>
      <c r="E66" s="92"/>
      <c r="F66" s="92"/>
      <c r="G66" s="121"/>
      <c r="H66" s="120">
        <f>H19/C20-1</f>
        <v>2.6823797757080441</v>
      </c>
      <c r="I66" s="92">
        <f>I19/D20-1</f>
        <v>0.51194250336116287</v>
      </c>
      <c r="J66" s="92">
        <f>J19/E20-1</f>
        <v>8.2371462640967952E-2</v>
      </c>
      <c r="K66" s="92">
        <f>K19/F20-1</f>
        <v>7.3570833213578046E-2</v>
      </c>
      <c r="L66" s="121">
        <f t="shared" ref="L66:AD66" si="36">L19/G19-1</f>
        <v>0.30994173844230644</v>
      </c>
      <c r="M66" s="120">
        <f t="shared" si="36"/>
        <v>0.28131936199865759</v>
      </c>
      <c r="N66" s="92">
        <f t="shared" si="36"/>
        <v>-0.32226369524645926</v>
      </c>
      <c r="O66" s="92">
        <f t="shared" si="36"/>
        <v>-0.55270813231757376</v>
      </c>
      <c r="P66" s="92">
        <f t="shared" si="36"/>
        <v>-0.53935787860331597</v>
      </c>
      <c r="Q66" s="121">
        <f t="shared" si="36"/>
        <v>-0.36093339257689827</v>
      </c>
      <c r="R66" s="92">
        <f t="shared" si="36"/>
        <v>-0.28453450429037608</v>
      </c>
      <c r="S66" s="92">
        <f t="shared" si="36"/>
        <v>3.0225965821656819E-2</v>
      </c>
      <c r="T66" s="92">
        <f t="shared" si="36"/>
        <v>-5.5393679872502877E-2</v>
      </c>
      <c r="U66" s="92">
        <f t="shared" si="36"/>
        <v>-0.19995641118779517</v>
      </c>
      <c r="V66" s="121">
        <f t="shared" si="36"/>
        <v>-0.14929222422774868</v>
      </c>
      <c r="W66" s="92">
        <f t="shared" si="36"/>
        <v>-0.20320945945945945</v>
      </c>
      <c r="X66" s="92">
        <f t="shared" si="36"/>
        <v>-5.5062027326613805E-2</v>
      </c>
      <c r="Y66" s="92">
        <f t="shared" si="36"/>
        <v>0.17783496370019436</v>
      </c>
      <c r="Z66" s="92">
        <f t="shared" si="36"/>
        <v>0.62417594391878417</v>
      </c>
      <c r="AA66" s="121">
        <f t="shared" si="36"/>
        <v>0.1081640376516817</v>
      </c>
      <c r="AB66" s="92">
        <f t="shared" si="36"/>
        <v>0.2063281746873018</v>
      </c>
      <c r="AC66" s="92">
        <f t="shared" si="36"/>
        <v>0.15464483602056567</v>
      </c>
      <c r="AD66" s="92">
        <f t="shared" si="36"/>
        <v>-2.8271338243166984</v>
      </c>
      <c r="AE66" s="92">
        <f>AE20/Z19-1</f>
        <v>1.5748166204490563</v>
      </c>
      <c r="AF66" s="121">
        <f>AF20/AA19-1</f>
        <v>0.2478466691856076</v>
      </c>
      <c r="AG66" s="92">
        <f>AG20/AB19-1</f>
        <v>3.1506377868576365</v>
      </c>
      <c r="AH66" s="92">
        <f>AH20/AC19-1</f>
        <v>3.3691582724482272</v>
      </c>
      <c r="AI66" s="92">
        <f>AI20/AD19-1</f>
        <v>-3.3692752617820751</v>
      </c>
      <c r="AJ66" s="92">
        <f t="shared" ref="AJ66:BF66" si="37">AJ20/AE20-1</f>
        <v>0.60767530431535022</v>
      </c>
      <c r="AK66" s="121">
        <f t="shared" si="37"/>
        <v>2.6568168206987965</v>
      </c>
      <c r="AL66" s="92">
        <f t="shared" si="37"/>
        <v>0.56558510750904967</v>
      </c>
      <c r="AM66" s="92">
        <f t="shared" si="37"/>
        <v>0.41232696436876104</v>
      </c>
      <c r="AN66" s="92">
        <f t="shared" si="37"/>
        <v>0.58841735491612335</v>
      </c>
      <c r="AO66" s="92">
        <f t="shared" si="37"/>
        <v>0.41173308554001786</v>
      </c>
      <c r="AP66" s="121">
        <f t="shared" si="37"/>
        <v>0.48868110353766792</v>
      </c>
      <c r="AQ66" s="92">
        <f t="shared" si="37"/>
        <v>0.2531174289803142</v>
      </c>
      <c r="AR66" s="92">
        <f t="shared" si="37"/>
        <v>0.33778450357541479</v>
      </c>
      <c r="AS66" s="92">
        <f t="shared" si="37"/>
        <v>0.52587235421484424</v>
      </c>
      <c r="AT66" s="92">
        <f t="shared" si="37"/>
        <v>0.9255049031332212</v>
      </c>
      <c r="AU66" s="121">
        <f t="shared" si="37"/>
        <v>0.52977276993698141</v>
      </c>
      <c r="AV66" s="92">
        <f t="shared" si="37"/>
        <v>0.52942213237846336</v>
      </c>
      <c r="AW66" s="92">
        <f t="shared" si="37"/>
        <v>0.5632582806428299</v>
      </c>
      <c r="AX66" s="92">
        <f t="shared" si="37"/>
        <v>0.32772346725027002</v>
      </c>
      <c r="AY66" s="92">
        <f t="shared" si="37"/>
        <v>0.13035951891898878</v>
      </c>
      <c r="AZ66" s="121">
        <f t="shared" si="37"/>
        <v>0.34466672982938773</v>
      </c>
      <c r="BA66" s="92">
        <f t="shared" si="37"/>
        <v>0.21107714016933254</v>
      </c>
      <c r="BB66" s="92">
        <f>BB20/AW20-1</f>
        <v>0.48676716917922991</v>
      </c>
      <c r="BC66" s="92">
        <f>BC20/AX20-1</f>
        <v>0.45388450353136656</v>
      </c>
      <c r="BD66" s="92">
        <f t="shared" si="37"/>
        <v>0.16923076923076885</v>
      </c>
      <c r="BE66" s="121">
        <f t="shared" si="37"/>
        <v>0.3236701159586084</v>
      </c>
      <c r="BF66" s="92">
        <f t="shared" si="37"/>
        <v>-6.8867734731527408E-2</v>
      </c>
      <c r="BG66" s="92">
        <f>BG20/BB20-1</f>
        <v>-1.6458808772720102E-2</v>
      </c>
      <c r="BH66" s="92">
        <f>BH20/BC20-1</f>
        <v>-3.3782126018002678E-3</v>
      </c>
      <c r="BI66" s="92">
        <f>BI20/BD20-1</f>
        <v>0.14791611954887274</v>
      </c>
      <c r="BJ66" s="121">
        <f t="shared" ref="BJ66" si="38">BJ20/BE20-1</f>
        <v>1.9477024415155864E-2</v>
      </c>
      <c r="BO66" s="121">
        <f>BO20/BJ20-1</f>
        <v>8.5433427238870152E-2</v>
      </c>
      <c r="BT66" s="121">
        <f>BT20/BO20-1</f>
        <v>7.8552855933626597E-2</v>
      </c>
      <c r="BY66" s="121">
        <f>BY20/BT20-1</f>
        <v>8.1613662093892314E-2</v>
      </c>
      <c r="CD66" s="121">
        <f>CD20/BY20-1</f>
        <v>5.5697514991514874E-2</v>
      </c>
      <c r="CF66" s="42"/>
    </row>
    <row r="67" spans="2:84" s="119" customFormat="1" x14ac:dyDescent="0.15">
      <c r="B67" s="70" t="s">
        <v>52</v>
      </c>
      <c r="C67" s="120"/>
      <c r="D67" s="92"/>
      <c r="E67" s="92"/>
      <c r="F67" s="92"/>
      <c r="G67" s="121"/>
      <c r="H67" s="120">
        <f t="shared" ref="H67:BF67" si="39">H26/C26-1</f>
        <v>4.8813572854291509</v>
      </c>
      <c r="I67" s="92">
        <f t="shared" si="39"/>
        <v>0.7198991955025682</v>
      </c>
      <c r="J67" s="92">
        <f t="shared" si="39"/>
        <v>0.13410037527320684</v>
      </c>
      <c r="K67" s="92">
        <f t="shared" si="39"/>
        <v>0.13120944660063327</v>
      </c>
      <c r="L67" s="121">
        <f t="shared" si="39"/>
        <v>0.41416970651243235</v>
      </c>
      <c r="M67" s="120">
        <f t="shared" si="39"/>
        <v>0.36261946133796674</v>
      </c>
      <c r="N67" s="92">
        <f t="shared" si="39"/>
        <v>-0.24085616708558255</v>
      </c>
      <c r="O67" s="92">
        <f t="shared" si="39"/>
        <v>-0.5224648010239703</v>
      </c>
      <c r="P67" s="92">
        <f t="shared" si="39"/>
        <v>-0.51384969995628538</v>
      </c>
      <c r="Q67" s="121">
        <f t="shared" si="39"/>
        <v>-0.31955765225665234</v>
      </c>
      <c r="R67" s="92">
        <f t="shared" si="39"/>
        <v>-0.25792021997290215</v>
      </c>
      <c r="S67" s="92">
        <f t="shared" si="39"/>
        <v>-3.1758522389832677E-2</v>
      </c>
      <c r="T67" s="92">
        <f t="shared" si="39"/>
        <v>-7.9862327338074746E-2</v>
      </c>
      <c r="U67" s="92">
        <f t="shared" si="39"/>
        <v>-0.24264966347856876</v>
      </c>
      <c r="V67" s="121">
        <f t="shared" si="39"/>
        <v>-0.16650531798728119</v>
      </c>
      <c r="W67" s="92">
        <f t="shared" si="39"/>
        <v>-0.23477922322015921</v>
      </c>
      <c r="X67" s="92">
        <f t="shared" si="39"/>
        <v>-0.12361032309508813</v>
      </c>
      <c r="Y67" s="92">
        <f t="shared" si="39"/>
        <v>-3.0933977722239603E-2</v>
      </c>
      <c r="Z67" s="92">
        <f t="shared" si="39"/>
        <v>0.42629704252716394</v>
      </c>
      <c r="AA67" s="121">
        <f t="shared" si="39"/>
        <v>-1.4551811252722757E-2</v>
      </c>
      <c r="AB67" s="92">
        <f t="shared" si="39"/>
        <v>2.614080948788633E-2</v>
      </c>
      <c r="AC67" s="92">
        <f t="shared" si="39"/>
        <v>5.5816069428891169E-2</v>
      </c>
      <c r="AD67" s="92">
        <f t="shared" si="39"/>
        <v>-3.5251699402220313</v>
      </c>
      <c r="AE67" s="92">
        <f t="shared" si="39"/>
        <v>1.2899665762754622</v>
      </c>
      <c r="AF67" s="121">
        <f t="shared" si="39"/>
        <v>-0.39463978157516655</v>
      </c>
      <c r="AG67" s="92">
        <f t="shared" si="39"/>
        <v>2.7868146147138777</v>
      </c>
      <c r="AH67" s="92">
        <f t="shared" si="39"/>
        <v>3.0824798647708045</v>
      </c>
      <c r="AI67" s="92">
        <f t="shared" si="39"/>
        <v>-2.4994585681172721</v>
      </c>
      <c r="AJ67" s="92">
        <f t="shared" si="39"/>
        <v>0.71884225600352525</v>
      </c>
      <c r="AK67" s="121">
        <f t="shared" si="39"/>
        <v>5.5660344704386882</v>
      </c>
      <c r="AL67" s="92">
        <f t="shared" si="39"/>
        <v>0.6927449466560105</v>
      </c>
      <c r="AM67" s="92">
        <f t="shared" si="39"/>
        <v>0.31905254825549623</v>
      </c>
      <c r="AN67" s="92">
        <f t="shared" si="39"/>
        <v>0.65818045675776848</v>
      </c>
      <c r="AO67" s="92">
        <f t="shared" si="39"/>
        <v>0.23646390427880704</v>
      </c>
      <c r="AP67" s="121">
        <f t="shared" si="39"/>
        <v>0.45101827280006557</v>
      </c>
      <c r="AQ67" s="92">
        <f t="shared" si="39"/>
        <v>0.10757466239554514</v>
      </c>
      <c r="AR67" s="92">
        <f t="shared" si="39"/>
        <v>0.33121295492734038</v>
      </c>
      <c r="AS67" s="92">
        <f t="shared" si="39"/>
        <v>0.3695631476005623</v>
      </c>
      <c r="AT67" s="92">
        <f t="shared" si="39"/>
        <v>0.96792158956324292</v>
      </c>
      <c r="AU67" s="121">
        <f>AU26/AP26-1</f>
        <v>0.45226950115492737</v>
      </c>
      <c r="AV67" s="92">
        <f t="shared" si="39"/>
        <v>0.48608197893814098</v>
      </c>
      <c r="AW67" s="92">
        <f t="shared" si="39"/>
        <v>0.5424200181705956</v>
      </c>
      <c r="AX67" s="92">
        <f t="shared" si="39"/>
        <v>0.48075024679170886</v>
      </c>
      <c r="AY67" s="92">
        <f t="shared" si="39"/>
        <v>0.2079973029777864</v>
      </c>
      <c r="AZ67" s="121">
        <f t="shared" si="39"/>
        <v>0.39630831829443047</v>
      </c>
      <c r="BA67" s="92">
        <f t="shared" si="39"/>
        <v>0.34240803759520411</v>
      </c>
      <c r="BB67" s="92">
        <f>BB26/AW26-1</f>
        <v>0.40212829736211075</v>
      </c>
      <c r="BC67" s="92">
        <f>BC26/AX26-1</f>
        <v>0.33816230717639129</v>
      </c>
      <c r="BD67" s="92">
        <f t="shared" si="39"/>
        <v>4.3606235691697748E-3</v>
      </c>
      <c r="BE67" s="121">
        <f t="shared" si="39"/>
        <v>0.2496352346374402</v>
      </c>
      <c r="BF67" s="92">
        <f t="shared" si="39"/>
        <v>-0.32847945436986958</v>
      </c>
      <c r="BG67" s="92">
        <f>BG26/BB26-1</f>
        <v>-4.4524193479422269E-2</v>
      </c>
      <c r="BH67" s="92">
        <f>BH26/BC26-1</f>
        <v>-1.1320115276663878E-2</v>
      </c>
      <c r="BI67" s="92">
        <f>BI26/BD26-1</f>
        <v>0.22092620644741223</v>
      </c>
      <c r="BJ67" s="121">
        <f t="shared" ref="BJ67" si="40">BJ26/BE26-1</f>
        <v>-3.299619745845539E-2</v>
      </c>
      <c r="BO67" s="121">
        <f>BO26/BJ26-1</f>
        <v>0.20037534514218169</v>
      </c>
      <c r="BT67" s="121">
        <f>BT26/BO26-1</f>
        <v>0.15498506954649893</v>
      </c>
      <c r="BY67" s="121">
        <f>BY26/BT26-1</f>
        <v>0.13385599881037602</v>
      </c>
      <c r="CD67" s="121">
        <f>CD26/BY26-1</f>
        <v>9.4859019573553027E-2</v>
      </c>
      <c r="CF67" s="42"/>
    </row>
    <row r="68" spans="2:84" s="119" customFormat="1" x14ac:dyDescent="0.15">
      <c r="B68" s="70" t="s">
        <v>83</v>
      </c>
      <c r="C68" s="120"/>
      <c r="D68" s="92"/>
      <c r="E68" s="92"/>
      <c r="F68" s="92"/>
      <c r="G68" s="121"/>
      <c r="H68" s="120">
        <f>H31/C32-1</f>
        <v>4.4768844221105608</v>
      </c>
      <c r="I68" s="92">
        <f>I31/D32-1</f>
        <v>0.69695678636640279</v>
      </c>
      <c r="J68" s="92">
        <f>J31/E32-1</f>
        <v>0.28024953594733693</v>
      </c>
      <c r="K68" s="92">
        <f>K31/F32-1</f>
        <v>0.22592428784379348</v>
      </c>
      <c r="L68" s="121">
        <f t="shared" ref="L68:AD68" si="41">L31/G31-1</f>
        <v>0.502647322452213</v>
      </c>
      <c r="M68" s="120">
        <f t="shared" si="41"/>
        <v>0.45542404501942069</v>
      </c>
      <c r="N68" s="92">
        <f t="shared" si="41"/>
        <v>-0.24019941895914743</v>
      </c>
      <c r="O68" s="92">
        <f t="shared" si="41"/>
        <v>-0.53541747630863068</v>
      </c>
      <c r="P68" s="92">
        <f t="shared" si="41"/>
        <v>-0.51430403933777868</v>
      </c>
      <c r="Q68" s="121">
        <f t="shared" si="41"/>
        <v>-0.32121132250837559</v>
      </c>
      <c r="R68" s="92">
        <f t="shared" si="41"/>
        <v>-0.27411322182062736</v>
      </c>
      <c r="S68" s="92">
        <f t="shared" si="41"/>
        <v>-6.1980740181269089E-2</v>
      </c>
      <c r="T68" s="92">
        <f t="shared" si="41"/>
        <v>-0.10205427665974942</v>
      </c>
      <c r="U68" s="92">
        <f t="shared" si="41"/>
        <v>-0.25461498253046844</v>
      </c>
      <c r="V68" s="121">
        <f t="shared" si="41"/>
        <v>-0.18693479660341505</v>
      </c>
      <c r="W68" s="92">
        <f t="shared" si="41"/>
        <v>-0.35300418313141402</v>
      </c>
      <c r="X68" s="92">
        <f t="shared" si="41"/>
        <v>-0.10334994044923052</v>
      </c>
      <c r="Y68" s="92">
        <f t="shared" si="41"/>
        <v>-8.5436858417384687E-2</v>
      </c>
      <c r="Z68" s="92">
        <f t="shared" si="41"/>
        <v>0.27572408662708692</v>
      </c>
      <c r="AA68" s="121">
        <f t="shared" si="41"/>
        <v>-8.536433030389301E-2</v>
      </c>
      <c r="AB68" s="92">
        <f t="shared" si="41"/>
        <v>0.10492404751784234</v>
      </c>
      <c r="AC68" s="92">
        <f t="shared" si="41"/>
        <v>2.7875477063533438E-2</v>
      </c>
      <c r="AD68" s="92">
        <f t="shared" si="41"/>
        <v>-5.0714730656219382</v>
      </c>
      <c r="AE68" s="92">
        <f>AE32/Z31-1</f>
        <v>1.4238764219659834</v>
      </c>
      <c r="AF68" s="121">
        <f>AF32/AA31-1</f>
        <v>-0.2404097100653324</v>
      </c>
      <c r="AG68" s="92">
        <f>AG32/AB31-1</f>
        <v>3.152483346494158</v>
      </c>
      <c r="AH68" s="92">
        <f>AH32/AC31-1</f>
        <v>3.3727021222379943</v>
      </c>
      <c r="AI68" s="92">
        <f>AI32/AD31-1</f>
        <v>-2.0204201421514787</v>
      </c>
      <c r="AJ68" s="92">
        <f t="shared" ref="AJ68:BF68" si="42">AJ32/AE32-1</f>
        <v>0.78308068751492055</v>
      </c>
      <c r="AK68" s="121">
        <f t="shared" si="42"/>
        <v>4.7657411030907237</v>
      </c>
      <c r="AL68" s="92">
        <f t="shared" si="42"/>
        <v>0.75692267184170525</v>
      </c>
      <c r="AM68" s="92">
        <f t="shared" si="42"/>
        <v>0.30925513538263116</v>
      </c>
      <c r="AN68" s="92">
        <f t="shared" si="42"/>
        <v>0.68560961465017667</v>
      </c>
      <c r="AO68" s="92">
        <f t="shared" si="42"/>
        <v>0.27041934846857019</v>
      </c>
      <c r="AP68" s="121">
        <f t="shared" si="42"/>
        <v>0.47661572184840373</v>
      </c>
      <c r="AQ68" s="92">
        <f t="shared" si="42"/>
        <v>0.12444424709010327</v>
      </c>
      <c r="AR68" s="92">
        <f t="shared" si="42"/>
        <v>0.3370487883970974</v>
      </c>
      <c r="AS68" s="92">
        <f t="shared" si="42"/>
        <v>0.35887789295843953</v>
      </c>
      <c r="AT68" s="92">
        <f t="shared" si="42"/>
        <v>0.92729083402930135</v>
      </c>
      <c r="AU68" s="121">
        <f t="shared" si="42"/>
        <v>0.44699303155877335</v>
      </c>
      <c r="AV68" s="92">
        <f t="shared" si="42"/>
        <v>0.48014868126823318</v>
      </c>
      <c r="AW68" s="92">
        <f t="shared" si="42"/>
        <v>0.5469923292387735</v>
      </c>
      <c r="AX68" s="92">
        <f t="shared" si="42"/>
        <v>0.47959992342638236</v>
      </c>
      <c r="AY68" s="92">
        <f t="shared" si="42"/>
        <v>0.2039052076726231</v>
      </c>
      <c r="AZ68" s="121">
        <f t="shared" si="42"/>
        <v>0.39486643338947491</v>
      </c>
      <c r="BA68" s="92">
        <f t="shared" si="42"/>
        <v>0.34950808737702266</v>
      </c>
      <c r="BB68" s="92">
        <f>BB32/AW32-1</f>
        <v>0.37888103289271502</v>
      </c>
      <c r="BC68" s="92">
        <f>BC32/AX32-1</f>
        <v>0.33736783528102343</v>
      </c>
      <c r="BD68" s="92">
        <f t="shared" si="42"/>
        <v>-5.6773021460208017E-3</v>
      </c>
      <c r="BE68" s="121">
        <f t="shared" si="42"/>
        <v>0.24338550073689369</v>
      </c>
      <c r="BF68" s="92">
        <f t="shared" si="42"/>
        <v>-0.41573646731743474</v>
      </c>
      <c r="BG68" s="92">
        <f>BG32/BB32-1</f>
        <v>-0.15308162473525766</v>
      </c>
      <c r="BH68" s="92">
        <f>BH32/BC32-1</f>
        <v>-0.12788828144179742</v>
      </c>
      <c r="BI68" s="92">
        <f>BI32/BD32-1</f>
        <v>9.182758581706163E-2</v>
      </c>
      <c r="BJ68" s="121">
        <f t="shared" ref="BJ68" si="43">BJ32/BE32-1</f>
        <v>-0.14571051436473437</v>
      </c>
      <c r="BO68" s="121">
        <f>BO32/BJ32-1</f>
        <v>0.20037534514218169</v>
      </c>
      <c r="BT68" s="121">
        <f>BT32/BO32-1</f>
        <v>0.15498506954649915</v>
      </c>
      <c r="BY68" s="121">
        <f>BY32/BT32-1</f>
        <v>0.1338559988103758</v>
      </c>
      <c r="CD68" s="121">
        <f>CD32/BY32-1</f>
        <v>9.4859019573552805E-2</v>
      </c>
      <c r="CF68" s="42"/>
    </row>
    <row r="69" spans="2:84" s="119" customFormat="1" x14ac:dyDescent="0.15">
      <c r="B69" s="90" t="s">
        <v>84</v>
      </c>
      <c r="C69" s="133"/>
      <c r="D69" s="134"/>
      <c r="E69" s="134"/>
      <c r="F69" s="134"/>
      <c r="G69" s="135"/>
      <c r="H69" s="133"/>
      <c r="I69" s="134"/>
      <c r="J69" s="134"/>
      <c r="K69" s="134"/>
      <c r="L69" s="135"/>
      <c r="M69" s="133"/>
      <c r="N69" s="134"/>
      <c r="O69" s="134"/>
      <c r="P69" s="134"/>
      <c r="Q69" s="135"/>
      <c r="R69" s="134"/>
      <c r="S69" s="134"/>
      <c r="T69" s="134"/>
      <c r="U69" s="134"/>
      <c r="V69" s="135"/>
      <c r="W69" s="134"/>
      <c r="X69" s="134"/>
      <c r="Y69" s="134"/>
      <c r="Z69" s="134"/>
      <c r="AA69" s="135"/>
      <c r="AB69" s="134"/>
      <c r="AC69" s="134"/>
      <c r="AD69" s="134"/>
      <c r="AE69" s="134">
        <f t="shared" ref="AE69:AL69" si="44">AE38/Z38-1</f>
        <v>-0.38536580117232555</v>
      </c>
      <c r="AF69" s="135">
        <f t="shared" si="44"/>
        <v>-0.65746228077315183</v>
      </c>
      <c r="AG69" s="134">
        <f t="shared" si="44"/>
        <v>5.1139116633545756E-2</v>
      </c>
      <c r="AH69" s="134">
        <f t="shared" si="44"/>
        <v>0.20512003358429731</v>
      </c>
      <c r="AI69" s="134">
        <f t="shared" si="44"/>
        <v>-1.5162276424490315</v>
      </c>
      <c r="AJ69" s="134">
        <f t="shared" si="44"/>
        <v>0.85646233136104</v>
      </c>
      <c r="AK69" s="135" t="s">
        <v>85</v>
      </c>
      <c r="AL69" s="134">
        <f t="shared" si="44"/>
        <v>0.84856227289166375</v>
      </c>
      <c r="AM69" s="134">
        <f>AM38/AH38-1</f>
        <v>0.38772727258847395</v>
      </c>
      <c r="AN69" s="134">
        <f>AN38/AI38-1</f>
        <v>0.74530343342313388</v>
      </c>
      <c r="AO69" s="134">
        <f>AO38/AJ38-1</f>
        <v>0.29344867665078644</v>
      </c>
      <c r="AP69" s="135">
        <f>AP38/AK38-1</f>
        <v>0.53783967029355062</v>
      </c>
      <c r="AQ69" s="134">
        <f t="shared" ref="AQ69:BF69" si="45">AQ38/AL38-1</f>
        <v>0.13901324298564854</v>
      </c>
      <c r="AR69" s="134">
        <f t="shared" si="45"/>
        <v>0.32932704005881064</v>
      </c>
      <c r="AS69" s="134">
        <f t="shared" si="45"/>
        <v>0.24512649346029747</v>
      </c>
      <c r="AT69" s="134">
        <f t="shared" si="45"/>
        <v>0.76260900153861577</v>
      </c>
      <c r="AU69" s="135">
        <f>AU38/AP38-1</f>
        <v>0.38363466891042086</v>
      </c>
      <c r="AV69" s="134">
        <f t="shared" si="45"/>
        <v>0.35380509690814832</v>
      </c>
      <c r="AW69" s="134">
        <f t="shared" si="45"/>
        <v>0.42527716657528436</v>
      </c>
      <c r="AX69" s="134">
        <f t="shared" si="45"/>
        <v>0.47493092513300361</v>
      </c>
      <c r="AY69" s="134">
        <f t="shared" si="45"/>
        <v>0.20026074470116617</v>
      </c>
      <c r="AZ69" s="135">
        <f t="shared" si="45"/>
        <v>0.33743719900921065</v>
      </c>
      <c r="BA69" s="134">
        <f t="shared" si="45"/>
        <v>0.34204138567051046</v>
      </c>
      <c r="BB69" s="134">
        <f>BB38/AW38-1</f>
        <v>0.34115729987541665</v>
      </c>
      <c r="BC69" s="134">
        <f>BC38/AX38-1</f>
        <v>0.30040923698408362</v>
      </c>
      <c r="BD69" s="134">
        <f t="shared" si="45"/>
        <v>-2.8411173488781083E-2</v>
      </c>
      <c r="BE69" s="135">
        <f t="shared" si="45"/>
        <v>0.2174601713912514</v>
      </c>
      <c r="BF69" s="134">
        <f t="shared" si="45"/>
        <v>-0.42659017684140355</v>
      </c>
      <c r="BG69" s="134">
        <f>BG38/BB38-1</f>
        <v>-0.15066116638925953</v>
      </c>
      <c r="BH69" s="134">
        <f>BH38/BC38-1</f>
        <v>-0.12514657555321784</v>
      </c>
      <c r="BI69" s="134">
        <f>BI38/BD38-1</f>
        <v>9.1827585817061408E-2</v>
      </c>
      <c r="BJ69" s="135">
        <f t="shared" ref="BJ69" si="46">BJ38/BE38-1</f>
        <v>-0.14839619151305916</v>
      </c>
      <c r="BO69" s="135">
        <f>BO38/BJ38-1</f>
        <v>0.18849044073483356</v>
      </c>
      <c r="BT69" s="135">
        <f>BT38/BO38-1</f>
        <v>0.15746935632524384</v>
      </c>
      <c r="BY69" s="135">
        <f>BY38/BT38-1</f>
        <v>0.13544365167310057</v>
      </c>
      <c r="CD69" s="135">
        <f>CD38/BY38-1</f>
        <v>9.5770391940235733E-2</v>
      </c>
      <c r="CF69" s="136"/>
    </row>
    <row r="70" spans="2:84" s="91" customFormat="1" ht="4.5" customHeight="1" x14ac:dyDescent="0.15">
      <c r="B70" s="69"/>
      <c r="G70" s="92"/>
      <c r="L70" s="92"/>
      <c r="Q70" s="92"/>
      <c r="V70" s="92"/>
      <c r="AA70" s="92"/>
      <c r="AF70" s="92"/>
      <c r="AK70" s="92"/>
      <c r="AP70" s="92"/>
      <c r="AU70" s="92"/>
    </row>
    <row r="71" spans="2:84" s="28" customFormat="1" hidden="1" x14ac:dyDescent="0.15">
      <c r="B71" s="34" t="s">
        <v>86</v>
      </c>
      <c r="C71" s="35"/>
      <c r="D71" s="36"/>
      <c r="E71" s="36"/>
      <c r="F71" s="36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35"/>
      <c r="AR71" s="36"/>
      <c r="AS71" s="36"/>
      <c r="AT71" s="36"/>
      <c r="AU71" s="34"/>
      <c r="AV71" s="35"/>
      <c r="AW71" s="36"/>
      <c r="AX71" s="36"/>
      <c r="AY71" s="36"/>
      <c r="AZ71" s="34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</row>
    <row r="72" spans="2:84" s="91" customFormat="1" hidden="1" x14ac:dyDescent="0.15">
      <c r="B72" s="70" t="s">
        <v>87</v>
      </c>
      <c r="AQ72" s="137"/>
      <c r="AR72" s="138"/>
      <c r="AS72" s="138">
        <v>2.5000000000000001E-2</v>
      </c>
      <c r="AT72" s="138">
        <v>2.5000000000000001E-2</v>
      </c>
      <c r="AU72" s="139"/>
      <c r="AV72" s="138">
        <v>0.06</v>
      </c>
      <c r="AW72" s="138">
        <v>0.06</v>
      </c>
      <c r="AX72" s="138">
        <v>0.03</v>
      </c>
      <c r="AY72" s="138">
        <v>0.03</v>
      </c>
      <c r="AZ72" s="139"/>
      <c r="BA72" s="28"/>
      <c r="BB72" s="28"/>
      <c r="BC72" s="28"/>
      <c r="BD72" s="28"/>
      <c r="BE72" s="45"/>
      <c r="BF72" s="28"/>
      <c r="BG72" s="28"/>
      <c r="BH72" s="28"/>
      <c r="BI72" s="28"/>
      <c r="BJ72" s="45"/>
      <c r="BK72" s="28"/>
      <c r="BL72" s="28"/>
      <c r="BM72" s="28"/>
      <c r="BN72" s="28"/>
      <c r="BO72" s="45"/>
      <c r="BP72" s="28"/>
      <c r="BQ72" s="28"/>
      <c r="BR72" s="28"/>
      <c r="BS72" s="28"/>
      <c r="BT72" s="45"/>
      <c r="BU72" s="28"/>
      <c r="BV72" s="28"/>
      <c r="BW72" s="28"/>
      <c r="BX72" s="28"/>
      <c r="BY72" s="45"/>
      <c r="BZ72" s="28"/>
      <c r="CA72" s="28"/>
      <c r="CB72" s="28"/>
      <c r="CC72" s="28"/>
      <c r="CD72" s="45"/>
    </row>
    <row r="73" spans="2:84" s="91" customFormat="1" hidden="1" x14ac:dyDescent="0.15">
      <c r="B73" s="70" t="s">
        <v>88</v>
      </c>
      <c r="AQ73" s="140"/>
      <c r="AR73" s="141"/>
      <c r="AS73" s="141" t="e">
        <f>AS72*(AS10-Sales!#REF!)</f>
        <v>#REF!</v>
      </c>
      <c r="AT73" s="141" t="e">
        <f>AT72*(AT10-Sales!#REF!)</f>
        <v>#REF!</v>
      </c>
      <c r="AU73" s="139"/>
      <c r="AV73" s="141" t="e">
        <f>AV72*(AV10-Sales!#REF!)</f>
        <v>#REF!</v>
      </c>
      <c r="AW73" s="141" t="e">
        <f>AW72*(AW10-Sales!#REF!)</f>
        <v>#REF!</v>
      </c>
      <c r="AX73" s="141" t="e">
        <f>AX72*(AX10-Sales!#REF!)</f>
        <v>#REF!</v>
      </c>
      <c r="AY73" s="141" t="e">
        <f>AY72*(AY10-Sales!#REF!)</f>
        <v>#REF!</v>
      </c>
      <c r="AZ73" s="139" t="e">
        <f>SUM(AV73:AY73)</f>
        <v>#REF!</v>
      </c>
      <c r="BA73" s="28"/>
      <c r="BB73" s="28"/>
      <c r="BC73" s="28"/>
      <c r="BD73" s="28"/>
      <c r="BE73" s="45"/>
      <c r="BF73" s="28"/>
      <c r="BG73" s="28"/>
      <c r="BH73" s="28"/>
      <c r="BI73" s="28"/>
      <c r="BJ73" s="45"/>
      <c r="BK73" s="28"/>
      <c r="BL73" s="28"/>
      <c r="BM73" s="28"/>
      <c r="BN73" s="28"/>
      <c r="BO73" s="45"/>
      <c r="BP73" s="28"/>
      <c r="BQ73" s="28"/>
      <c r="BR73" s="28"/>
      <c r="BS73" s="28"/>
      <c r="BT73" s="45"/>
      <c r="BU73" s="28"/>
      <c r="BV73" s="28"/>
      <c r="BW73" s="28"/>
      <c r="BX73" s="28"/>
      <c r="BY73" s="45"/>
      <c r="BZ73" s="28"/>
      <c r="CA73" s="28"/>
      <c r="CB73" s="28"/>
      <c r="CC73" s="28"/>
      <c r="CD73" s="45"/>
    </row>
    <row r="74" spans="2:84" s="91" customFormat="1" hidden="1" x14ac:dyDescent="0.15">
      <c r="B74" s="70" t="s">
        <v>89</v>
      </c>
      <c r="AQ74" s="137"/>
      <c r="AR74" s="138"/>
      <c r="AS74" s="138">
        <v>0.23</v>
      </c>
      <c r="AT74" s="138">
        <v>0.22</v>
      </c>
      <c r="AU74" s="139"/>
      <c r="AV74" s="138">
        <v>0.27</v>
      </c>
      <c r="AW74" s="138">
        <v>0.27</v>
      </c>
      <c r="AX74" s="138">
        <v>0.24</v>
      </c>
      <c r="AY74" s="138">
        <v>0.24</v>
      </c>
      <c r="AZ74" s="139"/>
      <c r="BA74" s="28"/>
      <c r="BB74" s="28"/>
      <c r="BC74" s="28"/>
      <c r="BD74" s="28"/>
      <c r="BE74" s="45"/>
      <c r="BF74" s="28"/>
      <c r="BG74" s="28"/>
      <c r="BH74" s="28"/>
      <c r="BI74" s="28"/>
      <c r="BJ74" s="45"/>
      <c r="BK74" s="28"/>
      <c r="BL74" s="28"/>
      <c r="BM74" s="28"/>
      <c r="BN74" s="28"/>
      <c r="BO74" s="45"/>
      <c r="BP74" s="28"/>
      <c r="BQ74" s="28"/>
      <c r="BR74" s="28"/>
      <c r="BS74" s="28"/>
      <c r="BT74" s="45"/>
      <c r="BU74" s="28"/>
      <c r="BV74" s="28"/>
      <c r="BW74" s="28"/>
      <c r="BX74" s="28"/>
      <c r="BY74" s="45"/>
      <c r="BZ74" s="28"/>
      <c r="CA74" s="28"/>
      <c r="CB74" s="28"/>
      <c r="CC74" s="28"/>
      <c r="CD74" s="45"/>
    </row>
    <row r="75" spans="2:84" s="91" customFormat="1" hidden="1" x14ac:dyDescent="0.15">
      <c r="B75" s="70" t="s">
        <v>90</v>
      </c>
      <c r="AQ75" s="140"/>
      <c r="AR75" s="141"/>
      <c r="AS75" s="141" t="e">
        <f>AS74*(AS10-Sales!#REF!)</f>
        <v>#REF!</v>
      </c>
      <c r="AT75" s="141" t="e">
        <f>AT74*(AT10-Sales!#REF!)</f>
        <v>#REF!</v>
      </c>
      <c r="AU75" s="139"/>
      <c r="AV75" s="141" t="e">
        <f>AV74*(AV10-Sales!AV11-Sales!#REF!-Sales!#REF!)</f>
        <v>#REF!</v>
      </c>
      <c r="AW75" s="141" t="e">
        <f>AW74*(AW10-Sales!AW11-Sales!#REF!-Sales!#REF!)</f>
        <v>#REF!</v>
      </c>
      <c r="AX75" s="141" t="e">
        <f>AX74*(AX10-Sales!AX11-Sales!#REF!-Sales!#REF!)</f>
        <v>#REF!</v>
      </c>
      <c r="AY75" s="141" t="e">
        <f>AY74*(AY10-Sales!AY11-Sales!#REF!-Sales!#REF!)</f>
        <v>#REF!</v>
      </c>
      <c r="AZ75" s="139" t="e">
        <f>SUM(AV75:AY75)</f>
        <v>#REF!</v>
      </c>
      <c r="BA75" s="28"/>
      <c r="BB75" s="28"/>
      <c r="BC75" s="28"/>
      <c r="BD75" s="28"/>
      <c r="BE75" s="45"/>
      <c r="BF75" s="28"/>
      <c r="BG75" s="28"/>
      <c r="BH75" s="28"/>
      <c r="BI75" s="28"/>
      <c r="BJ75" s="45"/>
      <c r="BK75" s="28"/>
      <c r="BL75" s="28"/>
      <c r="BM75" s="28"/>
      <c r="BN75" s="28"/>
      <c r="BO75" s="45"/>
      <c r="BP75" s="28"/>
      <c r="BQ75" s="28"/>
      <c r="BR75" s="28"/>
      <c r="BS75" s="28"/>
      <c r="BT75" s="45"/>
      <c r="BU75" s="28"/>
      <c r="BV75" s="28"/>
      <c r="BW75" s="28"/>
      <c r="BX75" s="28"/>
      <c r="BY75" s="45"/>
      <c r="BZ75" s="28"/>
      <c r="CA75" s="28"/>
      <c r="CB75" s="28"/>
      <c r="CC75" s="28"/>
      <c r="CD75" s="45"/>
    </row>
    <row r="76" spans="2:84" s="91" customFormat="1" ht="4.5" hidden="1" customHeight="1" x14ac:dyDescent="0.15">
      <c r="B76" s="70"/>
      <c r="AQ76" s="44"/>
      <c r="AR76" s="45"/>
      <c r="AS76" s="45"/>
      <c r="AT76" s="45"/>
      <c r="AU76" s="139"/>
      <c r="AV76" s="28"/>
      <c r="AW76" s="28"/>
      <c r="AX76" s="28"/>
      <c r="AY76" s="45"/>
      <c r="AZ76" s="139"/>
      <c r="BA76" s="28"/>
      <c r="BB76" s="28"/>
      <c r="BC76" s="28"/>
      <c r="BD76" s="28"/>
      <c r="BE76" s="45"/>
      <c r="BF76" s="28"/>
      <c r="BG76" s="28"/>
      <c r="BH76" s="28"/>
      <c r="BI76" s="28"/>
      <c r="BJ76" s="45"/>
      <c r="BK76" s="28"/>
      <c r="BL76" s="28"/>
      <c r="BM76" s="28"/>
      <c r="BN76" s="28"/>
      <c r="BO76" s="45"/>
      <c r="BP76" s="28"/>
      <c r="BQ76" s="28"/>
      <c r="BR76" s="28"/>
      <c r="BS76" s="28"/>
      <c r="BT76" s="45"/>
      <c r="BU76" s="28"/>
      <c r="BV76" s="28"/>
      <c r="BW76" s="28"/>
      <c r="BX76" s="28"/>
      <c r="BY76" s="45"/>
      <c r="BZ76" s="28"/>
      <c r="CA76" s="28"/>
      <c r="CB76" s="28"/>
      <c r="CC76" s="28"/>
      <c r="CD76" s="45"/>
    </row>
    <row r="77" spans="2:84" s="91" customFormat="1" hidden="1" x14ac:dyDescent="0.15">
      <c r="B77" s="70" t="s">
        <v>91</v>
      </c>
      <c r="AQ77" s="142"/>
      <c r="AR77" s="143"/>
      <c r="AS77" s="143"/>
      <c r="AT77" s="143"/>
      <c r="AU77" s="139">
        <f>SUM(AQ77:AT77)</f>
        <v>0</v>
      </c>
      <c r="AV77" s="143"/>
      <c r="AW77" s="143"/>
      <c r="AX77" s="143"/>
      <c r="AY77" s="143"/>
      <c r="AZ77" s="139"/>
      <c r="BA77" s="28"/>
      <c r="BB77" s="28"/>
      <c r="BC77" s="28"/>
      <c r="BD77" s="28"/>
      <c r="BE77" s="45"/>
      <c r="BF77" s="28"/>
      <c r="BG77" s="28"/>
      <c r="BH77" s="28"/>
      <c r="BI77" s="28"/>
      <c r="BJ77" s="45"/>
      <c r="BK77" s="28"/>
      <c r="BL77" s="28"/>
      <c r="BM77" s="28"/>
      <c r="BN77" s="28"/>
      <c r="BO77" s="45"/>
      <c r="BP77" s="28"/>
      <c r="BQ77" s="28"/>
      <c r="BR77" s="28"/>
      <c r="BS77" s="28"/>
      <c r="BT77" s="45"/>
      <c r="BU77" s="28"/>
      <c r="BV77" s="28"/>
      <c r="BW77" s="28"/>
      <c r="BX77" s="28"/>
      <c r="BY77" s="45"/>
      <c r="BZ77" s="28"/>
      <c r="CA77" s="28"/>
      <c r="CB77" s="28"/>
      <c r="CC77" s="28"/>
      <c r="CD77" s="45"/>
    </row>
    <row r="78" spans="2:84" s="91" customFormat="1" hidden="1" x14ac:dyDescent="0.15">
      <c r="B78" s="70" t="s">
        <v>92</v>
      </c>
      <c r="AQ78" s="142"/>
      <c r="AR78" s="143"/>
      <c r="AS78" s="143"/>
      <c r="AT78" s="143"/>
      <c r="AU78" s="139">
        <f>SUM(AQ78:AT78)</f>
        <v>0</v>
      </c>
      <c r="AV78" s="143"/>
      <c r="AW78" s="143"/>
      <c r="AX78" s="143"/>
      <c r="AY78" s="143"/>
      <c r="AZ78" s="139"/>
      <c r="BA78" s="28"/>
      <c r="BB78" s="28"/>
      <c r="BC78" s="28"/>
      <c r="BD78" s="28"/>
      <c r="BE78" s="45"/>
      <c r="BF78" s="28"/>
      <c r="BG78" s="28"/>
      <c r="BH78" s="28"/>
      <c r="BI78" s="28"/>
      <c r="BJ78" s="45"/>
      <c r="BK78" s="28"/>
      <c r="BL78" s="28"/>
      <c r="BM78" s="28"/>
      <c r="BN78" s="28"/>
      <c r="BO78" s="45"/>
      <c r="BP78" s="28"/>
      <c r="BQ78" s="28"/>
      <c r="BR78" s="28"/>
      <c r="BS78" s="28"/>
      <c r="BT78" s="45"/>
      <c r="BU78" s="28"/>
      <c r="BV78" s="28"/>
      <c r="BW78" s="28"/>
      <c r="BX78" s="28"/>
      <c r="BY78" s="45"/>
      <c r="BZ78" s="28"/>
      <c r="CA78" s="28"/>
      <c r="CB78" s="28"/>
      <c r="CC78" s="28"/>
      <c r="CD78" s="45"/>
    </row>
    <row r="79" spans="2:84" s="91" customFormat="1" ht="4.5" hidden="1" customHeight="1" x14ac:dyDescent="0.15">
      <c r="B79" s="70"/>
      <c r="AQ79" s="44"/>
      <c r="AR79" s="45"/>
      <c r="AS79" s="45"/>
      <c r="AT79" s="45"/>
      <c r="AU79" s="46"/>
      <c r="AV79" s="28"/>
      <c r="AW79" s="28"/>
      <c r="AX79" s="28"/>
      <c r="AY79" s="28"/>
      <c r="AZ79" s="46"/>
      <c r="BA79" s="28"/>
      <c r="BB79" s="28"/>
      <c r="BC79" s="28"/>
      <c r="BD79" s="28"/>
      <c r="BE79" s="45"/>
      <c r="BF79" s="28"/>
      <c r="BG79" s="28"/>
      <c r="BH79" s="28"/>
      <c r="BI79" s="28"/>
      <c r="BJ79" s="45"/>
      <c r="BK79" s="28"/>
      <c r="BL79" s="28"/>
      <c r="BM79" s="28"/>
      <c r="BN79" s="28"/>
      <c r="BO79" s="45"/>
      <c r="BP79" s="28"/>
      <c r="BQ79" s="28"/>
      <c r="BR79" s="28"/>
      <c r="BS79" s="28"/>
      <c r="BT79" s="45"/>
      <c r="BU79" s="28"/>
      <c r="BV79" s="28"/>
      <c r="BW79" s="28"/>
      <c r="BX79" s="28"/>
      <c r="BY79" s="45"/>
      <c r="BZ79" s="28"/>
      <c r="CA79" s="28"/>
      <c r="CB79" s="28"/>
      <c r="CC79" s="28"/>
      <c r="CD79" s="45"/>
    </row>
    <row r="80" spans="2:84" s="94" customFormat="1" hidden="1" x14ac:dyDescent="0.15">
      <c r="B80" s="144" t="s">
        <v>93</v>
      </c>
      <c r="AQ80" s="142"/>
      <c r="AR80" s="143"/>
      <c r="AS80" s="143"/>
      <c r="AT80" s="143"/>
      <c r="AU80" s="139">
        <f>SUM(AQ80:AT80)</f>
        <v>0</v>
      </c>
      <c r="AV80" s="143"/>
      <c r="AW80" s="143"/>
      <c r="AX80" s="143"/>
      <c r="AY80" s="143"/>
      <c r="AZ80" s="139"/>
      <c r="BA80" s="145"/>
      <c r="BB80" s="145"/>
      <c r="BC80" s="145"/>
      <c r="BD80" s="145"/>
      <c r="BE80" s="141"/>
      <c r="BF80" s="145"/>
      <c r="BG80" s="145"/>
      <c r="BH80" s="145"/>
      <c r="BI80" s="145"/>
      <c r="BJ80" s="141"/>
      <c r="BK80" s="145"/>
      <c r="BL80" s="145"/>
      <c r="BM80" s="145"/>
      <c r="BN80" s="145"/>
      <c r="BO80" s="141"/>
      <c r="BP80" s="145"/>
      <c r="BQ80" s="145"/>
      <c r="BR80" s="145"/>
      <c r="BS80" s="145"/>
      <c r="BT80" s="141"/>
      <c r="BU80" s="145"/>
      <c r="BV80" s="145"/>
      <c r="BW80" s="145"/>
      <c r="BX80" s="145"/>
      <c r="BY80" s="141"/>
      <c r="BZ80" s="145"/>
      <c r="CA80" s="145"/>
      <c r="CB80" s="145"/>
      <c r="CC80" s="145"/>
      <c r="CD80" s="141"/>
    </row>
    <row r="81" spans="1:16325" s="146" customFormat="1" ht="15" hidden="1" x14ac:dyDescent="0.3">
      <c r="B81" s="147" t="s">
        <v>94</v>
      </c>
      <c r="AQ81" s="148"/>
      <c r="AR81" s="149"/>
      <c r="AS81" s="149"/>
      <c r="AT81" s="149"/>
      <c r="AU81" s="150">
        <f>SUM(AQ81:AT81)</f>
        <v>0</v>
      </c>
      <c r="AV81" s="149"/>
      <c r="AW81" s="149"/>
      <c r="AX81" s="149"/>
      <c r="AY81" s="149"/>
      <c r="AZ81" s="150"/>
      <c r="BA81" s="151"/>
      <c r="BB81" s="151"/>
      <c r="BC81" s="151"/>
      <c r="BD81" s="151"/>
      <c r="BE81" s="152"/>
      <c r="BF81" s="151"/>
      <c r="BG81" s="151"/>
      <c r="BH81" s="151"/>
      <c r="BI81" s="151"/>
      <c r="BJ81" s="152"/>
      <c r="BK81" s="151"/>
      <c r="BL81" s="151"/>
      <c r="BM81" s="151"/>
      <c r="BN81" s="151"/>
      <c r="BO81" s="152"/>
      <c r="BP81" s="151"/>
      <c r="BQ81" s="151"/>
      <c r="BR81" s="151"/>
      <c r="BS81" s="151"/>
      <c r="BT81" s="152"/>
      <c r="BU81" s="151"/>
      <c r="BV81" s="151"/>
      <c r="BW81" s="151"/>
      <c r="BX81" s="151"/>
      <c r="BY81" s="152"/>
      <c r="BZ81" s="151"/>
      <c r="CA81" s="151"/>
      <c r="CB81" s="151"/>
      <c r="CC81" s="151"/>
      <c r="CD81" s="152"/>
    </row>
    <row r="82" spans="1:16325" s="153" customFormat="1" hidden="1" x14ac:dyDescent="0.15">
      <c r="B82" s="83" t="s">
        <v>95</v>
      </c>
      <c r="AQ82" s="154"/>
      <c r="AR82" s="155"/>
      <c r="AS82" s="155"/>
      <c r="AT82" s="155"/>
      <c r="AU82" s="156">
        <f>AU81+AU80</f>
        <v>0</v>
      </c>
      <c r="AV82" s="155"/>
      <c r="AW82" s="155"/>
      <c r="AX82" s="155"/>
      <c r="AY82" s="155"/>
      <c r="AZ82" s="156"/>
      <c r="BA82" s="157"/>
      <c r="BB82" s="157"/>
      <c r="BC82" s="157"/>
      <c r="BD82" s="157"/>
      <c r="BE82" s="40"/>
      <c r="BF82" s="157"/>
      <c r="BG82" s="157"/>
      <c r="BH82" s="157"/>
      <c r="BI82" s="157"/>
      <c r="BJ82" s="40"/>
      <c r="BK82" s="157"/>
      <c r="BL82" s="157"/>
      <c r="BM82" s="157"/>
      <c r="BN82" s="157"/>
      <c r="BO82" s="40"/>
      <c r="BP82" s="157"/>
      <c r="BQ82" s="157"/>
      <c r="BR82" s="157"/>
      <c r="BS82" s="157"/>
      <c r="BT82" s="40"/>
      <c r="BU82" s="157"/>
      <c r="BV82" s="157"/>
      <c r="BW82" s="157"/>
      <c r="BX82" s="157"/>
      <c r="BY82" s="40"/>
      <c r="BZ82" s="157"/>
      <c r="CA82" s="157"/>
      <c r="CB82" s="157"/>
      <c r="CC82" s="157"/>
      <c r="CD82" s="40"/>
    </row>
    <row r="83" spans="1:16325" s="153" customFormat="1" hidden="1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6"/>
      <c r="YB83" s="6"/>
      <c r="YC83" s="6"/>
      <c r="YD83" s="6"/>
      <c r="YE83" s="6"/>
      <c r="YF83" s="6"/>
      <c r="YG83" s="6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6"/>
      <c r="YS83" s="6"/>
      <c r="YT83" s="6"/>
      <c r="YU83" s="6"/>
      <c r="YV83" s="6"/>
      <c r="YW83" s="6"/>
      <c r="YX83" s="6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6"/>
      <c r="ZJ83" s="6"/>
      <c r="ZK83" s="6"/>
      <c r="ZL83" s="6"/>
      <c r="ZM83" s="6"/>
      <c r="ZN83" s="6"/>
      <c r="ZO83" s="6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6"/>
      <c r="AAA83" s="6"/>
      <c r="AAB83" s="6"/>
      <c r="AAC83" s="6"/>
      <c r="AAD83" s="6"/>
      <c r="AAE83" s="6"/>
      <c r="AAF83" s="6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6"/>
      <c r="AAR83" s="6"/>
      <c r="AAS83" s="6"/>
      <c r="AAT83" s="6"/>
      <c r="AAU83" s="6"/>
      <c r="AAV83" s="6"/>
      <c r="AAW83" s="6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6"/>
      <c r="ABI83" s="6"/>
      <c r="ABJ83" s="6"/>
      <c r="ABK83" s="6"/>
      <c r="ABL83" s="6"/>
      <c r="ABM83" s="6"/>
      <c r="ABN83" s="6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6"/>
      <c r="ABZ83" s="6"/>
      <c r="ACA83" s="6"/>
      <c r="ACB83" s="6"/>
      <c r="ACC83" s="6"/>
      <c r="ACD83" s="6"/>
      <c r="ACE83" s="6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6"/>
      <c r="ACQ83" s="6"/>
      <c r="ACR83" s="6"/>
      <c r="ACS83" s="6"/>
      <c r="ACT83" s="6"/>
      <c r="ACU83" s="6"/>
      <c r="ACV83" s="6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6"/>
      <c r="ADH83" s="6"/>
      <c r="ADI83" s="6"/>
      <c r="ADJ83" s="6"/>
      <c r="ADK83" s="6"/>
      <c r="ADL83" s="6"/>
      <c r="ADM83" s="6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6"/>
      <c r="ADY83" s="6"/>
      <c r="ADZ83" s="6"/>
      <c r="AEA83" s="6"/>
      <c r="AEB83" s="6"/>
      <c r="AEC83" s="6"/>
      <c r="AED83" s="6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6"/>
      <c r="AEP83" s="6"/>
      <c r="AEQ83" s="6"/>
      <c r="AER83" s="6"/>
      <c r="AES83" s="6"/>
      <c r="AET83" s="6"/>
      <c r="AEU83" s="6"/>
      <c r="AEV83" s="6"/>
      <c r="AEW83" s="6"/>
      <c r="AEX83" s="6"/>
      <c r="AEY83" s="6"/>
      <c r="AEZ83" s="6"/>
      <c r="AFA83" s="6"/>
      <c r="AFB83" s="6"/>
      <c r="AFC83" s="6"/>
      <c r="AFD83" s="6"/>
      <c r="AFE83" s="6"/>
      <c r="AFF83" s="6"/>
      <c r="AFG83" s="6"/>
      <c r="AFH83" s="6"/>
      <c r="AFI83" s="6"/>
      <c r="AFJ83" s="6"/>
      <c r="AFK83" s="6"/>
      <c r="AFL83" s="6"/>
      <c r="AFM83" s="6"/>
      <c r="AFN83" s="6"/>
      <c r="AFO83" s="6"/>
      <c r="AFP83" s="6"/>
      <c r="AFQ83" s="6"/>
      <c r="AFR83" s="6"/>
      <c r="AFS83" s="6"/>
      <c r="AFT83" s="6"/>
      <c r="AFU83" s="6"/>
      <c r="AFV83" s="6"/>
      <c r="AFW83" s="6"/>
      <c r="AFX83" s="6"/>
      <c r="AFY83" s="6"/>
      <c r="AFZ83" s="6"/>
      <c r="AGA83" s="6"/>
      <c r="AGB83" s="6"/>
      <c r="AGC83" s="6"/>
      <c r="AGD83" s="6"/>
      <c r="AGE83" s="6"/>
      <c r="AGF83" s="6"/>
      <c r="AGG83" s="6"/>
      <c r="AGH83" s="6"/>
      <c r="AGI83" s="6"/>
      <c r="AGJ83" s="6"/>
      <c r="AGK83" s="6"/>
      <c r="AGL83" s="6"/>
      <c r="AGM83" s="6"/>
      <c r="AGN83" s="6"/>
      <c r="AGO83" s="6"/>
      <c r="AGP83" s="6"/>
      <c r="AGQ83" s="6"/>
      <c r="AGR83" s="6"/>
      <c r="AGS83" s="6"/>
      <c r="AGT83" s="6"/>
      <c r="AGU83" s="6"/>
      <c r="AGV83" s="6"/>
      <c r="AGW83" s="6"/>
      <c r="AGX83" s="6"/>
      <c r="AGY83" s="6"/>
      <c r="AGZ83" s="6"/>
      <c r="AHA83" s="6"/>
      <c r="AHB83" s="6"/>
      <c r="AHC83" s="6"/>
      <c r="AHD83" s="6"/>
      <c r="AHE83" s="6"/>
      <c r="AHF83" s="6"/>
      <c r="AHG83" s="6"/>
      <c r="AHH83" s="6"/>
      <c r="AHI83" s="6"/>
      <c r="AHJ83" s="6"/>
      <c r="AHK83" s="6"/>
      <c r="AHL83" s="6"/>
      <c r="AHM83" s="6"/>
      <c r="AHN83" s="6"/>
      <c r="AHO83" s="6"/>
      <c r="AHP83" s="6"/>
      <c r="AHQ83" s="6"/>
      <c r="AHR83" s="6"/>
      <c r="AHS83" s="6"/>
      <c r="AHT83" s="6"/>
      <c r="AHU83" s="6"/>
      <c r="AHV83" s="6"/>
      <c r="AHW83" s="6"/>
      <c r="AHX83" s="6"/>
      <c r="AHY83" s="6"/>
      <c r="AHZ83" s="6"/>
      <c r="AIA83" s="6"/>
      <c r="AIB83" s="6"/>
      <c r="AIC83" s="6"/>
      <c r="AID83" s="6"/>
      <c r="AIE83" s="6"/>
      <c r="AIF83" s="6"/>
      <c r="AIG83" s="6"/>
      <c r="AIH83" s="6"/>
      <c r="AII83" s="6"/>
      <c r="AIJ83" s="6"/>
      <c r="AIK83" s="6"/>
      <c r="AIL83" s="6"/>
      <c r="AIM83" s="6"/>
      <c r="AIN83" s="6"/>
      <c r="AIO83" s="6"/>
      <c r="AIP83" s="6"/>
      <c r="AIQ83" s="6"/>
      <c r="AIR83" s="6"/>
      <c r="AIS83" s="6"/>
      <c r="AIT83" s="6"/>
      <c r="AIU83" s="6"/>
      <c r="AIV83" s="6"/>
      <c r="AIW83" s="6"/>
      <c r="AIX83" s="6"/>
      <c r="AIY83" s="6"/>
      <c r="AIZ83" s="6"/>
      <c r="AJA83" s="6"/>
      <c r="AJB83" s="6"/>
      <c r="AJC83" s="6"/>
      <c r="AJD83" s="6"/>
      <c r="AJE83" s="6"/>
      <c r="AJF83" s="6"/>
      <c r="AJG83" s="6"/>
      <c r="AJH83" s="6"/>
      <c r="AJI83" s="6"/>
      <c r="AJJ83" s="6"/>
      <c r="AJK83" s="6"/>
      <c r="AJL83" s="6"/>
      <c r="AJM83" s="6"/>
      <c r="AJN83" s="6"/>
      <c r="AJO83" s="6"/>
      <c r="AJP83" s="6"/>
      <c r="AJQ83" s="6"/>
      <c r="AJR83" s="6"/>
      <c r="AJS83" s="6"/>
      <c r="AJT83" s="6"/>
      <c r="AJU83" s="6"/>
      <c r="AJV83" s="6"/>
      <c r="AJW83" s="6"/>
      <c r="AJX83" s="6"/>
      <c r="AJY83" s="6"/>
      <c r="AJZ83" s="6"/>
      <c r="AKA83" s="6"/>
      <c r="AKB83" s="6"/>
      <c r="AKC83" s="6"/>
      <c r="AKD83" s="6"/>
      <c r="AKE83" s="6"/>
      <c r="AKF83" s="6"/>
      <c r="AKG83" s="6"/>
      <c r="AKH83" s="6"/>
      <c r="AKI83" s="6"/>
      <c r="AKJ83" s="6"/>
      <c r="AKK83" s="6"/>
      <c r="AKL83" s="6"/>
      <c r="AKM83" s="6"/>
      <c r="AKN83" s="6"/>
      <c r="AKO83" s="6"/>
      <c r="AKP83" s="6"/>
      <c r="AKQ83" s="6"/>
      <c r="AKR83" s="6"/>
      <c r="AKS83" s="6"/>
      <c r="AKT83" s="6"/>
      <c r="AKU83" s="6"/>
      <c r="AKV83" s="6"/>
      <c r="AKW83" s="6"/>
      <c r="AKX83" s="6"/>
      <c r="AKY83" s="6"/>
      <c r="AKZ83" s="6"/>
      <c r="ALA83" s="6"/>
      <c r="ALB83" s="6"/>
      <c r="ALC83" s="6"/>
      <c r="ALD83" s="6"/>
      <c r="ALE83" s="6"/>
      <c r="ALF83" s="6"/>
      <c r="ALG83" s="6"/>
      <c r="ALH83" s="6"/>
      <c r="ALI83" s="6"/>
      <c r="ALJ83" s="6"/>
      <c r="ALK83" s="6"/>
      <c r="ALL83" s="6"/>
      <c r="ALM83" s="6"/>
      <c r="ALN83" s="6"/>
      <c r="ALO83" s="6"/>
      <c r="ALP83" s="6"/>
      <c r="ALQ83" s="6"/>
      <c r="ALR83" s="6"/>
      <c r="ALS83" s="6"/>
      <c r="ALT83" s="6"/>
      <c r="ALU83" s="6"/>
      <c r="ALV83" s="6"/>
      <c r="ALW83" s="6"/>
      <c r="ALX83" s="6"/>
      <c r="ALY83" s="6"/>
      <c r="ALZ83" s="6"/>
      <c r="AMA83" s="6"/>
      <c r="AMB83" s="6"/>
      <c r="AMC83" s="6"/>
      <c r="AMD83" s="6"/>
      <c r="AME83" s="6"/>
      <c r="AMF83" s="6"/>
      <c r="AMG83" s="6"/>
      <c r="AMH83" s="6"/>
      <c r="AMI83" s="6"/>
      <c r="AMJ83" s="6"/>
      <c r="AMK83" s="6"/>
      <c r="AML83" s="6"/>
      <c r="AMM83" s="6"/>
      <c r="AMN83" s="6"/>
      <c r="AMO83" s="6"/>
      <c r="AMP83" s="6"/>
      <c r="AMQ83" s="6"/>
      <c r="AMR83" s="6"/>
      <c r="AMS83" s="6"/>
      <c r="AMT83" s="6"/>
      <c r="AMU83" s="6"/>
      <c r="AMV83" s="6"/>
      <c r="AMW83" s="6"/>
      <c r="AMX83" s="6"/>
      <c r="AMY83" s="6"/>
      <c r="AMZ83" s="6"/>
      <c r="ANA83" s="6"/>
      <c r="ANB83" s="6"/>
      <c r="ANC83" s="6"/>
      <c r="AND83" s="6"/>
      <c r="ANE83" s="6"/>
      <c r="ANF83" s="6"/>
      <c r="ANG83" s="6"/>
      <c r="ANH83" s="6"/>
      <c r="ANI83" s="6"/>
      <c r="ANJ83" s="6"/>
      <c r="ANK83" s="6"/>
      <c r="ANL83" s="6"/>
      <c r="ANM83" s="6"/>
      <c r="ANN83" s="6"/>
      <c r="ANO83" s="6"/>
      <c r="ANP83" s="6"/>
      <c r="ANQ83" s="6"/>
      <c r="ANR83" s="6"/>
      <c r="ANS83" s="6"/>
      <c r="ANT83" s="6"/>
      <c r="ANU83" s="6"/>
      <c r="ANV83" s="6"/>
      <c r="ANW83" s="6"/>
      <c r="ANX83" s="6"/>
      <c r="ANY83" s="6"/>
      <c r="ANZ83" s="6"/>
      <c r="AOA83" s="6"/>
      <c r="AOB83" s="6"/>
      <c r="AOC83" s="6"/>
      <c r="AOD83" s="6"/>
      <c r="AOE83" s="6"/>
      <c r="AOF83" s="6"/>
      <c r="AOG83" s="6"/>
      <c r="AOH83" s="6"/>
      <c r="AOI83" s="6"/>
      <c r="AOJ83" s="6"/>
      <c r="AOK83" s="6"/>
      <c r="AOL83" s="6"/>
      <c r="AOM83" s="6"/>
      <c r="AON83" s="6"/>
      <c r="AOO83" s="6"/>
      <c r="AOP83" s="6"/>
      <c r="AOQ83" s="6"/>
      <c r="AOR83" s="6"/>
      <c r="AOS83" s="6"/>
      <c r="AOT83" s="6"/>
      <c r="AOU83" s="6"/>
      <c r="AOV83" s="6"/>
      <c r="AOW83" s="6"/>
      <c r="AOX83" s="6"/>
      <c r="AOY83" s="6"/>
      <c r="AOZ83" s="6"/>
      <c r="APA83" s="6"/>
      <c r="APB83" s="6"/>
      <c r="APC83" s="6"/>
      <c r="APD83" s="6"/>
      <c r="APE83" s="6"/>
      <c r="APF83" s="6"/>
      <c r="APG83" s="6"/>
      <c r="APH83" s="6"/>
      <c r="API83" s="6"/>
      <c r="APJ83" s="6"/>
      <c r="APK83" s="6"/>
      <c r="APL83" s="6"/>
      <c r="APM83" s="6"/>
      <c r="APN83" s="6"/>
      <c r="APO83" s="6"/>
      <c r="APP83" s="6"/>
      <c r="APQ83" s="6"/>
      <c r="APR83" s="6"/>
      <c r="APS83" s="6"/>
      <c r="APT83" s="6"/>
      <c r="APU83" s="6"/>
      <c r="APV83" s="6"/>
      <c r="APW83" s="6"/>
      <c r="APX83" s="6"/>
      <c r="APY83" s="6"/>
      <c r="APZ83" s="6"/>
      <c r="AQA83" s="6"/>
      <c r="AQB83" s="6"/>
      <c r="AQC83" s="6"/>
      <c r="AQD83" s="6"/>
      <c r="AQE83" s="6"/>
      <c r="AQF83" s="6"/>
      <c r="AQG83" s="6"/>
      <c r="AQH83" s="6"/>
      <c r="AQI83" s="6"/>
      <c r="AQJ83" s="6"/>
      <c r="AQK83" s="6"/>
      <c r="AQL83" s="6"/>
      <c r="AQM83" s="6"/>
      <c r="AQN83" s="6"/>
      <c r="AQO83" s="6"/>
      <c r="AQP83" s="6"/>
      <c r="AQQ83" s="6"/>
      <c r="AQR83" s="6"/>
      <c r="AQS83" s="6"/>
      <c r="AQT83" s="6"/>
      <c r="AQU83" s="6"/>
      <c r="AQV83" s="6"/>
      <c r="AQW83" s="6"/>
      <c r="AQX83" s="6"/>
      <c r="AQY83" s="6"/>
      <c r="AQZ83" s="6"/>
      <c r="ARA83" s="6"/>
      <c r="ARB83" s="6"/>
      <c r="ARC83" s="6"/>
      <c r="ARD83" s="6"/>
      <c r="ARE83" s="6"/>
      <c r="ARF83" s="6"/>
      <c r="ARG83" s="6"/>
      <c r="ARH83" s="6"/>
      <c r="ARI83" s="6"/>
      <c r="ARJ83" s="6"/>
      <c r="ARK83" s="6"/>
      <c r="ARL83" s="6"/>
      <c r="ARM83" s="6"/>
      <c r="ARN83" s="6"/>
      <c r="ARO83" s="6"/>
      <c r="ARP83" s="6"/>
      <c r="ARQ83" s="6"/>
      <c r="ARR83" s="6"/>
      <c r="ARS83" s="6"/>
      <c r="ART83" s="6"/>
      <c r="ARU83" s="6"/>
      <c r="ARV83" s="6"/>
      <c r="ARW83" s="6"/>
      <c r="ARX83" s="6"/>
      <c r="ARY83" s="6"/>
      <c r="ARZ83" s="6"/>
      <c r="ASA83" s="6"/>
      <c r="ASB83" s="6"/>
      <c r="ASC83" s="6"/>
      <c r="ASD83" s="6"/>
      <c r="ASE83" s="6"/>
      <c r="ASF83" s="6"/>
      <c r="ASG83" s="6"/>
      <c r="ASH83" s="6"/>
      <c r="ASI83" s="6"/>
      <c r="ASJ83" s="6"/>
      <c r="ASK83" s="6"/>
      <c r="ASL83" s="6"/>
      <c r="ASM83" s="6"/>
      <c r="ASN83" s="6"/>
      <c r="ASO83" s="6"/>
      <c r="ASP83" s="6"/>
      <c r="ASQ83" s="6"/>
      <c r="ASR83" s="6"/>
      <c r="ASS83" s="6"/>
      <c r="AST83" s="6"/>
      <c r="ASU83" s="6"/>
      <c r="ASV83" s="6"/>
      <c r="ASW83" s="6"/>
      <c r="ASX83" s="6"/>
      <c r="ASY83" s="6"/>
      <c r="ASZ83" s="6"/>
      <c r="ATA83" s="6"/>
      <c r="ATB83" s="6"/>
      <c r="ATC83" s="6"/>
      <c r="ATD83" s="6"/>
      <c r="ATE83" s="6"/>
      <c r="ATF83" s="6"/>
      <c r="ATG83" s="6"/>
      <c r="ATH83" s="6"/>
      <c r="ATI83" s="6"/>
      <c r="ATJ83" s="6"/>
      <c r="ATK83" s="6"/>
      <c r="ATL83" s="6"/>
      <c r="ATM83" s="6"/>
      <c r="ATN83" s="6"/>
      <c r="ATO83" s="6"/>
      <c r="ATP83" s="6"/>
      <c r="ATQ83" s="6"/>
      <c r="ATR83" s="6"/>
      <c r="ATS83" s="6"/>
      <c r="ATT83" s="6"/>
      <c r="ATU83" s="6"/>
      <c r="ATV83" s="6"/>
      <c r="ATW83" s="6"/>
      <c r="ATX83" s="6"/>
      <c r="ATY83" s="6"/>
      <c r="ATZ83" s="6"/>
      <c r="AUA83" s="6"/>
      <c r="AUB83" s="6"/>
      <c r="AUC83" s="6"/>
      <c r="AUD83" s="6"/>
      <c r="AUE83" s="6"/>
      <c r="AUF83" s="6"/>
      <c r="AUG83" s="6"/>
      <c r="AUH83" s="6"/>
      <c r="AUI83" s="6"/>
      <c r="AUJ83" s="6"/>
      <c r="AUK83" s="6"/>
      <c r="AUL83" s="6"/>
      <c r="AUM83" s="6"/>
      <c r="AUN83" s="6"/>
      <c r="AUO83" s="6"/>
      <c r="AUP83" s="6"/>
      <c r="AUQ83" s="6"/>
      <c r="AUR83" s="6"/>
      <c r="AUS83" s="6"/>
      <c r="AUT83" s="6"/>
      <c r="AUU83" s="6"/>
      <c r="AUV83" s="6"/>
      <c r="AUW83" s="6"/>
      <c r="AUX83" s="6"/>
      <c r="AUY83" s="6"/>
      <c r="AUZ83" s="6"/>
      <c r="AVA83" s="6"/>
      <c r="AVB83" s="6"/>
      <c r="AVC83" s="6"/>
      <c r="AVD83" s="6"/>
      <c r="AVE83" s="6"/>
      <c r="AVF83" s="6"/>
      <c r="AVG83" s="6"/>
      <c r="AVH83" s="6"/>
      <c r="AVI83" s="6"/>
      <c r="AVJ83" s="6"/>
      <c r="AVK83" s="6"/>
      <c r="AVL83" s="6"/>
      <c r="AVM83" s="6"/>
      <c r="AVN83" s="6"/>
      <c r="AVO83" s="6"/>
      <c r="AVP83" s="6"/>
      <c r="AVQ83" s="6"/>
      <c r="AVR83" s="6"/>
      <c r="AVS83" s="6"/>
      <c r="AVT83" s="6"/>
      <c r="AVU83" s="6"/>
      <c r="AVV83" s="6"/>
      <c r="AVW83" s="6"/>
      <c r="AVX83" s="6"/>
      <c r="AVY83" s="6"/>
      <c r="AVZ83" s="6"/>
      <c r="AWA83" s="6"/>
      <c r="AWB83" s="6"/>
      <c r="AWC83" s="6"/>
      <c r="AWD83" s="6"/>
      <c r="AWE83" s="6"/>
      <c r="AWF83" s="6"/>
      <c r="AWG83" s="6"/>
      <c r="AWH83" s="6"/>
      <c r="AWI83" s="6"/>
      <c r="AWJ83" s="6"/>
      <c r="AWK83" s="6"/>
      <c r="AWL83" s="6"/>
      <c r="AWM83" s="6"/>
      <c r="AWN83" s="6"/>
      <c r="AWO83" s="6"/>
      <c r="AWP83" s="6"/>
      <c r="AWQ83" s="6"/>
      <c r="AWR83" s="6"/>
      <c r="AWS83" s="6"/>
      <c r="AWT83" s="6"/>
      <c r="AWU83" s="6"/>
      <c r="AWV83" s="6"/>
      <c r="AWW83" s="6"/>
      <c r="AWX83" s="6"/>
      <c r="AWY83" s="6"/>
      <c r="AWZ83" s="6"/>
      <c r="AXA83" s="6"/>
      <c r="AXB83" s="6"/>
      <c r="AXC83" s="6"/>
      <c r="AXD83" s="6"/>
      <c r="AXE83" s="6"/>
      <c r="AXF83" s="6"/>
      <c r="AXG83" s="6"/>
      <c r="AXH83" s="6"/>
      <c r="AXI83" s="6"/>
      <c r="AXJ83" s="6"/>
      <c r="AXK83" s="6"/>
      <c r="AXL83" s="6"/>
      <c r="AXM83" s="6"/>
      <c r="AXN83" s="6"/>
      <c r="AXO83" s="6"/>
      <c r="AXP83" s="6"/>
      <c r="AXQ83" s="6"/>
      <c r="AXR83" s="6"/>
      <c r="AXS83" s="6"/>
      <c r="AXT83" s="6"/>
      <c r="AXU83" s="6"/>
      <c r="AXV83" s="6"/>
      <c r="AXW83" s="6"/>
      <c r="AXX83" s="6"/>
      <c r="AXY83" s="6"/>
      <c r="AXZ83" s="6"/>
      <c r="AYA83" s="6"/>
      <c r="AYB83" s="6"/>
      <c r="AYC83" s="6"/>
      <c r="AYD83" s="6"/>
      <c r="AYE83" s="6"/>
      <c r="AYF83" s="6"/>
      <c r="AYG83" s="6"/>
      <c r="AYH83" s="6"/>
      <c r="AYI83" s="6"/>
      <c r="AYJ83" s="6"/>
      <c r="AYK83" s="6"/>
      <c r="AYL83" s="6"/>
      <c r="AYM83" s="6"/>
      <c r="AYN83" s="6"/>
      <c r="AYO83" s="6"/>
      <c r="AYP83" s="6"/>
      <c r="AYQ83" s="6"/>
      <c r="AYR83" s="6"/>
      <c r="AYS83" s="6"/>
      <c r="AYT83" s="6"/>
      <c r="AYU83" s="6"/>
      <c r="AYV83" s="6"/>
      <c r="AYW83" s="6"/>
      <c r="AYX83" s="6"/>
      <c r="AYY83" s="6"/>
      <c r="AYZ83" s="6"/>
      <c r="AZA83" s="6"/>
      <c r="AZB83" s="6"/>
      <c r="AZC83" s="6"/>
      <c r="AZD83" s="6"/>
      <c r="AZE83" s="6"/>
      <c r="AZF83" s="6"/>
      <c r="AZG83" s="6"/>
      <c r="AZH83" s="6"/>
      <c r="AZI83" s="6"/>
      <c r="AZJ83" s="6"/>
      <c r="AZK83" s="6"/>
      <c r="AZL83" s="6"/>
      <c r="AZM83" s="6"/>
      <c r="AZN83" s="6"/>
      <c r="AZO83" s="6"/>
      <c r="AZP83" s="6"/>
      <c r="AZQ83" s="6"/>
      <c r="AZR83" s="6"/>
      <c r="AZS83" s="6"/>
      <c r="AZT83" s="6"/>
      <c r="AZU83" s="6"/>
      <c r="AZV83" s="6"/>
      <c r="AZW83" s="6"/>
      <c r="AZX83" s="6"/>
      <c r="AZY83" s="6"/>
      <c r="AZZ83" s="6"/>
      <c r="BAA83" s="6"/>
      <c r="BAB83" s="6"/>
      <c r="BAC83" s="6"/>
      <c r="BAD83" s="6"/>
      <c r="BAE83" s="6"/>
      <c r="BAF83" s="6"/>
      <c r="BAG83" s="6"/>
      <c r="BAH83" s="6"/>
      <c r="BAI83" s="6"/>
      <c r="BAJ83" s="6"/>
      <c r="BAK83" s="6"/>
      <c r="BAL83" s="6"/>
      <c r="BAM83" s="6"/>
      <c r="BAN83" s="6"/>
      <c r="BAO83" s="6"/>
      <c r="BAP83" s="6"/>
      <c r="BAQ83" s="6"/>
      <c r="BAR83" s="6"/>
      <c r="BAS83" s="6"/>
      <c r="BAT83" s="6"/>
      <c r="BAU83" s="6"/>
      <c r="BAV83" s="6"/>
      <c r="BAW83" s="6"/>
      <c r="BAX83" s="6"/>
      <c r="BAY83" s="6"/>
      <c r="BAZ83" s="6"/>
      <c r="BBA83" s="6"/>
      <c r="BBB83" s="6"/>
      <c r="BBC83" s="6"/>
      <c r="BBD83" s="6"/>
      <c r="BBE83" s="6"/>
      <c r="BBF83" s="6"/>
      <c r="BBG83" s="6"/>
      <c r="BBH83" s="6"/>
      <c r="BBI83" s="6"/>
      <c r="BBJ83" s="6"/>
      <c r="BBK83" s="6"/>
      <c r="BBL83" s="6"/>
      <c r="BBM83" s="6"/>
      <c r="BBN83" s="6"/>
      <c r="BBO83" s="6"/>
      <c r="BBP83" s="6"/>
      <c r="BBQ83" s="6"/>
      <c r="BBR83" s="6"/>
      <c r="BBS83" s="6"/>
      <c r="BBT83" s="6"/>
      <c r="BBU83" s="6"/>
      <c r="BBV83" s="6"/>
      <c r="BBW83" s="6"/>
      <c r="BBX83" s="6"/>
      <c r="BBY83" s="6"/>
      <c r="BBZ83" s="6"/>
      <c r="BCA83" s="6"/>
      <c r="BCB83" s="6"/>
      <c r="BCC83" s="6"/>
      <c r="BCD83" s="6"/>
      <c r="BCE83" s="6"/>
      <c r="BCF83" s="6"/>
      <c r="BCG83" s="6"/>
      <c r="BCH83" s="6"/>
      <c r="BCI83" s="6"/>
      <c r="BCJ83" s="6"/>
      <c r="BCK83" s="6"/>
      <c r="BCL83" s="6"/>
      <c r="BCM83" s="6"/>
      <c r="BCN83" s="6"/>
      <c r="BCO83" s="6"/>
      <c r="BCP83" s="6"/>
      <c r="BCQ83" s="6"/>
      <c r="BCR83" s="6"/>
      <c r="BCS83" s="6"/>
      <c r="BCT83" s="6"/>
      <c r="BCU83" s="6"/>
      <c r="BCV83" s="6"/>
      <c r="BCW83" s="6"/>
      <c r="BCX83" s="6"/>
      <c r="BCY83" s="6"/>
      <c r="BCZ83" s="6"/>
      <c r="BDA83" s="6"/>
      <c r="BDB83" s="6"/>
      <c r="BDC83" s="6"/>
      <c r="BDD83" s="6"/>
      <c r="BDE83" s="6"/>
      <c r="BDF83" s="6"/>
      <c r="BDG83" s="6"/>
      <c r="BDH83" s="6"/>
      <c r="BDI83" s="6"/>
      <c r="BDJ83" s="6"/>
      <c r="BDK83" s="6"/>
      <c r="BDL83" s="6"/>
      <c r="BDM83" s="6"/>
      <c r="BDN83" s="6"/>
      <c r="BDO83" s="6"/>
      <c r="BDP83" s="6"/>
      <c r="BDQ83" s="6"/>
      <c r="BDR83" s="6"/>
      <c r="BDS83" s="6"/>
      <c r="BDT83" s="6"/>
      <c r="BDU83" s="6"/>
      <c r="BDV83" s="6"/>
      <c r="BDW83" s="6"/>
      <c r="BDX83" s="6"/>
      <c r="BDY83" s="6"/>
      <c r="BDZ83" s="6"/>
      <c r="BEA83" s="6"/>
      <c r="BEB83" s="6"/>
      <c r="BEC83" s="6"/>
      <c r="BED83" s="6"/>
      <c r="BEE83" s="6"/>
      <c r="BEF83" s="6"/>
      <c r="BEG83" s="6"/>
      <c r="BEH83" s="6"/>
      <c r="BEI83" s="6"/>
      <c r="BEJ83" s="6"/>
      <c r="BEK83" s="6"/>
      <c r="BEL83" s="6"/>
      <c r="BEM83" s="6"/>
      <c r="BEN83" s="6"/>
      <c r="BEO83" s="6"/>
      <c r="BEP83" s="6"/>
      <c r="BEQ83" s="6"/>
      <c r="BER83" s="6"/>
      <c r="BES83" s="6"/>
      <c r="BET83" s="6"/>
      <c r="BEU83" s="6"/>
      <c r="BEV83" s="6"/>
      <c r="BEW83" s="6"/>
      <c r="BEX83" s="6"/>
      <c r="BEY83" s="6"/>
      <c r="BEZ83" s="6"/>
      <c r="BFA83" s="6"/>
      <c r="BFB83" s="6"/>
      <c r="BFC83" s="6"/>
      <c r="BFD83" s="6"/>
      <c r="BFE83" s="6"/>
      <c r="BFF83" s="6"/>
      <c r="BFG83" s="6"/>
      <c r="BFH83" s="6"/>
      <c r="BFI83" s="6"/>
      <c r="BFJ83" s="6"/>
      <c r="BFK83" s="6"/>
      <c r="BFL83" s="6"/>
      <c r="BFM83" s="6"/>
      <c r="BFN83" s="6"/>
      <c r="BFO83" s="6"/>
      <c r="BFP83" s="6"/>
      <c r="BFQ83" s="6"/>
      <c r="BFR83" s="6"/>
      <c r="BFS83" s="6"/>
      <c r="BFT83" s="6"/>
      <c r="BFU83" s="6"/>
      <c r="BFV83" s="6"/>
      <c r="BFW83" s="6"/>
      <c r="BFX83" s="6"/>
      <c r="BFY83" s="6"/>
      <c r="BFZ83" s="6"/>
      <c r="BGA83" s="6"/>
      <c r="BGB83" s="6"/>
      <c r="BGC83" s="6"/>
      <c r="BGD83" s="6"/>
      <c r="BGE83" s="6"/>
      <c r="BGF83" s="6"/>
      <c r="BGG83" s="6"/>
      <c r="BGH83" s="6"/>
      <c r="BGI83" s="6"/>
      <c r="BGJ83" s="6"/>
      <c r="BGK83" s="6"/>
      <c r="BGL83" s="6"/>
      <c r="BGM83" s="6"/>
      <c r="BGN83" s="6"/>
      <c r="BGO83" s="6"/>
      <c r="BGP83" s="6"/>
      <c r="BGQ83" s="6"/>
      <c r="BGR83" s="6"/>
      <c r="BGS83" s="6"/>
      <c r="BGT83" s="6"/>
      <c r="BGU83" s="6"/>
      <c r="BGV83" s="6"/>
      <c r="BGW83" s="6"/>
      <c r="BGX83" s="6"/>
      <c r="BGY83" s="6"/>
      <c r="BGZ83" s="6"/>
      <c r="BHA83" s="6"/>
      <c r="BHB83" s="6"/>
      <c r="BHC83" s="6"/>
      <c r="BHD83" s="6"/>
      <c r="BHE83" s="6"/>
      <c r="BHF83" s="6"/>
      <c r="BHG83" s="6"/>
      <c r="BHH83" s="6"/>
      <c r="BHI83" s="6"/>
      <c r="BHJ83" s="6"/>
      <c r="BHK83" s="6"/>
      <c r="BHL83" s="6"/>
      <c r="BHM83" s="6"/>
      <c r="BHN83" s="6"/>
      <c r="BHO83" s="6"/>
      <c r="BHP83" s="6"/>
      <c r="BHQ83" s="6"/>
      <c r="BHR83" s="6"/>
      <c r="BHS83" s="6"/>
      <c r="BHT83" s="6"/>
      <c r="BHU83" s="6"/>
      <c r="BHV83" s="6"/>
      <c r="BHW83" s="6"/>
      <c r="BHX83" s="6"/>
      <c r="BHY83" s="6"/>
      <c r="BHZ83" s="6"/>
      <c r="BIA83" s="6"/>
      <c r="BIB83" s="6"/>
      <c r="BIC83" s="6"/>
      <c r="BID83" s="6"/>
      <c r="BIE83" s="6"/>
      <c r="BIF83" s="6"/>
      <c r="BIG83" s="6"/>
      <c r="BIH83" s="6"/>
      <c r="BII83" s="6"/>
      <c r="BIJ83" s="6"/>
      <c r="BIK83" s="6"/>
      <c r="BIL83" s="6"/>
      <c r="BIM83" s="6"/>
      <c r="BIN83" s="6"/>
      <c r="BIO83" s="6"/>
      <c r="BIP83" s="6"/>
      <c r="BIQ83" s="6"/>
      <c r="BIR83" s="6"/>
      <c r="BIS83" s="6"/>
      <c r="BIT83" s="6"/>
      <c r="BIU83" s="6"/>
      <c r="BIV83" s="6"/>
      <c r="BIW83" s="6"/>
      <c r="BIX83" s="6"/>
      <c r="BIY83" s="6"/>
      <c r="BIZ83" s="6"/>
      <c r="BJA83" s="6"/>
      <c r="BJB83" s="6"/>
      <c r="BJC83" s="6"/>
      <c r="BJD83" s="6"/>
      <c r="BJE83" s="6"/>
      <c r="BJF83" s="6"/>
      <c r="BJG83" s="6"/>
      <c r="BJH83" s="6"/>
      <c r="BJI83" s="6"/>
      <c r="BJJ83" s="6"/>
      <c r="BJK83" s="6"/>
      <c r="BJL83" s="6"/>
      <c r="BJM83" s="6"/>
      <c r="BJN83" s="6"/>
      <c r="BJO83" s="6"/>
      <c r="BJP83" s="6"/>
      <c r="BJQ83" s="6"/>
      <c r="BJR83" s="6"/>
      <c r="BJS83" s="6"/>
      <c r="BJT83" s="6"/>
      <c r="BJU83" s="6"/>
      <c r="BJV83" s="6"/>
      <c r="BJW83" s="6"/>
      <c r="BJX83" s="6"/>
      <c r="BJY83" s="6"/>
      <c r="BJZ83" s="6"/>
      <c r="BKA83" s="6"/>
      <c r="BKB83" s="6"/>
      <c r="BKC83" s="6"/>
      <c r="BKD83" s="6"/>
      <c r="BKE83" s="6"/>
      <c r="BKF83" s="6"/>
      <c r="BKG83" s="6"/>
      <c r="BKH83" s="6"/>
      <c r="BKI83" s="6"/>
      <c r="BKJ83" s="6"/>
      <c r="BKK83" s="6"/>
      <c r="BKL83" s="6"/>
      <c r="BKM83" s="6"/>
      <c r="BKN83" s="6"/>
      <c r="BKO83" s="6"/>
      <c r="BKP83" s="6"/>
      <c r="BKQ83" s="6"/>
      <c r="BKR83" s="6"/>
      <c r="BKS83" s="6"/>
      <c r="BKT83" s="6"/>
      <c r="BKU83" s="6"/>
      <c r="BKV83" s="6"/>
      <c r="BKW83" s="6"/>
      <c r="BKX83" s="6"/>
      <c r="BKY83" s="6"/>
      <c r="BKZ83" s="6"/>
      <c r="BLA83" s="6"/>
      <c r="BLB83" s="6"/>
      <c r="BLC83" s="6"/>
      <c r="BLD83" s="6"/>
      <c r="BLE83" s="6"/>
      <c r="BLF83" s="6"/>
      <c r="BLG83" s="6"/>
      <c r="BLH83" s="6"/>
      <c r="BLI83" s="6"/>
      <c r="BLJ83" s="6"/>
      <c r="BLK83" s="6"/>
      <c r="BLL83" s="6"/>
      <c r="BLM83" s="6"/>
      <c r="BLN83" s="6"/>
      <c r="BLO83" s="6"/>
      <c r="BLP83" s="6"/>
      <c r="BLQ83" s="6"/>
      <c r="BLR83" s="6"/>
      <c r="BLS83" s="6"/>
      <c r="BLT83" s="6"/>
      <c r="BLU83" s="6"/>
      <c r="BLV83" s="6"/>
      <c r="BLW83" s="6"/>
      <c r="BLX83" s="6"/>
      <c r="BLY83" s="6"/>
      <c r="BLZ83" s="6"/>
      <c r="BMA83" s="6"/>
      <c r="BMB83" s="6"/>
      <c r="BMC83" s="6"/>
      <c r="BMD83" s="6"/>
      <c r="BME83" s="6"/>
      <c r="BMF83" s="6"/>
      <c r="BMG83" s="6"/>
      <c r="BMH83" s="6"/>
      <c r="BMI83" s="6"/>
      <c r="BMJ83" s="6"/>
      <c r="BMK83" s="6"/>
      <c r="BML83" s="6"/>
      <c r="BMM83" s="6"/>
      <c r="BMN83" s="6"/>
      <c r="BMO83" s="6"/>
      <c r="BMP83" s="6"/>
      <c r="BMQ83" s="6"/>
      <c r="BMR83" s="6"/>
      <c r="BMS83" s="6"/>
      <c r="BMT83" s="6"/>
      <c r="BMU83" s="6"/>
      <c r="BMV83" s="6"/>
      <c r="BMW83" s="6"/>
      <c r="BMX83" s="6"/>
      <c r="BMY83" s="6"/>
      <c r="BMZ83" s="6"/>
      <c r="BNA83" s="6"/>
      <c r="BNB83" s="6"/>
      <c r="BNC83" s="6"/>
      <c r="BND83" s="6"/>
      <c r="BNE83" s="6"/>
      <c r="BNF83" s="6"/>
      <c r="BNG83" s="6"/>
      <c r="BNH83" s="6"/>
      <c r="BNI83" s="6"/>
      <c r="BNJ83" s="6"/>
      <c r="BNK83" s="6"/>
      <c r="BNL83" s="6"/>
      <c r="BNM83" s="6"/>
      <c r="BNN83" s="6"/>
      <c r="BNO83" s="6"/>
      <c r="BNP83" s="6"/>
      <c r="BNQ83" s="6"/>
      <c r="BNR83" s="6"/>
      <c r="BNS83" s="6"/>
      <c r="BNT83" s="6"/>
      <c r="BNU83" s="6"/>
      <c r="BNV83" s="6"/>
      <c r="BNW83" s="6"/>
      <c r="BNX83" s="6"/>
      <c r="BNY83" s="6"/>
      <c r="BNZ83" s="6"/>
      <c r="BOA83" s="6"/>
      <c r="BOB83" s="6"/>
      <c r="BOC83" s="6"/>
      <c r="BOD83" s="6"/>
      <c r="BOE83" s="6"/>
      <c r="BOF83" s="6"/>
      <c r="BOG83" s="6"/>
      <c r="BOH83" s="6"/>
      <c r="BOI83" s="6"/>
      <c r="BOJ83" s="6"/>
      <c r="BOK83" s="6"/>
      <c r="BOL83" s="6"/>
      <c r="BOM83" s="6"/>
      <c r="BON83" s="6"/>
      <c r="BOO83" s="6"/>
      <c r="BOP83" s="6"/>
      <c r="BOQ83" s="6"/>
      <c r="BOR83" s="6"/>
      <c r="BOS83" s="6"/>
      <c r="BOT83" s="6"/>
      <c r="BOU83" s="6"/>
      <c r="BOV83" s="6"/>
      <c r="BOW83" s="6"/>
      <c r="BOX83" s="6"/>
      <c r="BOY83" s="6"/>
      <c r="BOZ83" s="6"/>
      <c r="BPA83" s="6"/>
      <c r="BPB83" s="6"/>
      <c r="BPC83" s="6"/>
      <c r="BPD83" s="6"/>
      <c r="BPE83" s="6"/>
      <c r="BPF83" s="6"/>
      <c r="BPG83" s="6"/>
      <c r="BPH83" s="6"/>
      <c r="BPI83" s="6"/>
      <c r="BPJ83" s="6"/>
      <c r="BPK83" s="6"/>
      <c r="BPL83" s="6"/>
      <c r="BPM83" s="6"/>
      <c r="BPN83" s="6"/>
      <c r="BPO83" s="6"/>
      <c r="BPP83" s="6"/>
      <c r="BPQ83" s="6"/>
      <c r="BPR83" s="6"/>
      <c r="BPS83" s="6"/>
      <c r="BPT83" s="6"/>
      <c r="BPU83" s="6"/>
      <c r="BPV83" s="6"/>
      <c r="BPW83" s="6"/>
      <c r="BPX83" s="6"/>
      <c r="BPY83" s="6"/>
      <c r="BPZ83" s="6"/>
      <c r="BQA83" s="6"/>
      <c r="BQB83" s="6"/>
      <c r="BQC83" s="6"/>
      <c r="BQD83" s="6"/>
      <c r="BQE83" s="6"/>
      <c r="BQF83" s="6"/>
      <c r="BQG83" s="6"/>
      <c r="BQH83" s="6"/>
      <c r="BQI83" s="6"/>
      <c r="BQJ83" s="6"/>
      <c r="BQK83" s="6"/>
      <c r="BQL83" s="6"/>
      <c r="BQM83" s="6"/>
      <c r="BQN83" s="6"/>
      <c r="BQO83" s="6"/>
      <c r="BQP83" s="6"/>
      <c r="BQQ83" s="6"/>
      <c r="BQR83" s="6"/>
      <c r="BQS83" s="6"/>
      <c r="BQT83" s="6"/>
      <c r="BQU83" s="6"/>
      <c r="BQV83" s="6"/>
      <c r="BQW83" s="6"/>
      <c r="BQX83" s="6"/>
      <c r="BQY83" s="6"/>
      <c r="BQZ83" s="6"/>
      <c r="BRA83" s="6"/>
      <c r="BRB83" s="6"/>
      <c r="BRC83" s="6"/>
      <c r="BRD83" s="6"/>
      <c r="BRE83" s="6"/>
      <c r="BRF83" s="6"/>
      <c r="BRG83" s="6"/>
      <c r="BRH83" s="6"/>
      <c r="BRI83" s="6"/>
      <c r="BRJ83" s="6"/>
      <c r="BRK83" s="6"/>
      <c r="BRL83" s="6"/>
      <c r="BRM83" s="6"/>
      <c r="BRN83" s="6"/>
      <c r="BRO83" s="6"/>
      <c r="BRP83" s="6"/>
      <c r="BRQ83" s="6"/>
      <c r="BRR83" s="6"/>
      <c r="BRS83" s="6"/>
      <c r="BRT83" s="6"/>
      <c r="BRU83" s="6"/>
      <c r="BRV83" s="6"/>
      <c r="BRW83" s="6"/>
      <c r="BRX83" s="6"/>
      <c r="BRY83" s="6"/>
      <c r="BRZ83" s="6"/>
      <c r="BSA83" s="6"/>
      <c r="BSB83" s="6"/>
      <c r="BSC83" s="6"/>
      <c r="BSD83" s="6"/>
      <c r="BSE83" s="6"/>
      <c r="BSF83" s="6"/>
      <c r="BSG83" s="6"/>
      <c r="BSH83" s="6"/>
      <c r="BSI83" s="6"/>
      <c r="BSJ83" s="6"/>
      <c r="BSK83" s="6"/>
      <c r="BSL83" s="6"/>
      <c r="BSM83" s="6"/>
      <c r="BSN83" s="6"/>
      <c r="BSO83" s="6"/>
      <c r="BSP83" s="6"/>
      <c r="BSQ83" s="6"/>
      <c r="BSR83" s="6"/>
      <c r="BSS83" s="6"/>
      <c r="BST83" s="6"/>
      <c r="BSU83" s="6"/>
      <c r="BSV83" s="6"/>
      <c r="BSW83" s="6"/>
      <c r="BSX83" s="6"/>
      <c r="BSY83" s="6"/>
      <c r="BSZ83" s="6"/>
      <c r="BTA83" s="6"/>
      <c r="BTB83" s="6"/>
      <c r="BTC83" s="6"/>
      <c r="BTD83" s="6"/>
      <c r="BTE83" s="6"/>
      <c r="BTF83" s="6"/>
      <c r="BTG83" s="6"/>
      <c r="BTH83" s="6"/>
      <c r="BTI83" s="6"/>
      <c r="BTJ83" s="6"/>
      <c r="BTK83" s="6"/>
      <c r="BTL83" s="6"/>
      <c r="BTM83" s="6"/>
      <c r="BTN83" s="6"/>
      <c r="BTO83" s="6"/>
      <c r="BTP83" s="6"/>
      <c r="BTQ83" s="6"/>
      <c r="BTR83" s="6"/>
      <c r="BTS83" s="6"/>
      <c r="BTT83" s="6"/>
      <c r="BTU83" s="6"/>
      <c r="BTV83" s="6"/>
      <c r="BTW83" s="6"/>
      <c r="BTX83" s="6"/>
      <c r="BTY83" s="6"/>
      <c r="BTZ83" s="6"/>
      <c r="BUA83" s="6"/>
      <c r="BUB83" s="6"/>
      <c r="BUC83" s="6"/>
      <c r="BUD83" s="6"/>
      <c r="BUE83" s="6"/>
      <c r="BUF83" s="6"/>
      <c r="BUG83" s="6"/>
      <c r="BUH83" s="6"/>
      <c r="BUI83" s="6"/>
      <c r="BUJ83" s="6"/>
      <c r="BUK83" s="6"/>
      <c r="BUL83" s="6"/>
      <c r="BUM83" s="6"/>
      <c r="BUN83" s="6"/>
      <c r="BUO83" s="6"/>
      <c r="BUP83" s="6"/>
      <c r="BUQ83" s="6"/>
      <c r="BUR83" s="6"/>
      <c r="BUS83" s="6"/>
      <c r="BUT83" s="6"/>
      <c r="BUU83" s="6"/>
      <c r="BUV83" s="6"/>
      <c r="BUW83" s="6"/>
      <c r="BUX83" s="6"/>
      <c r="BUY83" s="6"/>
      <c r="BUZ83" s="6"/>
      <c r="BVA83" s="6"/>
      <c r="BVB83" s="6"/>
      <c r="BVC83" s="6"/>
      <c r="BVD83" s="6"/>
      <c r="BVE83" s="6"/>
      <c r="BVF83" s="6"/>
      <c r="BVG83" s="6"/>
      <c r="BVH83" s="6"/>
      <c r="BVI83" s="6"/>
      <c r="BVJ83" s="6"/>
      <c r="BVK83" s="6"/>
      <c r="BVL83" s="6"/>
      <c r="BVM83" s="6"/>
      <c r="BVN83" s="6"/>
      <c r="BVO83" s="6"/>
      <c r="BVP83" s="6"/>
      <c r="BVQ83" s="6"/>
      <c r="BVR83" s="6"/>
      <c r="BVS83" s="6"/>
      <c r="BVT83" s="6"/>
      <c r="BVU83" s="6"/>
      <c r="BVV83" s="6"/>
      <c r="BVW83" s="6"/>
      <c r="BVX83" s="6"/>
      <c r="BVY83" s="6"/>
      <c r="BVZ83" s="6"/>
      <c r="BWA83" s="6"/>
      <c r="BWB83" s="6"/>
      <c r="BWC83" s="6"/>
      <c r="BWD83" s="6"/>
      <c r="BWE83" s="6"/>
      <c r="BWF83" s="6"/>
      <c r="BWG83" s="6"/>
      <c r="BWH83" s="6"/>
      <c r="BWI83" s="6"/>
      <c r="BWJ83" s="6"/>
      <c r="BWK83" s="6"/>
      <c r="BWL83" s="6"/>
      <c r="BWM83" s="6"/>
      <c r="BWN83" s="6"/>
      <c r="BWO83" s="6"/>
      <c r="BWP83" s="6"/>
      <c r="BWQ83" s="6"/>
      <c r="BWR83" s="6"/>
      <c r="BWS83" s="6"/>
      <c r="BWT83" s="6"/>
      <c r="BWU83" s="6"/>
      <c r="BWV83" s="6"/>
      <c r="BWW83" s="6"/>
      <c r="BWX83" s="6"/>
      <c r="BWY83" s="6"/>
      <c r="BWZ83" s="6"/>
      <c r="BXA83" s="6"/>
      <c r="BXB83" s="6"/>
      <c r="BXC83" s="6"/>
      <c r="BXD83" s="6"/>
      <c r="BXE83" s="6"/>
      <c r="BXF83" s="6"/>
      <c r="BXG83" s="6"/>
      <c r="BXH83" s="6"/>
      <c r="BXI83" s="6"/>
      <c r="BXJ83" s="6"/>
      <c r="BXK83" s="6"/>
      <c r="BXL83" s="6"/>
      <c r="BXM83" s="6"/>
      <c r="BXN83" s="6"/>
      <c r="BXO83" s="6"/>
      <c r="BXP83" s="6"/>
      <c r="BXQ83" s="6"/>
      <c r="BXR83" s="6"/>
      <c r="BXS83" s="6"/>
      <c r="BXT83" s="6"/>
      <c r="BXU83" s="6"/>
      <c r="BXV83" s="6"/>
      <c r="BXW83" s="6"/>
      <c r="BXX83" s="6"/>
      <c r="BXY83" s="6"/>
      <c r="BXZ83" s="6"/>
      <c r="BYA83" s="6"/>
      <c r="BYB83" s="6"/>
      <c r="BYC83" s="6"/>
      <c r="BYD83" s="6"/>
      <c r="BYE83" s="6"/>
      <c r="BYF83" s="6"/>
      <c r="BYG83" s="6"/>
      <c r="BYH83" s="6"/>
      <c r="BYI83" s="6"/>
      <c r="BYJ83" s="6"/>
      <c r="BYK83" s="6"/>
      <c r="BYL83" s="6"/>
      <c r="BYM83" s="6"/>
      <c r="BYN83" s="6"/>
      <c r="BYO83" s="6"/>
      <c r="BYP83" s="6"/>
      <c r="BYQ83" s="6"/>
      <c r="BYR83" s="6"/>
      <c r="BYS83" s="6"/>
      <c r="BYT83" s="6"/>
      <c r="BYU83" s="6"/>
      <c r="BYV83" s="6"/>
      <c r="BYW83" s="6"/>
      <c r="BYX83" s="6"/>
      <c r="BYY83" s="6"/>
      <c r="BYZ83" s="6"/>
      <c r="BZA83" s="6"/>
      <c r="BZB83" s="6"/>
      <c r="BZC83" s="6"/>
      <c r="BZD83" s="6"/>
      <c r="BZE83" s="6"/>
      <c r="BZF83" s="6"/>
      <c r="BZG83" s="6"/>
      <c r="BZH83" s="6"/>
      <c r="BZI83" s="6"/>
      <c r="BZJ83" s="6"/>
      <c r="BZK83" s="6"/>
      <c r="BZL83" s="6"/>
      <c r="BZM83" s="6"/>
      <c r="BZN83" s="6"/>
      <c r="BZO83" s="6"/>
      <c r="BZP83" s="6"/>
      <c r="BZQ83" s="6"/>
      <c r="BZR83" s="6"/>
      <c r="BZS83" s="6"/>
      <c r="BZT83" s="6"/>
      <c r="BZU83" s="6"/>
      <c r="BZV83" s="6"/>
      <c r="BZW83" s="6"/>
      <c r="BZX83" s="6"/>
      <c r="BZY83" s="6"/>
      <c r="BZZ83" s="6"/>
      <c r="CAA83" s="6"/>
      <c r="CAB83" s="6"/>
      <c r="CAC83" s="6"/>
      <c r="CAD83" s="6"/>
      <c r="CAE83" s="6"/>
      <c r="CAF83" s="6"/>
      <c r="CAG83" s="6"/>
      <c r="CAH83" s="6"/>
      <c r="CAI83" s="6"/>
      <c r="CAJ83" s="6"/>
      <c r="CAK83" s="6"/>
      <c r="CAL83" s="6"/>
      <c r="CAM83" s="6"/>
      <c r="CAN83" s="6"/>
      <c r="CAO83" s="6"/>
      <c r="CAP83" s="6"/>
      <c r="CAQ83" s="6"/>
      <c r="CAR83" s="6"/>
      <c r="CAS83" s="6"/>
      <c r="CAT83" s="6"/>
      <c r="CAU83" s="6"/>
      <c r="CAV83" s="6"/>
      <c r="CAW83" s="6"/>
      <c r="CAX83" s="6"/>
      <c r="CAY83" s="6"/>
      <c r="CAZ83" s="6"/>
      <c r="CBA83" s="6"/>
      <c r="CBB83" s="6"/>
      <c r="CBC83" s="6"/>
      <c r="CBD83" s="6"/>
      <c r="CBE83" s="6"/>
      <c r="CBF83" s="6"/>
      <c r="CBG83" s="6"/>
      <c r="CBH83" s="6"/>
      <c r="CBI83" s="6"/>
      <c r="CBJ83" s="6"/>
      <c r="CBK83" s="6"/>
      <c r="CBL83" s="6"/>
      <c r="CBM83" s="6"/>
      <c r="CBN83" s="6"/>
      <c r="CBO83" s="6"/>
      <c r="CBP83" s="6"/>
      <c r="CBQ83" s="6"/>
      <c r="CBR83" s="6"/>
      <c r="CBS83" s="6"/>
      <c r="CBT83" s="6"/>
      <c r="CBU83" s="6"/>
      <c r="CBV83" s="6"/>
      <c r="CBW83" s="6"/>
      <c r="CBX83" s="6"/>
      <c r="CBY83" s="6"/>
      <c r="CBZ83" s="6"/>
      <c r="CCA83" s="6"/>
      <c r="CCB83" s="6"/>
      <c r="CCC83" s="6"/>
      <c r="CCD83" s="6"/>
      <c r="CCE83" s="6"/>
      <c r="CCF83" s="6"/>
      <c r="CCG83" s="6"/>
      <c r="CCH83" s="6"/>
      <c r="CCI83" s="6"/>
      <c r="CCJ83" s="6"/>
      <c r="CCK83" s="6"/>
      <c r="CCL83" s="6"/>
      <c r="CCM83" s="6"/>
      <c r="CCN83" s="6"/>
      <c r="CCO83" s="6"/>
      <c r="CCP83" s="6"/>
      <c r="CCQ83" s="6"/>
      <c r="CCR83" s="6"/>
      <c r="CCS83" s="6"/>
      <c r="CCT83" s="6"/>
      <c r="CCU83" s="6"/>
      <c r="CCV83" s="6"/>
      <c r="CCW83" s="6"/>
      <c r="CCX83" s="6"/>
      <c r="CCY83" s="6"/>
      <c r="CCZ83" s="6"/>
      <c r="CDA83" s="6"/>
      <c r="CDB83" s="6"/>
      <c r="CDC83" s="6"/>
      <c r="CDD83" s="6"/>
      <c r="CDE83" s="6"/>
      <c r="CDF83" s="6"/>
      <c r="CDG83" s="6"/>
      <c r="CDH83" s="6"/>
      <c r="CDI83" s="6"/>
      <c r="CDJ83" s="6"/>
      <c r="CDK83" s="6"/>
      <c r="CDL83" s="6"/>
      <c r="CDM83" s="6"/>
      <c r="CDN83" s="6"/>
      <c r="CDO83" s="6"/>
      <c r="CDP83" s="6"/>
      <c r="CDQ83" s="6"/>
      <c r="CDR83" s="6"/>
      <c r="CDS83" s="6"/>
      <c r="CDT83" s="6"/>
      <c r="CDU83" s="6"/>
      <c r="CDV83" s="6"/>
      <c r="CDW83" s="6"/>
      <c r="CDX83" s="6"/>
      <c r="CDY83" s="6"/>
      <c r="CDZ83" s="6"/>
      <c r="CEA83" s="6"/>
      <c r="CEB83" s="6"/>
      <c r="CEC83" s="6"/>
      <c r="CED83" s="6"/>
      <c r="CEE83" s="6"/>
      <c r="CEF83" s="6"/>
      <c r="CEG83" s="6"/>
      <c r="CEH83" s="6"/>
      <c r="CEI83" s="6"/>
      <c r="CEJ83" s="6"/>
      <c r="CEK83" s="6"/>
      <c r="CEL83" s="6"/>
      <c r="CEM83" s="6"/>
      <c r="CEN83" s="6"/>
      <c r="CEO83" s="6"/>
      <c r="CEP83" s="6"/>
      <c r="CEQ83" s="6"/>
      <c r="CER83" s="6"/>
      <c r="CES83" s="6"/>
      <c r="CET83" s="6"/>
      <c r="CEU83" s="6"/>
      <c r="CEV83" s="6"/>
      <c r="CEW83" s="6"/>
      <c r="CEX83" s="6"/>
      <c r="CEY83" s="6"/>
      <c r="CEZ83" s="6"/>
      <c r="CFA83" s="6"/>
      <c r="CFB83" s="6"/>
      <c r="CFC83" s="6"/>
      <c r="CFD83" s="6"/>
      <c r="CFE83" s="6"/>
      <c r="CFF83" s="6"/>
      <c r="CFG83" s="6"/>
      <c r="CFH83" s="6"/>
      <c r="CFI83" s="6"/>
      <c r="CFJ83" s="6"/>
      <c r="CFK83" s="6"/>
      <c r="CFL83" s="6"/>
      <c r="CFM83" s="6"/>
      <c r="CFN83" s="6"/>
      <c r="CFO83" s="6"/>
      <c r="CFP83" s="6"/>
      <c r="CFQ83" s="6"/>
      <c r="CFR83" s="6"/>
      <c r="CFS83" s="6"/>
      <c r="CFT83" s="6"/>
      <c r="CFU83" s="6"/>
      <c r="CFV83" s="6"/>
      <c r="CFW83" s="6"/>
      <c r="CFX83" s="6"/>
      <c r="CFY83" s="6"/>
      <c r="CFZ83" s="6"/>
      <c r="CGA83" s="6"/>
      <c r="CGB83" s="6"/>
      <c r="CGC83" s="6"/>
      <c r="CGD83" s="6"/>
      <c r="CGE83" s="6"/>
      <c r="CGF83" s="6"/>
      <c r="CGG83" s="6"/>
      <c r="CGH83" s="6"/>
      <c r="CGI83" s="6"/>
      <c r="CGJ83" s="6"/>
      <c r="CGK83" s="6"/>
      <c r="CGL83" s="6"/>
      <c r="CGM83" s="6"/>
      <c r="CGN83" s="6"/>
      <c r="CGO83" s="6"/>
      <c r="CGP83" s="6"/>
      <c r="CGQ83" s="6"/>
      <c r="CGR83" s="6"/>
      <c r="CGS83" s="6"/>
      <c r="CGT83" s="6"/>
      <c r="CGU83" s="6"/>
      <c r="CGV83" s="6"/>
      <c r="CGW83" s="6"/>
      <c r="CGX83" s="6"/>
      <c r="CGY83" s="6"/>
      <c r="CGZ83" s="6"/>
      <c r="CHA83" s="6"/>
      <c r="CHB83" s="6"/>
      <c r="CHC83" s="6"/>
      <c r="CHD83" s="6"/>
      <c r="CHE83" s="6"/>
      <c r="CHF83" s="6"/>
      <c r="CHG83" s="6"/>
      <c r="CHH83" s="6"/>
      <c r="CHI83" s="6"/>
      <c r="CHJ83" s="6"/>
      <c r="CHK83" s="6"/>
      <c r="CHL83" s="6"/>
      <c r="CHM83" s="6"/>
      <c r="CHN83" s="6"/>
      <c r="CHO83" s="6"/>
      <c r="CHP83" s="6"/>
      <c r="CHQ83" s="6"/>
      <c r="CHR83" s="6"/>
      <c r="CHS83" s="6"/>
      <c r="CHT83" s="6"/>
      <c r="CHU83" s="6"/>
      <c r="CHV83" s="6"/>
      <c r="CHW83" s="6"/>
      <c r="CHX83" s="6"/>
      <c r="CHY83" s="6"/>
      <c r="CHZ83" s="6"/>
      <c r="CIA83" s="6"/>
      <c r="CIB83" s="6"/>
      <c r="CIC83" s="6"/>
      <c r="CID83" s="6"/>
      <c r="CIE83" s="6"/>
      <c r="CIF83" s="6"/>
      <c r="CIG83" s="6"/>
      <c r="CIH83" s="6"/>
      <c r="CII83" s="6"/>
      <c r="CIJ83" s="6"/>
      <c r="CIK83" s="6"/>
      <c r="CIL83" s="6"/>
      <c r="CIM83" s="6"/>
      <c r="CIN83" s="6"/>
      <c r="CIO83" s="6"/>
      <c r="CIP83" s="6"/>
      <c r="CIQ83" s="6"/>
      <c r="CIR83" s="6"/>
      <c r="CIS83" s="6"/>
      <c r="CIT83" s="6"/>
      <c r="CIU83" s="6"/>
      <c r="CIV83" s="6"/>
      <c r="CIW83" s="6"/>
      <c r="CIX83" s="6"/>
      <c r="CIY83" s="6"/>
      <c r="CIZ83" s="6"/>
      <c r="CJA83" s="6"/>
      <c r="CJB83" s="6"/>
      <c r="CJC83" s="6"/>
      <c r="CJD83" s="6"/>
      <c r="CJE83" s="6"/>
      <c r="CJF83" s="6"/>
      <c r="CJG83" s="6"/>
      <c r="CJH83" s="6"/>
      <c r="CJI83" s="6"/>
      <c r="CJJ83" s="6"/>
      <c r="CJK83" s="6"/>
      <c r="CJL83" s="6"/>
      <c r="CJM83" s="6"/>
      <c r="CJN83" s="6"/>
      <c r="CJO83" s="6"/>
      <c r="CJP83" s="6"/>
      <c r="CJQ83" s="6"/>
      <c r="CJR83" s="6"/>
      <c r="CJS83" s="6"/>
      <c r="CJT83" s="6"/>
      <c r="CJU83" s="6"/>
      <c r="CJV83" s="6"/>
      <c r="CJW83" s="6"/>
      <c r="CJX83" s="6"/>
      <c r="CJY83" s="6"/>
      <c r="CJZ83" s="6"/>
      <c r="CKA83" s="6"/>
      <c r="CKB83" s="6"/>
      <c r="CKC83" s="6"/>
      <c r="CKD83" s="6"/>
      <c r="CKE83" s="6"/>
      <c r="CKF83" s="6"/>
      <c r="CKG83" s="6"/>
      <c r="CKH83" s="6"/>
      <c r="CKI83" s="6"/>
      <c r="CKJ83" s="6"/>
      <c r="CKK83" s="6"/>
      <c r="CKL83" s="6"/>
      <c r="CKM83" s="6"/>
      <c r="CKN83" s="6"/>
      <c r="CKO83" s="6"/>
      <c r="CKP83" s="6"/>
      <c r="CKQ83" s="6"/>
      <c r="CKR83" s="6"/>
      <c r="CKS83" s="6"/>
      <c r="CKT83" s="6"/>
      <c r="CKU83" s="6"/>
      <c r="CKV83" s="6"/>
      <c r="CKW83" s="6"/>
      <c r="CKX83" s="6"/>
      <c r="CKY83" s="6"/>
      <c r="CKZ83" s="6"/>
      <c r="CLA83" s="6"/>
      <c r="CLB83" s="6"/>
      <c r="CLC83" s="6"/>
      <c r="CLD83" s="6"/>
      <c r="CLE83" s="6"/>
      <c r="CLF83" s="6"/>
      <c r="CLG83" s="6"/>
      <c r="CLH83" s="6"/>
      <c r="CLI83" s="6"/>
      <c r="CLJ83" s="6"/>
      <c r="CLK83" s="6"/>
      <c r="CLL83" s="6"/>
      <c r="CLM83" s="6"/>
      <c r="CLN83" s="6"/>
      <c r="CLO83" s="6"/>
      <c r="CLP83" s="6"/>
      <c r="CLQ83" s="6"/>
      <c r="CLR83" s="6"/>
      <c r="CLS83" s="6"/>
      <c r="CLT83" s="6"/>
      <c r="CLU83" s="6"/>
      <c r="CLV83" s="6"/>
      <c r="CLW83" s="6"/>
      <c r="CLX83" s="6"/>
      <c r="CLY83" s="6"/>
      <c r="CLZ83" s="6"/>
      <c r="CMA83" s="6"/>
      <c r="CMB83" s="6"/>
      <c r="CMC83" s="6"/>
      <c r="CMD83" s="6"/>
      <c r="CME83" s="6"/>
      <c r="CMF83" s="6"/>
      <c r="CMG83" s="6"/>
      <c r="CMH83" s="6"/>
      <c r="CMI83" s="6"/>
      <c r="CMJ83" s="6"/>
      <c r="CMK83" s="6"/>
      <c r="CML83" s="6"/>
      <c r="CMM83" s="6"/>
      <c r="CMN83" s="6"/>
      <c r="CMO83" s="6"/>
      <c r="CMP83" s="6"/>
      <c r="CMQ83" s="6"/>
      <c r="CMR83" s="6"/>
      <c r="CMS83" s="6"/>
      <c r="CMT83" s="6"/>
      <c r="CMU83" s="6"/>
      <c r="CMV83" s="6"/>
      <c r="CMW83" s="6"/>
      <c r="CMX83" s="6"/>
      <c r="CMY83" s="6"/>
      <c r="CMZ83" s="6"/>
      <c r="CNA83" s="6"/>
      <c r="CNB83" s="6"/>
      <c r="CNC83" s="6"/>
      <c r="CND83" s="6"/>
      <c r="CNE83" s="6"/>
      <c r="CNF83" s="6"/>
      <c r="CNG83" s="6"/>
      <c r="CNH83" s="6"/>
      <c r="CNI83" s="6"/>
      <c r="CNJ83" s="6"/>
      <c r="CNK83" s="6"/>
      <c r="CNL83" s="6"/>
      <c r="CNM83" s="6"/>
      <c r="CNN83" s="6"/>
      <c r="CNO83" s="6"/>
      <c r="CNP83" s="6"/>
      <c r="CNQ83" s="6"/>
      <c r="CNR83" s="6"/>
      <c r="CNS83" s="6"/>
      <c r="CNT83" s="6"/>
      <c r="CNU83" s="6"/>
      <c r="CNV83" s="6"/>
      <c r="CNW83" s="6"/>
      <c r="CNX83" s="6"/>
      <c r="CNY83" s="6"/>
      <c r="CNZ83" s="6"/>
      <c r="COA83" s="6"/>
      <c r="COB83" s="6"/>
      <c r="COC83" s="6"/>
      <c r="COD83" s="6"/>
      <c r="COE83" s="6"/>
      <c r="COF83" s="6"/>
      <c r="COG83" s="6"/>
      <c r="COH83" s="6"/>
      <c r="COI83" s="6"/>
      <c r="COJ83" s="6"/>
      <c r="COK83" s="6"/>
      <c r="COL83" s="6"/>
      <c r="COM83" s="6"/>
      <c r="CON83" s="6"/>
      <c r="COO83" s="6"/>
      <c r="COP83" s="6"/>
      <c r="COQ83" s="6"/>
      <c r="COR83" s="6"/>
      <c r="COS83" s="6"/>
      <c r="COT83" s="6"/>
      <c r="COU83" s="6"/>
      <c r="COV83" s="6"/>
      <c r="COW83" s="6"/>
      <c r="COX83" s="6"/>
      <c r="COY83" s="6"/>
      <c r="COZ83" s="6"/>
      <c r="CPA83" s="6"/>
      <c r="CPB83" s="6"/>
      <c r="CPC83" s="6"/>
      <c r="CPD83" s="6"/>
      <c r="CPE83" s="6"/>
      <c r="CPF83" s="6"/>
      <c r="CPG83" s="6"/>
      <c r="CPH83" s="6"/>
      <c r="CPI83" s="6"/>
      <c r="CPJ83" s="6"/>
      <c r="CPK83" s="6"/>
      <c r="CPL83" s="6"/>
      <c r="CPM83" s="6"/>
      <c r="CPN83" s="6"/>
      <c r="CPO83" s="6"/>
      <c r="CPP83" s="6"/>
      <c r="CPQ83" s="6"/>
      <c r="CPR83" s="6"/>
      <c r="CPS83" s="6"/>
      <c r="CPT83" s="6"/>
      <c r="CPU83" s="6"/>
      <c r="CPV83" s="6"/>
      <c r="CPW83" s="6"/>
      <c r="CPX83" s="6"/>
      <c r="CPY83" s="6"/>
      <c r="CPZ83" s="6"/>
      <c r="CQA83" s="6"/>
      <c r="CQB83" s="6"/>
      <c r="CQC83" s="6"/>
      <c r="CQD83" s="6"/>
      <c r="CQE83" s="6"/>
      <c r="CQF83" s="6"/>
      <c r="CQG83" s="6"/>
      <c r="CQH83" s="6"/>
      <c r="CQI83" s="6"/>
      <c r="CQJ83" s="6"/>
      <c r="CQK83" s="6"/>
      <c r="CQL83" s="6"/>
      <c r="CQM83" s="6"/>
      <c r="CQN83" s="6"/>
      <c r="CQO83" s="6"/>
      <c r="CQP83" s="6"/>
      <c r="CQQ83" s="6"/>
      <c r="CQR83" s="6"/>
      <c r="CQS83" s="6"/>
      <c r="CQT83" s="6"/>
      <c r="CQU83" s="6"/>
      <c r="CQV83" s="6"/>
      <c r="CQW83" s="6"/>
      <c r="CQX83" s="6"/>
      <c r="CQY83" s="6"/>
      <c r="CQZ83" s="6"/>
      <c r="CRA83" s="6"/>
      <c r="CRB83" s="6"/>
      <c r="CRC83" s="6"/>
      <c r="CRD83" s="6"/>
      <c r="CRE83" s="6"/>
      <c r="CRF83" s="6"/>
      <c r="CRG83" s="6"/>
      <c r="CRH83" s="6"/>
      <c r="CRI83" s="6"/>
      <c r="CRJ83" s="6"/>
      <c r="CRK83" s="6"/>
      <c r="CRL83" s="6"/>
      <c r="CRM83" s="6"/>
      <c r="CRN83" s="6"/>
      <c r="CRO83" s="6"/>
      <c r="CRP83" s="6"/>
      <c r="CRQ83" s="6"/>
      <c r="CRR83" s="6"/>
      <c r="CRS83" s="6"/>
      <c r="CRT83" s="6"/>
      <c r="CRU83" s="6"/>
      <c r="CRV83" s="6"/>
      <c r="CRW83" s="6"/>
      <c r="CRX83" s="6"/>
      <c r="CRY83" s="6"/>
      <c r="CRZ83" s="6"/>
      <c r="CSA83" s="6"/>
      <c r="CSB83" s="6"/>
      <c r="CSC83" s="6"/>
      <c r="CSD83" s="6"/>
      <c r="CSE83" s="6"/>
      <c r="CSF83" s="6"/>
      <c r="CSG83" s="6"/>
      <c r="CSH83" s="6"/>
      <c r="CSI83" s="6"/>
      <c r="CSJ83" s="6"/>
      <c r="CSK83" s="6"/>
      <c r="CSL83" s="6"/>
      <c r="CSM83" s="6"/>
      <c r="CSN83" s="6"/>
      <c r="CSO83" s="6"/>
      <c r="CSP83" s="6"/>
      <c r="CSQ83" s="6"/>
      <c r="CSR83" s="6"/>
      <c r="CSS83" s="6"/>
      <c r="CST83" s="6"/>
      <c r="CSU83" s="6"/>
      <c r="CSV83" s="6"/>
      <c r="CSW83" s="6"/>
      <c r="CSX83" s="6"/>
      <c r="CSY83" s="6"/>
      <c r="CSZ83" s="6"/>
      <c r="CTA83" s="6"/>
      <c r="CTB83" s="6"/>
      <c r="CTC83" s="6"/>
      <c r="CTD83" s="6"/>
      <c r="CTE83" s="6"/>
      <c r="CTF83" s="6"/>
      <c r="CTG83" s="6"/>
      <c r="CTH83" s="6"/>
      <c r="CTI83" s="6"/>
      <c r="CTJ83" s="6"/>
      <c r="CTK83" s="6"/>
      <c r="CTL83" s="6"/>
      <c r="CTM83" s="6"/>
      <c r="CTN83" s="6"/>
      <c r="CTO83" s="6"/>
      <c r="CTP83" s="6"/>
      <c r="CTQ83" s="6"/>
      <c r="CTR83" s="6"/>
      <c r="CTS83" s="6"/>
      <c r="CTT83" s="6"/>
      <c r="CTU83" s="6"/>
      <c r="CTV83" s="6"/>
      <c r="CTW83" s="6"/>
      <c r="CTX83" s="6"/>
      <c r="CTY83" s="6"/>
      <c r="CTZ83" s="6"/>
      <c r="CUA83" s="6"/>
      <c r="CUB83" s="6"/>
      <c r="CUC83" s="6"/>
      <c r="CUD83" s="6"/>
      <c r="CUE83" s="6"/>
      <c r="CUF83" s="6"/>
      <c r="CUG83" s="6"/>
      <c r="CUH83" s="6"/>
      <c r="CUI83" s="6"/>
      <c r="CUJ83" s="6"/>
      <c r="CUK83" s="6"/>
      <c r="CUL83" s="6"/>
      <c r="CUM83" s="6"/>
      <c r="CUN83" s="6"/>
      <c r="CUO83" s="6"/>
      <c r="CUP83" s="6"/>
      <c r="CUQ83" s="6"/>
      <c r="CUR83" s="6"/>
      <c r="CUS83" s="6"/>
      <c r="CUT83" s="6"/>
      <c r="CUU83" s="6"/>
      <c r="CUV83" s="6"/>
      <c r="CUW83" s="6"/>
      <c r="CUX83" s="6"/>
      <c r="CUY83" s="6"/>
      <c r="CUZ83" s="6"/>
      <c r="CVA83" s="6"/>
      <c r="CVB83" s="6"/>
      <c r="CVC83" s="6"/>
      <c r="CVD83" s="6"/>
      <c r="CVE83" s="6"/>
      <c r="CVF83" s="6"/>
      <c r="CVG83" s="6"/>
      <c r="CVH83" s="6"/>
      <c r="CVI83" s="6"/>
      <c r="CVJ83" s="6"/>
      <c r="CVK83" s="6"/>
      <c r="CVL83" s="6"/>
      <c r="CVM83" s="6"/>
      <c r="CVN83" s="6"/>
      <c r="CVO83" s="6"/>
      <c r="CVP83" s="6"/>
      <c r="CVQ83" s="6"/>
      <c r="CVR83" s="6"/>
      <c r="CVS83" s="6"/>
      <c r="CVT83" s="6"/>
      <c r="CVU83" s="6"/>
      <c r="CVV83" s="6"/>
      <c r="CVW83" s="6"/>
      <c r="CVX83" s="6"/>
      <c r="CVY83" s="6"/>
      <c r="CVZ83" s="6"/>
      <c r="CWA83" s="6"/>
      <c r="CWB83" s="6"/>
      <c r="CWC83" s="6"/>
      <c r="CWD83" s="6"/>
      <c r="CWE83" s="6"/>
      <c r="CWF83" s="6"/>
      <c r="CWG83" s="6"/>
      <c r="CWH83" s="6"/>
      <c r="CWI83" s="6"/>
      <c r="CWJ83" s="6"/>
      <c r="CWK83" s="6"/>
      <c r="CWL83" s="6"/>
      <c r="CWM83" s="6"/>
      <c r="CWN83" s="6"/>
      <c r="CWO83" s="6"/>
      <c r="CWP83" s="6"/>
      <c r="CWQ83" s="6"/>
      <c r="CWR83" s="6"/>
      <c r="CWS83" s="6"/>
      <c r="CWT83" s="6"/>
      <c r="CWU83" s="6"/>
      <c r="CWV83" s="6"/>
      <c r="CWW83" s="6"/>
      <c r="CWX83" s="6"/>
      <c r="CWY83" s="6"/>
      <c r="CWZ83" s="6"/>
      <c r="CXA83" s="6"/>
      <c r="CXB83" s="6"/>
      <c r="CXC83" s="6"/>
      <c r="CXD83" s="6"/>
      <c r="CXE83" s="6"/>
      <c r="CXF83" s="6"/>
      <c r="CXG83" s="6"/>
      <c r="CXH83" s="6"/>
      <c r="CXI83" s="6"/>
      <c r="CXJ83" s="6"/>
      <c r="CXK83" s="6"/>
      <c r="CXL83" s="6"/>
      <c r="CXM83" s="6"/>
      <c r="CXN83" s="6"/>
      <c r="CXO83" s="6"/>
      <c r="CXP83" s="6"/>
      <c r="CXQ83" s="6"/>
      <c r="CXR83" s="6"/>
      <c r="CXS83" s="6"/>
      <c r="CXT83" s="6"/>
      <c r="CXU83" s="6"/>
      <c r="CXV83" s="6"/>
      <c r="CXW83" s="6"/>
      <c r="CXX83" s="6"/>
      <c r="CXY83" s="6"/>
      <c r="CXZ83" s="6"/>
      <c r="CYA83" s="6"/>
      <c r="CYB83" s="6"/>
      <c r="CYC83" s="6"/>
      <c r="CYD83" s="6"/>
      <c r="CYE83" s="6"/>
      <c r="CYF83" s="6"/>
      <c r="CYG83" s="6"/>
      <c r="CYH83" s="6"/>
      <c r="CYI83" s="6"/>
      <c r="CYJ83" s="6"/>
      <c r="CYK83" s="6"/>
      <c r="CYL83" s="6"/>
      <c r="CYM83" s="6"/>
      <c r="CYN83" s="6"/>
      <c r="CYO83" s="6"/>
      <c r="CYP83" s="6"/>
      <c r="CYQ83" s="6"/>
      <c r="CYR83" s="6"/>
      <c r="CYS83" s="6"/>
      <c r="CYT83" s="6"/>
      <c r="CYU83" s="6"/>
      <c r="CYV83" s="6"/>
      <c r="CYW83" s="6"/>
      <c r="CYX83" s="6"/>
      <c r="CYY83" s="6"/>
      <c r="CYZ83" s="6"/>
      <c r="CZA83" s="6"/>
      <c r="CZB83" s="6"/>
      <c r="CZC83" s="6"/>
      <c r="CZD83" s="6"/>
      <c r="CZE83" s="6"/>
      <c r="CZF83" s="6"/>
      <c r="CZG83" s="6"/>
      <c r="CZH83" s="6"/>
      <c r="CZI83" s="6"/>
      <c r="CZJ83" s="6"/>
      <c r="CZK83" s="6"/>
      <c r="CZL83" s="6"/>
      <c r="CZM83" s="6"/>
      <c r="CZN83" s="6"/>
      <c r="CZO83" s="6"/>
      <c r="CZP83" s="6"/>
      <c r="CZQ83" s="6"/>
      <c r="CZR83" s="6"/>
      <c r="CZS83" s="6"/>
      <c r="CZT83" s="6"/>
      <c r="CZU83" s="6"/>
      <c r="CZV83" s="6"/>
      <c r="CZW83" s="6"/>
      <c r="CZX83" s="6"/>
      <c r="CZY83" s="6"/>
      <c r="CZZ83" s="6"/>
      <c r="DAA83" s="6"/>
      <c r="DAB83" s="6"/>
      <c r="DAC83" s="6"/>
      <c r="DAD83" s="6"/>
      <c r="DAE83" s="6"/>
      <c r="DAF83" s="6"/>
      <c r="DAG83" s="6"/>
      <c r="DAH83" s="6"/>
      <c r="DAI83" s="6"/>
      <c r="DAJ83" s="6"/>
      <c r="DAK83" s="6"/>
      <c r="DAL83" s="6"/>
      <c r="DAM83" s="6"/>
      <c r="DAN83" s="6"/>
      <c r="DAO83" s="6"/>
      <c r="DAP83" s="6"/>
      <c r="DAQ83" s="6"/>
      <c r="DAR83" s="6"/>
      <c r="DAS83" s="6"/>
      <c r="DAT83" s="6"/>
      <c r="DAU83" s="6"/>
      <c r="DAV83" s="6"/>
      <c r="DAW83" s="6"/>
      <c r="DAX83" s="6"/>
      <c r="DAY83" s="6"/>
      <c r="DAZ83" s="6"/>
      <c r="DBA83" s="6"/>
      <c r="DBB83" s="6"/>
      <c r="DBC83" s="6"/>
      <c r="DBD83" s="6"/>
      <c r="DBE83" s="6"/>
      <c r="DBF83" s="6"/>
      <c r="DBG83" s="6"/>
      <c r="DBH83" s="6"/>
      <c r="DBI83" s="6"/>
      <c r="DBJ83" s="6"/>
      <c r="DBK83" s="6"/>
      <c r="DBL83" s="6"/>
      <c r="DBM83" s="6"/>
      <c r="DBN83" s="6"/>
      <c r="DBO83" s="6"/>
      <c r="DBP83" s="6"/>
      <c r="DBQ83" s="6"/>
      <c r="DBR83" s="6"/>
      <c r="DBS83" s="6"/>
      <c r="DBT83" s="6"/>
      <c r="DBU83" s="6"/>
      <c r="DBV83" s="6"/>
      <c r="DBW83" s="6"/>
      <c r="DBX83" s="6"/>
      <c r="DBY83" s="6"/>
      <c r="DBZ83" s="6"/>
      <c r="DCA83" s="6"/>
      <c r="DCB83" s="6"/>
      <c r="DCC83" s="6"/>
      <c r="DCD83" s="6"/>
      <c r="DCE83" s="6"/>
      <c r="DCF83" s="6"/>
      <c r="DCG83" s="6"/>
      <c r="DCH83" s="6"/>
      <c r="DCI83" s="6"/>
      <c r="DCJ83" s="6"/>
      <c r="DCK83" s="6"/>
      <c r="DCL83" s="6"/>
      <c r="DCM83" s="6"/>
      <c r="DCN83" s="6"/>
      <c r="DCO83" s="6"/>
      <c r="DCP83" s="6"/>
      <c r="DCQ83" s="6"/>
      <c r="DCR83" s="6"/>
      <c r="DCS83" s="6"/>
      <c r="DCT83" s="6"/>
      <c r="DCU83" s="6"/>
      <c r="DCV83" s="6"/>
      <c r="DCW83" s="6"/>
      <c r="DCX83" s="6"/>
      <c r="DCY83" s="6"/>
      <c r="DCZ83" s="6"/>
      <c r="DDA83" s="6"/>
      <c r="DDB83" s="6"/>
      <c r="DDC83" s="6"/>
      <c r="DDD83" s="6"/>
      <c r="DDE83" s="6"/>
      <c r="DDF83" s="6"/>
      <c r="DDG83" s="6"/>
      <c r="DDH83" s="6"/>
      <c r="DDI83" s="6"/>
      <c r="DDJ83" s="6"/>
      <c r="DDK83" s="6"/>
      <c r="DDL83" s="6"/>
      <c r="DDM83" s="6"/>
      <c r="DDN83" s="6"/>
      <c r="DDO83" s="6"/>
      <c r="DDP83" s="6"/>
      <c r="DDQ83" s="6"/>
      <c r="DDR83" s="6"/>
      <c r="DDS83" s="6"/>
      <c r="DDT83" s="6"/>
      <c r="DDU83" s="6"/>
      <c r="DDV83" s="6"/>
      <c r="DDW83" s="6"/>
      <c r="DDX83" s="6"/>
      <c r="DDY83" s="6"/>
      <c r="DDZ83" s="6"/>
      <c r="DEA83" s="6"/>
      <c r="DEB83" s="6"/>
      <c r="DEC83" s="6"/>
      <c r="DED83" s="6"/>
      <c r="DEE83" s="6"/>
      <c r="DEF83" s="6"/>
      <c r="DEG83" s="6"/>
      <c r="DEH83" s="6"/>
      <c r="DEI83" s="6"/>
      <c r="DEJ83" s="6"/>
      <c r="DEK83" s="6"/>
      <c r="DEL83" s="6"/>
      <c r="DEM83" s="6"/>
      <c r="DEN83" s="6"/>
      <c r="DEO83" s="6"/>
      <c r="DEP83" s="6"/>
      <c r="DEQ83" s="6"/>
      <c r="DER83" s="6"/>
      <c r="DES83" s="6"/>
      <c r="DET83" s="6"/>
      <c r="DEU83" s="6"/>
      <c r="DEV83" s="6"/>
      <c r="DEW83" s="6"/>
      <c r="DEX83" s="6"/>
      <c r="DEY83" s="6"/>
      <c r="DEZ83" s="6"/>
      <c r="DFA83" s="6"/>
      <c r="DFB83" s="6"/>
      <c r="DFC83" s="6"/>
      <c r="DFD83" s="6"/>
      <c r="DFE83" s="6"/>
      <c r="DFF83" s="6"/>
      <c r="DFG83" s="6"/>
      <c r="DFH83" s="6"/>
      <c r="DFI83" s="6"/>
      <c r="DFJ83" s="6"/>
      <c r="DFK83" s="6"/>
      <c r="DFL83" s="6"/>
      <c r="DFM83" s="6"/>
      <c r="DFN83" s="6"/>
      <c r="DFO83" s="6"/>
      <c r="DFP83" s="6"/>
      <c r="DFQ83" s="6"/>
      <c r="DFR83" s="6"/>
      <c r="DFS83" s="6"/>
      <c r="DFT83" s="6"/>
      <c r="DFU83" s="6"/>
      <c r="DFV83" s="6"/>
      <c r="DFW83" s="6"/>
      <c r="DFX83" s="6"/>
      <c r="DFY83" s="6"/>
      <c r="DFZ83" s="6"/>
      <c r="DGA83" s="6"/>
      <c r="DGB83" s="6"/>
      <c r="DGC83" s="6"/>
      <c r="DGD83" s="6"/>
      <c r="DGE83" s="6"/>
      <c r="DGF83" s="6"/>
      <c r="DGG83" s="6"/>
      <c r="DGH83" s="6"/>
      <c r="DGI83" s="6"/>
      <c r="DGJ83" s="6"/>
      <c r="DGK83" s="6"/>
      <c r="DGL83" s="6"/>
      <c r="DGM83" s="6"/>
      <c r="DGN83" s="6"/>
      <c r="DGO83" s="6"/>
      <c r="DGP83" s="6"/>
      <c r="DGQ83" s="6"/>
      <c r="DGR83" s="6"/>
      <c r="DGS83" s="6"/>
      <c r="DGT83" s="6"/>
      <c r="DGU83" s="6"/>
      <c r="DGV83" s="6"/>
      <c r="DGW83" s="6"/>
      <c r="DGX83" s="6"/>
      <c r="DGY83" s="6"/>
      <c r="DGZ83" s="6"/>
      <c r="DHA83" s="6"/>
      <c r="DHB83" s="6"/>
      <c r="DHC83" s="6"/>
      <c r="DHD83" s="6"/>
      <c r="DHE83" s="6"/>
      <c r="DHF83" s="6"/>
      <c r="DHG83" s="6"/>
      <c r="DHH83" s="6"/>
      <c r="DHI83" s="6"/>
      <c r="DHJ83" s="6"/>
      <c r="DHK83" s="6"/>
      <c r="DHL83" s="6"/>
      <c r="DHM83" s="6"/>
      <c r="DHN83" s="6"/>
      <c r="DHO83" s="6"/>
      <c r="DHP83" s="6"/>
      <c r="DHQ83" s="6"/>
      <c r="DHR83" s="6"/>
      <c r="DHS83" s="6"/>
      <c r="DHT83" s="6"/>
      <c r="DHU83" s="6"/>
      <c r="DHV83" s="6"/>
      <c r="DHW83" s="6"/>
      <c r="DHX83" s="6"/>
      <c r="DHY83" s="6"/>
      <c r="DHZ83" s="6"/>
      <c r="DIA83" s="6"/>
      <c r="DIB83" s="6"/>
      <c r="DIC83" s="6"/>
      <c r="DID83" s="6"/>
      <c r="DIE83" s="6"/>
      <c r="DIF83" s="6"/>
      <c r="DIG83" s="6"/>
      <c r="DIH83" s="6"/>
      <c r="DII83" s="6"/>
      <c r="DIJ83" s="6"/>
      <c r="DIK83" s="6"/>
      <c r="DIL83" s="6"/>
      <c r="DIM83" s="6"/>
      <c r="DIN83" s="6"/>
      <c r="DIO83" s="6"/>
      <c r="DIP83" s="6"/>
      <c r="DIQ83" s="6"/>
      <c r="DIR83" s="6"/>
      <c r="DIS83" s="6"/>
      <c r="DIT83" s="6"/>
      <c r="DIU83" s="6"/>
      <c r="DIV83" s="6"/>
      <c r="DIW83" s="6"/>
      <c r="DIX83" s="6"/>
      <c r="DIY83" s="6"/>
      <c r="DIZ83" s="6"/>
      <c r="DJA83" s="6"/>
      <c r="DJB83" s="6"/>
      <c r="DJC83" s="6"/>
      <c r="DJD83" s="6"/>
      <c r="DJE83" s="6"/>
      <c r="DJF83" s="6"/>
      <c r="DJG83" s="6"/>
      <c r="DJH83" s="6"/>
      <c r="DJI83" s="6"/>
      <c r="DJJ83" s="6"/>
      <c r="DJK83" s="6"/>
      <c r="DJL83" s="6"/>
      <c r="DJM83" s="6"/>
      <c r="DJN83" s="6"/>
      <c r="DJO83" s="6"/>
      <c r="DJP83" s="6"/>
      <c r="DJQ83" s="6"/>
      <c r="DJR83" s="6"/>
      <c r="DJS83" s="6"/>
      <c r="DJT83" s="6"/>
      <c r="DJU83" s="6"/>
      <c r="DJV83" s="6"/>
      <c r="DJW83" s="6"/>
      <c r="DJX83" s="6"/>
      <c r="DJY83" s="6"/>
      <c r="DJZ83" s="6"/>
      <c r="DKA83" s="6"/>
      <c r="DKB83" s="6"/>
      <c r="DKC83" s="6"/>
      <c r="DKD83" s="6"/>
      <c r="DKE83" s="6"/>
      <c r="DKF83" s="6"/>
      <c r="DKG83" s="6"/>
      <c r="DKH83" s="6"/>
      <c r="DKI83" s="6"/>
      <c r="DKJ83" s="6"/>
      <c r="DKK83" s="6"/>
      <c r="DKL83" s="6"/>
      <c r="DKM83" s="6"/>
      <c r="DKN83" s="6"/>
      <c r="DKO83" s="6"/>
      <c r="DKP83" s="6"/>
      <c r="DKQ83" s="6"/>
      <c r="DKR83" s="6"/>
      <c r="DKS83" s="6"/>
      <c r="DKT83" s="6"/>
      <c r="DKU83" s="6"/>
      <c r="DKV83" s="6"/>
      <c r="DKW83" s="6"/>
      <c r="DKX83" s="6"/>
      <c r="DKY83" s="6"/>
      <c r="DKZ83" s="6"/>
      <c r="DLA83" s="6"/>
      <c r="DLB83" s="6"/>
      <c r="DLC83" s="6"/>
      <c r="DLD83" s="6"/>
      <c r="DLE83" s="6"/>
      <c r="DLF83" s="6"/>
      <c r="DLG83" s="6"/>
      <c r="DLH83" s="6"/>
      <c r="DLI83" s="6"/>
      <c r="DLJ83" s="6"/>
      <c r="DLK83" s="6"/>
      <c r="DLL83" s="6"/>
      <c r="DLM83" s="6"/>
      <c r="DLN83" s="6"/>
      <c r="DLO83" s="6"/>
      <c r="DLP83" s="6"/>
      <c r="DLQ83" s="6"/>
      <c r="DLR83" s="6"/>
      <c r="DLS83" s="6"/>
      <c r="DLT83" s="6"/>
      <c r="DLU83" s="6"/>
      <c r="DLV83" s="6"/>
      <c r="DLW83" s="6"/>
      <c r="DLX83" s="6"/>
      <c r="DLY83" s="6"/>
      <c r="DLZ83" s="6"/>
      <c r="DMA83" s="6"/>
      <c r="DMB83" s="6"/>
      <c r="DMC83" s="6"/>
      <c r="DMD83" s="6"/>
      <c r="DME83" s="6"/>
      <c r="DMF83" s="6"/>
      <c r="DMG83" s="6"/>
      <c r="DMH83" s="6"/>
      <c r="DMI83" s="6"/>
      <c r="DMJ83" s="6"/>
      <c r="DMK83" s="6"/>
      <c r="DML83" s="6"/>
      <c r="DMM83" s="6"/>
      <c r="DMN83" s="6"/>
      <c r="DMO83" s="6"/>
      <c r="DMP83" s="6"/>
      <c r="DMQ83" s="6"/>
      <c r="DMR83" s="6"/>
      <c r="DMS83" s="6"/>
      <c r="DMT83" s="6"/>
      <c r="DMU83" s="6"/>
      <c r="DMV83" s="6"/>
      <c r="DMW83" s="6"/>
      <c r="DMX83" s="6"/>
      <c r="DMY83" s="6"/>
      <c r="DMZ83" s="6"/>
      <c r="DNA83" s="6"/>
      <c r="DNB83" s="6"/>
      <c r="DNC83" s="6"/>
      <c r="DND83" s="6"/>
      <c r="DNE83" s="6"/>
      <c r="DNF83" s="6"/>
      <c r="DNG83" s="6"/>
      <c r="DNH83" s="6"/>
      <c r="DNI83" s="6"/>
      <c r="DNJ83" s="6"/>
      <c r="DNK83" s="6"/>
      <c r="DNL83" s="6"/>
      <c r="DNM83" s="6"/>
      <c r="DNN83" s="6"/>
      <c r="DNO83" s="6"/>
      <c r="DNP83" s="6"/>
      <c r="DNQ83" s="6"/>
      <c r="DNR83" s="6"/>
      <c r="DNS83" s="6"/>
      <c r="DNT83" s="6"/>
      <c r="DNU83" s="6"/>
      <c r="DNV83" s="6"/>
      <c r="DNW83" s="6"/>
      <c r="DNX83" s="6"/>
      <c r="DNY83" s="6"/>
      <c r="DNZ83" s="6"/>
      <c r="DOA83" s="6"/>
      <c r="DOB83" s="6"/>
      <c r="DOC83" s="6"/>
      <c r="DOD83" s="6"/>
      <c r="DOE83" s="6"/>
      <c r="DOF83" s="6"/>
      <c r="DOG83" s="6"/>
      <c r="DOH83" s="6"/>
      <c r="DOI83" s="6"/>
      <c r="DOJ83" s="6"/>
      <c r="DOK83" s="6"/>
      <c r="DOL83" s="6"/>
      <c r="DOM83" s="6"/>
      <c r="DON83" s="6"/>
      <c r="DOO83" s="6"/>
      <c r="DOP83" s="6"/>
      <c r="DOQ83" s="6"/>
      <c r="DOR83" s="6"/>
      <c r="DOS83" s="6"/>
      <c r="DOT83" s="6"/>
      <c r="DOU83" s="6"/>
      <c r="DOV83" s="6"/>
      <c r="DOW83" s="6"/>
      <c r="DOX83" s="6"/>
      <c r="DOY83" s="6"/>
      <c r="DOZ83" s="6"/>
      <c r="DPA83" s="6"/>
      <c r="DPB83" s="6"/>
      <c r="DPC83" s="6"/>
      <c r="DPD83" s="6"/>
      <c r="DPE83" s="6"/>
      <c r="DPF83" s="6"/>
      <c r="DPG83" s="6"/>
      <c r="DPH83" s="6"/>
      <c r="DPI83" s="6"/>
      <c r="DPJ83" s="6"/>
      <c r="DPK83" s="6"/>
      <c r="DPL83" s="6"/>
      <c r="DPM83" s="6"/>
      <c r="DPN83" s="6"/>
      <c r="DPO83" s="6"/>
      <c r="DPP83" s="6"/>
      <c r="DPQ83" s="6"/>
      <c r="DPR83" s="6"/>
      <c r="DPS83" s="6"/>
      <c r="DPT83" s="6"/>
      <c r="DPU83" s="6"/>
      <c r="DPV83" s="6"/>
      <c r="DPW83" s="6"/>
      <c r="DPX83" s="6"/>
      <c r="DPY83" s="6"/>
      <c r="DPZ83" s="6"/>
      <c r="DQA83" s="6"/>
      <c r="DQB83" s="6"/>
      <c r="DQC83" s="6"/>
      <c r="DQD83" s="6"/>
      <c r="DQE83" s="6"/>
      <c r="DQF83" s="6"/>
      <c r="DQG83" s="6"/>
      <c r="DQH83" s="6"/>
      <c r="DQI83" s="6"/>
      <c r="DQJ83" s="6"/>
      <c r="DQK83" s="6"/>
      <c r="DQL83" s="6"/>
      <c r="DQM83" s="6"/>
      <c r="DQN83" s="6"/>
      <c r="DQO83" s="6"/>
      <c r="DQP83" s="6"/>
      <c r="DQQ83" s="6"/>
      <c r="DQR83" s="6"/>
      <c r="DQS83" s="6"/>
      <c r="DQT83" s="6"/>
      <c r="DQU83" s="6"/>
      <c r="DQV83" s="6"/>
      <c r="DQW83" s="6"/>
      <c r="DQX83" s="6"/>
      <c r="DQY83" s="6"/>
      <c r="DQZ83" s="6"/>
      <c r="DRA83" s="6"/>
      <c r="DRB83" s="6"/>
      <c r="DRC83" s="6"/>
      <c r="DRD83" s="6"/>
      <c r="DRE83" s="6"/>
      <c r="DRF83" s="6"/>
      <c r="DRG83" s="6"/>
      <c r="DRH83" s="6"/>
      <c r="DRI83" s="6"/>
      <c r="DRJ83" s="6"/>
      <c r="DRK83" s="6"/>
      <c r="DRL83" s="6"/>
      <c r="DRM83" s="6"/>
      <c r="DRN83" s="6"/>
      <c r="DRO83" s="6"/>
      <c r="DRP83" s="6"/>
      <c r="DRQ83" s="6"/>
      <c r="DRR83" s="6"/>
      <c r="DRS83" s="6"/>
      <c r="DRT83" s="6"/>
      <c r="DRU83" s="6"/>
      <c r="DRV83" s="6"/>
      <c r="DRW83" s="6"/>
      <c r="DRX83" s="6"/>
      <c r="DRY83" s="6"/>
      <c r="DRZ83" s="6"/>
      <c r="DSA83" s="6"/>
      <c r="DSB83" s="6"/>
      <c r="DSC83" s="6"/>
      <c r="DSD83" s="6"/>
      <c r="DSE83" s="6"/>
      <c r="DSF83" s="6"/>
      <c r="DSG83" s="6"/>
      <c r="DSH83" s="6"/>
      <c r="DSI83" s="6"/>
      <c r="DSJ83" s="6"/>
      <c r="DSK83" s="6"/>
      <c r="DSL83" s="6"/>
      <c r="DSM83" s="6"/>
      <c r="DSN83" s="6"/>
      <c r="DSO83" s="6"/>
      <c r="DSP83" s="6"/>
      <c r="DSQ83" s="6"/>
      <c r="DSR83" s="6"/>
      <c r="DSS83" s="6"/>
      <c r="DST83" s="6"/>
      <c r="DSU83" s="6"/>
      <c r="DSV83" s="6"/>
      <c r="DSW83" s="6"/>
      <c r="DSX83" s="6"/>
      <c r="DSY83" s="6"/>
      <c r="DSZ83" s="6"/>
      <c r="DTA83" s="6"/>
      <c r="DTB83" s="6"/>
      <c r="DTC83" s="6"/>
      <c r="DTD83" s="6"/>
      <c r="DTE83" s="6"/>
      <c r="DTF83" s="6"/>
      <c r="DTG83" s="6"/>
      <c r="DTH83" s="6"/>
      <c r="DTI83" s="6"/>
      <c r="DTJ83" s="6"/>
      <c r="DTK83" s="6"/>
      <c r="DTL83" s="6"/>
      <c r="DTM83" s="6"/>
      <c r="DTN83" s="6"/>
      <c r="DTO83" s="6"/>
      <c r="DTP83" s="6"/>
      <c r="DTQ83" s="6"/>
      <c r="DTR83" s="6"/>
      <c r="DTS83" s="6"/>
      <c r="DTT83" s="6"/>
      <c r="DTU83" s="6"/>
      <c r="DTV83" s="6"/>
      <c r="DTW83" s="6"/>
      <c r="DTX83" s="6"/>
      <c r="DTY83" s="6"/>
      <c r="DTZ83" s="6"/>
      <c r="DUA83" s="6"/>
      <c r="DUB83" s="6"/>
      <c r="DUC83" s="6"/>
      <c r="DUD83" s="6"/>
      <c r="DUE83" s="6"/>
      <c r="DUF83" s="6"/>
      <c r="DUG83" s="6"/>
      <c r="DUH83" s="6"/>
      <c r="DUI83" s="6"/>
      <c r="DUJ83" s="6"/>
      <c r="DUK83" s="6"/>
      <c r="DUL83" s="6"/>
      <c r="DUM83" s="6"/>
      <c r="DUN83" s="6"/>
      <c r="DUO83" s="6"/>
      <c r="DUP83" s="6"/>
      <c r="DUQ83" s="6"/>
      <c r="DUR83" s="6"/>
      <c r="DUS83" s="6"/>
      <c r="DUT83" s="6"/>
      <c r="DUU83" s="6"/>
      <c r="DUV83" s="6"/>
      <c r="DUW83" s="6"/>
      <c r="DUX83" s="6"/>
      <c r="DUY83" s="6"/>
      <c r="DUZ83" s="6"/>
      <c r="DVA83" s="6"/>
      <c r="DVB83" s="6"/>
      <c r="DVC83" s="6"/>
      <c r="DVD83" s="6"/>
      <c r="DVE83" s="6"/>
      <c r="DVF83" s="6"/>
      <c r="DVG83" s="6"/>
      <c r="DVH83" s="6"/>
      <c r="DVI83" s="6"/>
      <c r="DVJ83" s="6"/>
      <c r="DVK83" s="6"/>
      <c r="DVL83" s="6"/>
      <c r="DVM83" s="6"/>
      <c r="DVN83" s="6"/>
      <c r="DVO83" s="6"/>
      <c r="DVP83" s="6"/>
      <c r="DVQ83" s="6"/>
      <c r="DVR83" s="6"/>
      <c r="DVS83" s="6"/>
      <c r="DVT83" s="6"/>
      <c r="DVU83" s="6"/>
      <c r="DVV83" s="6"/>
      <c r="DVW83" s="6"/>
      <c r="DVX83" s="6"/>
      <c r="DVY83" s="6"/>
      <c r="DVZ83" s="6"/>
      <c r="DWA83" s="6"/>
      <c r="DWB83" s="6"/>
      <c r="DWC83" s="6"/>
      <c r="DWD83" s="6"/>
      <c r="DWE83" s="6"/>
      <c r="DWF83" s="6"/>
      <c r="DWG83" s="6"/>
      <c r="DWH83" s="6"/>
      <c r="DWI83" s="6"/>
      <c r="DWJ83" s="6"/>
      <c r="DWK83" s="6"/>
      <c r="DWL83" s="6"/>
      <c r="DWM83" s="6"/>
      <c r="DWN83" s="6"/>
      <c r="DWO83" s="6"/>
      <c r="DWP83" s="6"/>
      <c r="DWQ83" s="6"/>
      <c r="DWR83" s="6"/>
      <c r="DWS83" s="6"/>
      <c r="DWT83" s="6"/>
      <c r="DWU83" s="6"/>
      <c r="DWV83" s="6"/>
      <c r="DWW83" s="6"/>
      <c r="DWX83" s="6"/>
      <c r="DWY83" s="6"/>
      <c r="DWZ83" s="6"/>
      <c r="DXA83" s="6"/>
      <c r="DXB83" s="6"/>
      <c r="DXC83" s="6"/>
      <c r="DXD83" s="6"/>
      <c r="DXE83" s="6"/>
      <c r="DXF83" s="6"/>
      <c r="DXG83" s="6"/>
      <c r="DXH83" s="6"/>
      <c r="DXI83" s="6"/>
      <c r="DXJ83" s="6"/>
      <c r="DXK83" s="6"/>
      <c r="DXL83" s="6"/>
      <c r="DXM83" s="6"/>
      <c r="DXN83" s="6"/>
      <c r="DXO83" s="6"/>
      <c r="DXP83" s="6"/>
      <c r="DXQ83" s="6"/>
      <c r="DXR83" s="6"/>
      <c r="DXS83" s="6"/>
      <c r="DXT83" s="6"/>
      <c r="DXU83" s="6"/>
      <c r="DXV83" s="6"/>
      <c r="DXW83" s="6"/>
      <c r="DXX83" s="6"/>
      <c r="DXY83" s="6"/>
      <c r="DXZ83" s="6"/>
      <c r="DYA83" s="6"/>
      <c r="DYB83" s="6"/>
      <c r="DYC83" s="6"/>
      <c r="DYD83" s="6"/>
      <c r="DYE83" s="6"/>
      <c r="DYF83" s="6"/>
      <c r="DYG83" s="6"/>
      <c r="DYH83" s="6"/>
      <c r="DYI83" s="6"/>
      <c r="DYJ83" s="6"/>
      <c r="DYK83" s="6"/>
      <c r="DYL83" s="6"/>
      <c r="DYM83" s="6"/>
      <c r="DYN83" s="6"/>
      <c r="DYO83" s="6"/>
      <c r="DYP83" s="6"/>
      <c r="DYQ83" s="6"/>
      <c r="DYR83" s="6"/>
      <c r="DYS83" s="6"/>
      <c r="DYT83" s="6"/>
      <c r="DYU83" s="6"/>
      <c r="DYV83" s="6"/>
      <c r="DYW83" s="6"/>
      <c r="DYX83" s="6"/>
      <c r="DYY83" s="6"/>
      <c r="DYZ83" s="6"/>
      <c r="DZA83" s="6"/>
      <c r="DZB83" s="6"/>
      <c r="DZC83" s="6"/>
      <c r="DZD83" s="6"/>
      <c r="DZE83" s="6"/>
      <c r="DZF83" s="6"/>
      <c r="DZG83" s="6"/>
      <c r="DZH83" s="6"/>
      <c r="DZI83" s="6"/>
      <c r="DZJ83" s="6"/>
      <c r="DZK83" s="6"/>
      <c r="DZL83" s="6"/>
      <c r="DZM83" s="6"/>
      <c r="DZN83" s="6"/>
      <c r="DZO83" s="6"/>
      <c r="DZP83" s="6"/>
      <c r="DZQ83" s="6"/>
      <c r="DZR83" s="6"/>
      <c r="DZS83" s="6"/>
      <c r="DZT83" s="6"/>
      <c r="DZU83" s="6"/>
      <c r="DZV83" s="6"/>
      <c r="DZW83" s="6"/>
      <c r="DZX83" s="6"/>
      <c r="DZY83" s="6"/>
      <c r="DZZ83" s="6"/>
      <c r="EAA83" s="6"/>
      <c r="EAB83" s="6"/>
      <c r="EAC83" s="6"/>
      <c r="EAD83" s="6"/>
      <c r="EAE83" s="6"/>
      <c r="EAF83" s="6"/>
      <c r="EAG83" s="6"/>
      <c r="EAH83" s="6"/>
      <c r="EAI83" s="6"/>
      <c r="EAJ83" s="6"/>
      <c r="EAK83" s="6"/>
      <c r="EAL83" s="6"/>
      <c r="EAM83" s="6"/>
      <c r="EAN83" s="6"/>
      <c r="EAO83" s="6"/>
      <c r="EAP83" s="6"/>
      <c r="EAQ83" s="6"/>
      <c r="EAR83" s="6"/>
      <c r="EAS83" s="6"/>
      <c r="EAT83" s="6"/>
      <c r="EAU83" s="6"/>
      <c r="EAV83" s="6"/>
      <c r="EAW83" s="6"/>
      <c r="EAX83" s="6"/>
      <c r="EAY83" s="6"/>
      <c r="EAZ83" s="6"/>
      <c r="EBA83" s="6"/>
      <c r="EBB83" s="6"/>
      <c r="EBC83" s="6"/>
      <c r="EBD83" s="6"/>
      <c r="EBE83" s="6"/>
      <c r="EBF83" s="6"/>
      <c r="EBG83" s="6"/>
      <c r="EBH83" s="6"/>
      <c r="EBI83" s="6"/>
      <c r="EBJ83" s="6"/>
      <c r="EBK83" s="6"/>
      <c r="EBL83" s="6"/>
      <c r="EBM83" s="6"/>
      <c r="EBN83" s="6"/>
      <c r="EBO83" s="6"/>
      <c r="EBP83" s="6"/>
      <c r="EBQ83" s="6"/>
      <c r="EBR83" s="6"/>
      <c r="EBS83" s="6"/>
      <c r="EBT83" s="6"/>
      <c r="EBU83" s="6"/>
      <c r="EBV83" s="6"/>
      <c r="EBW83" s="6"/>
      <c r="EBX83" s="6"/>
      <c r="EBY83" s="6"/>
      <c r="EBZ83" s="6"/>
      <c r="ECA83" s="6"/>
      <c r="ECB83" s="6"/>
      <c r="ECC83" s="6"/>
      <c r="ECD83" s="6"/>
      <c r="ECE83" s="6"/>
      <c r="ECF83" s="6"/>
      <c r="ECG83" s="6"/>
      <c r="ECH83" s="6"/>
      <c r="ECI83" s="6"/>
      <c r="ECJ83" s="6"/>
      <c r="ECK83" s="6"/>
      <c r="ECL83" s="6"/>
      <c r="ECM83" s="6"/>
      <c r="ECN83" s="6"/>
      <c r="ECO83" s="6"/>
      <c r="ECP83" s="6"/>
      <c r="ECQ83" s="6"/>
      <c r="ECR83" s="6"/>
      <c r="ECS83" s="6"/>
      <c r="ECT83" s="6"/>
      <c r="ECU83" s="6"/>
      <c r="ECV83" s="6"/>
      <c r="ECW83" s="6"/>
      <c r="ECX83" s="6"/>
      <c r="ECY83" s="6"/>
      <c r="ECZ83" s="6"/>
      <c r="EDA83" s="6"/>
      <c r="EDB83" s="6"/>
      <c r="EDC83" s="6"/>
      <c r="EDD83" s="6"/>
      <c r="EDE83" s="6"/>
      <c r="EDF83" s="6"/>
      <c r="EDG83" s="6"/>
      <c r="EDH83" s="6"/>
      <c r="EDI83" s="6"/>
      <c r="EDJ83" s="6"/>
      <c r="EDK83" s="6"/>
      <c r="EDL83" s="6"/>
      <c r="EDM83" s="6"/>
      <c r="EDN83" s="6"/>
      <c r="EDO83" s="6"/>
      <c r="EDP83" s="6"/>
      <c r="EDQ83" s="6"/>
      <c r="EDR83" s="6"/>
      <c r="EDS83" s="6"/>
      <c r="EDT83" s="6"/>
      <c r="EDU83" s="6"/>
      <c r="EDV83" s="6"/>
      <c r="EDW83" s="6"/>
      <c r="EDX83" s="6"/>
      <c r="EDY83" s="6"/>
      <c r="EDZ83" s="6"/>
      <c r="EEA83" s="6"/>
      <c r="EEB83" s="6"/>
      <c r="EEC83" s="6"/>
      <c r="EED83" s="6"/>
      <c r="EEE83" s="6"/>
      <c r="EEF83" s="6"/>
      <c r="EEG83" s="6"/>
      <c r="EEH83" s="6"/>
      <c r="EEI83" s="6"/>
      <c r="EEJ83" s="6"/>
      <c r="EEK83" s="6"/>
      <c r="EEL83" s="6"/>
      <c r="EEM83" s="6"/>
      <c r="EEN83" s="6"/>
      <c r="EEO83" s="6"/>
      <c r="EEP83" s="6"/>
      <c r="EEQ83" s="6"/>
      <c r="EER83" s="6"/>
      <c r="EES83" s="6"/>
      <c r="EET83" s="6"/>
      <c r="EEU83" s="6"/>
      <c r="EEV83" s="6"/>
      <c r="EEW83" s="6"/>
      <c r="EEX83" s="6"/>
      <c r="EEY83" s="6"/>
      <c r="EEZ83" s="6"/>
      <c r="EFA83" s="6"/>
      <c r="EFB83" s="6"/>
      <c r="EFC83" s="6"/>
      <c r="EFD83" s="6"/>
      <c r="EFE83" s="6"/>
      <c r="EFF83" s="6"/>
      <c r="EFG83" s="6"/>
      <c r="EFH83" s="6"/>
      <c r="EFI83" s="6"/>
      <c r="EFJ83" s="6"/>
      <c r="EFK83" s="6"/>
      <c r="EFL83" s="6"/>
      <c r="EFM83" s="6"/>
      <c r="EFN83" s="6"/>
      <c r="EFO83" s="6"/>
      <c r="EFP83" s="6"/>
      <c r="EFQ83" s="6"/>
      <c r="EFR83" s="6"/>
      <c r="EFS83" s="6"/>
      <c r="EFT83" s="6"/>
      <c r="EFU83" s="6"/>
      <c r="EFV83" s="6"/>
      <c r="EFW83" s="6"/>
      <c r="EFX83" s="6"/>
      <c r="EFY83" s="6"/>
      <c r="EFZ83" s="6"/>
      <c r="EGA83" s="6"/>
      <c r="EGB83" s="6"/>
      <c r="EGC83" s="6"/>
      <c r="EGD83" s="6"/>
      <c r="EGE83" s="6"/>
      <c r="EGF83" s="6"/>
      <c r="EGG83" s="6"/>
      <c r="EGH83" s="6"/>
      <c r="EGI83" s="6"/>
      <c r="EGJ83" s="6"/>
      <c r="EGK83" s="6"/>
      <c r="EGL83" s="6"/>
      <c r="EGM83" s="6"/>
      <c r="EGN83" s="6"/>
      <c r="EGO83" s="6"/>
      <c r="EGP83" s="6"/>
      <c r="EGQ83" s="6"/>
      <c r="EGR83" s="6"/>
      <c r="EGS83" s="6"/>
      <c r="EGT83" s="6"/>
      <c r="EGU83" s="6"/>
      <c r="EGV83" s="6"/>
      <c r="EGW83" s="6"/>
      <c r="EGX83" s="6"/>
      <c r="EGY83" s="6"/>
      <c r="EGZ83" s="6"/>
      <c r="EHA83" s="6"/>
      <c r="EHB83" s="6"/>
      <c r="EHC83" s="6"/>
      <c r="EHD83" s="6"/>
      <c r="EHE83" s="6"/>
      <c r="EHF83" s="6"/>
      <c r="EHG83" s="6"/>
      <c r="EHH83" s="6"/>
      <c r="EHI83" s="6"/>
      <c r="EHJ83" s="6"/>
      <c r="EHK83" s="6"/>
      <c r="EHL83" s="6"/>
      <c r="EHM83" s="6"/>
      <c r="EHN83" s="6"/>
      <c r="EHO83" s="6"/>
      <c r="EHP83" s="6"/>
      <c r="EHQ83" s="6"/>
      <c r="EHR83" s="6"/>
      <c r="EHS83" s="6"/>
      <c r="EHT83" s="6"/>
      <c r="EHU83" s="6"/>
      <c r="EHV83" s="6"/>
      <c r="EHW83" s="6"/>
      <c r="EHX83" s="6"/>
      <c r="EHY83" s="6"/>
      <c r="EHZ83" s="6"/>
      <c r="EIA83" s="6"/>
      <c r="EIB83" s="6"/>
      <c r="EIC83" s="6"/>
      <c r="EID83" s="6"/>
      <c r="EIE83" s="6"/>
      <c r="EIF83" s="6"/>
      <c r="EIG83" s="6"/>
      <c r="EIH83" s="6"/>
      <c r="EII83" s="6"/>
      <c r="EIJ83" s="6"/>
      <c r="EIK83" s="6"/>
      <c r="EIL83" s="6"/>
      <c r="EIM83" s="6"/>
      <c r="EIN83" s="6"/>
      <c r="EIO83" s="6"/>
      <c r="EIP83" s="6"/>
      <c r="EIQ83" s="6"/>
      <c r="EIR83" s="6"/>
      <c r="EIS83" s="6"/>
      <c r="EIT83" s="6"/>
      <c r="EIU83" s="6"/>
      <c r="EIV83" s="6"/>
      <c r="EIW83" s="6"/>
      <c r="EIX83" s="6"/>
      <c r="EIY83" s="6"/>
      <c r="EIZ83" s="6"/>
      <c r="EJA83" s="6"/>
      <c r="EJB83" s="6"/>
      <c r="EJC83" s="6"/>
      <c r="EJD83" s="6"/>
      <c r="EJE83" s="6"/>
      <c r="EJF83" s="6"/>
      <c r="EJG83" s="6"/>
      <c r="EJH83" s="6"/>
      <c r="EJI83" s="6"/>
      <c r="EJJ83" s="6"/>
      <c r="EJK83" s="6"/>
      <c r="EJL83" s="6"/>
      <c r="EJM83" s="6"/>
      <c r="EJN83" s="6"/>
      <c r="EJO83" s="6"/>
      <c r="EJP83" s="6"/>
      <c r="EJQ83" s="6"/>
      <c r="EJR83" s="6"/>
      <c r="EJS83" s="6"/>
      <c r="EJT83" s="6"/>
      <c r="EJU83" s="6"/>
      <c r="EJV83" s="6"/>
      <c r="EJW83" s="6"/>
      <c r="EJX83" s="6"/>
      <c r="EJY83" s="6"/>
      <c r="EJZ83" s="6"/>
      <c r="EKA83" s="6"/>
      <c r="EKB83" s="6"/>
      <c r="EKC83" s="6"/>
      <c r="EKD83" s="6"/>
      <c r="EKE83" s="6"/>
      <c r="EKF83" s="6"/>
      <c r="EKG83" s="6"/>
      <c r="EKH83" s="6"/>
      <c r="EKI83" s="6"/>
      <c r="EKJ83" s="6"/>
      <c r="EKK83" s="6"/>
      <c r="EKL83" s="6"/>
      <c r="EKM83" s="6"/>
      <c r="EKN83" s="6"/>
      <c r="EKO83" s="6"/>
      <c r="EKP83" s="6"/>
      <c r="EKQ83" s="6"/>
      <c r="EKR83" s="6"/>
      <c r="EKS83" s="6"/>
      <c r="EKT83" s="6"/>
      <c r="EKU83" s="6"/>
      <c r="EKV83" s="6"/>
      <c r="EKW83" s="6"/>
      <c r="EKX83" s="6"/>
      <c r="EKY83" s="6"/>
      <c r="EKZ83" s="6"/>
      <c r="ELA83" s="6"/>
      <c r="ELB83" s="6"/>
      <c r="ELC83" s="6"/>
      <c r="ELD83" s="6"/>
      <c r="ELE83" s="6"/>
      <c r="ELF83" s="6"/>
      <c r="ELG83" s="6"/>
      <c r="ELH83" s="6"/>
      <c r="ELI83" s="6"/>
      <c r="ELJ83" s="6"/>
      <c r="ELK83" s="6"/>
      <c r="ELL83" s="6"/>
      <c r="ELM83" s="6"/>
      <c r="ELN83" s="6"/>
      <c r="ELO83" s="6"/>
      <c r="ELP83" s="6"/>
      <c r="ELQ83" s="6"/>
      <c r="ELR83" s="6"/>
      <c r="ELS83" s="6"/>
      <c r="ELT83" s="6"/>
      <c r="ELU83" s="6"/>
      <c r="ELV83" s="6"/>
      <c r="ELW83" s="6"/>
      <c r="ELX83" s="6"/>
      <c r="ELY83" s="6"/>
      <c r="ELZ83" s="6"/>
      <c r="EMA83" s="6"/>
      <c r="EMB83" s="6"/>
      <c r="EMC83" s="6"/>
      <c r="EMD83" s="6"/>
      <c r="EME83" s="6"/>
      <c r="EMF83" s="6"/>
      <c r="EMG83" s="6"/>
      <c r="EMH83" s="6"/>
      <c r="EMI83" s="6"/>
      <c r="EMJ83" s="6"/>
      <c r="EMK83" s="6"/>
      <c r="EML83" s="6"/>
      <c r="EMM83" s="6"/>
      <c r="EMN83" s="6"/>
      <c r="EMO83" s="6"/>
      <c r="EMP83" s="6"/>
      <c r="EMQ83" s="6"/>
      <c r="EMR83" s="6"/>
      <c r="EMS83" s="6"/>
      <c r="EMT83" s="6"/>
      <c r="EMU83" s="6"/>
      <c r="EMV83" s="6"/>
      <c r="EMW83" s="6"/>
      <c r="EMX83" s="6"/>
      <c r="EMY83" s="6"/>
      <c r="EMZ83" s="6"/>
      <c r="ENA83" s="6"/>
      <c r="ENB83" s="6"/>
      <c r="ENC83" s="6"/>
      <c r="END83" s="6"/>
      <c r="ENE83" s="6"/>
      <c r="ENF83" s="6"/>
      <c r="ENG83" s="6"/>
      <c r="ENH83" s="6"/>
      <c r="ENI83" s="6"/>
      <c r="ENJ83" s="6"/>
      <c r="ENK83" s="6"/>
      <c r="ENL83" s="6"/>
      <c r="ENM83" s="6"/>
      <c r="ENN83" s="6"/>
      <c r="ENO83" s="6"/>
      <c r="ENP83" s="6"/>
      <c r="ENQ83" s="6"/>
      <c r="ENR83" s="6"/>
      <c r="ENS83" s="6"/>
      <c r="ENT83" s="6"/>
      <c r="ENU83" s="6"/>
      <c r="ENV83" s="6"/>
      <c r="ENW83" s="6"/>
      <c r="ENX83" s="6"/>
      <c r="ENY83" s="6"/>
      <c r="ENZ83" s="6"/>
      <c r="EOA83" s="6"/>
      <c r="EOB83" s="6"/>
      <c r="EOC83" s="6"/>
      <c r="EOD83" s="6"/>
      <c r="EOE83" s="6"/>
      <c r="EOF83" s="6"/>
      <c r="EOG83" s="6"/>
      <c r="EOH83" s="6"/>
      <c r="EOI83" s="6"/>
      <c r="EOJ83" s="6"/>
      <c r="EOK83" s="6"/>
      <c r="EOL83" s="6"/>
      <c r="EOM83" s="6"/>
      <c r="EON83" s="6"/>
      <c r="EOO83" s="6"/>
      <c r="EOP83" s="6"/>
      <c r="EOQ83" s="6"/>
      <c r="EOR83" s="6"/>
      <c r="EOS83" s="6"/>
      <c r="EOT83" s="6"/>
      <c r="EOU83" s="6"/>
      <c r="EOV83" s="6"/>
      <c r="EOW83" s="6"/>
      <c r="EOX83" s="6"/>
      <c r="EOY83" s="6"/>
      <c r="EOZ83" s="6"/>
      <c r="EPA83" s="6"/>
      <c r="EPB83" s="6"/>
      <c r="EPC83" s="6"/>
      <c r="EPD83" s="6"/>
      <c r="EPE83" s="6"/>
      <c r="EPF83" s="6"/>
      <c r="EPG83" s="6"/>
      <c r="EPH83" s="6"/>
      <c r="EPI83" s="6"/>
      <c r="EPJ83" s="6"/>
      <c r="EPK83" s="6"/>
      <c r="EPL83" s="6"/>
      <c r="EPM83" s="6"/>
      <c r="EPN83" s="6"/>
      <c r="EPO83" s="6"/>
      <c r="EPP83" s="6"/>
      <c r="EPQ83" s="6"/>
      <c r="EPR83" s="6"/>
      <c r="EPS83" s="6"/>
      <c r="EPT83" s="6"/>
      <c r="EPU83" s="6"/>
      <c r="EPV83" s="6"/>
      <c r="EPW83" s="6"/>
      <c r="EPX83" s="6"/>
      <c r="EPY83" s="6"/>
      <c r="EPZ83" s="6"/>
      <c r="EQA83" s="6"/>
      <c r="EQB83" s="6"/>
      <c r="EQC83" s="6"/>
      <c r="EQD83" s="6"/>
      <c r="EQE83" s="6"/>
      <c r="EQF83" s="6"/>
      <c r="EQG83" s="6"/>
      <c r="EQH83" s="6"/>
      <c r="EQI83" s="6"/>
      <c r="EQJ83" s="6"/>
      <c r="EQK83" s="6"/>
      <c r="EQL83" s="6"/>
      <c r="EQM83" s="6"/>
      <c r="EQN83" s="6"/>
      <c r="EQO83" s="6"/>
      <c r="EQP83" s="6"/>
      <c r="EQQ83" s="6"/>
      <c r="EQR83" s="6"/>
      <c r="EQS83" s="6"/>
      <c r="EQT83" s="6"/>
      <c r="EQU83" s="6"/>
      <c r="EQV83" s="6"/>
      <c r="EQW83" s="6"/>
      <c r="EQX83" s="6"/>
      <c r="EQY83" s="6"/>
      <c r="EQZ83" s="6"/>
      <c r="ERA83" s="6"/>
      <c r="ERB83" s="6"/>
      <c r="ERC83" s="6"/>
      <c r="ERD83" s="6"/>
      <c r="ERE83" s="6"/>
      <c r="ERF83" s="6"/>
      <c r="ERG83" s="6"/>
      <c r="ERH83" s="6"/>
      <c r="ERI83" s="6"/>
      <c r="ERJ83" s="6"/>
      <c r="ERK83" s="6"/>
      <c r="ERL83" s="6"/>
      <c r="ERM83" s="6"/>
      <c r="ERN83" s="6"/>
      <c r="ERO83" s="6"/>
      <c r="ERP83" s="6"/>
      <c r="ERQ83" s="6"/>
      <c r="ERR83" s="6"/>
      <c r="ERS83" s="6"/>
      <c r="ERT83" s="6"/>
      <c r="ERU83" s="6"/>
      <c r="ERV83" s="6"/>
      <c r="ERW83" s="6"/>
      <c r="ERX83" s="6"/>
      <c r="ERY83" s="6"/>
      <c r="ERZ83" s="6"/>
      <c r="ESA83" s="6"/>
      <c r="ESB83" s="6"/>
      <c r="ESC83" s="6"/>
      <c r="ESD83" s="6"/>
      <c r="ESE83" s="6"/>
      <c r="ESF83" s="6"/>
      <c r="ESG83" s="6"/>
      <c r="ESH83" s="6"/>
      <c r="ESI83" s="6"/>
      <c r="ESJ83" s="6"/>
      <c r="ESK83" s="6"/>
      <c r="ESL83" s="6"/>
      <c r="ESM83" s="6"/>
      <c r="ESN83" s="6"/>
      <c r="ESO83" s="6"/>
      <c r="ESP83" s="6"/>
      <c r="ESQ83" s="6"/>
      <c r="ESR83" s="6"/>
      <c r="ESS83" s="6"/>
      <c r="EST83" s="6"/>
      <c r="ESU83" s="6"/>
      <c r="ESV83" s="6"/>
      <c r="ESW83" s="6"/>
      <c r="ESX83" s="6"/>
      <c r="ESY83" s="6"/>
      <c r="ESZ83" s="6"/>
      <c r="ETA83" s="6"/>
      <c r="ETB83" s="6"/>
      <c r="ETC83" s="6"/>
      <c r="ETD83" s="6"/>
      <c r="ETE83" s="6"/>
      <c r="ETF83" s="6"/>
      <c r="ETG83" s="6"/>
      <c r="ETH83" s="6"/>
      <c r="ETI83" s="6"/>
      <c r="ETJ83" s="6"/>
      <c r="ETK83" s="6"/>
      <c r="ETL83" s="6"/>
      <c r="ETM83" s="6"/>
      <c r="ETN83" s="6"/>
      <c r="ETO83" s="6"/>
      <c r="ETP83" s="6"/>
      <c r="ETQ83" s="6"/>
      <c r="ETR83" s="6"/>
      <c r="ETS83" s="6"/>
      <c r="ETT83" s="6"/>
      <c r="ETU83" s="6"/>
      <c r="ETV83" s="6"/>
      <c r="ETW83" s="6"/>
      <c r="ETX83" s="6"/>
      <c r="ETY83" s="6"/>
      <c r="ETZ83" s="6"/>
      <c r="EUA83" s="6"/>
      <c r="EUB83" s="6"/>
      <c r="EUC83" s="6"/>
      <c r="EUD83" s="6"/>
      <c r="EUE83" s="6"/>
      <c r="EUF83" s="6"/>
      <c r="EUG83" s="6"/>
      <c r="EUH83" s="6"/>
      <c r="EUI83" s="6"/>
      <c r="EUJ83" s="6"/>
      <c r="EUK83" s="6"/>
      <c r="EUL83" s="6"/>
      <c r="EUM83" s="6"/>
      <c r="EUN83" s="6"/>
      <c r="EUO83" s="6"/>
      <c r="EUP83" s="6"/>
      <c r="EUQ83" s="6"/>
      <c r="EUR83" s="6"/>
      <c r="EUS83" s="6"/>
      <c r="EUT83" s="6"/>
      <c r="EUU83" s="6"/>
      <c r="EUV83" s="6"/>
      <c r="EUW83" s="6"/>
      <c r="EUX83" s="6"/>
      <c r="EUY83" s="6"/>
      <c r="EUZ83" s="6"/>
      <c r="EVA83" s="6"/>
      <c r="EVB83" s="6"/>
      <c r="EVC83" s="6"/>
      <c r="EVD83" s="6"/>
      <c r="EVE83" s="6"/>
      <c r="EVF83" s="6"/>
      <c r="EVG83" s="6"/>
      <c r="EVH83" s="6"/>
      <c r="EVI83" s="6"/>
      <c r="EVJ83" s="6"/>
      <c r="EVK83" s="6"/>
      <c r="EVL83" s="6"/>
      <c r="EVM83" s="6"/>
      <c r="EVN83" s="6"/>
      <c r="EVO83" s="6"/>
      <c r="EVP83" s="6"/>
      <c r="EVQ83" s="6"/>
      <c r="EVR83" s="6"/>
      <c r="EVS83" s="6"/>
      <c r="EVT83" s="6"/>
      <c r="EVU83" s="6"/>
      <c r="EVV83" s="6"/>
      <c r="EVW83" s="6"/>
      <c r="EVX83" s="6"/>
      <c r="EVY83" s="6"/>
      <c r="EVZ83" s="6"/>
      <c r="EWA83" s="6"/>
      <c r="EWB83" s="6"/>
      <c r="EWC83" s="6"/>
      <c r="EWD83" s="6"/>
      <c r="EWE83" s="6"/>
      <c r="EWF83" s="6"/>
      <c r="EWG83" s="6"/>
      <c r="EWH83" s="6"/>
      <c r="EWI83" s="6"/>
      <c r="EWJ83" s="6"/>
      <c r="EWK83" s="6"/>
      <c r="EWL83" s="6"/>
      <c r="EWM83" s="6"/>
      <c r="EWN83" s="6"/>
      <c r="EWO83" s="6"/>
      <c r="EWP83" s="6"/>
      <c r="EWQ83" s="6"/>
      <c r="EWR83" s="6"/>
      <c r="EWS83" s="6"/>
      <c r="EWT83" s="6"/>
      <c r="EWU83" s="6"/>
      <c r="EWV83" s="6"/>
      <c r="EWW83" s="6"/>
      <c r="EWX83" s="6"/>
      <c r="EWY83" s="6"/>
      <c r="EWZ83" s="6"/>
      <c r="EXA83" s="6"/>
      <c r="EXB83" s="6"/>
      <c r="EXC83" s="6"/>
      <c r="EXD83" s="6"/>
      <c r="EXE83" s="6"/>
      <c r="EXF83" s="6"/>
      <c r="EXG83" s="6"/>
      <c r="EXH83" s="6"/>
      <c r="EXI83" s="6"/>
      <c r="EXJ83" s="6"/>
      <c r="EXK83" s="6"/>
      <c r="EXL83" s="6"/>
      <c r="EXM83" s="6"/>
      <c r="EXN83" s="6"/>
      <c r="EXO83" s="6"/>
      <c r="EXP83" s="6"/>
      <c r="EXQ83" s="6"/>
      <c r="EXR83" s="6"/>
      <c r="EXS83" s="6"/>
      <c r="EXT83" s="6"/>
      <c r="EXU83" s="6"/>
      <c r="EXV83" s="6"/>
      <c r="EXW83" s="6"/>
      <c r="EXX83" s="6"/>
      <c r="EXY83" s="6"/>
      <c r="EXZ83" s="6"/>
      <c r="EYA83" s="6"/>
      <c r="EYB83" s="6"/>
      <c r="EYC83" s="6"/>
      <c r="EYD83" s="6"/>
      <c r="EYE83" s="6"/>
      <c r="EYF83" s="6"/>
      <c r="EYG83" s="6"/>
      <c r="EYH83" s="6"/>
      <c r="EYI83" s="6"/>
      <c r="EYJ83" s="6"/>
      <c r="EYK83" s="6"/>
      <c r="EYL83" s="6"/>
      <c r="EYM83" s="6"/>
      <c r="EYN83" s="6"/>
      <c r="EYO83" s="6"/>
      <c r="EYP83" s="6"/>
      <c r="EYQ83" s="6"/>
      <c r="EYR83" s="6"/>
      <c r="EYS83" s="6"/>
      <c r="EYT83" s="6"/>
      <c r="EYU83" s="6"/>
      <c r="EYV83" s="6"/>
      <c r="EYW83" s="6"/>
      <c r="EYX83" s="6"/>
      <c r="EYY83" s="6"/>
      <c r="EYZ83" s="6"/>
      <c r="EZA83" s="6"/>
      <c r="EZB83" s="6"/>
      <c r="EZC83" s="6"/>
      <c r="EZD83" s="6"/>
      <c r="EZE83" s="6"/>
      <c r="EZF83" s="6"/>
      <c r="EZG83" s="6"/>
      <c r="EZH83" s="6"/>
      <c r="EZI83" s="6"/>
      <c r="EZJ83" s="6"/>
      <c r="EZK83" s="6"/>
      <c r="EZL83" s="6"/>
      <c r="EZM83" s="6"/>
      <c r="EZN83" s="6"/>
      <c r="EZO83" s="6"/>
      <c r="EZP83" s="6"/>
      <c r="EZQ83" s="6"/>
      <c r="EZR83" s="6"/>
      <c r="EZS83" s="6"/>
      <c r="EZT83" s="6"/>
      <c r="EZU83" s="6"/>
      <c r="EZV83" s="6"/>
      <c r="EZW83" s="6"/>
      <c r="EZX83" s="6"/>
      <c r="EZY83" s="6"/>
      <c r="EZZ83" s="6"/>
      <c r="FAA83" s="6"/>
      <c r="FAB83" s="6"/>
      <c r="FAC83" s="6"/>
      <c r="FAD83" s="6"/>
      <c r="FAE83" s="6"/>
      <c r="FAF83" s="6"/>
      <c r="FAG83" s="6"/>
      <c r="FAH83" s="6"/>
      <c r="FAI83" s="6"/>
      <c r="FAJ83" s="6"/>
      <c r="FAK83" s="6"/>
      <c r="FAL83" s="6"/>
      <c r="FAM83" s="6"/>
      <c r="FAN83" s="6"/>
      <c r="FAO83" s="6"/>
      <c r="FAP83" s="6"/>
      <c r="FAQ83" s="6"/>
      <c r="FAR83" s="6"/>
      <c r="FAS83" s="6"/>
      <c r="FAT83" s="6"/>
      <c r="FAU83" s="6"/>
      <c r="FAV83" s="6"/>
      <c r="FAW83" s="6"/>
      <c r="FAX83" s="6"/>
      <c r="FAY83" s="6"/>
      <c r="FAZ83" s="6"/>
      <c r="FBA83" s="6"/>
      <c r="FBB83" s="6"/>
      <c r="FBC83" s="6"/>
      <c r="FBD83" s="6"/>
      <c r="FBE83" s="6"/>
      <c r="FBF83" s="6"/>
      <c r="FBG83" s="6"/>
      <c r="FBH83" s="6"/>
      <c r="FBI83" s="6"/>
      <c r="FBJ83" s="6"/>
      <c r="FBK83" s="6"/>
      <c r="FBL83" s="6"/>
      <c r="FBM83" s="6"/>
      <c r="FBN83" s="6"/>
      <c r="FBO83" s="6"/>
      <c r="FBP83" s="6"/>
      <c r="FBQ83" s="6"/>
      <c r="FBR83" s="6"/>
      <c r="FBS83" s="6"/>
      <c r="FBT83" s="6"/>
      <c r="FBU83" s="6"/>
      <c r="FBV83" s="6"/>
      <c r="FBW83" s="6"/>
      <c r="FBX83" s="6"/>
      <c r="FBY83" s="6"/>
      <c r="FBZ83" s="6"/>
      <c r="FCA83" s="6"/>
      <c r="FCB83" s="6"/>
      <c r="FCC83" s="6"/>
      <c r="FCD83" s="6"/>
      <c r="FCE83" s="6"/>
      <c r="FCF83" s="6"/>
      <c r="FCG83" s="6"/>
      <c r="FCH83" s="6"/>
      <c r="FCI83" s="6"/>
      <c r="FCJ83" s="6"/>
      <c r="FCK83" s="6"/>
      <c r="FCL83" s="6"/>
      <c r="FCM83" s="6"/>
      <c r="FCN83" s="6"/>
      <c r="FCO83" s="6"/>
      <c r="FCP83" s="6"/>
      <c r="FCQ83" s="6"/>
      <c r="FCR83" s="6"/>
      <c r="FCS83" s="6"/>
      <c r="FCT83" s="6"/>
      <c r="FCU83" s="6"/>
      <c r="FCV83" s="6"/>
      <c r="FCW83" s="6"/>
      <c r="FCX83" s="6"/>
      <c r="FCY83" s="6"/>
      <c r="FCZ83" s="6"/>
      <c r="FDA83" s="6"/>
      <c r="FDB83" s="6"/>
      <c r="FDC83" s="6"/>
      <c r="FDD83" s="6"/>
      <c r="FDE83" s="6"/>
      <c r="FDF83" s="6"/>
      <c r="FDG83" s="6"/>
      <c r="FDH83" s="6"/>
      <c r="FDI83" s="6"/>
      <c r="FDJ83" s="6"/>
      <c r="FDK83" s="6"/>
      <c r="FDL83" s="6"/>
      <c r="FDM83" s="6"/>
      <c r="FDN83" s="6"/>
      <c r="FDO83" s="6"/>
      <c r="FDP83" s="6"/>
      <c r="FDQ83" s="6"/>
      <c r="FDR83" s="6"/>
      <c r="FDS83" s="6"/>
      <c r="FDT83" s="6"/>
      <c r="FDU83" s="6"/>
      <c r="FDV83" s="6"/>
      <c r="FDW83" s="6"/>
      <c r="FDX83" s="6"/>
      <c r="FDY83" s="6"/>
      <c r="FDZ83" s="6"/>
      <c r="FEA83" s="6"/>
      <c r="FEB83" s="6"/>
      <c r="FEC83" s="6"/>
      <c r="FED83" s="6"/>
      <c r="FEE83" s="6"/>
      <c r="FEF83" s="6"/>
      <c r="FEG83" s="6"/>
      <c r="FEH83" s="6"/>
      <c r="FEI83" s="6"/>
      <c r="FEJ83" s="6"/>
      <c r="FEK83" s="6"/>
      <c r="FEL83" s="6"/>
      <c r="FEM83" s="6"/>
      <c r="FEN83" s="6"/>
      <c r="FEO83" s="6"/>
      <c r="FEP83" s="6"/>
      <c r="FEQ83" s="6"/>
      <c r="FER83" s="6"/>
      <c r="FES83" s="6"/>
      <c r="FET83" s="6"/>
      <c r="FEU83" s="6"/>
      <c r="FEV83" s="6"/>
      <c r="FEW83" s="6"/>
      <c r="FEX83" s="6"/>
      <c r="FEY83" s="6"/>
      <c r="FEZ83" s="6"/>
      <c r="FFA83" s="6"/>
      <c r="FFB83" s="6"/>
      <c r="FFC83" s="6"/>
      <c r="FFD83" s="6"/>
      <c r="FFE83" s="6"/>
      <c r="FFF83" s="6"/>
      <c r="FFG83" s="6"/>
      <c r="FFH83" s="6"/>
      <c r="FFI83" s="6"/>
      <c r="FFJ83" s="6"/>
      <c r="FFK83" s="6"/>
      <c r="FFL83" s="6"/>
      <c r="FFM83" s="6"/>
      <c r="FFN83" s="6"/>
      <c r="FFO83" s="6"/>
      <c r="FFP83" s="6"/>
      <c r="FFQ83" s="6"/>
      <c r="FFR83" s="6"/>
      <c r="FFS83" s="6"/>
      <c r="FFT83" s="6"/>
      <c r="FFU83" s="6"/>
      <c r="FFV83" s="6"/>
      <c r="FFW83" s="6"/>
      <c r="FFX83" s="6"/>
      <c r="FFY83" s="6"/>
      <c r="FFZ83" s="6"/>
      <c r="FGA83" s="6"/>
      <c r="FGB83" s="6"/>
      <c r="FGC83" s="6"/>
      <c r="FGD83" s="6"/>
      <c r="FGE83" s="6"/>
      <c r="FGF83" s="6"/>
      <c r="FGG83" s="6"/>
      <c r="FGH83" s="6"/>
      <c r="FGI83" s="6"/>
      <c r="FGJ83" s="6"/>
      <c r="FGK83" s="6"/>
      <c r="FGL83" s="6"/>
      <c r="FGM83" s="6"/>
      <c r="FGN83" s="6"/>
      <c r="FGO83" s="6"/>
      <c r="FGP83" s="6"/>
      <c r="FGQ83" s="6"/>
      <c r="FGR83" s="6"/>
      <c r="FGS83" s="6"/>
      <c r="FGT83" s="6"/>
      <c r="FGU83" s="6"/>
      <c r="FGV83" s="6"/>
      <c r="FGW83" s="6"/>
      <c r="FGX83" s="6"/>
      <c r="FGY83" s="6"/>
      <c r="FGZ83" s="6"/>
      <c r="FHA83" s="6"/>
      <c r="FHB83" s="6"/>
      <c r="FHC83" s="6"/>
      <c r="FHD83" s="6"/>
      <c r="FHE83" s="6"/>
      <c r="FHF83" s="6"/>
      <c r="FHG83" s="6"/>
      <c r="FHH83" s="6"/>
      <c r="FHI83" s="6"/>
      <c r="FHJ83" s="6"/>
      <c r="FHK83" s="6"/>
      <c r="FHL83" s="6"/>
      <c r="FHM83" s="6"/>
      <c r="FHN83" s="6"/>
      <c r="FHO83" s="6"/>
      <c r="FHP83" s="6"/>
      <c r="FHQ83" s="6"/>
      <c r="FHR83" s="6"/>
      <c r="FHS83" s="6"/>
      <c r="FHT83" s="6"/>
      <c r="FHU83" s="6"/>
      <c r="FHV83" s="6"/>
      <c r="FHW83" s="6"/>
      <c r="FHX83" s="6"/>
      <c r="FHY83" s="6"/>
      <c r="FHZ83" s="6"/>
      <c r="FIA83" s="6"/>
      <c r="FIB83" s="6"/>
      <c r="FIC83" s="6"/>
      <c r="FID83" s="6"/>
      <c r="FIE83" s="6"/>
      <c r="FIF83" s="6"/>
      <c r="FIG83" s="6"/>
      <c r="FIH83" s="6"/>
      <c r="FII83" s="6"/>
      <c r="FIJ83" s="6"/>
      <c r="FIK83" s="6"/>
      <c r="FIL83" s="6"/>
      <c r="FIM83" s="6"/>
      <c r="FIN83" s="6"/>
      <c r="FIO83" s="6"/>
      <c r="FIP83" s="6"/>
      <c r="FIQ83" s="6"/>
      <c r="FIR83" s="6"/>
      <c r="FIS83" s="6"/>
      <c r="FIT83" s="6"/>
      <c r="FIU83" s="6"/>
      <c r="FIV83" s="6"/>
      <c r="FIW83" s="6"/>
      <c r="FIX83" s="6"/>
      <c r="FIY83" s="6"/>
      <c r="FIZ83" s="6"/>
      <c r="FJA83" s="6"/>
      <c r="FJB83" s="6"/>
      <c r="FJC83" s="6"/>
      <c r="FJD83" s="6"/>
      <c r="FJE83" s="6"/>
      <c r="FJF83" s="6"/>
      <c r="FJG83" s="6"/>
      <c r="FJH83" s="6"/>
      <c r="FJI83" s="6"/>
      <c r="FJJ83" s="6"/>
      <c r="FJK83" s="6"/>
      <c r="FJL83" s="6"/>
      <c r="FJM83" s="6"/>
      <c r="FJN83" s="6"/>
      <c r="FJO83" s="6"/>
      <c r="FJP83" s="6"/>
      <c r="FJQ83" s="6"/>
      <c r="FJR83" s="6"/>
      <c r="FJS83" s="6"/>
      <c r="FJT83" s="6"/>
      <c r="FJU83" s="6"/>
      <c r="FJV83" s="6"/>
      <c r="FJW83" s="6"/>
      <c r="FJX83" s="6"/>
      <c r="FJY83" s="6"/>
      <c r="FJZ83" s="6"/>
      <c r="FKA83" s="6"/>
      <c r="FKB83" s="6"/>
      <c r="FKC83" s="6"/>
      <c r="FKD83" s="6"/>
      <c r="FKE83" s="6"/>
      <c r="FKF83" s="6"/>
      <c r="FKG83" s="6"/>
      <c r="FKH83" s="6"/>
      <c r="FKI83" s="6"/>
      <c r="FKJ83" s="6"/>
      <c r="FKK83" s="6"/>
      <c r="FKL83" s="6"/>
      <c r="FKM83" s="6"/>
      <c r="FKN83" s="6"/>
      <c r="FKO83" s="6"/>
      <c r="FKP83" s="6"/>
      <c r="FKQ83" s="6"/>
      <c r="FKR83" s="6"/>
      <c r="FKS83" s="6"/>
      <c r="FKT83" s="6"/>
      <c r="FKU83" s="6"/>
      <c r="FKV83" s="6"/>
      <c r="FKW83" s="6"/>
      <c r="FKX83" s="6"/>
      <c r="FKY83" s="6"/>
      <c r="FKZ83" s="6"/>
      <c r="FLA83" s="6"/>
      <c r="FLB83" s="6"/>
      <c r="FLC83" s="6"/>
      <c r="FLD83" s="6"/>
      <c r="FLE83" s="6"/>
      <c r="FLF83" s="6"/>
      <c r="FLG83" s="6"/>
      <c r="FLH83" s="6"/>
      <c r="FLI83" s="6"/>
      <c r="FLJ83" s="6"/>
      <c r="FLK83" s="6"/>
      <c r="FLL83" s="6"/>
      <c r="FLM83" s="6"/>
      <c r="FLN83" s="6"/>
      <c r="FLO83" s="6"/>
      <c r="FLP83" s="6"/>
      <c r="FLQ83" s="6"/>
      <c r="FLR83" s="6"/>
      <c r="FLS83" s="6"/>
      <c r="FLT83" s="6"/>
      <c r="FLU83" s="6"/>
      <c r="FLV83" s="6"/>
      <c r="FLW83" s="6"/>
      <c r="FLX83" s="6"/>
      <c r="FLY83" s="6"/>
      <c r="FLZ83" s="6"/>
      <c r="FMA83" s="6"/>
      <c r="FMB83" s="6"/>
      <c r="FMC83" s="6"/>
      <c r="FMD83" s="6"/>
      <c r="FME83" s="6"/>
      <c r="FMF83" s="6"/>
      <c r="FMG83" s="6"/>
      <c r="FMH83" s="6"/>
      <c r="FMI83" s="6"/>
      <c r="FMJ83" s="6"/>
      <c r="FMK83" s="6"/>
      <c r="FML83" s="6"/>
      <c r="FMM83" s="6"/>
      <c r="FMN83" s="6"/>
      <c r="FMO83" s="6"/>
      <c r="FMP83" s="6"/>
      <c r="FMQ83" s="6"/>
      <c r="FMR83" s="6"/>
      <c r="FMS83" s="6"/>
      <c r="FMT83" s="6"/>
      <c r="FMU83" s="6"/>
      <c r="FMV83" s="6"/>
      <c r="FMW83" s="6"/>
      <c r="FMX83" s="6"/>
      <c r="FMY83" s="6"/>
      <c r="FMZ83" s="6"/>
      <c r="FNA83" s="6"/>
      <c r="FNB83" s="6"/>
      <c r="FNC83" s="6"/>
      <c r="FND83" s="6"/>
      <c r="FNE83" s="6"/>
      <c r="FNF83" s="6"/>
      <c r="FNG83" s="6"/>
      <c r="FNH83" s="6"/>
      <c r="FNI83" s="6"/>
      <c r="FNJ83" s="6"/>
      <c r="FNK83" s="6"/>
      <c r="FNL83" s="6"/>
      <c r="FNM83" s="6"/>
      <c r="FNN83" s="6"/>
      <c r="FNO83" s="6"/>
      <c r="FNP83" s="6"/>
      <c r="FNQ83" s="6"/>
      <c r="FNR83" s="6"/>
      <c r="FNS83" s="6"/>
      <c r="FNT83" s="6"/>
      <c r="FNU83" s="6"/>
      <c r="FNV83" s="6"/>
      <c r="FNW83" s="6"/>
      <c r="FNX83" s="6"/>
      <c r="FNY83" s="6"/>
      <c r="FNZ83" s="6"/>
      <c r="FOA83" s="6"/>
      <c r="FOB83" s="6"/>
      <c r="FOC83" s="6"/>
      <c r="FOD83" s="6"/>
      <c r="FOE83" s="6"/>
      <c r="FOF83" s="6"/>
      <c r="FOG83" s="6"/>
      <c r="FOH83" s="6"/>
      <c r="FOI83" s="6"/>
      <c r="FOJ83" s="6"/>
      <c r="FOK83" s="6"/>
      <c r="FOL83" s="6"/>
      <c r="FOM83" s="6"/>
      <c r="FON83" s="6"/>
      <c r="FOO83" s="6"/>
      <c r="FOP83" s="6"/>
      <c r="FOQ83" s="6"/>
      <c r="FOR83" s="6"/>
      <c r="FOS83" s="6"/>
      <c r="FOT83" s="6"/>
      <c r="FOU83" s="6"/>
      <c r="FOV83" s="6"/>
      <c r="FOW83" s="6"/>
      <c r="FOX83" s="6"/>
      <c r="FOY83" s="6"/>
      <c r="FOZ83" s="6"/>
      <c r="FPA83" s="6"/>
      <c r="FPB83" s="6"/>
      <c r="FPC83" s="6"/>
      <c r="FPD83" s="6"/>
      <c r="FPE83" s="6"/>
      <c r="FPF83" s="6"/>
      <c r="FPG83" s="6"/>
      <c r="FPH83" s="6"/>
      <c r="FPI83" s="6"/>
      <c r="FPJ83" s="6"/>
      <c r="FPK83" s="6"/>
      <c r="FPL83" s="6"/>
      <c r="FPM83" s="6"/>
      <c r="FPN83" s="6"/>
      <c r="FPO83" s="6"/>
      <c r="FPP83" s="6"/>
      <c r="FPQ83" s="6"/>
      <c r="FPR83" s="6"/>
      <c r="FPS83" s="6"/>
      <c r="FPT83" s="6"/>
      <c r="FPU83" s="6"/>
      <c r="FPV83" s="6"/>
      <c r="FPW83" s="6"/>
      <c r="FPX83" s="6"/>
      <c r="FPY83" s="6"/>
      <c r="FPZ83" s="6"/>
      <c r="FQA83" s="6"/>
      <c r="FQB83" s="6"/>
      <c r="FQC83" s="6"/>
      <c r="FQD83" s="6"/>
      <c r="FQE83" s="6"/>
      <c r="FQF83" s="6"/>
      <c r="FQG83" s="6"/>
      <c r="FQH83" s="6"/>
      <c r="FQI83" s="6"/>
      <c r="FQJ83" s="6"/>
      <c r="FQK83" s="6"/>
      <c r="FQL83" s="6"/>
      <c r="FQM83" s="6"/>
      <c r="FQN83" s="6"/>
      <c r="FQO83" s="6"/>
      <c r="FQP83" s="6"/>
      <c r="FQQ83" s="6"/>
      <c r="FQR83" s="6"/>
      <c r="FQS83" s="6"/>
      <c r="FQT83" s="6"/>
      <c r="FQU83" s="6"/>
      <c r="FQV83" s="6"/>
      <c r="FQW83" s="6"/>
      <c r="FQX83" s="6"/>
      <c r="FQY83" s="6"/>
      <c r="FQZ83" s="6"/>
      <c r="FRA83" s="6"/>
      <c r="FRB83" s="6"/>
      <c r="FRC83" s="6"/>
      <c r="FRD83" s="6"/>
      <c r="FRE83" s="6"/>
      <c r="FRF83" s="6"/>
      <c r="FRG83" s="6"/>
      <c r="FRH83" s="6"/>
      <c r="FRI83" s="6"/>
      <c r="FRJ83" s="6"/>
      <c r="FRK83" s="6"/>
      <c r="FRL83" s="6"/>
      <c r="FRM83" s="6"/>
      <c r="FRN83" s="6"/>
      <c r="FRO83" s="6"/>
      <c r="FRP83" s="6"/>
      <c r="FRQ83" s="6"/>
      <c r="FRR83" s="6"/>
      <c r="FRS83" s="6"/>
      <c r="FRT83" s="6"/>
      <c r="FRU83" s="6"/>
      <c r="FRV83" s="6"/>
      <c r="FRW83" s="6"/>
      <c r="FRX83" s="6"/>
      <c r="FRY83" s="6"/>
      <c r="FRZ83" s="6"/>
      <c r="FSA83" s="6"/>
      <c r="FSB83" s="6"/>
      <c r="FSC83" s="6"/>
      <c r="FSD83" s="6"/>
      <c r="FSE83" s="6"/>
      <c r="FSF83" s="6"/>
      <c r="FSG83" s="6"/>
      <c r="FSH83" s="6"/>
      <c r="FSI83" s="6"/>
      <c r="FSJ83" s="6"/>
      <c r="FSK83" s="6"/>
      <c r="FSL83" s="6"/>
      <c r="FSM83" s="6"/>
      <c r="FSN83" s="6"/>
      <c r="FSO83" s="6"/>
      <c r="FSP83" s="6"/>
      <c r="FSQ83" s="6"/>
      <c r="FSR83" s="6"/>
      <c r="FSS83" s="6"/>
      <c r="FST83" s="6"/>
      <c r="FSU83" s="6"/>
      <c r="FSV83" s="6"/>
      <c r="FSW83" s="6"/>
      <c r="FSX83" s="6"/>
      <c r="FSY83" s="6"/>
      <c r="FSZ83" s="6"/>
      <c r="FTA83" s="6"/>
      <c r="FTB83" s="6"/>
      <c r="FTC83" s="6"/>
      <c r="FTD83" s="6"/>
      <c r="FTE83" s="6"/>
      <c r="FTF83" s="6"/>
      <c r="FTG83" s="6"/>
      <c r="FTH83" s="6"/>
      <c r="FTI83" s="6"/>
      <c r="FTJ83" s="6"/>
      <c r="FTK83" s="6"/>
      <c r="FTL83" s="6"/>
      <c r="FTM83" s="6"/>
      <c r="FTN83" s="6"/>
      <c r="FTO83" s="6"/>
      <c r="FTP83" s="6"/>
      <c r="FTQ83" s="6"/>
      <c r="FTR83" s="6"/>
      <c r="FTS83" s="6"/>
      <c r="FTT83" s="6"/>
      <c r="FTU83" s="6"/>
      <c r="FTV83" s="6"/>
      <c r="FTW83" s="6"/>
      <c r="FTX83" s="6"/>
      <c r="FTY83" s="6"/>
      <c r="FTZ83" s="6"/>
      <c r="FUA83" s="6"/>
      <c r="FUB83" s="6"/>
      <c r="FUC83" s="6"/>
      <c r="FUD83" s="6"/>
      <c r="FUE83" s="6"/>
      <c r="FUF83" s="6"/>
      <c r="FUG83" s="6"/>
      <c r="FUH83" s="6"/>
      <c r="FUI83" s="6"/>
      <c r="FUJ83" s="6"/>
      <c r="FUK83" s="6"/>
      <c r="FUL83" s="6"/>
      <c r="FUM83" s="6"/>
      <c r="FUN83" s="6"/>
      <c r="FUO83" s="6"/>
      <c r="FUP83" s="6"/>
      <c r="FUQ83" s="6"/>
      <c r="FUR83" s="6"/>
      <c r="FUS83" s="6"/>
      <c r="FUT83" s="6"/>
      <c r="FUU83" s="6"/>
      <c r="FUV83" s="6"/>
      <c r="FUW83" s="6"/>
      <c r="FUX83" s="6"/>
      <c r="FUY83" s="6"/>
      <c r="FUZ83" s="6"/>
      <c r="FVA83" s="6"/>
      <c r="FVB83" s="6"/>
      <c r="FVC83" s="6"/>
      <c r="FVD83" s="6"/>
      <c r="FVE83" s="6"/>
      <c r="FVF83" s="6"/>
      <c r="FVG83" s="6"/>
      <c r="FVH83" s="6"/>
      <c r="FVI83" s="6"/>
      <c r="FVJ83" s="6"/>
      <c r="FVK83" s="6"/>
      <c r="FVL83" s="6"/>
      <c r="FVM83" s="6"/>
      <c r="FVN83" s="6"/>
      <c r="FVO83" s="6"/>
      <c r="FVP83" s="6"/>
      <c r="FVQ83" s="6"/>
      <c r="FVR83" s="6"/>
      <c r="FVS83" s="6"/>
      <c r="FVT83" s="6"/>
      <c r="FVU83" s="6"/>
      <c r="FVV83" s="6"/>
      <c r="FVW83" s="6"/>
      <c r="FVX83" s="6"/>
      <c r="FVY83" s="6"/>
      <c r="FVZ83" s="6"/>
      <c r="FWA83" s="6"/>
      <c r="FWB83" s="6"/>
      <c r="FWC83" s="6"/>
      <c r="FWD83" s="6"/>
      <c r="FWE83" s="6"/>
      <c r="FWF83" s="6"/>
      <c r="FWG83" s="6"/>
      <c r="FWH83" s="6"/>
      <c r="FWI83" s="6"/>
      <c r="FWJ83" s="6"/>
      <c r="FWK83" s="6"/>
      <c r="FWL83" s="6"/>
      <c r="FWM83" s="6"/>
      <c r="FWN83" s="6"/>
      <c r="FWO83" s="6"/>
      <c r="FWP83" s="6"/>
      <c r="FWQ83" s="6"/>
      <c r="FWR83" s="6"/>
      <c r="FWS83" s="6"/>
      <c r="FWT83" s="6"/>
      <c r="FWU83" s="6"/>
      <c r="FWV83" s="6"/>
      <c r="FWW83" s="6"/>
      <c r="FWX83" s="6"/>
      <c r="FWY83" s="6"/>
      <c r="FWZ83" s="6"/>
      <c r="FXA83" s="6"/>
      <c r="FXB83" s="6"/>
      <c r="FXC83" s="6"/>
      <c r="FXD83" s="6"/>
      <c r="FXE83" s="6"/>
      <c r="FXF83" s="6"/>
      <c r="FXG83" s="6"/>
      <c r="FXH83" s="6"/>
      <c r="FXI83" s="6"/>
      <c r="FXJ83" s="6"/>
      <c r="FXK83" s="6"/>
      <c r="FXL83" s="6"/>
      <c r="FXM83" s="6"/>
      <c r="FXN83" s="6"/>
      <c r="FXO83" s="6"/>
      <c r="FXP83" s="6"/>
      <c r="FXQ83" s="6"/>
      <c r="FXR83" s="6"/>
      <c r="FXS83" s="6"/>
      <c r="FXT83" s="6"/>
      <c r="FXU83" s="6"/>
      <c r="FXV83" s="6"/>
      <c r="FXW83" s="6"/>
      <c r="FXX83" s="6"/>
      <c r="FXY83" s="6"/>
      <c r="FXZ83" s="6"/>
      <c r="FYA83" s="6"/>
      <c r="FYB83" s="6"/>
      <c r="FYC83" s="6"/>
      <c r="FYD83" s="6"/>
      <c r="FYE83" s="6"/>
      <c r="FYF83" s="6"/>
      <c r="FYG83" s="6"/>
      <c r="FYH83" s="6"/>
      <c r="FYI83" s="6"/>
      <c r="FYJ83" s="6"/>
      <c r="FYK83" s="6"/>
      <c r="FYL83" s="6"/>
      <c r="FYM83" s="6"/>
      <c r="FYN83" s="6"/>
      <c r="FYO83" s="6"/>
      <c r="FYP83" s="6"/>
      <c r="FYQ83" s="6"/>
      <c r="FYR83" s="6"/>
      <c r="FYS83" s="6"/>
      <c r="FYT83" s="6"/>
      <c r="FYU83" s="6"/>
      <c r="FYV83" s="6"/>
      <c r="FYW83" s="6"/>
      <c r="FYX83" s="6"/>
      <c r="FYY83" s="6"/>
      <c r="FYZ83" s="6"/>
      <c r="FZA83" s="6"/>
      <c r="FZB83" s="6"/>
      <c r="FZC83" s="6"/>
      <c r="FZD83" s="6"/>
      <c r="FZE83" s="6"/>
      <c r="FZF83" s="6"/>
      <c r="FZG83" s="6"/>
      <c r="FZH83" s="6"/>
      <c r="FZI83" s="6"/>
      <c r="FZJ83" s="6"/>
      <c r="FZK83" s="6"/>
      <c r="FZL83" s="6"/>
      <c r="FZM83" s="6"/>
      <c r="FZN83" s="6"/>
      <c r="FZO83" s="6"/>
      <c r="FZP83" s="6"/>
      <c r="FZQ83" s="6"/>
      <c r="FZR83" s="6"/>
      <c r="FZS83" s="6"/>
      <c r="FZT83" s="6"/>
      <c r="FZU83" s="6"/>
      <c r="FZV83" s="6"/>
      <c r="FZW83" s="6"/>
      <c r="FZX83" s="6"/>
      <c r="FZY83" s="6"/>
      <c r="FZZ83" s="6"/>
      <c r="GAA83" s="6"/>
      <c r="GAB83" s="6"/>
      <c r="GAC83" s="6"/>
      <c r="GAD83" s="6"/>
      <c r="GAE83" s="6"/>
      <c r="GAF83" s="6"/>
      <c r="GAG83" s="6"/>
      <c r="GAH83" s="6"/>
      <c r="GAI83" s="6"/>
      <c r="GAJ83" s="6"/>
      <c r="GAK83" s="6"/>
      <c r="GAL83" s="6"/>
      <c r="GAM83" s="6"/>
      <c r="GAN83" s="6"/>
      <c r="GAO83" s="6"/>
      <c r="GAP83" s="6"/>
      <c r="GAQ83" s="6"/>
      <c r="GAR83" s="6"/>
      <c r="GAS83" s="6"/>
      <c r="GAT83" s="6"/>
      <c r="GAU83" s="6"/>
      <c r="GAV83" s="6"/>
      <c r="GAW83" s="6"/>
      <c r="GAX83" s="6"/>
      <c r="GAY83" s="6"/>
      <c r="GAZ83" s="6"/>
      <c r="GBA83" s="6"/>
      <c r="GBB83" s="6"/>
      <c r="GBC83" s="6"/>
      <c r="GBD83" s="6"/>
      <c r="GBE83" s="6"/>
      <c r="GBF83" s="6"/>
      <c r="GBG83" s="6"/>
      <c r="GBH83" s="6"/>
      <c r="GBI83" s="6"/>
      <c r="GBJ83" s="6"/>
      <c r="GBK83" s="6"/>
      <c r="GBL83" s="6"/>
      <c r="GBM83" s="6"/>
      <c r="GBN83" s="6"/>
      <c r="GBO83" s="6"/>
      <c r="GBP83" s="6"/>
      <c r="GBQ83" s="6"/>
      <c r="GBR83" s="6"/>
      <c r="GBS83" s="6"/>
      <c r="GBT83" s="6"/>
      <c r="GBU83" s="6"/>
      <c r="GBV83" s="6"/>
      <c r="GBW83" s="6"/>
      <c r="GBX83" s="6"/>
      <c r="GBY83" s="6"/>
      <c r="GBZ83" s="6"/>
      <c r="GCA83" s="6"/>
      <c r="GCB83" s="6"/>
      <c r="GCC83" s="6"/>
      <c r="GCD83" s="6"/>
      <c r="GCE83" s="6"/>
      <c r="GCF83" s="6"/>
      <c r="GCG83" s="6"/>
      <c r="GCH83" s="6"/>
      <c r="GCI83" s="6"/>
      <c r="GCJ83" s="6"/>
      <c r="GCK83" s="6"/>
      <c r="GCL83" s="6"/>
      <c r="GCM83" s="6"/>
      <c r="GCN83" s="6"/>
      <c r="GCO83" s="6"/>
      <c r="GCP83" s="6"/>
      <c r="GCQ83" s="6"/>
      <c r="GCR83" s="6"/>
      <c r="GCS83" s="6"/>
      <c r="GCT83" s="6"/>
      <c r="GCU83" s="6"/>
      <c r="GCV83" s="6"/>
      <c r="GCW83" s="6"/>
      <c r="GCX83" s="6"/>
      <c r="GCY83" s="6"/>
      <c r="GCZ83" s="6"/>
      <c r="GDA83" s="6"/>
      <c r="GDB83" s="6"/>
      <c r="GDC83" s="6"/>
      <c r="GDD83" s="6"/>
      <c r="GDE83" s="6"/>
      <c r="GDF83" s="6"/>
      <c r="GDG83" s="6"/>
      <c r="GDH83" s="6"/>
      <c r="GDI83" s="6"/>
      <c r="GDJ83" s="6"/>
      <c r="GDK83" s="6"/>
      <c r="GDL83" s="6"/>
      <c r="GDM83" s="6"/>
      <c r="GDN83" s="6"/>
      <c r="GDO83" s="6"/>
      <c r="GDP83" s="6"/>
      <c r="GDQ83" s="6"/>
      <c r="GDR83" s="6"/>
      <c r="GDS83" s="6"/>
      <c r="GDT83" s="6"/>
      <c r="GDU83" s="6"/>
      <c r="GDV83" s="6"/>
      <c r="GDW83" s="6"/>
      <c r="GDX83" s="6"/>
      <c r="GDY83" s="6"/>
      <c r="GDZ83" s="6"/>
      <c r="GEA83" s="6"/>
      <c r="GEB83" s="6"/>
      <c r="GEC83" s="6"/>
      <c r="GED83" s="6"/>
      <c r="GEE83" s="6"/>
      <c r="GEF83" s="6"/>
      <c r="GEG83" s="6"/>
      <c r="GEH83" s="6"/>
      <c r="GEI83" s="6"/>
      <c r="GEJ83" s="6"/>
      <c r="GEK83" s="6"/>
      <c r="GEL83" s="6"/>
      <c r="GEM83" s="6"/>
      <c r="GEN83" s="6"/>
      <c r="GEO83" s="6"/>
      <c r="GEP83" s="6"/>
      <c r="GEQ83" s="6"/>
      <c r="GER83" s="6"/>
      <c r="GES83" s="6"/>
      <c r="GET83" s="6"/>
      <c r="GEU83" s="6"/>
      <c r="GEV83" s="6"/>
      <c r="GEW83" s="6"/>
      <c r="GEX83" s="6"/>
      <c r="GEY83" s="6"/>
      <c r="GEZ83" s="6"/>
      <c r="GFA83" s="6"/>
      <c r="GFB83" s="6"/>
      <c r="GFC83" s="6"/>
      <c r="GFD83" s="6"/>
      <c r="GFE83" s="6"/>
      <c r="GFF83" s="6"/>
      <c r="GFG83" s="6"/>
      <c r="GFH83" s="6"/>
      <c r="GFI83" s="6"/>
      <c r="GFJ83" s="6"/>
      <c r="GFK83" s="6"/>
      <c r="GFL83" s="6"/>
      <c r="GFM83" s="6"/>
      <c r="GFN83" s="6"/>
      <c r="GFO83" s="6"/>
      <c r="GFP83" s="6"/>
      <c r="GFQ83" s="6"/>
      <c r="GFR83" s="6"/>
      <c r="GFS83" s="6"/>
      <c r="GFT83" s="6"/>
      <c r="GFU83" s="6"/>
      <c r="GFV83" s="6"/>
      <c r="GFW83" s="6"/>
      <c r="GFX83" s="6"/>
      <c r="GFY83" s="6"/>
      <c r="GFZ83" s="6"/>
      <c r="GGA83" s="6"/>
      <c r="GGB83" s="6"/>
      <c r="GGC83" s="6"/>
      <c r="GGD83" s="6"/>
      <c r="GGE83" s="6"/>
      <c r="GGF83" s="6"/>
      <c r="GGG83" s="6"/>
      <c r="GGH83" s="6"/>
      <c r="GGI83" s="6"/>
      <c r="GGJ83" s="6"/>
      <c r="GGK83" s="6"/>
      <c r="GGL83" s="6"/>
      <c r="GGM83" s="6"/>
      <c r="GGN83" s="6"/>
      <c r="GGO83" s="6"/>
      <c r="GGP83" s="6"/>
      <c r="GGQ83" s="6"/>
      <c r="GGR83" s="6"/>
      <c r="GGS83" s="6"/>
      <c r="GGT83" s="6"/>
      <c r="GGU83" s="6"/>
      <c r="GGV83" s="6"/>
      <c r="GGW83" s="6"/>
      <c r="GGX83" s="6"/>
      <c r="GGY83" s="6"/>
      <c r="GGZ83" s="6"/>
      <c r="GHA83" s="6"/>
      <c r="GHB83" s="6"/>
      <c r="GHC83" s="6"/>
      <c r="GHD83" s="6"/>
      <c r="GHE83" s="6"/>
      <c r="GHF83" s="6"/>
      <c r="GHG83" s="6"/>
      <c r="GHH83" s="6"/>
      <c r="GHI83" s="6"/>
      <c r="GHJ83" s="6"/>
      <c r="GHK83" s="6"/>
      <c r="GHL83" s="6"/>
      <c r="GHM83" s="6"/>
      <c r="GHN83" s="6"/>
      <c r="GHO83" s="6"/>
      <c r="GHP83" s="6"/>
      <c r="GHQ83" s="6"/>
      <c r="GHR83" s="6"/>
      <c r="GHS83" s="6"/>
      <c r="GHT83" s="6"/>
      <c r="GHU83" s="6"/>
      <c r="GHV83" s="6"/>
      <c r="GHW83" s="6"/>
      <c r="GHX83" s="6"/>
      <c r="GHY83" s="6"/>
      <c r="GHZ83" s="6"/>
      <c r="GIA83" s="6"/>
      <c r="GIB83" s="6"/>
      <c r="GIC83" s="6"/>
      <c r="GID83" s="6"/>
      <c r="GIE83" s="6"/>
      <c r="GIF83" s="6"/>
      <c r="GIG83" s="6"/>
      <c r="GIH83" s="6"/>
      <c r="GII83" s="6"/>
      <c r="GIJ83" s="6"/>
      <c r="GIK83" s="6"/>
      <c r="GIL83" s="6"/>
      <c r="GIM83" s="6"/>
      <c r="GIN83" s="6"/>
      <c r="GIO83" s="6"/>
      <c r="GIP83" s="6"/>
      <c r="GIQ83" s="6"/>
      <c r="GIR83" s="6"/>
      <c r="GIS83" s="6"/>
      <c r="GIT83" s="6"/>
      <c r="GIU83" s="6"/>
      <c r="GIV83" s="6"/>
      <c r="GIW83" s="6"/>
      <c r="GIX83" s="6"/>
      <c r="GIY83" s="6"/>
      <c r="GIZ83" s="6"/>
      <c r="GJA83" s="6"/>
      <c r="GJB83" s="6"/>
      <c r="GJC83" s="6"/>
      <c r="GJD83" s="6"/>
      <c r="GJE83" s="6"/>
      <c r="GJF83" s="6"/>
      <c r="GJG83" s="6"/>
      <c r="GJH83" s="6"/>
      <c r="GJI83" s="6"/>
      <c r="GJJ83" s="6"/>
      <c r="GJK83" s="6"/>
      <c r="GJL83" s="6"/>
      <c r="GJM83" s="6"/>
      <c r="GJN83" s="6"/>
      <c r="GJO83" s="6"/>
      <c r="GJP83" s="6"/>
      <c r="GJQ83" s="6"/>
      <c r="GJR83" s="6"/>
      <c r="GJS83" s="6"/>
      <c r="GJT83" s="6"/>
      <c r="GJU83" s="6"/>
      <c r="GJV83" s="6"/>
      <c r="GJW83" s="6"/>
      <c r="GJX83" s="6"/>
      <c r="GJY83" s="6"/>
      <c r="GJZ83" s="6"/>
      <c r="GKA83" s="6"/>
      <c r="GKB83" s="6"/>
      <c r="GKC83" s="6"/>
      <c r="GKD83" s="6"/>
      <c r="GKE83" s="6"/>
      <c r="GKF83" s="6"/>
      <c r="GKG83" s="6"/>
      <c r="GKH83" s="6"/>
      <c r="GKI83" s="6"/>
      <c r="GKJ83" s="6"/>
      <c r="GKK83" s="6"/>
      <c r="GKL83" s="6"/>
      <c r="GKM83" s="6"/>
      <c r="GKN83" s="6"/>
      <c r="GKO83" s="6"/>
      <c r="GKP83" s="6"/>
      <c r="GKQ83" s="6"/>
      <c r="GKR83" s="6"/>
      <c r="GKS83" s="6"/>
      <c r="GKT83" s="6"/>
      <c r="GKU83" s="6"/>
      <c r="GKV83" s="6"/>
      <c r="GKW83" s="6"/>
      <c r="GKX83" s="6"/>
      <c r="GKY83" s="6"/>
      <c r="GKZ83" s="6"/>
      <c r="GLA83" s="6"/>
      <c r="GLB83" s="6"/>
      <c r="GLC83" s="6"/>
      <c r="GLD83" s="6"/>
      <c r="GLE83" s="6"/>
      <c r="GLF83" s="6"/>
      <c r="GLG83" s="6"/>
      <c r="GLH83" s="6"/>
      <c r="GLI83" s="6"/>
      <c r="GLJ83" s="6"/>
      <c r="GLK83" s="6"/>
      <c r="GLL83" s="6"/>
      <c r="GLM83" s="6"/>
      <c r="GLN83" s="6"/>
      <c r="GLO83" s="6"/>
      <c r="GLP83" s="6"/>
      <c r="GLQ83" s="6"/>
      <c r="GLR83" s="6"/>
      <c r="GLS83" s="6"/>
      <c r="GLT83" s="6"/>
      <c r="GLU83" s="6"/>
      <c r="GLV83" s="6"/>
      <c r="GLW83" s="6"/>
      <c r="GLX83" s="6"/>
      <c r="GLY83" s="6"/>
      <c r="GLZ83" s="6"/>
      <c r="GMA83" s="6"/>
      <c r="GMB83" s="6"/>
      <c r="GMC83" s="6"/>
      <c r="GMD83" s="6"/>
      <c r="GME83" s="6"/>
      <c r="GMF83" s="6"/>
      <c r="GMG83" s="6"/>
      <c r="GMH83" s="6"/>
      <c r="GMI83" s="6"/>
      <c r="GMJ83" s="6"/>
      <c r="GMK83" s="6"/>
      <c r="GML83" s="6"/>
      <c r="GMM83" s="6"/>
      <c r="GMN83" s="6"/>
      <c r="GMO83" s="6"/>
      <c r="GMP83" s="6"/>
      <c r="GMQ83" s="6"/>
      <c r="GMR83" s="6"/>
      <c r="GMS83" s="6"/>
      <c r="GMT83" s="6"/>
      <c r="GMU83" s="6"/>
      <c r="GMV83" s="6"/>
      <c r="GMW83" s="6"/>
      <c r="GMX83" s="6"/>
      <c r="GMY83" s="6"/>
      <c r="GMZ83" s="6"/>
      <c r="GNA83" s="6"/>
      <c r="GNB83" s="6"/>
      <c r="GNC83" s="6"/>
      <c r="GND83" s="6"/>
      <c r="GNE83" s="6"/>
      <c r="GNF83" s="6"/>
      <c r="GNG83" s="6"/>
      <c r="GNH83" s="6"/>
      <c r="GNI83" s="6"/>
      <c r="GNJ83" s="6"/>
      <c r="GNK83" s="6"/>
      <c r="GNL83" s="6"/>
      <c r="GNM83" s="6"/>
      <c r="GNN83" s="6"/>
      <c r="GNO83" s="6"/>
      <c r="GNP83" s="6"/>
      <c r="GNQ83" s="6"/>
      <c r="GNR83" s="6"/>
      <c r="GNS83" s="6"/>
      <c r="GNT83" s="6"/>
      <c r="GNU83" s="6"/>
      <c r="GNV83" s="6"/>
      <c r="GNW83" s="6"/>
      <c r="GNX83" s="6"/>
      <c r="GNY83" s="6"/>
      <c r="GNZ83" s="6"/>
      <c r="GOA83" s="6"/>
      <c r="GOB83" s="6"/>
      <c r="GOC83" s="6"/>
      <c r="GOD83" s="6"/>
      <c r="GOE83" s="6"/>
      <c r="GOF83" s="6"/>
      <c r="GOG83" s="6"/>
      <c r="GOH83" s="6"/>
      <c r="GOI83" s="6"/>
      <c r="GOJ83" s="6"/>
      <c r="GOK83" s="6"/>
      <c r="GOL83" s="6"/>
      <c r="GOM83" s="6"/>
      <c r="GON83" s="6"/>
      <c r="GOO83" s="6"/>
      <c r="GOP83" s="6"/>
      <c r="GOQ83" s="6"/>
      <c r="GOR83" s="6"/>
      <c r="GOS83" s="6"/>
      <c r="GOT83" s="6"/>
      <c r="GOU83" s="6"/>
      <c r="GOV83" s="6"/>
      <c r="GOW83" s="6"/>
      <c r="GOX83" s="6"/>
      <c r="GOY83" s="6"/>
      <c r="GOZ83" s="6"/>
      <c r="GPA83" s="6"/>
      <c r="GPB83" s="6"/>
      <c r="GPC83" s="6"/>
      <c r="GPD83" s="6"/>
      <c r="GPE83" s="6"/>
      <c r="GPF83" s="6"/>
      <c r="GPG83" s="6"/>
      <c r="GPH83" s="6"/>
      <c r="GPI83" s="6"/>
      <c r="GPJ83" s="6"/>
      <c r="GPK83" s="6"/>
      <c r="GPL83" s="6"/>
      <c r="GPM83" s="6"/>
      <c r="GPN83" s="6"/>
      <c r="GPO83" s="6"/>
      <c r="GPP83" s="6"/>
      <c r="GPQ83" s="6"/>
      <c r="GPR83" s="6"/>
      <c r="GPS83" s="6"/>
      <c r="GPT83" s="6"/>
      <c r="GPU83" s="6"/>
      <c r="GPV83" s="6"/>
      <c r="GPW83" s="6"/>
      <c r="GPX83" s="6"/>
      <c r="GPY83" s="6"/>
      <c r="GPZ83" s="6"/>
      <c r="GQA83" s="6"/>
      <c r="GQB83" s="6"/>
      <c r="GQC83" s="6"/>
      <c r="GQD83" s="6"/>
      <c r="GQE83" s="6"/>
      <c r="GQF83" s="6"/>
      <c r="GQG83" s="6"/>
      <c r="GQH83" s="6"/>
      <c r="GQI83" s="6"/>
      <c r="GQJ83" s="6"/>
      <c r="GQK83" s="6"/>
      <c r="GQL83" s="6"/>
      <c r="GQM83" s="6"/>
      <c r="GQN83" s="6"/>
      <c r="GQO83" s="6"/>
      <c r="GQP83" s="6"/>
      <c r="GQQ83" s="6"/>
      <c r="GQR83" s="6"/>
      <c r="GQS83" s="6"/>
      <c r="GQT83" s="6"/>
      <c r="GQU83" s="6"/>
      <c r="GQV83" s="6"/>
      <c r="GQW83" s="6"/>
      <c r="GQX83" s="6"/>
      <c r="GQY83" s="6"/>
      <c r="GQZ83" s="6"/>
      <c r="GRA83" s="6"/>
      <c r="GRB83" s="6"/>
      <c r="GRC83" s="6"/>
      <c r="GRD83" s="6"/>
      <c r="GRE83" s="6"/>
      <c r="GRF83" s="6"/>
      <c r="GRG83" s="6"/>
      <c r="GRH83" s="6"/>
      <c r="GRI83" s="6"/>
      <c r="GRJ83" s="6"/>
      <c r="GRK83" s="6"/>
      <c r="GRL83" s="6"/>
      <c r="GRM83" s="6"/>
      <c r="GRN83" s="6"/>
      <c r="GRO83" s="6"/>
      <c r="GRP83" s="6"/>
      <c r="GRQ83" s="6"/>
      <c r="GRR83" s="6"/>
      <c r="GRS83" s="6"/>
      <c r="GRT83" s="6"/>
      <c r="GRU83" s="6"/>
      <c r="GRV83" s="6"/>
      <c r="GRW83" s="6"/>
      <c r="GRX83" s="6"/>
      <c r="GRY83" s="6"/>
      <c r="GRZ83" s="6"/>
      <c r="GSA83" s="6"/>
      <c r="GSB83" s="6"/>
      <c r="GSC83" s="6"/>
      <c r="GSD83" s="6"/>
      <c r="GSE83" s="6"/>
      <c r="GSF83" s="6"/>
      <c r="GSG83" s="6"/>
      <c r="GSH83" s="6"/>
      <c r="GSI83" s="6"/>
      <c r="GSJ83" s="6"/>
      <c r="GSK83" s="6"/>
      <c r="GSL83" s="6"/>
      <c r="GSM83" s="6"/>
      <c r="GSN83" s="6"/>
      <c r="GSO83" s="6"/>
      <c r="GSP83" s="6"/>
      <c r="GSQ83" s="6"/>
      <c r="GSR83" s="6"/>
      <c r="GSS83" s="6"/>
      <c r="GST83" s="6"/>
      <c r="GSU83" s="6"/>
      <c r="GSV83" s="6"/>
      <c r="GSW83" s="6"/>
      <c r="GSX83" s="6"/>
      <c r="GSY83" s="6"/>
      <c r="GSZ83" s="6"/>
      <c r="GTA83" s="6"/>
      <c r="GTB83" s="6"/>
      <c r="GTC83" s="6"/>
      <c r="GTD83" s="6"/>
      <c r="GTE83" s="6"/>
      <c r="GTF83" s="6"/>
      <c r="GTG83" s="6"/>
      <c r="GTH83" s="6"/>
      <c r="GTI83" s="6"/>
      <c r="GTJ83" s="6"/>
      <c r="GTK83" s="6"/>
      <c r="GTL83" s="6"/>
      <c r="GTM83" s="6"/>
      <c r="GTN83" s="6"/>
      <c r="GTO83" s="6"/>
      <c r="GTP83" s="6"/>
      <c r="GTQ83" s="6"/>
      <c r="GTR83" s="6"/>
      <c r="GTS83" s="6"/>
      <c r="GTT83" s="6"/>
      <c r="GTU83" s="6"/>
      <c r="GTV83" s="6"/>
      <c r="GTW83" s="6"/>
      <c r="GTX83" s="6"/>
      <c r="GTY83" s="6"/>
      <c r="GTZ83" s="6"/>
      <c r="GUA83" s="6"/>
      <c r="GUB83" s="6"/>
      <c r="GUC83" s="6"/>
      <c r="GUD83" s="6"/>
      <c r="GUE83" s="6"/>
      <c r="GUF83" s="6"/>
      <c r="GUG83" s="6"/>
      <c r="GUH83" s="6"/>
      <c r="GUI83" s="6"/>
      <c r="GUJ83" s="6"/>
      <c r="GUK83" s="6"/>
      <c r="GUL83" s="6"/>
      <c r="GUM83" s="6"/>
      <c r="GUN83" s="6"/>
      <c r="GUO83" s="6"/>
      <c r="GUP83" s="6"/>
      <c r="GUQ83" s="6"/>
      <c r="GUR83" s="6"/>
      <c r="GUS83" s="6"/>
      <c r="GUT83" s="6"/>
      <c r="GUU83" s="6"/>
      <c r="GUV83" s="6"/>
      <c r="GUW83" s="6"/>
      <c r="GUX83" s="6"/>
      <c r="GUY83" s="6"/>
      <c r="GUZ83" s="6"/>
      <c r="GVA83" s="6"/>
      <c r="GVB83" s="6"/>
      <c r="GVC83" s="6"/>
      <c r="GVD83" s="6"/>
      <c r="GVE83" s="6"/>
      <c r="GVF83" s="6"/>
      <c r="GVG83" s="6"/>
      <c r="GVH83" s="6"/>
      <c r="GVI83" s="6"/>
      <c r="GVJ83" s="6"/>
      <c r="GVK83" s="6"/>
      <c r="GVL83" s="6"/>
      <c r="GVM83" s="6"/>
      <c r="GVN83" s="6"/>
      <c r="GVO83" s="6"/>
      <c r="GVP83" s="6"/>
      <c r="GVQ83" s="6"/>
      <c r="GVR83" s="6"/>
      <c r="GVS83" s="6"/>
      <c r="GVT83" s="6"/>
      <c r="GVU83" s="6"/>
      <c r="GVV83" s="6"/>
      <c r="GVW83" s="6"/>
      <c r="GVX83" s="6"/>
      <c r="GVY83" s="6"/>
      <c r="GVZ83" s="6"/>
      <c r="GWA83" s="6"/>
      <c r="GWB83" s="6"/>
      <c r="GWC83" s="6"/>
      <c r="GWD83" s="6"/>
      <c r="GWE83" s="6"/>
      <c r="GWF83" s="6"/>
      <c r="GWG83" s="6"/>
      <c r="GWH83" s="6"/>
      <c r="GWI83" s="6"/>
      <c r="GWJ83" s="6"/>
      <c r="GWK83" s="6"/>
      <c r="GWL83" s="6"/>
      <c r="GWM83" s="6"/>
      <c r="GWN83" s="6"/>
      <c r="GWO83" s="6"/>
      <c r="GWP83" s="6"/>
      <c r="GWQ83" s="6"/>
      <c r="GWR83" s="6"/>
      <c r="GWS83" s="6"/>
      <c r="GWT83" s="6"/>
      <c r="GWU83" s="6"/>
      <c r="GWV83" s="6"/>
      <c r="GWW83" s="6"/>
      <c r="GWX83" s="6"/>
      <c r="GWY83" s="6"/>
      <c r="GWZ83" s="6"/>
      <c r="GXA83" s="6"/>
      <c r="GXB83" s="6"/>
      <c r="GXC83" s="6"/>
      <c r="GXD83" s="6"/>
      <c r="GXE83" s="6"/>
      <c r="GXF83" s="6"/>
      <c r="GXG83" s="6"/>
      <c r="GXH83" s="6"/>
      <c r="GXI83" s="6"/>
      <c r="GXJ83" s="6"/>
      <c r="GXK83" s="6"/>
      <c r="GXL83" s="6"/>
      <c r="GXM83" s="6"/>
      <c r="GXN83" s="6"/>
      <c r="GXO83" s="6"/>
      <c r="GXP83" s="6"/>
      <c r="GXQ83" s="6"/>
      <c r="GXR83" s="6"/>
      <c r="GXS83" s="6"/>
      <c r="GXT83" s="6"/>
      <c r="GXU83" s="6"/>
      <c r="GXV83" s="6"/>
      <c r="GXW83" s="6"/>
      <c r="GXX83" s="6"/>
      <c r="GXY83" s="6"/>
      <c r="GXZ83" s="6"/>
      <c r="GYA83" s="6"/>
      <c r="GYB83" s="6"/>
      <c r="GYC83" s="6"/>
      <c r="GYD83" s="6"/>
      <c r="GYE83" s="6"/>
      <c r="GYF83" s="6"/>
      <c r="GYG83" s="6"/>
      <c r="GYH83" s="6"/>
      <c r="GYI83" s="6"/>
      <c r="GYJ83" s="6"/>
      <c r="GYK83" s="6"/>
      <c r="GYL83" s="6"/>
      <c r="GYM83" s="6"/>
      <c r="GYN83" s="6"/>
      <c r="GYO83" s="6"/>
      <c r="GYP83" s="6"/>
      <c r="GYQ83" s="6"/>
      <c r="GYR83" s="6"/>
      <c r="GYS83" s="6"/>
      <c r="GYT83" s="6"/>
      <c r="GYU83" s="6"/>
      <c r="GYV83" s="6"/>
      <c r="GYW83" s="6"/>
      <c r="GYX83" s="6"/>
      <c r="GYY83" s="6"/>
      <c r="GYZ83" s="6"/>
      <c r="GZA83" s="6"/>
      <c r="GZB83" s="6"/>
      <c r="GZC83" s="6"/>
      <c r="GZD83" s="6"/>
      <c r="GZE83" s="6"/>
      <c r="GZF83" s="6"/>
      <c r="GZG83" s="6"/>
      <c r="GZH83" s="6"/>
      <c r="GZI83" s="6"/>
      <c r="GZJ83" s="6"/>
      <c r="GZK83" s="6"/>
      <c r="GZL83" s="6"/>
      <c r="GZM83" s="6"/>
      <c r="GZN83" s="6"/>
      <c r="GZO83" s="6"/>
      <c r="GZP83" s="6"/>
      <c r="GZQ83" s="6"/>
      <c r="GZR83" s="6"/>
      <c r="GZS83" s="6"/>
      <c r="GZT83" s="6"/>
      <c r="GZU83" s="6"/>
      <c r="GZV83" s="6"/>
      <c r="GZW83" s="6"/>
      <c r="GZX83" s="6"/>
      <c r="GZY83" s="6"/>
      <c r="GZZ83" s="6"/>
      <c r="HAA83" s="6"/>
      <c r="HAB83" s="6"/>
      <c r="HAC83" s="6"/>
      <c r="HAD83" s="6"/>
      <c r="HAE83" s="6"/>
      <c r="HAF83" s="6"/>
      <c r="HAG83" s="6"/>
      <c r="HAH83" s="6"/>
      <c r="HAI83" s="6"/>
      <c r="HAJ83" s="6"/>
      <c r="HAK83" s="6"/>
      <c r="HAL83" s="6"/>
      <c r="HAM83" s="6"/>
      <c r="HAN83" s="6"/>
      <c r="HAO83" s="6"/>
      <c r="HAP83" s="6"/>
      <c r="HAQ83" s="6"/>
      <c r="HAR83" s="6"/>
      <c r="HAS83" s="6"/>
      <c r="HAT83" s="6"/>
      <c r="HAU83" s="6"/>
      <c r="HAV83" s="6"/>
      <c r="HAW83" s="6"/>
      <c r="HAX83" s="6"/>
      <c r="HAY83" s="6"/>
      <c r="HAZ83" s="6"/>
      <c r="HBA83" s="6"/>
      <c r="HBB83" s="6"/>
      <c r="HBC83" s="6"/>
      <c r="HBD83" s="6"/>
      <c r="HBE83" s="6"/>
      <c r="HBF83" s="6"/>
      <c r="HBG83" s="6"/>
      <c r="HBH83" s="6"/>
      <c r="HBI83" s="6"/>
      <c r="HBJ83" s="6"/>
      <c r="HBK83" s="6"/>
      <c r="HBL83" s="6"/>
      <c r="HBM83" s="6"/>
      <c r="HBN83" s="6"/>
      <c r="HBO83" s="6"/>
      <c r="HBP83" s="6"/>
      <c r="HBQ83" s="6"/>
      <c r="HBR83" s="6"/>
      <c r="HBS83" s="6"/>
      <c r="HBT83" s="6"/>
      <c r="HBU83" s="6"/>
      <c r="HBV83" s="6"/>
      <c r="HBW83" s="6"/>
      <c r="HBX83" s="6"/>
      <c r="HBY83" s="6"/>
      <c r="HBZ83" s="6"/>
      <c r="HCA83" s="6"/>
      <c r="HCB83" s="6"/>
      <c r="HCC83" s="6"/>
      <c r="HCD83" s="6"/>
      <c r="HCE83" s="6"/>
      <c r="HCF83" s="6"/>
      <c r="HCG83" s="6"/>
      <c r="HCH83" s="6"/>
      <c r="HCI83" s="6"/>
      <c r="HCJ83" s="6"/>
      <c r="HCK83" s="6"/>
      <c r="HCL83" s="6"/>
      <c r="HCM83" s="6"/>
      <c r="HCN83" s="6"/>
      <c r="HCO83" s="6"/>
      <c r="HCP83" s="6"/>
      <c r="HCQ83" s="6"/>
      <c r="HCR83" s="6"/>
      <c r="HCS83" s="6"/>
      <c r="HCT83" s="6"/>
      <c r="HCU83" s="6"/>
      <c r="HCV83" s="6"/>
      <c r="HCW83" s="6"/>
      <c r="HCX83" s="6"/>
      <c r="HCY83" s="6"/>
      <c r="HCZ83" s="6"/>
      <c r="HDA83" s="6"/>
      <c r="HDB83" s="6"/>
      <c r="HDC83" s="6"/>
      <c r="HDD83" s="6"/>
      <c r="HDE83" s="6"/>
      <c r="HDF83" s="6"/>
      <c r="HDG83" s="6"/>
      <c r="HDH83" s="6"/>
      <c r="HDI83" s="6"/>
      <c r="HDJ83" s="6"/>
      <c r="HDK83" s="6"/>
      <c r="HDL83" s="6"/>
      <c r="HDM83" s="6"/>
      <c r="HDN83" s="6"/>
      <c r="HDO83" s="6"/>
      <c r="HDP83" s="6"/>
      <c r="HDQ83" s="6"/>
      <c r="HDR83" s="6"/>
      <c r="HDS83" s="6"/>
      <c r="HDT83" s="6"/>
      <c r="HDU83" s="6"/>
      <c r="HDV83" s="6"/>
      <c r="HDW83" s="6"/>
      <c r="HDX83" s="6"/>
      <c r="HDY83" s="6"/>
      <c r="HDZ83" s="6"/>
      <c r="HEA83" s="6"/>
      <c r="HEB83" s="6"/>
      <c r="HEC83" s="6"/>
      <c r="HED83" s="6"/>
      <c r="HEE83" s="6"/>
      <c r="HEF83" s="6"/>
      <c r="HEG83" s="6"/>
      <c r="HEH83" s="6"/>
      <c r="HEI83" s="6"/>
      <c r="HEJ83" s="6"/>
      <c r="HEK83" s="6"/>
      <c r="HEL83" s="6"/>
      <c r="HEM83" s="6"/>
      <c r="HEN83" s="6"/>
      <c r="HEO83" s="6"/>
      <c r="HEP83" s="6"/>
      <c r="HEQ83" s="6"/>
      <c r="HER83" s="6"/>
      <c r="HES83" s="6"/>
      <c r="HET83" s="6"/>
      <c r="HEU83" s="6"/>
      <c r="HEV83" s="6"/>
      <c r="HEW83" s="6"/>
      <c r="HEX83" s="6"/>
      <c r="HEY83" s="6"/>
      <c r="HEZ83" s="6"/>
      <c r="HFA83" s="6"/>
      <c r="HFB83" s="6"/>
      <c r="HFC83" s="6"/>
      <c r="HFD83" s="6"/>
      <c r="HFE83" s="6"/>
      <c r="HFF83" s="6"/>
      <c r="HFG83" s="6"/>
      <c r="HFH83" s="6"/>
      <c r="HFI83" s="6"/>
      <c r="HFJ83" s="6"/>
      <c r="HFK83" s="6"/>
      <c r="HFL83" s="6"/>
      <c r="HFM83" s="6"/>
      <c r="HFN83" s="6"/>
      <c r="HFO83" s="6"/>
      <c r="HFP83" s="6"/>
      <c r="HFQ83" s="6"/>
      <c r="HFR83" s="6"/>
      <c r="HFS83" s="6"/>
      <c r="HFT83" s="6"/>
      <c r="HFU83" s="6"/>
      <c r="HFV83" s="6"/>
      <c r="HFW83" s="6"/>
      <c r="HFX83" s="6"/>
      <c r="HFY83" s="6"/>
      <c r="HFZ83" s="6"/>
      <c r="HGA83" s="6"/>
      <c r="HGB83" s="6"/>
      <c r="HGC83" s="6"/>
      <c r="HGD83" s="6"/>
      <c r="HGE83" s="6"/>
      <c r="HGF83" s="6"/>
      <c r="HGG83" s="6"/>
      <c r="HGH83" s="6"/>
      <c r="HGI83" s="6"/>
      <c r="HGJ83" s="6"/>
      <c r="HGK83" s="6"/>
      <c r="HGL83" s="6"/>
      <c r="HGM83" s="6"/>
      <c r="HGN83" s="6"/>
      <c r="HGO83" s="6"/>
      <c r="HGP83" s="6"/>
      <c r="HGQ83" s="6"/>
      <c r="HGR83" s="6"/>
      <c r="HGS83" s="6"/>
      <c r="HGT83" s="6"/>
      <c r="HGU83" s="6"/>
      <c r="HGV83" s="6"/>
      <c r="HGW83" s="6"/>
      <c r="HGX83" s="6"/>
      <c r="HGY83" s="6"/>
      <c r="HGZ83" s="6"/>
      <c r="HHA83" s="6"/>
      <c r="HHB83" s="6"/>
      <c r="HHC83" s="6"/>
      <c r="HHD83" s="6"/>
      <c r="HHE83" s="6"/>
      <c r="HHF83" s="6"/>
      <c r="HHG83" s="6"/>
      <c r="HHH83" s="6"/>
      <c r="HHI83" s="6"/>
      <c r="HHJ83" s="6"/>
      <c r="HHK83" s="6"/>
      <c r="HHL83" s="6"/>
      <c r="HHM83" s="6"/>
      <c r="HHN83" s="6"/>
      <c r="HHO83" s="6"/>
      <c r="HHP83" s="6"/>
      <c r="HHQ83" s="6"/>
      <c r="HHR83" s="6"/>
      <c r="HHS83" s="6"/>
      <c r="HHT83" s="6"/>
      <c r="HHU83" s="6"/>
      <c r="HHV83" s="6"/>
      <c r="HHW83" s="6"/>
      <c r="HHX83" s="6"/>
      <c r="HHY83" s="6"/>
      <c r="HHZ83" s="6"/>
      <c r="HIA83" s="6"/>
      <c r="HIB83" s="6"/>
      <c r="HIC83" s="6"/>
      <c r="HID83" s="6"/>
      <c r="HIE83" s="6"/>
      <c r="HIF83" s="6"/>
      <c r="HIG83" s="6"/>
      <c r="HIH83" s="6"/>
      <c r="HII83" s="6"/>
      <c r="HIJ83" s="6"/>
      <c r="HIK83" s="6"/>
      <c r="HIL83" s="6"/>
      <c r="HIM83" s="6"/>
      <c r="HIN83" s="6"/>
      <c r="HIO83" s="6"/>
      <c r="HIP83" s="6"/>
      <c r="HIQ83" s="6"/>
      <c r="HIR83" s="6"/>
      <c r="HIS83" s="6"/>
      <c r="HIT83" s="6"/>
      <c r="HIU83" s="6"/>
      <c r="HIV83" s="6"/>
      <c r="HIW83" s="6"/>
      <c r="HIX83" s="6"/>
      <c r="HIY83" s="6"/>
      <c r="HIZ83" s="6"/>
      <c r="HJA83" s="6"/>
      <c r="HJB83" s="6"/>
      <c r="HJC83" s="6"/>
      <c r="HJD83" s="6"/>
      <c r="HJE83" s="6"/>
      <c r="HJF83" s="6"/>
      <c r="HJG83" s="6"/>
      <c r="HJH83" s="6"/>
      <c r="HJI83" s="6"/>
      <c r="HJJ83" s="6"/>
      <c r="HJK83" s="6"/>
      <c r="HJL83" s="6"/>
      <c r="HJM83" s="6"/>
      <c r="HJN83" s="6"/>
      <c r="HJO83" s="6"/>
      <c r="HJP83" s="6"/>
      <c r="HJQ83" s="6"/>
      <c r="HJR83" s="6"/>
      <c r="HJS83" s="6"/>
      <c r="HJT83" s="6"/>
      <c r="HJU83" s="6"/>
      <c r="HJV83" s="6"/>
      <c r="HJW83" s="6"/>
      <c r="HJX83" s="6"/>
      <c r="HJY83" s="6"/>
      <c r="HJZ83" s="6"/>
      <c r="HKA83" s="6"/>
      <c r="HKB83" s="6"/>
      <c r="HKC83" s="6"/>
      <c r="HKD83" s="6"/>
      <c r="HKE83" s="6"/>
      <c r="HKF83" s="6"/>
      <c r="HKG83" s="6"/>
      <c r="HKH83" s="6"/>
      <c r="HKI83" s="6"/>
      <c r="HKJ83" s="6"/>
      <c r="HKK83" s="6"/>
      <c r="HKL83" s="6"/>
      <c r="HKM83" s="6"/>
      <c r="HKN83" s="6"/>
      <c r="HKO83" s="6"/>
      <c r="HKP83" s="6"/>
      <c r="HKQ83" s="6"/>
      <c r="HKR83" s="6"/>
      <c r="HKS83" s="6"/>
      <c r="HKT83" s="6"/>
      <c r="HKU83" s="6"/>
      <c r="HKV83" s="6"/>
      <c r="HKW83" s="6"/>
      <c r="HKX83" s="6"/>
      <c r="HKY83" s="6"/>
      <c r="HKZ83" s="6"/>
      <c r="HLA83" s="6"/>
      <c r="HLB83" s="6"/>
      <c r="HLC83" s="6"/>
      <c r="HLD83" s="6"/>
      <c r="HLE83" s="6"/>
      <c r="HLF83" s="6"/>
      <c r="HLG83" s="6"/>
      <c r="HLH83" s="6"/>
      <c r="HLI83" s="6"/>
      <c r="HLJ83" s="6"/>
      <c r="HLK83" s="6"/>
      <c r="HLL83" s="6"/>
      <c r="HLM83" s="6"/>
      <c r="HLN83" s="6"/>
      <c r="HLO83" s="6"/>
      <c r="HLP83" s="6"/>
      <c r="HLQ83" s="6"/>
      <c r="HLR83" s="6"/>
      <c r="HLS83" s="6"/>
      <c r="HLT83" s="6"/>
      <c r="HLU83" s="6"/>
      <c r="HLV83" s="6"/>
      <c r="HLW83" s="6"/>
      <c r="HLX83" s="6"/>
      <c r="HLY83" s="6"/>
      <c r="HLZ83" s="6"/>
      <c r="HMA83" s="6"/>
      <c r="HMB83" s="6"/>
      <c r="HMC83" s="6"/>
      <c r="HMD83" s="6"/>
      <c r="HME83" s="6"/>
      <c r="HMF83" s="6"/>
      <c r="HMG83" s="6"/>
      <c r="HMH83" s="6"/>
      <c r="HMI83" s="6"/>
      <c r="HMJ83" s="6"/>
      <c r="HMK83" s="6"/>
      <c r="HML83" s="6"/>
      <c r="HMM83" s="6"/>
      <c r="HMN83" s="6"/>
      <c r="HMO83" s="6"/>
      <c r="HMP83" s="6"/>
      <c r="HMQ83" s="6"/>
      <c r="HMR83" s="6"/>
      <c r="HMS83" s="6"/>
      <c r="HMT83" s="6"/>
      <c r="HMU83" s="6"/>
      <c r="HMV83" s="6"/>
      <c r="HMW83" s="6"/>
      <c r="HMX83" s="6"/>
      <c r="HMY83" s="6"/>
      <c r="HMZ83" s="6"/>
      <c r="HNA83" s="6"/>
      <c r="HNB83" s="6"/>
      <c r="HNC83" s="6"/>
      <c r="HND83" s="6"/>
      <c r="HNE83" s="6"/>
      <c r="HNF83" s="6"/>
      <c r="HNG83" s="6"/>
      <c r="HNH83" s="6"/>
      <c r="HNI83" s="6"/>
      <c r="HNJ83" s="6"/>
      <c r="HNK83" s="6"/>
      <c r="HNL83" s="6"/>
      <c r="HNM83" s="6"/>
      <c r="HNN83" s="6"/>
      <c r="HNO83" s="6"/>
      <c r="HNP83" s="6"/>
      <c r="HNQ83" s="6"/>
      <c r="HNR83" s="6"/>
      <c r="HNS83" s="6"/>
      <c r="HNT83" s="6"/>
      <c r="HNU83" s="6"/>
      <c r="HNV83" s="6"/>
      <c r="HNW83" s="6"/>
      <c r="HNX83" s="6"/>
      <c r="HNY83" s="6"/>
      <c r="HNZ83" s="6"/>
      <c r="HOA83" s="6"/>
      <c r="HOB83" s="6"/>
      <c r="HOC83" s="6"/>
      <c r="HOD83" s="6"/>
      <c r="HOE83" s="6"/>
      <c r="HOF83" s="6"/>
      <c r="HOG83" s="6"/>
      <c r="HOH83" s="6"/>
      <c r="HOI83" s="6"/>
      <c r="HOJ83" s="6"/>
      <c r="HOK83" s="6"/>
      <c r="HOL83" s="6"/>
      <c r="HOM83" s="6"/>
      <c r="HON83" s="6"/>
      <c r="HOO83" s="6"/>
      <c r="HOP83" s="6"/>
      <c r="HOQ83" s="6"/>
      <c r="HOR83" s="6"/>
      <c r="HOS83" s="6"/>
      <c r="HOT83" s="6"/>
      <c r="HOU83" s="6"/>
      <c r="HOV83" s="6"/>
      <c r="HOW83" s="6"/>
      <c r="HOX83" s="6"/>
      <c r="HOY83" s="6"/>
      <c r="HOZ83" s="6"/>
      <c r="HPA83" s="6"/>
      <c r="HPB83" s="6"/>
      <c r="HPC83" s="6"/>
      <c r="HPD83" s="6"/>
      <c r="HPE83" s="6"/>
      <c r="HPF83" s="6"/>
      <c r="HPG83" s="6"/>
      <c r="HPH83" s="6"/>
      <c r="HPI83" s="6"/>
      <c r="HPJ83" s="6"/>
      <c r="HPK83" s="6"/>
      <c r="HPL83" s="6"/>
      <c r="HPM83" s="6"/>
      <c r="HPN83" s="6"/>
      <c r="HPO83" s="6"/>
      <c r="HPP83" s="6"/>
      <c r="HPQ83" s="6"/>
      <c r="HPR83" s="6"/>
      <c r="HPS83" s="6"/>
      <c r="HPT83" s="6"/>
      <c r="HPU83" s="6"/>
      <c r="HPV83" s="6"/>
      <c r="HPW83" s="6"/>
      <c r="HPX83" s="6"/>
      <c r="HPY83" s="6"/>
      <c r="HPZ83" s="6"/>
      <c r="HQA83" s="6"/>
      <c r="HQB83" s="6"/>
      <c r="HQC83" s="6"/>
      <c r="HQD83" s="6"/>
      <c r="HQE83" s="6"/>
      <c r="HQF83" s="6"/>
      <c r="HQG83" s="6"/>
      <c r="HQH83" s="6"/>
      <c r="HQI83" s="6"/>
      <c r="HQJ83" s="6"/>
      <c r="HQK83" s="6"/>
      <c r="HQL83" s="6"/>
      <c r="HQM83" s="6"/>
      <c r="HQN83" s="6"/>
      <c r="HQO83" s="6"/>
      <c r="HQP83" s="6"/>
      <c r="HQQ83" s="6"/>
      <c r="HQR83" s="6"/>
      <c r="HQS83" s="6"/>
      <c r="HQT83" s="6"/>
      <c r="HQU83" s="6"/>
      <c r="HQV83" s="6"/>
      <c r="HQW83" s="6"/>
      <c r="HQX83" s="6"/>
      <c r="HQY83" s="6"/>
      <c r="HQZ83" s="6"/>
      <c r="HRA83" s="6"/>
      <c r="HRB83" s="6"/>
      <c r="HRC83" s="6"/>
      <c r="HRD83" s="6"/>
      <c r="HRE83" s="6"/>
      <c r="HRF83" s="6"/>
      <c r="HRG83" s="6"/>
      <c r="HRH83" s="6"/>
      <c r="HRI83" s="6"/>
      <c r="HRJ83" s="6"/>
      <c r="HRK83" s="6"/>
      <c r="HRL83" s="6"/>
      <c r="HRM83" s="6"/>
      <c r="HRN83" s="6"/>
      <c r="HRO83" s="6"/>
      <c r="HRP83" s="6"/>
      <c r="HRQ83" s="6"/>
      <c r="HRR83" s="6"/>
      <c r="HRS83" s="6"/>
      <c r="HRT83" s="6"/>
      <c r="HRU83" s="6"/>
      <c r="HRV83" s="6"/>
      <c r="HRW83" s="6"/>
      <c r="HRX83" s="6"/>
      <c r="HRY83" s="6"/>
      <c r="HRZ83" s="6"/>
      <c r="HSA83" s="6"/>
      <c r="HSB83" s="6"/>
      <c r="HSC83" s="6"/>
      <c r="HSD83" s="6"/>
      <c r="HSE83" s="6"/>
      <c r="HSF83" s="6"/>
      <c r="HSG83" s="6"/>
      <c r="HSH83" s="6"/>
      <c r="HSI83" s="6"/>
      <c r="HSJ83" s="6"/>
      <c r="HSK83" s="6"/>
      <c r="HSL83" s="6"/>
      <c r="HSM83" s="6"/>
      <c r="HSN83" s="6"/>
      <c r="HSO83" s="6"/>
      <c r="HSP83" s="6"/>
      <c r="HSQ83" s="6"/>
      <c r="HSR83" s="6"/>
      <c r="HSS83" s="6"/>
      <c r="HST83" s="6"/>
      <c r="HSU83" s="6"/>
      <c r="HSV83" s="6"/>
      <c r="HSW83" s="6"/>
      <c r="HSX83" s="6"/>
      <c r="HSY83" s="6"/>
      <c r="HSZ83" s="6"/>
      <c r="HTA83" s="6"/>
      <c r="HTB83" s="6"/>
      <c r="HTC83" s="6"/>
      <c r="HTD83" s="6"/>
      <c r="HTE83" s="6"/>
      <c r="HTF83" s="6"/>
      <c r="HTG83" s="6"/>
      <c r="HTH83" s="6"/>
      <c r="HTI83" s="6"/>
      <c r="HTJ83" s="6"/>
      <c r="HTK83" s="6"/>
      <c r="HTL83" s="6"/>
      <c r="HTM83" s="6"/>
      <c r="HTN83" s="6"/>
      <c r="HTO83" s="6"/>
      <c r="HTP83" s="6"/>
      <c r="HTQ83" s="6"/>
      <c r="HTR83" s="6"/>
      <c r="HTS83" s="6"/>
      <c r="HTT83" s="6"/>
      <c r="HTU83" s="6"/>
      <c r="HTV83" s="6"/>
      <c r="HTW83" s="6"/>
      <c r="HTX83" s="6"/>
      <c r="HTY83" s="6"/>
      <c r="HTZ83" s="6"/>
      <c r="HUA83" s="6"/>
      <c r="HUB83" s="6"/>
      <c r="HUC83" s="6"/>
      <c r="HUD83" s="6"/>
      <c r="HUE83" s="6"/>
      <c r="HUF83" s="6"/>
      <c r="HUG83" s="6"/>
      <c r="HUH83" s="6"/>
      <c r="HUI83" s="6"/>
      <c r="HUJ83" s="6"/>
      <c r="HUK83" s="6"/>
      <c r="HUL83" s="6"/>
      <c r="HUM83" s="6"/>
      <c r="HUN83" s="6"/>
      <c r="HUO83" s="6"/>
      <c r="HUP83" s="6"/>
      <c r="HUQ83" s="6"/>
      <c r="HUR83" s="6"/>
      <c r="HUS83" s="6"/>
      <c r="HUT83" s="6"/>
      <c r="HUU83" s="6"/>
      <c r="HUV83" s="6"/>
      <c r="HUW83" s="6"/>
      <c r="HUX83" s="6"/>
      <c r="HUY83" s="6"/>
      <c r="HUZ83" s="6"/>
      <c r="HVA83" s="6"/>
      <c r="HVB83" s="6"/>
      <c r="HVC83" s="6"/>
      <c r="HVD83" s="6"/>
      <c r="HVE83" s="6"/>
      <c r="HVF83" s="6"/>
      <c r="HVG83" s="6"/>
      <c r="HVH83" s="6"/>
      <c r="HVI83" s="6"/>
      <c r="HVJ83" s="6"/>
      <c r="HVK83" s="6"/>
      <c r="HVL83" s="6"/>
      <c r="HVM83" s="6"/>
      <c r="HVN83" s="6"/>
      <c r="HVO83" s="6"/>
      <c r="HVP83" s="6"/>
      <c r="HVQ83" s="6"/>
      <c r="HVR83" s="6"/>
      <c r="HVS83" s="6"/>
      <c r="HVT83" s="6"/>
      <c r="HVU83" s="6"/>
      <c r="HVV83" s="6"/>
      <c r="HVW83" s="6"/>
      <c r="HVX83" s="6"/>
      <c r="HVY83" s="6"/>
      <c r="HVZ83" s="6"/>
      <c r="HWA83" s="6"/>
      <c r="HWB83" s="6"/>
      <c r="HWC83" s="6"/>
      <c r="HWD83" s="6"/>
      <c r="HWE83" s="6"/>
      <c r="HWF83" s="6"/>
      <c r="HWG83" s="6"/>
      <c r="HWH83" s="6"/>
      <c r="HWI83" s="6"/>
      <c r="HWJ83" s="6"/>
      <c r="HWK83" s="6"/>
      <c r="HWL83" s="6"/>
      <c r="HWM83" s="6"/>
      <c r="HWN83" s="6"/>
      <c r="HWO83" s="6"/>
      <c r="HWP83" s="6"/>
      <c r="HWQ83" s="6"/>
      <c r="HWR83" s="6"/>
      <c r="HWS83" s="6"/>
      <c r="HWT83" s="6"/>
      <c r="HWU83" s="6"/>
      <c r="HWV83" s="6"/>
      <c r="HWW83" s="6"/>
      <c r="HWX83" s="6"/>
      <c r="HWY83" s="6"/>
      <c r="HWZ83" s="6"/>
      <c r="HXA83" s="6"/>
      <c r="HXB83" s="6"/>
      <c r="HXC83" s="6"/>
      <c r="HXD83" s="6"/>
      <c r="HXE83" s="6"/>
      <c r="HXF83" s="6"/>
      <c r="HXG83" s="6"/>
      <c r="HXH83" s="6"/>
      <c r="HXI83" s="6"/>
      <c r="HXJ83" s="6"/>
      <c r="HXK83" s="6"/>
      <c r="HXL83" s="6"/>
      <c r="HXM83" s="6"/>
      <c r="HXN83" s="6"/>
      <c r="HXO83" s="6"/>
      <c r="HXP83" s="6"/>
      <c r="HXQ83" s="6"/>
      <c r="HXR83" s="6"/>
      <c r="HXS83" s="6"/>
      <c r="HXT83" s="6"/>
      <c r="HXU83" s="6"/>
      <c r="HXV83" s="6"/>
      <c r="HXW83" s="6"/>
      <c r="HXX83" s="6"/>
      <c r="HXY83" s="6"/>
      <c r="HXZ83" s="6"/>
      <c r="HYA83" s="6"/>
      <c r="HYB83" s="6"/>
      <c r="HYC83" s="6"/>
      <c r="HYD83" s="6"/>
      <c r="HYE83" s="6"/>
      <c r="HYF83" s="6"/>
      <c r="HYG83" s="6"/>
      <c r="HYH83" s="6"/>
      <c r="HYI83" s="6"/>
      <c r="HYJ83" s="6"/>
      <c r="HYK83" s="6"/>
      <c r="HYL83" s="6"/>
      <c r="HYM83" s="6"/>
      <c r="HYN83" s="6"/>
      <c r="HYO83" s="6"/>
      <c r="HYP83" s="6"/>
      <c r="HYQ83" s="6"/>
      <c r="HYR83" s="6"/>
      <c r="HYS83" s="6"/>
      <c r="HYT83" s="6"/>
      <c r="HYU83" s="6"/>
      <c r="HYV83" s="6"/>
      <c r="HYW83" s="6"/>
      <c r="HYX83" s="6"/>
      <c r="HYY83" s="6"/>
      <c r="HYZ83" s="6"/>
      <c r="HZA83" s="6"/>
      <c r="HZB83" s="6"/>
      <c r="HZC83" s="6"/>
      <c r="HZD83" s="6"/>
      <c r="HZE83" s="6"/>
      <c r="HZF83" s="6"/>
      <c r="HZG83" s="6"/>
      <c r="HZH83" s="6"/>
      <c r="HZI83" s="6"/>
      <c r="HZJ83" s="6"/>
      <c r="HZK83" s="6"/>
      <c r="HZL83" s="6"/>
      <c r="HZM83" s="6"/>
      <c r="HZN83" s="6"/>
      <c r="HZO83" s="6"/>
      <c r="HZP83" s="6"/>
      <c r="HZQ83" s="6"/>
      <c r="HZR83" s="6"/>
      <c r="HZS83" s="6"/>
      <c r="HZT83" s="6"/>
      <c r="HZU83" s="6"/>
      <c r="HZV83" s="6"/>
      <c r="HZW83" s="6"/>
      <c r="HZX83" s="6"/>
      <c r="HZY83" s="6"/>
      <c r="HZZ83" s="6"/>
      <c r="IAA83" s="6"/>
      <c r="IAB83" s="6"/>
      <c r="IAC83" s="6"/>
      <c r="IAD83" s="6"/>
      <c r="IAE83" s="6"/>
      <c r="IAF83" s="6"/>
      <c r="IAG83" s="6"/>
      <c r="IAH83" s="6"/>
      <c r="IAI83" s="6"/>
      <c r="IAJ83" s="6"/>
      <c r="IAK83" s="6"/>
      <c r="IAL83" s="6"/>
      <c r="IAM83" s="6"/>
      <c r="IAN83" s="6"/>
      <c r="IAO83" s="6"/>
      <c r="IAP83" s="6"/>
      <c r="IAQ83" s="6"/>
      <c r="IAR83" s="6"/>
      <c r="IAS83" s="6"/>
      <c r="IAT83" s="6"/>
      <c r="IAU83" s="6"/>
      <c r="IAV83" s="6"/>
      <c r="IAW83" s="6"/>
      <c r="IAX83" s="6"/>
      <c r="IAY83" s="6"/>
      <c r="IAZ83" s="6"/>
      <c r="IBA83" s="6"/>
      <c r="IBB83" s="6"/>
      <c r="IBC83" s="6"/>
      <c r="IBD83" s="6"/>
      <c r="IBE83" s="6"/>
      <c r="IBF83" s="6"/>
      <c r="IBG83" s="6"/>
      <c r="IBH83" s="6"/>
      <c r="IBI83" s="6"/>
      <c r="IBJ83" s="6"/>
      <c r="IBK83" s="6"/>
      <c r="IBL83" s="6"/>
      <c r="IBM83" s="6"/>
      <c r="IBN83" s="6"/>
      <c r="IBO83" s="6"/>
      <c r="IBP83" s="6"/>
      <c r="IBQ83" s="6"/>
      <c r="IBR83" s="6"/>
      <c r="IBS83" s="6"/>
      <c r="IBT83" s="6"/>
      <c r="IBU83" s="6"/>
      <c r="IBV83" s="6"/>
      <c r="IBW83" s="6"/>
      <c r="IBX83" s="6"/>
      <c r="IBY83" s="6"/>
      <c r="IBZ83" s="6"/>
      <c r="ICA83" s="6"/>
      <c r="ICB83" s="6"/>
      <c r="ICC83" s="6"/>
      <c r="ICD83" s="6"/>
      <c r="ICE83" s="6"/>
      <c r="ICF83" s="6"/>
      <c r="ICG83" s="6"/>
      <c r="ICH83" s="6"/>
      <c r="ICI83" s="6"/>
      <c r="ICJ83" s="6"/>
      <c r="ICK83" s="6"/>
      <c r="ICL83" s="6"/>
      <c r="ICM83" s="6"/>
      <c r="ICN83" s="6"/>
      <c r="ICO83" s="6"/>
      <c r="ICP83" s="6"/>
      <c r="ICQ83" s="6"/>
      <c r="ICR83" s="6"/>
      <c r="ICS83" s="6"/>
      <c r="ICT83" s="6"/>
      <c r="ICU83" s="6"/>
      <c r="ICV83" s="6"/>
      <c r="ICW83" s="6"/>
      <c r="ICX83" s="6"/>
      <c r="ICY83" s="6"/>
      <c r="ICZ83" s="6"/>
      <c r="IDA83" s="6"/>
      <c r="IDB83" s="6"/>
      <c r="IDC83" s="6"/>
      <c r="IDD83" s="6"/>
      <c r="IDE83" s="6"/>
      <c r="IDF83" s="6"/>
      <c r="IDG83" s="6"/>
      <c r="IDH83" s="6"/>
      <c r="IDI83" s="6"/>
      <c r="IDJ83" s="6"/>
      <c r="IDK83" s="6"/>
      <c r="IDL83" s="6"/>
      <c r="IDM83" s="6"/>
      <c r="IDN83" s="6"/>
      <c r="IDO83" s="6"/>
      <c r="IDP83" s="6"/>
      <c r="IDQ83" s="6"/>
      <c r="IDR83" s="6"/>
      <c r="IDS83" s="6"/>
      <c r="IDT83" s="6"/>
      <c r="IDU83" s="6"/>
      <c r="IDV83" s="6"/>
      <c r="IDW83" s="6"/>
      <c r="IDX83" s="6"/>
      <c r="IDY83" s="6"/>
      <c r="IDZ83" s="6"/>
      <c r="IEA83" s="6"/>
      <c r="IEB83" s="6"/>
      <c r="IEC83" s="6"/>
      <c r="IED83" s="6"/>
      <c r="IEE83" s="6"/>
      <c r="IEF83" s="6"/>
      <c r="IEG83" s="6"/>
      <c r="IEH83" s="6"/>
      <c r="IEI83" s="6"/>
      <c r="IEJ83" s="6"/>
      <c r="IEK83" s="6"/>
      <c r="IEL83" s="6"/>
      <c r="IEM83" s="6"/>
      <c r="IEN83" s="6"/>
      <c r="IEO83" s="6"/>
      <c r="IEP83" s="6"/>
      <c r="IEQ83" s="6"/>
      <c r="IER83" s="6"/>
      <c r="IES83" s="6"/>
      <c r="IET83" s="6"/>
      <c r="IEU83" s="6"/>
      <c r="IEV83" s="6"/>
      <c r="IEW83" s="6"/>
      <c r="IEX83" s="6"/>
      <c r="IEY83" s="6"/>
      <c r="IEZ83" s="6"/>
      <c r="IFA83" s="6"/>
      <c r="IFB83" s="6"/>
      <c r="IFC83" s="6"/>
      <c r="IFD83" s="6"/>
      <c r="IFE83" s="6"/>
      <c r="IFF83" s="6"/>
      <c r="IFG83" s="6"/>
      <c r="IFH83" s="6"/>
      <c r="IFI83" s="6"/>
      <c r="IFJ83" s="6"/>
      <c r="IFK83" s="6"/>
      <c r="IFL83" s="6"/>
      <c r="IFM83" s="6"/>
      <c r="IFN83" s="6"/>
      <c r="IFO83" s="6"/>
      <c r="IFP83" s="6"/>
      <c r="IFQ83" s="6"/>
      <c r="IFR83" s="6"/>
      <c r="IFS83" s="6"/>
      <c r="IFT83" s="6"/>
      <c r="IFU83" s="6"/>
      <c r="IFV83" s="6"/>
      <c r="IFW83" s="6"/>
      <c r="IFX83" s="6"/>
      <c r="IFY83" s="6"/>
      <c r="IFZ83" s="6"/>
      <c r="IGA83" s="6"/>
      <c r="IGB83" s="6"/>
      <c r="IGC83" s="6"/>
      <c r="IGD83" s="6"/>
      <c r="IGE83" s="6"/>
      <c r="IGF83" s="6"/>
      <c r="IGG83" s="6"/>
      <c r="IGH83" s="6"/>
      <c r="IGI83" s="6"/>
      <c r="IGJ83" s="6"/>
      <c r="IGK83" s="6"/>
      <c r="IGL83" s="6"/>
      <c r="IGM83" s="6"/>
      <c r="IGN83" s="6"/>
      <c r="IGO83" s="6"/>
      <c r="IGP83" s="6"/>
      <c r="IGQ83" s="6"/>
      <c r="IGR83" s="6"/>
      <c r="IGS83" s="6"/>
      <c r="IGT83" s="6"/>
      <c r="IGU83" s="6"/>
      <c r="IGV83" s="6"/>
      <c r="IGW83" s="6"/>
      <c r="IGX83" s="6"/>
      <c r="IGY83" s="6"/>
      <c r="IGZ83" s="6"/>
      <c r="IHA83" s="6"/>
      <c r="IHB83" s="6"/>
      <c r="IHC83" s="6"/>
      <c r="IHD83" s="6"/>
      <c r="IHE83" s="6"/>
      <c r="IHF83" s="6"/>
      <c r="IHG83" s="6"/>
      <c r="IHH83" s="6"/>
      <c r="IHI83" s="6"/>
      <c r="IHJ83" s="6"/>
      <c r="IHK83" s="6"/>
      <c r="IHL83" s="6"/>
      <c r="IHM83" s="6"/>
      <c r="IHN83" s="6"/>
      <c r="IHO83" s="6"/>
      <c r="IHP83" s="6"/>
      <c r="IHQ83" s="6"/>
      <c r="IHR83" s="6"/>
      <c r="IHS83" s="6"/>
      <c r="IHT83" s="6"/>
      <c r="IHU83" s="6"/>
      <c r="IHV83" s="6"/>
      <c r="IHW83" s="6"/>
      <c r="IHX83" s="6"/>
      <c r="IHY83" s="6"/>
      <c r="IHZ83" s="6"/>
      <c r="IIA83" s="6"/>
      <c r="IIB83" s="6"/>
      <c r="IIC83" s="6"/>
      <c r="IID83" s="6"/>
      <c r="IIE83" s="6"/>
      <c r="IIF83" s="6"/>
      <c r="IIG83" s="6"/>
      <c r="IIH83" s="6"/>
      <c r="III83" s="6"/>
      <c r="IIJ83" s="6"/>
      <c r="IIK83" s="6"/>
      <c r="IIL83" s="6"/>
      <c r="IIM83" s="6"/>
      <c r="IIN83" s="6"/>
      <c r="IIO83" s="6"/>
      <c r="IIP83" s="6"/>
      <c r="IIQ83" s="6"/>
      <c r="IIR83" s="6"/>
      <c r="IIS83" s="6"/>
      <c r="IIT83" s="6"/>
      <c r="IIU83" s="6"/>
      <c r="IIV83" s="6"/>
      <c r="IIW83" s="6"/>
      <c r="IIX83" s="6"/>
      <c r="IIY83" s="6"/>
      <c r="IIZ83" s="6"/>
      <c r="IJA83" s="6"/>
      <c r="IJB83" s="6"/>
      <c r="IJC83" s="6"/>
      <c r="IJD83" s="6"/>
      <c r="IJE83" s="6"/>
      <c r="IJF83" s="6"/>
      <c r="IJG83" s="6"/>
      <c r="IJH83" s="6"/>
      <c r="IJI83" s="6"/>
      <c r="IJJ83" s="6"/>
      <c r="IJK83" s="6"/>
      <c r="IJL83" s="6"/>
      <c r="IJM83" s="6"/>
      <c r="IJN83" s="6"/>
      <c r="IJO83" s="6"/>
      <c r="IJP83" s="6"/>
      <c r="IJQ83" s="6"/>
      <c r="IJR83" s="6"/>
      <c r="IJS83" s="6"/>
      <c r="IJT83" s="6"/>
      <c r="IJU83" s="6"/>
      <c r="IJV83" s="6"/>
      <c r="IJW83" s="6"/>
      <c r="IJX83" s="6"/>
      <c r="IJY83" s="6"/>
      <c r="IJZ83" s="6"/>
      <c r="IKA83" s="6"/>
      <c r="IKB83" s="6"/>
      <c r="IKC83" s="6"/>
      <c r="IKD83" s="6"/>
      <c r="IKE83" s="6"/>
      <c r="IKF83" s="6"/>
      <c r="IKG83" s="6"/>
      <c r="IKH83" s="6"/>
      <c r="IKI83" s="6"/>
      <c r="IKJ83" s="6"/>
      <c r="IKK83" s="6"/>
      <c r="IKL83" s="6"/>
      <c r="IKM83" s="6"/>
      <c r="IKN83" s="6"/>
      <c r="IKO83" s="6"/>
      <c r="IKP83" s="6"/>
      <c r="IKQ83" s="6"/>
      <c r="IKR83" s="6"/>
      <c r="IKS83" s="6"/>
      <c r="IKT83" s="6"/>
      <c r="IKU83" s="6"/>
      <c r="IKV83" s="6"/>
      <c r="IKW83" s="6"/>
      <c r="IKX83" s="6"/>
      <c r="IKY83" s="6"/>
      <c r="IKZ83" s="6"/>
      <c r="ILA83" s="6"/>
      <c r="ILB83" s="6"/>
      <c r="ILC83" s="6"/>
      <c r="ILD83" s="6"/>
      <c r="ILE83" s="6"/>
      <c r="ILF83" s="6"/>
      <c r="ILG83" s="6"/>
      <c r="ILH83" s="6"/>
      <c r="ILI83" s="6"/>
      <c r="ILJ83" s="6"/>
      <c r="ILK83" s="6"/>
      <c r="ILL83" s="6"/>
      <c r="ILM83" s="6"/>
      <c r="ILN83" s="6"/>
      <c r="ILO83" s="6"/>
      <c r="ILP83" s="6"/>
      <c r="ILQ83" s="6"/>
      <c r="ILR83" s="6"/>
      <c r="ILS83" s="6"/>
      <c r="ILT83" s="6"/>
      <c r="ILU83" s="6"/>
      <c r="ILV83" s="6"/>
      <c r="ILW83" s="6"/>
      <c r="ILX83" s="6"/>
      <c r="ILY83" s="6"/>
      <c r="ILZ83" s="6"/>
      <c r="IMA83" s="6"/>
      <c r="IMB83" s="6"/>
      <c r="IMC83" s="6"/>
      <c r="IMD83" s="6"/>
      <c r="IME83" s="6"/>
      <c r="IMF83" s="6"/>
      <c r="IMG83" s="6"/>
      <c r="IMH83" s="6"/>
      <c r="IMI83" s="6"/>
      <c r="IMJ83" s="6"/>
      <c r="IMK83" s="6"/>
      <c r="IML83" s="6"/>
      <c r="IMM83" s="6"/>
      <c r="IMN83" s="6"/>
      <c r="IMO83" s="6"/>
      <c r="IMP83" s="6"/>
      <c r="IMQ83" s="6"/>
      <c r="IMR83" s="6"/>
      <c r="IMS83" s="6"/>
      <c r="IMT83" s="6"/>
      <c r="IMU83" s="6"/>
      <c r="IMV83" s="6"/>
      <c r="IMW83" s="6"/>
      <c r="IMX83" s="6"/>
      <c r="IMY83" s="6"/>
      <c r="IMZ83" s="6"/>
      <c r="INA83" s="6"/>
      <c r="INB83" s="6"/>
      <c r="INC83" s="6"/>
      <c r="IND83" s="6"/>
      <c r="INE83" s="6"/>
      <c r="INF83" s="6"/>
      <c r="ING83" s="6"/>
      <c r="INH83" s="6"/>
      <c r="INI83" s="6"/>
      <c r="INJ83" s="6"/>
      <c r="INK83" s="6"/>
      <c r="INL83" s="6"/>
      <c r="INM83" s="6"/>
      <c r="INN83" s="6"/>
      <c r="INO83" s="6"/>
      <c r="INP83" s="6"/>
      <c r="INQ83" s="6"/>
      <c r="INR83" s="6"/>
      <c r="INS83" s="6"/>
      <c r="INT83" s="6"/>
      <c r="INU83" s="6"/>
      <c r="INV83" s="6"/>
      <c r="INW83" s="6"/>
      <c r="INX83" s="6"/>
      <c r="INY83" s="6"/>
      <c r="INZ83" s="6"/>
      <c r="IOA83" s="6"/>
      <c r="IOB83" s="6"/>
      <c r="IOC83" s="6"/>
      <c r="IOD83" s="6"/>
      <c r="IOE83" s="6"/>
      <c r="IOF83" s="6"/>
      <c r="IOG83" s="6"/>
      <c r="IOH83" s="6"/>
      <c r="IOI83" s="6"/>
      <c r="IOJ83" s="6"/>
      <c r="IOK83" s="6"/>
      <c r="IOL83" s="6"/>
      <c r="IOM83" s="6"/>
      <c r="ION83" s="6"/>
      <c r="IOO83" s="6"/>
      <c r="IOP83" s="6"/>
      <c r="IOQ83" s="6"/>
      <c r="IOR83" s="6"/>
      <c r="IOS83" s="6"/>
      <c r="IOT83" s="6"/>
      <c r="IOU83" s="6"/>
      <c r="IOV83" s="6"/>
      <c r="IOW83" s="6"/>
      <c r="IOX83" s="6"/>
      <c r="IOY83" s="6"/>
      <c r="IOZ83" s="6"/>
      <c r="IPA83" s="6"/>
      <c r="IPB83" s="6"/>
      <c r="IPC83" s="6"/>
      <c r="IPD83" s="6"/>
      <c r="IPE83" s="6"/>
      <c r="IPF83" s="6"/>
      <c r="IPG83" s="6"/>
      <c r="IPH83" s="6"/>
      <c r="IPI83" s="6"/>
      <c r="IPJ83" s="6"/>
      <c r="IPK83" s="6"/>
      <c r="IPL83" s="6"/>
      <c r="IPM83" s="6"/>
      <c r="IPN83" s="6"/>
      <c r="IPO83" s="6"/>
      <c r="IPP83" s="6"/>
      <c r="IPQ83" s="6"/>
      <c r="IPR83" s="6"/>
      <c r="IPS83" s="6"/>
      <c r="IPT83" s="6"/>
      <c r="IPU83" s="6"/>
      <c r="IPV83" s="6"/>
      <c r="IPW83" s="6"/>
      <c r="IPX83" s="6"/>
      <c r="IPY83" s="6"/>
      <c r="IPZ83" s="6"/>
      <c r="IQA83" s="6"/>
      <c r="IQB83" s="6"/>
      <c r="IQC83" s="6"/>
      <c r="IQD83" s="6"/>
      <c r="IQE83" s="6"/>
      <c r="IQF83" s="6"/>
      <c r="IQG83" s="6"/>
      <c r="IQH83" s="6"/>
      <c r="IQI83" s="6"/>
      <c r="IQJ83" s="6"/>
      <c r="IQK83" s="6"/>
      <c r="IQL83" s="6"/>
      <c r="IQM83" s="6"/>
      <c r="IQN83" s="6"/>
      <c r="IQO83" s="6"/>
      <c r="IQP83" s="6"/>
      <c r="IQQ83" s="6"/>
      <c r="IQR83" s="6"/>
      <c r="IQS83" s="6"/>
      <c r="IQT83" s="6"/>
      <c r="IQU83" s="6"/>
      <c r="IQV83" s="6"/>
      <c r="IQW83" s="6"/>
      <c r="IQX83" s="6"/>
      <c r="IQY83" s="6"/>
      <c r="IQZ83" s="6"/>
      <c r="IRA83" s="6"/>
      <c r="IRB83" s="6"/>
      <c r="IRC83" s="6"/>
      <c r="IRD83" s="6"/>
      <c r="IRE83" s="6"/>
      <c r="IRF83" s="6"/>
      <c r="IRG83" s="6"/>
      <c r="IRH83" s="6"/>
      <c r="IRI83" s="6"/>
      <c r="IRJ83" s="6"/>
      <c r="IRK83" s="6"/>
      <c r="IRL83" s="6"/>
      <c r="IRM83" s="6"/>
      <c r="IRN83" s="6"/>
      <c r="IRO83" s="6"/>
      <c r="IRP83" s="6"/>
      <c r="IRQ83" s="6"/>
      <c r="IRR83" s="6"/>
      <c r="IRS83" s="6"/>
      <c r="IRT83" s="6"/>
      <c r="IRU83" s="6"/>
      <c r="IRV83" s="6"/>
      <c r="IRW83" s="6"/>
      <c r="IRX83" s="6"/>
      <c r="IRY83" s="6"/>
      <c r="IRZ83" s="6"/>
      <c r="ISA83" s="6"/>
      <c r="ISB83" s="6"/>
      <c r="ISC83" s="6"/>
      <c r="ISD83" s="6"/>
      <c r="ISE83" s="6"/>
      <c r="ISF83" s="6"/>
      <c r="ISG83" s="6"/>
      <c r="ISH83" s="6"/>
      <c r="ISI83" s="6"/>
      <c r="ISJ83" s="6"/>
      <c r="ISK83" s="6"/>
      <c r="ISL83" s="6"/>
      <c r="ISM83" s="6"/>
      <c r="ISN83" s="6"/>
      <c r="ISO83" s="6"/>
      <c r="ISP83" s="6"/>
      <c r="ISQ83" s="6"/>
      <c r="ISR83" s="6"/>
      <c r="ISS83" s="6"/>
      <c r="IST83" s="6"/>
      <c r="ISU83" s="6"/>
      <c r="ISV83" s="6"/>
      <c r="ISW83" s="6"/>
      <c r="ISX83" s="6"/>
      <c r="ISY83" s="6"/>
      <c r="ISZ83" s="6"/>
      <c r="ITA83" s="6"/>
      <c r="ITB83" s="6"/>
      <c r="ITC83" s="6"/>
      <c r="ITD83" s="6"/>
      <c r="ITE83" s="6"/>
      <c r="ITF83" s="6"/>
      <c r="ITG83" s="6"/>
      <c r="ITH83" s="6"/>
      <c r="ITI83" s="6"/>
      <c r="ITJ83" s="6"/>
      <c r="ITK83" s="6"/>
      <c r="ITL83" s="6"/>
      <c r="ITM83" s="6"/>
      <c r="ITN83" s="6"/>
      <c r="ITO83" s="6"/>
      <c r="ITP83" s="6"/>
      <c r="ITQ83" s="6"/>
      <c r="ITR83" s="6"/>
      <c r="ITS83" s="6"/>
      <c r="ITT83" s="6"/>
      <c r="ITU83" s="6"/>
      <c r="ITV83" s="6"/>
      <c r="ITW83" s="6"/>
      <c r="ITX83" s="6"/>
      <c r="ITY83" s="6"/>
      <c r="ITZ83" s="6"/>
      <c r="IUA83" s="6"/>
      <c r="IUB83" s="6"/>
      <c r="IUC83" s="6"/>
      <c r="IUD83" s="6"/>
      <c r="IUE83" s="6"/>
      <c r="IUF83" s="6"/>
      <c r="IUG83" s="6"/>
      <c r="IUH83" s="6"/>
      <c r="IUI83" s="6"/>
      <c r="IUJ83" s="6"/>
      <c r="IUK83" s="6"/>
      <c r="IUL83" s="6"/>
      <c r="IUM83" s="6"/>
      <c r="IUN83" s="6"/>
      <c r="IUO83" s="6"/>
      <c r="IUP83" s="6"/>
      <c r="IUQ83" s="6"/>
      <c r="IUR83" s="6"/>
      <c r="IUS83" s="6"/>
      <c r="IUT83" s="6"/>
      <c r="IUU83" s="6"/>
      <c r="IUV83" s="6"/>
      <c r="IUW83" s="6"/>
      <c r="IUX83" s="6"/>
      <c r="IUY83" s="6"/>
      <c r="IUZ83" s="6"/>
      <c r="IVA83" s="6"/>
      <c r="IVB83" s="6"/>
      <c r="IVC83" s="6"/>
      <c r="IVD83" s="6"/>
      <c r="IVE83" s="6"/>
      <c r="IVF83" s="6"/>
      <c r="IVG83" s="6"/>
      <c r="IVH83" s="6"/>
      <c r="IVI83" s="6"/>
      <c r="IVJ83" s="6"/>
      <c r="IVK83" s="6"/>
      <c r="IVL83" s="6"/>
      <c r="IVM83" s="6"/>
      <c r="IVN83" s="6"/>
      <c r="IVO83" s="6"/>
      <c r="IVP83" s="6"/>
      <c r="IVQ83" s="6"/>
      <c r="IVR83" s="6"/>
      <c r="IVS83" s="6"/>
      <c r="IVT83" s="6"/>
      <c r="IVU83" s="6"/>
      <c r="IVV83" s="6"/>
      <c r="IVW83" s="6"/>
      <c r="IVX83" s="6"/>
      <c r="IVY83" s="6"/>
      <c r="IVZ83" s="6"/>
      <c r="IWA83" s="6"/>
      <c r="IWB83" s="6"/>
      <c r="IWC83" s="6"/>
      <c r="IWD83" s="6"/>
      <c r="IWE83" s="6"/>
      <c r="IWF83" s="6"/>
      <c r="IWG83" s="6"/>
      <c r="IWH83" s="6"/>
      <c r="IWI83" s="6"/>
      <c r="IWJ83" s="6"/>
      <c r="IWK83" s="6"/>
      <c r="IWL83" s="6"/>
      <c r="IWM83" s="6"/>
      <c r="IWN83" s="6"/>
      <c r="IWO83" s="6"/>
      <c r="IWP83" s="6"/>
      <c r="IWQ83" s="6"/>
      <c r="IWR83" s="6"/>
      <c r="IWS83" s="6"/>
      <c r="IWT83" s="6"/>
      <c r="IWU83" s="6"/>
      <c r="IWV83" s="6"/>
      <c r="IWW83" s="6"/>
      <c r="IWX83" s="6"/>
      <c r="IWY83" s="6"/>
      <c r="IWZ83" s="6"/>
      <c r="IXA83" s="6"/>
      <c r="IXB83" s="6"/>
      <c r="IXC83" s="6"/>
      <c r="IXD83" s="6"/>
      <c r="IXE83" s="6"/>
      <c r="IXF83" s="6"/>
      <c r="IXG83" s="6"/>
      <c r="IXH83" s="6"/>
      <c r="IXI83" s="6"/>
      <c r="IXJ83" s="6"/>
      <c r="IXK83" s="6"/>
      <c r="IXL83" s="6"/>
      <c r="IXM83" s="6"/>
      <c r="IXN83" s="6"/>
      <c r="IXO83" s="6"/>
      <c r="IXP83" s="6"/>
      <c r="IXQ83" s="6"/>
      <c r="IXR83" s="6"/>
      <c r="IXS83" s="6"/>
      <c r="IXT83" s="6"/>
      <c r="IXU83" s="6"/>
      <c r="IXV83" s="6"/>
      <c r="IXW83" s="6"/>
      <c r="IXX83" s="6"/>
      <c r="IXY83" s="6"/>
      <c r="IXZ83" s="6"/>
      <c r="IYA83" s="6"/>
      <c r="IYB83" s="6"/>
      <c r="IYC83" s="6"/>
      <c r="IYD83" s="6"/>
      <c r="IYE83" s="6"/>
      <c r="IYF83" s="6"/>
      <c r="IYG83" s="6"/>
      <c r="IYH83" s="6"/>
      <c r="IYI83" s="6"/>
      <c r="IYJ83" s="6"/>
      <c r="IYK83" s="6"/>
      <c r="IYL83" s="6"/>
      <c r="IYM83" s="6"/>
      <c r="IYN83" s="6"/>
      <c r="IYO83" s="6"/>
      <c r="IYP83" s="6"/>
      <c r="IYQ83" s="6"/>
      <c r="IYR83" s="6"/>
      <c r="IYS83" s="6"/>
      <c r="IYT83" s="6"/>
      <c r="IYU83" s="6"/>
      <c r="IYV83" s="6"/>
      <c r="IYW83" s="6"/>
      <c r="IYX83" s="6"/>
      <c r="IYY83" s="6"/>
      <c r="IYZ83" s="6"/>
      <c r="IZA83" s="6"/>
      <c r="IZB83" s="6"/>
      <c r="IZC83" s="6"/>
      <c r="IZD83" s="6"/>
      <c r="IZE83" s="6"/>
      <c r="IZF83" s="6"/>
      <c r="IZG83" s="6"/>
      <c r="IZH83" s="6"/>
      <c r="IZI83" s="6"/>
      <c r="IZJ83" s="6"/>
      <c r="IZK83" s="6"/>
      <c r="IZL83" s="6"/>
      <c r="IZM83" s="6"/>
      <c r="IZN83" s="6"/>
      <c r="IZO83" s="6"/>
      <c r="IZP83" s="6"/>
      <c r="IZQ83" s="6"/>
      <c r="IZR83" s="6"/>
      <c r="IZS83" s="6"/>
      <c r="IZT83" s="6"/>
      <c r="IZU83" s="6"/>
      <c r="IZV83" s="6"/>
      <c r="IZW83" s="6"/>
      <c r="IZX83" s="6"/>
      <c r="IZY83" s="6"/>
      <c r="IZZ83" s="6"/>
      <c r="JAA83" s="6"/>
      <c r="JAB83" s="6"/>
      <c r="JAC83" s="6"/>
      <c r="JAD83" s="6"/>
      <c r="JAE83" s="6"/>
      <c r="JAF83" s="6"/>
      <c r="JAG83" s="6"/>
      <c r="JAH83" s="6"/>
      <c r="JAI83" s="6"/>
      <c r="JAJ83" s="6"/>
      <c r="JAK83" s="6"/>
      <c r="JAL83" s="6"/>
      <c r="JAM83" s="6"/>
      <c r="JAN83" s="6"/>
      <c r="JAO83" s="6"/>
      <c r="JAP83" s="6"/>
      <c r="JAQ83" s="6"/>
      <c r="JAR83" s="6"/>
      <c r="JAS83" s="6"/>
      <c r="JAT83" s="6"/>
      <c r="JAU83" s="6"/>
      <c r="JAV83" s="6"/>
      <c r="JAW83" s="6"/>
      <c r="JAX83" s="6"/>
      <c r="JAY83" s="6"/>
      <c r="JAZ83" s="6"/>
      <c r="JBA83" s="6"/>
      <c r="JBB83" s="6"/>
      <c r="JBC83" s="6"/>
      <c r="JBD83" s="6"/>
      <c r="JBE83" s="6"/>
      <c r="JBF83" s="6"/>
      <c r="JBG83" s="6"/>
      <c r="JBH83" s="6"/>
      <c r="JBI83" s="6"/>
      <c r="JBJ83" s="6"/>
      <c r="JBK83" s="6"/>
      <c r="JBL83" s="6"/>
      <c r="JBM83" s="6"/>
      <c r="JBN83" s="6"/>
      <c r="JBO83" s="6"/>
      <c r="JBP83" s="6"/>
      <c r="JBQ83" s="6"/>
      <c r="JBR83" s="6"/>
      <c r="JBS83" s="6"/>
      <c r="JBT83" s="6"/>
      <c r="JBU83" s="6"/>
      <c r="JBV83" s="6"/>
      <c r="JBW83" s="6"/>
      <c r="JBX83" s="6"/>
      <c r="JBY83" s="6"/>
      <c r="JBZ83" s="6"/>
      <c r="JCA83" s="6"/>
      <c r="JCB83" s="6"/>
      <c r="JCC83" s="6"/>
      <c r="JCD83" s="6"/>
      <c r="JCE83" s="6"/>
      <c r="JCF83" s="6"/>
      <c r="JCG83" s="6"/>
      <c r="JCH83" s="6"/>
      <c r="JCI83" s="6"/>
      <c r="JCJ83" s="6"/>
      <c r="JCK83" s="6"/>
      <c r="JCL83" s="6"/>
      <c r="JCM83" s="6"/>
      <c r="JCN83" s="6"/>
      <c r="JCO83" s="6"/>
      <c r="JCP83" s="6"/>
      <c r="JCQ83" s="6"/>
      <c r="JCR83" s="6"/>
      <c r="JCS83" s="6"/>
      <c r="JCT83" s="6"/>
      <c r="JCU83" s="6"/>
      <c r="JCV83" s="6"/>
      <c r="JCW83" s="6"/>
      <c r="JCX83" s="6"/>
      <c r="JCY83" s="6"/>
      <c r="JCZ83" s="6"/>
      <c r="JDA83" s="6"/>
      <c r="JDB83" s="6"/>
      <c r="JDC83" s="6"/>
      <c r="JDD83" s="6"/>
      <c r="JDE83" s="6"/>
      <c r="JDF83" s="6"/>
      <c r="JDG83" s="6"/>
      <c r="JDH83" s="6"/>
      <c r="JDI83" s="6"/>
      <c r="JDJ83" s="6"/>
      <c r="JDK83" s="6"/>
      <c r="JDL83" s="6"/>
      <c r="JDM83" s="6"/>
      <c r="JDN83" s="6"/>
      <c r="JDO83" s="6"/>
      <c r="JDP83" s="6"/>
      <c r="JDQ83" s="6"/>
      <c r="JDR83" s="6"/>
      <c r="JDS83" s="6"/>
      <c r="JDT83" s="6"/>
      <c r="JDU83" s="6"/>
      <c r="JDV83" s="6"/>
      <c r="JDW83" s="6"/>
      <c r="JDX83" s="6"/>
      <c r="JDY83" s="6"/>
      <c r="JDZ83" s="6"/>
      <c r="JEA83" s="6"/>
      <c r="JEB83" s="6"/>
      <c r="JEC83" s="6"/>
      <c r="JED83" s="6"/>
      <c r="JEE83" s="6"/>
      <c r="JEF83" s="6"/>
      <c r="JEG83" s="6"/>
      <c r="JEH83" s="6"/>
      <c r="JEI83" s="6"/>
      <c r="JEJ83" s="6"/>
      <c r="JEK83" s="6"/>
      <c r="JEL83" s="6"/>
      <c r="JEM83" s="6"/>
      <c r="JEN83" s="6"/>
      <c r="JEO83" s="6"/>
      <c r="JEP83" s="6"/>
      <c r="JEQ83" s="6"/>
      <c r="JER83" s="6"/>
      <c r="JES83" s="6"/>
      <c r="JET83" s="6"/>
      <c r="JEU83" s="6"/>
      <c r="JEV83" s="6"/>
      <c r="JEW83" s="6"/>
      <c r="JEX83" s="6"/>
      <c r="JEY83" s="6"/>
      <c r="JEZ83" s="6"/>
      <c r="JFA83" s="6"/>
      <c r="JFB83" s="6"/>
      <c r="JFC83" s="6"/>
      <c r="JFD83" s="6"/>
      <c r="JFE83" s="6"/>
      <c r="JFF83" s="6"/>
      <c r="JFG83" s="6"/>
      <c r="JFH83" s="6"/>
      <c r="JFI83" s="6"/>
      <c r="JFJ83" s="6"/>
      <c r="JFK83" s="6"/>
      <c r="JFL83" s="6"/>
      <c r="JFM83" s="6"/>
      <c r="JFN83" s="6"/>
      <c r="JFO83" s="6"/>
      <c r="JFP83" s="6"/>
      <c r="JFQ83" s="6"/>
      <c r="JFR83" s="6"/>
      <c r="JFS83" s="6"/>
      <c r="JFT83" s="6"/>
      <c r="JFU83" s="6"/>
      <c r="JFV83" s="6"/>
      <c r="JFW83" s="6"/>
      <c r="JFX83" s="6"/>
      <c r="JFY83" s="6"/>
      <c r="JFZ83" s="6"/>
      <c r="JGA83" s="6"/>
      <c r="JGB83" s="6"/>
      <c r="JGC83" s="6"/>
      <c r="JGD83" s="6"/>
      <c r="JGE83" s="6"/>
      <c r="JGF83" s="6"/>
      <c r="JGG83" s="6"/>
      <c r="JGH83" s="6"/>
      <c r="JGI83" s="6"/>
      <c r="JGJ83" s="6"/>
      <c r="JGK83" s="6"/>
      <c r="JGL83" s="6"/>
      <c r="JGM83" s="6"/>
      <c r="JGN83" s="6"/>
      <c r="JGO83" s="6"/>
      <c r="JGP83" s="6"/>
      <c r="JGQ83" s="6"/>
      <c r="JGR83" s="6"/>
      <c r="JGS83" s="6"/>
      <c r="JGT83" s="6"/>
      <c r="JGU83" s="6"/>
      <c r="JGV83" s="6"/>
      <c r="JGW83" s="6"/>
      <c r="JGX83" s="6"/>
      <c r="JGY83" s="6"/>
      <c r="JGZ83" s="6"/>
      <c r="JHA83" s="6"/>
      <c r="JHB83" s="6"/>
      <c r="JHC83" s="6"/>
      <c r="JHD83" s="6"/>
      <c r="JHE83" s="6"/>
      <c r="JHF83" s="6"/>
      <c r="JHG83" s="6"/>
      <c r="JHH83" s="6"/>
      <c r="JHI83" s="6"/>
      <c r="JHJ83" s="6"/>
      <c r="JHK83" s="6"/>
      <c r="JHL83" s="6"/>
      <c r="JHM83" s="6"/>
      <c r="JHN83" s="6"/>
      <c r="JHO83" s="6"/>
      <c r="JHP83" s="6"/>
      <c r="JHQ83" s="6"/>
      <c r="JHR83" s="6"/>
      <c r="JHS83" s="6"/>
      <c r="JHT83" s="6"/>
      <c r="JHU83" s="6"/>
      <c r="JHV83" s="6"/>
      <c r="JHW83" s="6"/>
      <c r="JHX83" s="6"/>
      <c r="JHY83" s="6"/>
      <c r="JHZ83" s="6"/>
      <c r="JIA83" s="6"/>
      <c r="JIB83" s="6"/>
      <c r="JIC83" s="6"/>
      <c r="JID83" s="6"/>
      <c r="JIE83" s="6"/>
      <c r="JIF83" s="6"/>
      <c r="JIG83" s="6"/>
      <c r="JIH83" s="6"/>
      <c r="JII83" s="6"/>
      <c r="JIJ83" s="6"/>
      <c r="JIK83" s="6"/>
      <c r="JIL83" s="6"/>
      <c r="JIM83" s="6"/>
      <c r="JIN83" s="6"/>
      <c r="JIO83" s="6"/>
      <c r="JIP83" s="6"/>
      <c r="JIQ83" s="6"/>
      <c r="JIR83" s="6"/>
      <c r="JIS83" s="6"/>
      <c r="JIT83" s="6"/>
      <c r="JIU83" s="6"/>
      <c r="JIV83" s="6"/>
      <c r="JIW83" s="6"/>
      <c r="JIX83" s="6"/>
      <c r="JIY83" s="6"/>
      <c r="JIZ83" s="6"/>
      <c r="JJA83" s="6"/>
      <c r="JJB83" s="6"/>
      <c r="JJC83" s="6"/>
      <c r="JJD83" s="6"/>
      <c r="JJE83" s="6"/>
      <c r="JJF83" s="6"/>
      <c r="JJG83" s="6"/>
      <c r="JJH83" s="6"/>
      <c r="JJI83" s="6"/>
      <c r="JJJ83" s="6"/>
      <c r="JJK83" s="6"/>
      <c r="JJL83" s="6"/>
      <c r="JJM83" s="6"/>
      <c r="JJN83" s="6"/>
      <c r="JJO83" s="6"/>
      <c r="JJP83" s="6"/>
      <c r="JJQ83" s="6"/>
      <c r="JJR83" s="6"/>
      <c r="JJS83" s="6"/>
      <c r="JJT83" s="6"/>
      <c r="JJU83" s="6"/>
      <c r="JJV83" s="6"/>
      <c r="JJW83" s="6"/>
      <c r="JJX83" s="6"/>
      <c r="JJY83" s="6"/>
      <c r="JJZ83" s="6"/>
      <c r="JKA83" s="6"/>
      <c r="JKB83" s="6"/>
      <c r="JKC83" s="6"/>
      <c r="JKD83" s="6"/>
      <c r="JKE83" s="6"/>
      <c r="JKF83" s="6"/>
      <c r="JKG83" s="6"/>
      <c r="JKH83" s="6"/>
      <c r="JKI83" s="6"/>
      <c r="JKJ83" s="6"/>
      <c r="JKK83" s="6"/>
      <c r="JKL83" s="6"/>
      <c r="JKM83" s="6"/>
      <c r="JKN83" s="6"/>
      <c r="JKO83" s="6"/>
      <c r="JKP83" s="6"/>
      <c r="JKQ83" s="6"/>
      <c r="JKR83" s="6"/>
      <c r="JKS83" s="6"/>
      <c r="JKT83" s="6"/>
      <c r="JKU83" s="6"/>
      <c r="JKV83" s="6"/>
      <c r="JKW83" s="6"/>
      <c r="JKX83" s="6"/>
      <c r="JKY83" s="6"/>
      <c r="JKZ83" s="6"/>
      <c r="JLA83" s="6"/>
      <c r="JLB83" s="6"/>
      <c r="JLC83" s="6"/>
      <c r="JLD83" s="6"/>
      <c r="JLE83" s="6"/>
      <c r="JLF83" s="6"/>
      <c r="JLG83" s="6"/>
      <c r="JLH83" s="6"/>
      <c r="JLI83" s="6"/>
      <c r="JLJ83" s="6"/>
      <c r="JLK83" s="6"/>
      <c r="JLL83" s="6"/>
      <c r="JLM83" s="6"/>
      <c r="JLN83" s="6"/>
      <c r="JLO83" s="6"/>
      <c r="JLP83" s="6"/>
      <c r="JLQ83" s="6"/>
      <c r="JLR83" s="6"/>
      <c r="JLS83" s="6"/>
      <c r="JLT83" s="6"/>
      <c r="JLU83" s="6"/>
      <c r="JLV83" s="6"/>
      <c r="JLW83" s="6"/>
      <c r="JLX83" s="6"/>
      <c r="JLY83" s="6"/>
      <c r="JLZ83" s="6"/>
      <c r="JMA83" s="6"/>
      <c r="JMB83" s="6"/>
      <c r="JMC83" s="6"/>
      <c r="JMD83" s="6"/>
      <c r="JME83" s="6"/>
      <c r="JMF83" s="6"/>
      <c r="JMG83" s="6"/>
      <c r="JMH83" s="6"/>
      <c r="JMI83" s="6"/>
      <c r="JMJ83" s="6"/>
      <c r="JMK83" s="6"/>
      <c r="JML83" s="6"/>
      <c r="JMM83" s="6"/>
      <c r="JMN83" s="6"/>
      <c r="JMO83" s="6"/>
      <c r="JMP83" s="6"/>
      <c r="JMQ83" s="6"/>
      <c r="JMR83" s="6"/>
      <c r="JMS83" s="6"/>
      <c r="JMT83" s="6"/>
      <c r="JMU83" s="6"/>
      <c r="JMV83" s="6"/>
      <c r="JMW83" s="6"/>
      <c r="JMX83" s="6"/>
      <c r="JMY83" s="6"/>
      <c r="JMZ83" s="6"/>
      <c r="JNA83" s="6"/>
      <c r="JNB83" s="6"/>
      <c r="JNC83" s="6"/>
      <c r="JND83" s="6"/>
      <c r="JNE83" s="6"/>
      <c r="JNF83" s="6"/>
      <c r="JNG83" s="6"/>
      <c r="JNH83" s="6"/>
      <c r="JNI83" s="6"/>
      <c r="JNJ83" s="6"/>
      <c r="JNK83" s="6"/>
      <c r="JNL83" s="6"/>
      <c r="JNM83" s="6"/>
      <c r="JNN83" s="6"/>
      <c r="JNO83" s="6"/>
      <c r="JNP83" s="6"/>
      <c r="JNQ83" s="6"/>
      <c r="JNR83" s="6"/>
      <c r="JNS83" s="6"/>
      <c r="JNT83" s="6"/>
      <c r="JNU83" s="6"/>
      <c r="JNV83" s="6"/>
      <c r="JNW83" s="6"/>
      <c r="JNX83" s="6"/>
      <c r="JNY83" s="6"/>
      <c r="JNZ83" s="6"/>
      <c r="JOA83" s="6"/>
      <c r="JOB83" s="6"/>
      <c r="JOC83" s="6"/>
      <c r="JOD83" s="6"/>
      <c r="JOE83" s="6"/>
      <c r="JOF83" s="6"/>
      <c r="JOG83" s="6"/>
      <c r="JOH83" s="6"/>
      <c r="JOI83" s="6"/>
      <c r="JOJ83" s="6"/>
      <c r="JOK83" s="6"/>
      <c r="JOL83" s="6"/>
      <c r="JOM83" s="6"/>
      <c r="JON83" s="6"/>
      <c r="JOO83" s="6"/>
      <c r="JOP83" s="6"/>
      <c r="JOQ83" s="6"/>
      <c r="JOR83" s="6"/>
      <c r="JOS83" s="6"/>
      <c r="JOT83" s="6"/>
      <c r="JOU83" s="6"/>
      <c r="JOV83" s="6"/>
      <c r="JOW83" s="6"/>
      <c r="JOX83" s="6"/>
      <c r="JOY83" s="6"/>
      <c r="JOZ83" s="6"/>
      <c r="JPA83" s="6"/>
      <c r="JPB83" s="6"/>
      <c r="JPC83" s="6"/>
      <c r="JPD83" s="6"/>
      <c r="JPE83" s="6"/>
      <c r="JPF83" s="6"/>
      <c r="JPG83" s="6"/>
      <c r="JPH83" s="6"/>
      <c r="JPI83" s="6"/>
      <c r="JPJ83" s="6"/>
      <c r="JPK83" s="6"/>
      <c r="JPL83" s="6"/>
      <c r="JPM83" s="6"/>
      <c r="JPN83" s="6"/>
      <c r="JPO83" s="6"/>
      <c r="JPP83" s="6"/>
      <c r="JPQ83" s="6"/>
      <c r="JPR83" s="6"/>
      <c r="JPS83" s="6"/>
      <c r="JPT83" s="6"/>
      <c r="JPU83" s="6"/>
      <c r="JPV83" s="6"/>
      <c r="JPW83" s="6"/>
      <c r="JPX83" s="6"/>
      <c r="JPY83" s="6"/>
      <c r="JPZ83" s="6"/>
      <c r="JQA83" s="6"/>
      <c r="JQB83" s="6"/>
      <c r="JQC83" s="6"/>
      <c r="JQD83" s="6"/>
      <c r="JQE83" s="6"/>
      <c r="JQF83" s="6"/>
      <c r="JQG83" s="6"/>
      <c r="JQH83" s="6"/>
      <c r="JQI83" s="6"/>
      <c r="JQJ83" s="6"/>
      <c r="JQK83" s="6"/>
      <c r="JQL83" s="6"/>
      <c r="JQM83" s="6"/>
      <c r="JQN83" s="6"/>
      <c r="JQO83" s="6"/>
      <c r="JQP83" s="6"/>
      <c r="JQQ83" s="6"/>
      <c r="JQR83" s="6"/>
      <c r="JQS83" s="6"/>
      <c r="JQT83" s="6"/>
      <c r="JQU83" s="6"/>
      <c r="JQV83" s="6"/>
      <c r="JQW83" s="6"/>
      <c r="JQX83" s="6"/>
      <c r="JQY83" s="6"/>
      <c r="JQZ83" s="6"/>
      <c r="JRA83" s="6"/>
      <c r="JRB83" s="6"/>
      <c r="JRC83" s="6"/>
      <c r="JRD83" s="6"/>
      <c r="JRE83" s="6"/>
      <c r="JRF83" s="6"/>
      <c r="JRG83" s="6"/>
      <c r="JRH83" s="6"/>
      <c r="JRI83" s="6"/>
      <c r="JRJ83" s="6"/>
      <c r="JRK83" s="6"/>
      <c r="JRL83" s="6"/>
      <c r="JRM83" s="6"/>
      <c r="JRN83" s="6"/>
      <c r="JRO83" s="6"/>
      <c r="JRP83" s="6"/>
      <c r="JRQ83" s="6"/>
      <c r="JRR83" s="6"/>
      <c r="JRS83" s="6"/>
      <c r="JRT83" s="6"/>
      <c r="JRU83" s="6"/>
      <c r="JRV83" s="6"/>
      <c r="JRW83" s="6"/>
      <c r="JRX83" s="6"/>
      <c r="JRY83" s="6"/>
      <c r="JRZ83" s="6"/>
      <c r="JSA83" s="6"/>
      <c r="JSB83" s="6"/>
      <c r="JSC83" s="6"/>
      <c r="JSD83" s="6"/>
      <c r="JSE83" s="6"/>
      <c r="JSF83" s="6"/>
      <c r="JSG83" s="6"/>
      <c r="JSH83" s="6"/>
      <c r="JSI83" s="6"/>
      <c r="JSJ83" s="6"/>
      <c r="JSK83" s="6"/>
      <c r="JSL83" s="6"/>
      <c r="JSM83" s="6"/>
      <c r="JSN83" s="6"/>
      <c r="JSO83" s="6"/>
      <c r="JSP83" s="6"/>
      <c r="JSQ83" s="6"/>
      <c r="JSR83" s="6"/>
      <c r="JSS83" s="6"/>
      <c r="JST83" s="6"/>
      <c r="JSU83" s="6"/>
      <c r="JSV83" s="6"/>
      <c r="JSW83" s="6"/>
      <c r="JSX83" s="6"/>
      <c r="JSY83" s="6"/>
      <c r="JSZ83" s="6"/>
      <c r="JTA83" s="6"/>
      <c r="JTB83" s="6"/>
      <c r="JTC83" s="6"/>
      <c r="JTD83" s="6"/>
      <c r="JTE83" s="6"/>
      <c r="JTF83" s="6"/>
      <c r="JTG83" s="6"/>
      <c r="JTH83" s="6"/>
      <c r="JTI83" s="6"/>
      <c r="JTJ83" s="6"/>
      <c r="JTK83" s="6"/>
      <c r="JTL83" s="6"/>
      <c r="JTM83" s="6"/>
      <c r="JTN83" s="6"/>
      <c r="JTO83" s="6"/>
      <c r="JTP83" s="6"/>
      <c r="JTQ83" s="6"/>
      <c r="JTR83" s="6"/>
      <c r="JTS83" s="6"/>
      <c r="JTT83" s="6"/>
      <c r="JTU83" s="6"/>
      <c r="JTV83" s="6"/>
      <c r="JTW83" s="6"/>
      <c r="JTX83" s="6"/>
      <c r="JTY83" s="6"/>
      <c r="JTZ83" s="6"/>
      <c r="JUA83" s="6"/>
      <c r="JUB83" s="6"/>
      <c r="JUC83" s="6"/>
      <c r="JUD83" s="6"/>
      <c r="JUE83" s="6"/>
      <c r="JUF83" s="6"/>
      <c r="JUG83" s="6"/>
      <c r="JUH83" s="6"/>
      <c r="JUI83" s="6"/>
      <c r="JUJ83" s="6"/>
      <c r="JUK83" s="6"/>
      <c r="JUL83" s="6"/>
      <c r="JUM83" s="6"/>
      <c r="JUN83" s="6"/>
      <c r="JUO83" s="6"/>
      <c r="JUP83" s="6"/>
      <c r="JUQ83" s="6"/>
      <c r="JUR83" s="6"/>
      <c r="JUS83" s="6"/>
      <c r="JUT83" s="6"/>
      <c r="JUU83" s="6"/>
      <c r="JUV83" s="6"/>
      <c r="JUW83" s="6"/>
      <c r="JUX83" s="6"/>
      <c r="JUY83" s="6"/>
      <c r="JUZ83" s="6"/>
      <c r="JVA83" s="6"/>
      <c r="JVB83" s="6"/>
      <c r="JVC83" s="6"/>
      <c r="JVD83" s="6"/>
      <c r="JVE83" s="6"/>
      <c r="JVF83" s="6"/>
      <c r="JVG83" s="6"/>
      <c r="JVH83" s="6"/>
      <c r="JVI83" s="6"/>
      <c r="JVJ83" s="6"/>
      <c r="JVK83" s="6"/>
      <c r="JVL83" s="6"/>
      <c r="JVM83" s="6"/>
      <c r="JVN83" s="6"/>
      <c r="JVO83" s="6"/>
      <c r="JVP83" s="6"/>
      <c r="JVQ83" s="6"/>
      <c r="JVR83" s="6"/>
      <c r="JVS83" s="6"/>
      <c r="JVT83" s="6"/>
      <c r="JVU83" s="6"/>
      <c r="JVV83" s="6"/>
      <c r="JVW83" s="6"/>
      <c r="JVX83" s="6"/>
      <c r="JVY83" s="6"/>
      <c r="JVZ83" s="6"/>
      <c r="JWA83" s="6"/>
      <c r="JWB83" s="6"/>
      <c r="JWC83" s="6"/>
      <c r="JWD83" s="6"/>
      <c r="JWE83" s="6"/>
      <c r="JWF83" s="6"/>
      <c r="JWG83" s="6"/>
      <c r="JWH83" s="6"/>
      <c r="JWI83" s="6"/>
      <c r="JWJ83" s="6"/>
      <c r="JWK83" s="6"/>
      <c r="JWL83" s="6"/>
      <c r="JWM83" s="6"/>
      <c r="JWN83" s="6"/>
      <c r="JWO83" s="6"/>
      <c r="JWP83" s="6"/>
      <c r="JWQ83" s="6"/>
      <c r="JWR83" s="6"/>
      <c r="JWS83" s="6"/>
      <c r="JWT83" s="6"/>
      <c r="JWU83" s="6"/>
      <c r="JWV83" s="6"/>
      <c r="JWW83" s="6"/>
      <c r="JWX83" s="6"/>
      <c r="JWY83" s="6"/>
      <c r="JWZ83" s="6"/>
      <c r="JXA83" s="6"/>
      <c r="JXB83" s="6"/>
      <c r="JXC83" s="6"/>
      <c r="JXD83" s="6"/>
      <c r="JXE83" s="6"/>
      <c r="JXF83" s="6"/>
      <c r="JXG83" s="6"/>
      <c r="JXH83" s="6"/>
      <c r="JXI83" s="6"/>
      <c r="JXJ83" s="6"/>
      <c r="JXK83" s="6"/>
      <c r="JXL83" s="6"/>
      <c r="JXM83" s="6"/>
      <c r="JXN83" s="6"/>
      <c r="JXO83" s="6"/>
      <c r="JXP83" s="6"/>
      <c r="JXQ83" s="6"/>
      <c r="JXR83" s="6"/>
      <c r="JXS83" s="6"/>
      <c r="JXT83" s="6"/>
      <c r="JXU83" s="6"/>
      <c r="JXV83" s="6"/>
      <c r="JXW83" s="6"/>
      <c r="JXX83" s="6"/>
      <c r="JXY83" s="6"/>
      <c r="JXZ83" s="6"/>
      <c r="JYA83" s="6"/>
      <c r="JYB83" s="6"/>
      <c r="JYC83" s="6"/>
      <c r="JYD83" s="6"/>
      <c r="JYE83" s="6"/>
      <c r="JYF83" s="6"/>
      <c r="JYG83" s="6"/>
      <c r="JYH83" s="6"/>
      <c r="JYI83" s="6"/>
      <c r="JYJ83" s="6"/>
      <c r="JYK83" s="6"/>
      <c r="JYL83" s="6"/>
      <c r="JYM83" s="6"/>
      <c r="JYN83" s="6"/>
      <c r="JYO83" s="6"/>
      <c r="JYP83" s="6"/>
      <c r="JYQ83" s="6"/>
      <c r="JYR83" s="6"/>
      <c r="JYS83" s="6"/>
      <c r="JYT83" s="6"/>
      <c r="JYU83" s="6"/>
      <c r="JYV83" s="6"/>
      <c r="JYW83" s="6"/>
      <c r="JYX83" s="6"/>
      <c r="JYY83" s="6"/>
      <c r="JYZ83" s="6"/>
      <c r="JZA83" s="6"/>
      <c r="JZB83" s="6"/>
      <c r="JZC83" s="6"/>
      <c r="JZD83" s="6"/>
      <c r="JZE83" s="6"/>
      <c r="JZF83" s="6"/>
      <c r="JZG83" s="6"/>
      <c r="JZH83" s="6"/>
      <c r="JZI83" s="6"/>
      <c r="JZJ83" s="6"/>
      <c r="JZK83" s="6"/>
      <c r="JZL83" s="6"/>
      <c r="JZM83" s="6"/>
      <c r="JZN83" s="6"/>
      <c r="JZO83" s="6"/>
      <c r="JZP83" s="6"/>
      <c r="JZQ83" s="6"/>
      <c r="JZR83" s="6"/>
      <c r="JZS83" s="6"/>
      <c r="JZT83" s="6"/>
      <c r="JZU83" s="6"/>
      <c r="JZV83" s="6"/>
      <c r="JZW83" s="6"/>
      <c r="JZX83" s="6"/>
      <c r="JZY83" s="6"/>
      <c r="JZZ83" s="6"/>
      <c r="KAA83" s="6"/>
      <c r="KAB83" s="6"/>
      <c r="KAC83" s="6"/>
      <c r="KAD83" s="6"/>
      <c r="KAE83" s="6"/>
      <c r="KAF83" s="6"/>
      <c r="KAG83" s="6"/>
      <c r="KAH83" s="6"/>
      <c r="KAI83" s="6"/>
      <c r="KAJ83" s="6"/>
      <c r="KAK83" s="6"/>
      <c r="KAL83" s="6"/>
      <c r="KAM83" s="6"/>
      <c r="KAN83" s="6"/>
      <c r="KAO83" s="6"/>
      <c r="KAP83" s="6"/>
      <c r="KAQ83" s="6"/>
      <c r="KAR83" s="6"/>
      <c r="KAS83" s="6"/>
      <c r="KAT83" s="6"/>
      <c r="KAU83" s="6"/>
      <c r="KAV83" s="6"/>
      <c r="KAW83" s="6"/>
      <c r="KAX83" s="6"/>
      <c r="KAY83" s="6"/>
      <c r="KAZ83" s="6"/>
      <c r="KBA83" s="6"/>
      <c r="KBB83" s="6"/>
      <c r="KBC83" s="6"/>
      <c r="KBD83" s="6"/>
      <c r="KBE83" s="6"/>
      <c r="KBF83" s="6"/>
      <c r="KBG83" s="6"/>
      <c r="KBH83" s="6"/>
      <c r="KBI83" s="6"/>
      <c r="KBJ83" s="6"/>
      <c r="KBK83" s="6"/>
      <c r="KBL83" s="6"/>
      <c r="KBM83" s="6"/>
      <c r="KBN83" s="6"/>
      <c r="KBO83" s="6"/>
      <c r="KBP83" s="6"/>
      <c r="KBQ83" s="6"/>
      <c r="KBR83" s="6"/>
      <c r="KBS83" s="6"/>
      <c r="KBT83" s="6"/>
      <c r="KBU83" s="6"/>
      <c r="KBV83" s="6"/>
      <c r="KBW83" s="6"/>
      <c r="KBX83" s="6"/>
      <c r="KBY83" s="6"/>
      <c r="KBZ83" s="6"/>
      <c r="KCA83" s="6"/>
      <c r="KCB83" s="6"/>
      <c r="KCC83" s="6"/>
      <c r="KCD83" s="6"/>
      <c r="KCE83" s="6"/>
      <c r="KCF83" s="6"/>
      <c r="KCG83" s="6"/>
      <c r="KCH83" s="6"/>
      <c r="KCI83" s="6"/>
      <c r="KCJ83" s="6"/>
      <c r="KCK83" s="6"/>
      <c r="KCL83" s="6"/>
      <c r="KCM83" s="6"/>
      <c r="KCN83" s="6"/>
      <c r="KCO83" s="6"/>
      <c r="KCP83" s="6"/>
      <c r="KCQ83" s="6"/>
      <c r="KCR83" s="6"/>
      <c r="KCS83" s="6"/>
      <c r="KCT83" s="6"/>
      <c r="KCU83" s="6"/>
      <c r="KCV83" s="6"/>
      <c r="KCW83" s="6"/>
      <c r="KCX83" s="6"/>
      <c r="KCY83" s="6"/>
      <c r="KCZ83" s="6"/>
      <c r="KDA83" s="6"/>
      <c r="KDB83" s="6"/>
      <c r="KDC83" s="6"/>
      <c r="KDD83" s="6"/>
      <c r="KDE83" s="6"/>
      <c r="KDF83" s="6"/>
      <c r="KDG83" s="6"/>
      <c r="KDH83" s="6"/>
      <c r="KDI83" s="6"/>
      <c r="KDJ83" s="6"/>
      <c r="KDK83" s="6"/>
      <c r="KDL83" s="6"/>
      <c r="KDM83" s="6"/>
      <c r="KDN83" s="6"/>
      <c r="KDO83" s="6"/>
      <c r="KDP83" s="6"/>
      <c r="KDQ83" s="6"/>
      <c r="KDR83" s="6"/>
      <c r="KDS83" s="6"/>
      <c r="KDT83" s="6"/>
      <c r="KDU83" s="6"/>
      <c r="KDV83" s="6"/>
      <c r="KDW83" s="6"/>
      <c r="KDX83" s="6"/>
      <c r="KDY83" s="6"/>
      <c r="KDZ83" s="6"/>
      <c r="KEA83" s="6"/>
      <c r="KEB83" s="6"/>
      <c r="KEC83" s="6"/>
      <c r="KED83" s="6"/>
      <c r="KEE83" s="6"/>
      <c r="KEF83" s="6"/>
      <c r="KEG83" s="6"/>
      <c r="KEH83" s="6"/>
      <c r="KEI83" s="6"/>
      <c r="KEJ83" s="6"/>
      <c r="KEK83" s="6"/>
      <c r="KEL83" s="6"/>
      <c r="KEM83" s="6"/>
      <c r="KEN83" s="6"/>
      <c r="KEO83" s="6"/>
      <c r="KEP83" s="6"/>
      <c r="KEQ83" s="6"/>
      <c r="KER83" s="6"/>
      <c r="KES83" s="6"/>
      <c r="KET83" s="6"/>
      <c r="KEU83" s="6"/>
      <c r="KEV83" s="6"/>
      <c r="KEW83" s="6"/>
      <c r="KEX83" s="6"/>
      <c r="KEY83" s="6"/>
      <c r="KEZ83" s="6"/>
      <c r="KFA83" s="6"/>
      <c r="KFB83" s="6"/>
      <c r="KFC83" s="6"/>
      <c r="KFD83" s="6"/>
      <c r="KFE83" s="6"/>
      <c r="KFF83" s="6"/>
      <c r="KFG83" s="6"/>
      <c r="KFH83" s="6"/>
      <c r="KFI83" s="6"/>
      <c r="KFJ83" s="6"/>
      <c r="KFK83" s="6"/>
      <c r="KFL83" s="6"/>
      <c r="KFM83" s="6"/>
      <c r="KFN83" s="6"/>
      <c r="KFO83" s="6"/>
      <c r="KFP83" s="6"/>
      <c r="KFQ83" s="6"/>
      <c r="KFR83" s="6"/>
      <c r="KFS83" s="6"/>
      <c r="KFT83" s="6"/>
      <c r="KFU83" s="6"/>
      <c r="KFV83" s="6"/>
      <c r="KFW83" s="6"/>
      <c r="KFX83" s="6"/>
      <c r="KFY83" s="6"/>
      <c r="KFZ83" s="6"/>
      <c r="KGA83" s="6"/>
      <c r="KGB83" s="6"/>
      <c r="KGC83" s="6"/>
      <c r="KGD83" s="6"/>
      <c r="KGE83" s="6"/>
      <c r="KGF83" s="6"/>
      <c r="KGG83" s="6"/>
      <c r="KGH83" s="6"/>
      <c r="KGI83" s="6"/>
      <c r="KGJ83" s="6"/>
      <c r="KGK83" s="6"/>
      <c r="KGL83" s="6"/>
      <c r="KGM83" s="6"/>
      <c r="KGN83" s="6"/>
      <c r="KGO83" s="6"/>
      <c r="KGP83" s="6"/>
      <c r="KGQ83" s="6"/>
      <c r="KGR83" s="6"/>
      <c r="KGS83" s="6"/>
      <c r="KGT83" s="6"/>
      <c r="KGU83" s="6"/>
      <c r="KGV83" s="6"/>
      <c r="KGW83" s="6"/>
      <c r="KGX83" s="6"/>
      <c r="KGY83" s="6"/>
      <c r="KGZ83" s="6"/>
      <c r="KHA83" s="6"/>
      <c r="KHB83" s="6"/>
      <c r="KHC83" s="6"/>
      <c r="KHD83" s="6"/>
      <c r="KHE83" s="6"/>
      <c r="KHF83" s="6"/>
      <c r="KHG83" s="6"/>
      <c r="KHH83" s="6"/>
      <c r="KHI83" s="6"/>
      <c r="KHJ83" s="6"/>
      <c r="KHK83" s="6"/>
      <c r="KHL83" s="6"/>
      <c r="KHM83" s="6"/>
      <c r="KHN83" s="6"/>
      <c r="KHO83" s="6"/>
      <c r="KHP83" s="6"/>
      <c r="KHQ83" s="6"/>
      <c r="KHR83" s="6"/>
      <c r="KHS83" s="6"/>
      <c r="KHT83" s="6"/>
      <c r="KHU83" s="6"/>
      <c r="KHV83" s="6"/>
      <c r="KHW83" s="6"/>
      <c r="KHX83" s="6"/>
      <c r="KHY83" s="6"/>
      <c r="KHZ83" s="6"/>
      <c r="KIA83" s="6"/>
      <c r="KIB83" s="6"/>
      <c r="KIC83" s="6"/>
      <c r="KID83" s="6"/>
      <c r="KIE83" s="6"/>
      <c r="KIF83" s="6"/>
      <c r="KIG83" s="6"/>
      <c r="KIH83" s="6"/>
      <c r="KII83" s="6"/>
      <c r="KIJ83" s="6"/>
      <c r="KIK83" s="6"/>
      <c r="KIL83" s="6"/>
      <c r="KIM83" s="6"/>
      <c r="KIN83" s="6"/>
      <c r="KIO83" s="6"/>
      <c r="KIP83" s="6"/>
      <c r="KIQ83" s="6"/>
      <c r="KIR83" s="6"/>
      <c r="KIS83" s="6"/>
      <c r="KIT83" s="6"/>
      <c r="KIU83" s="6"/>
      <c r="KIV83" s="6"/>
      <c r="KIW83" s="6"/>
      <c r="KIX83" s="6"/>
      <c r="KIY83" s="6"/>
      <c r="KIZ83" s="6"/>
      <c r="KJA83" s="6"/>
      <c r="KJB83" s="6"/>
      <c r="KJC83" s="6"/>
      <c r="KJD83" s="6"/>
      <c r="KJE83" s="6"/>
      <c r="KJF83" s="6"/>
      <c r="KJG83" s="6"/>
      <c r="KJH83" s="6"/>
      <c r="KJI83" s="6"/>
      <c r="KJJ83" s="6"/>
      <c r="KJK83" s="6"/>
      <c r="KJL83" s="6"/>
      <c r="KJM83" s="6"/>
      <c r="KJN83" s="6"/>
      <c r="KJO83" s="6"/>
      <c r="KJP83" s="6"/>
      <c r="KJQ83" s="6"/>
      <c r="KJR83" s="6"/>
      <c r="KJS83" s="6"/>
      <c r="KJT83" s="6"/>
      <c r="KJU83" s="6"/>
      <c r="KJV83" s="6"/>
      <c r="KJW83" s="6"/>
      <c r="KJX83" s="6"/>
      <c r="KJY83" s="6"/>
      <c r="KJZ83" s="6"/>
      <c r="KKA83" s="6"/>
      <c r="KKB83" s="6"/>
      <c r="KKC83" s="6"/>
      <c r="KKD83" s="6"/>
      <c r="KKE83" s="6"/>
      <c r="KKF83" s="6"/>
      <c r="KKG83" s="6"/>
      <c r="KKH83" s="6"/>
      <c r="KKI83" s="6"/>
      <c r="KKJ83" s="6"/>
      <c r="KKK83" s="6"/>
      <c r="KKL83" s="6"/>
      <c r="KKM83" s="6"/>
      <c r="KKN83" s="6"/>
      <c r="KKO83" s="6"/>
      <c r="KKP83" s="6"/>
      <c r="KKQ83" s="6"/>
      <c r="KKR83" s="6"/>
      <c r="KKS83" s="6"/>
      <c r="KKT83" s="6"/>
      <c r="KKU83" s="6"/>
      <c r="KKV83" s="6"/>
      <c r="KKW83" s="6"/>
      <c r="KKX83" s="6"/>
      <c r="KKY83" s="6"/>
      <c r="KKZ83" s="6"/>
      <c r="KLA83" s="6"/>
      <c r="KLB83" s="6"/>
      <c r="KLC83" s="6"/>
      <c r="KLD83" s="6"/>
      <c r="KLE83" s="6"/>
      <c r="KLF83" s="6"/>
      <c r="KLG83" s="6"/>
      <c r="KLH83" s="6"/>
      <c r="KLI83" s="6"/>
      <c r="KLJ83" s="6"/>
      <c r="KLK83" s="6"/>
      <c r="KLL83" s="6"/>
      <c r="KLM83" s="6"/>
      <c r="KLN83" s="6"/>
      <c r="KLO83" s="6"/>
      <c r="KLP83" s="6"/>
      <c r="KLQ83" s="6"/>
      <c r="KLR83" s="6"/>
      <c r="KLS83" s="6"/>
      <c r="KLT83" s="6"/>
      <c r="KLU83" s="6"/>
      <c r="KLV83" s="6"/>
      <c r="KLW83" s="6"/>
      <c r="KLX83" s="6"/>
      <c r="KLY83" s="6"/>
      <c r="KLZ83" s="6"/>
      <c r="KMA83" s="6"/>
      <c r="KMB83" s="6"/>
      <c r="KMC83" s="6"/>
      <c r="KMD83" s="6"/>
      <c r="KME83" s="6"/>
      <c r="KMF83" s="6"/>
      <c r="KMG83" s="6"/>
      <c r="KMH83" s="6"/>
      <c r="KMI83" s="6"/>
      <c r="KMJ83" s="6"/>
      <c r="KMK83" s="6"/>
      <c r="KML83" s="6"/>
      <c r="KMM83" s="6"/>
      <c r="KMN83" s="6"/>
      <c r="KMO83" s="6"/>
      <c r="KMP83" s="6"/>
      <c r="KMQ83" s="6"/>
      <c r="KMR83" s="6"/>
      <c r="KMS83" s="6"/>
      <c r="KMT83" s="6"/>
      <c r="KMU83" s="6"/>
      <c r="KMV83" s="6"/>
      <c r="KMW83" s="6"/>
      <c r="KMX83" s="6"/>
      <c r="KMY83" s="6"/>
      <c r="KMZ83" s="6"/>
      <c r="KNA83" s="6"/>
      <c r="KNB83" s="6"/>
      <c r="KNC83" s="6"/>
      <c r="KND83" s="6"/>
      <c r="KNE83" s="6"/>
      <c r="KNF83" s="6"/>
      <c r="KNG83" s="6"/>
      <c r="KNH83" s="6"/>
      <c r="KNI83" s="6"/>
      <c r="KNJ83" s="6"/>
      <c r="KNK83" s="6"/>
      <c r="KNL83" s="6"/>
      <c r="KNM83" s="6"/>
      <c r="KNN83" s="6"/>
      <c r="KNO83" s="6"/>
      <c r="KNP83" s="6"/>
      <c r="KNQ83" s="6"/>
      <c r="KNR83" s="6"/>
      <c r="KNS83" s="6"/>
      <c r="KNT83" s="6"/>
      <c r="KNU83" s="6"/>
      <c r="KNV83" s="6"/>
      <c r="KNW83" s="6"/>
      <c r="KNX83" s="6"/>
      <c r="KNY83" s="6"/>
      <c r="KNZ83" s="6"/>
      <c r="KOA83" s="6"/>
      <c r="KOB83" s="6"/>
      <c r="KOC83" s="6"/>
      <c r="KOD83" s="6"/>
      <c r="KOE83" s="6"/>
      <c r="KOF83" s="6"/>
      <c r="KOG83" s="6"/>
      <c r="KOH83" s="6"/>
      <c r="KOI83" s="6"/>
      <c r="KOJ83" s="6"/>
      <c r="KOK83" s="6"/>
      <c r="KOL83" s="6"/>
      <c r="KOM83" s="6"/>
      <c r="KON83" s="6"/>
      <c r="KOO83" s="6"/>
      <c r="KOP83" s="6"/>
      <c r="KOQ83" s="6"/>
      <c r="KOR83" s="6"/>
      <c r="KOS83" s="6"/>
      <c r="KOT83" s="6"/>
      <c r="KOU83" s="6"/>
      <c r="KOV83" s="6"/>
      <c r="KOW83" s="6"/>
      <c r="KOX83" s="6"/>
      <c r="KOY83" s="6"/>
      <c r="KOZ83" s="6"/>
      <c r="KPA83" s="6"/>
      <c r="KPB83" s="6"/>
      <c r="KPC83" s="6"/>
      <c r="KPD83" s="6"/>
      <c r="KPE83" s="6"/>
      <c r="KPF83" s="6"/>
      <c r="KPG83" s="6"/>
      <c r="KPH83" s="6"/>
      <c r="KPI83" s="6"/>
      <c r="KPJ83" s="6"/>
      <c r="KPK83" s="6"/>
      <c r="KPL83" s="6"/>
      <c r="KPM83" s="6"/>
      <c r="KPN83" s="6"/>
      <c r="KPO83" s="6"/>
      <c r="KPP83" s="6"/>
      <c r="KPQ83" s="6"/>
      <c r="KPR83" s="6"/>
      <c r="KPS83" s="6"/>
      <c r="KPT83" s="6"/>
      <c r="KPU83" s="6"/>
      <c r="KPV83" s="6"/>
      <c r="KPW83" s="6"/>
      <c r="KPX83" s="6"/>
      <c r="KPY83" s="6"/>
      <c r="KPZ83" s="6"/>
      <c r="KQA83" s="6"/>
      <c r="KQB83" s="6"/>
      <c r="KQC83" s="6"/>
      <c r="KQD83" s="6"/>
      <c r="KQE83" s="6"/>
      <c r="KQF83" s="6"/>
      <c r="KQG83" s="6"/>
      <c r="KQH83" s="6"/>
      <c r="KQI83" s="6"/>
      <c r="KQJ83" s="6"/>
      <c r="KQK83" s="6"/>
      <c r="KQL83" s="6"/>
      <c r="KQM83" s="6"/>
      <c r="KQN83" s="6"/>
      <c r="KQO83" s="6"/>
      <c r="KQP83" s="6"/>
      <c r="KQQ83" s="6"/>
      <c r="KQR83" s="6"/>
      <c r="KQS83" s="6"/>
      <c r="KQT83" s="6"/>
      <c r="KQU83" s="6"/>
      <c r="KQV83" s="6"/>
      <c r="KQW83" s="6"/>
      <c r="KQX83" s="6"/>
      <c r="KQY83" s="6"/>
      <c r="KQZ83" s="6"/>
      <c r="KRA83" s="6"/>
      <c r="KRB83" s="6"/>
      <c r="KRC83" s="6"/>
      <c r="KRD83" s="6"/>
      <c r="KRE83" s="6"/>
      <c r="KRF83" s="6"/>
      <c r="KRG83" s="6"/>
      <c r="KRH83" s="6"/>
      <c r="KRI83" s="6"/>
      <c r="KRJ83" s="6"/>
      <c r="KRK83" s="6"/>
      <c r="KRL83" s="6"/>
      <c r="KRM83" s="6"/>
      <c r="KRN83" s="6"/>
      <c r="KRO83" s="6"/>
      <c r="KRP83" s="6"/>
      <c r="KRQ83" s="6"/>
      <c r="KRR83" s="6"/>
      <c r="KRS83" s="6"/>
      <c r="KRT83" s="6"/>
      <c r="KRU83" s="6"/>
      <c r="KRV83" s="6"/>
      <c r="KRW83" s="6"/>
      <c r="KRX83" s="6"/>
      <c r="KRY83" s="6"/>
      <c r="KRZ83" s="6"/>
      <c r="KSA83" s="6"/>
      <c r="KSB83" s="6"/>
      <c r="KSC83" s="6"/>
      <c r="KSD83" s="6"/>
      <c r="KSE83" s="6"/>
      <c r="KSF83" s="6"/>
      <c r="KSG83" s="6"/>
      <c r="KSH83" s="6"/>
      <c r="KSI83" s="6"/>
      <c r="KSJ83" s="6"/>
      <c r="KSK83" s="6"/>
      <c r="KSL83" s="6"/>
      <c r="KSM83" s="6"/>
      <c r="KSN83" s="6"/>
      <c r="KSO83" s="6"/>
      <c r="KSP83" s="6"/>
      <c r="KSQ83" s="6"/>
      <c r="KSR83" s="6"/>
      <c r="KSS83" s="6"/>
      <c r="KST83" s="6"/>
      <c r="KSU83" s="6"/>
      <c r="KSV83" s="6"/>
      <c r="KSW83" s="6"/>
      <c r="KSX83" s="6"/>
      <c r="KSY83" s="6"/>
      <c r="KSZ83" s="6"/>
      <c r="KTA83" s="6"/>
      <c r="KTB83" s="6"/>
      <c r="KTC83" s="6"/>
      <c r="KTD83" s="6"/>
      <c r="KTE83" s="6"/>
      <c r="KTF83" s="6"/>
      <c r="KTG83" s="6"/>
      <c r="KTH83" s="6"/>
      <c r="KTI83" s="6"/>
      <c r="KTJ83" s="6"/>
      <c r="KTK83" s="6"/>
      <c r="KTL83" s="6"/>
      <c r="KTM83" s="6"/>
      <c r="KTN83" s="6"/>
      <c r="KTO83" s="6"/>
      <c r="KTP83" s="6"/>
      <c r="KTQ83" s="6"/>
      <c r="KTR83" s="6"/>
      <c r="KTS83" s="6"/>
      <c r="KTT83" s="6"/>
      <c r="KTU83" s="6"/>
      <c r="KTV83" s="6"/>
      <c r="KTW83" s="6"/>
      <c r="KTX83" s="6"/>
      <c r="KTY83" s="6"/>
      <c r="KTZ83" s="6"/>
      <c r="KUA83" s="6"/>
      <c r="KUB83" s="6"/>
      <c r="KUC83" s="6"/>
      <c r="KUD83" s="6"/>
      <c r="KUE83" s="6"/>
      <c r="KUF83" s="6"/>
      <c r="KUG83" s="6"/>
      <c r="KUH83" s="6"/>
      <c r="KUI83" s="6"/>
      <c r="KUJ83" s="6"/>
      <c r="KUK83" s="6"/>
      <c r="KUL83" s="6"/>
      <c r="KUM83" s="6"/>
      <c r="KUN83" s="6"/>
      <c r="KUO83" s="6"/>
      <c r="KUP83" s="6"/>
      <c r="KUQ83" s="6"/>
      <c r="KUR83" s="6"/>
      <c r="KUS83" s="6"/>
      <c r="KUT83" s="6"/>
      <c r="KUU83" s="6"/>
      <c r="KUV83" s="6"/>
      <c r="KUW83" s="6"/>
      <c r="KUX83" s="6"/>
      <c r="KUY83" s="6"/>
      <c r="KUZ83" s="6"/>
      <c r="KVA83" s="6"/>
      <c r="KVB83" s="6"/>
      <c r="KVC83" s="6"/>
      <c r="KVD83" s="6"/>
      <c r="KVE83" s="6"/>
      <c r="KVF83" s="6"/>
      <c r="KVG83" s="6"/>
      <c r="KVH83" s="6"/>
      <c r="KVI83" s="6"/>
      <c r="KVJ83" s="6"/>
      <c r="KVK83" s="6"/>
      <c r="KVL83" s="6"/>
      <c r="KVM83" s="6"/>
      <c r="KVN83" s="6"/>
      <c r="KVO83" s="6"/>
      <c r="KVP83" s="6"/>
      <c r="KVQ83" s="6"/>
      <c r="KVR83" s="6"/>
      <c r="KVS83" s="6"/>
      <c r="KVT83" s="6"/>
      <c r="KVU83" s="6"/>
      <c r="KVV83" s="6"/>
      <c r="KVW83" s="6"/>
      <c r="KVX83" s="6"/>
      <c r="KVY83" s="6"/>
      <c r="KVZ83" s="6"/>
      <c r="KWA83" s="6"/>
      <c r="KWB83" s="6"/>
      <c r="KWC83" s="6"/>
      <c r="KWD83" s="6"/>
      <c r="KWE83" s="6"/>
      <c r="KWF83" s="6"/>
      <c r="KWG83" s="6"/>
      <c r="KWH83" s="6"/>
      <c r="KWI83" s="6"/>
      <c r="KWJ83" s="6"/>
      <c r="KWK83" s="6"/>
      <c r="KWL83" s="6"/>
      <c r="KWM83" s="6"/>
      <c r="KWN83" s="6"/>
      <c r="KWO83" s="6"/>
      <c r="KWP83" s="6"/>
      <c r="KWQ83" s="6"/>
      <c r="KWR83" s="6"/>
      <c r="KWS83" s="6"/>
      <c r="KWT83" s="6"/>
      <c r="KWU83" s="6"/>
      <c r="KWV83" s="6"/>
      <c r="KWW83" s="6"/>
      <c r="KWX83" s="6"/>
      <c r="KWY83" s="6"/>
      <c r="KWZ83" s="6"/>
      <c r="KXA83" s="6"/>
      <c r="KXB83" s="6"/>
      <c r="KXC83" s="6"/>
      <c r="KXD83" s="6"/>
      <c r="KXE83" s="6"/>
      <c r="KXF83" s="6"/>
      <c r="KXG83" s="6"/>
      <c r="KXH83" s="6"/>
      <c r="KXI83" s="6"/>
      <c r="KXJ83" s="6"/>
      <c r="KXK83" s="6"/>
      <c r="KXL83" s="6"/>
      <c r="KXM83" s="6"/>
      <c r="KXN83" s="6"/>
      <c r="KXO83" s="6"/>
      <c r="KXP83" s="6"/>
      <c r="KXQ83" s="6"/>
      <c r="KXR83" s="6"/>
      <c r="KXS83" s="6"/>
      <c r="KXT83" s="6"/>
      <c r="KXU83" s="6"/>
      <c r="KXV83" s="6"/>
      <c r="KXW83" s="6"/>
      <c r="KXX83" s="6"/>
      <c r="KXY83" s="6"/>
      <c r="KXZ83" s="6"/>
      <c r="KYA83" s="6"/>
      <c r="KYB83" s="6"/>
      <c r="KYC83" s="6"/>
      <c r="KYD83" s="6"/>
      <c r="KYE83" s="6"/>
      <c r="KYF83" s="6"/>
      <c r="KYG83" s="6"/>
      <c r="KYH83" s="6"/>
      <c r="KYI83" s="6"/>
      <c r="KYJ83" s="6"/>
      <c r="KYK83" s="6"/>
      <c r="KYL83" s="6"/>
      <c r="KYM83" s="6"/>
      <c r="KYN83" s="6"/>
      <c r="KYO83" s="6"/>
      <c r="KYP83" s="6"/>
      <c r="KYQ83" s="6"/>
      <c r="KYR83" s="6"/>
      <c r="KYS83" s="6"/>
      <c r="KYT83" s="6"/>
      <c r="KYU83" s="6"/>
      <c r="KYV83" s="6"/>
      <c r="KYW83" s="6"/>
      <c r="KYX83" s="6"/>
      <c r="KYY83" s="6"/>
      <c r="KYZ83" s="6"/>
      <c r="KZA83" s="6"/>
      <c r="KZB83" s="6"/>
      <c r="KZC83" s="6"/>
      <c r="KZD83" s="6"/>
      <c r="KZE83" s="6"/>
      <c r="KZF83" s="6"/>
      <c r="KZG83" s="6"/>
      <c r="KZH83" s="6"/>
      <c r="KZI83" s="6"/>
      <c r="KZJ83" s="6"/>
      <c r="KZK83" s="6"/>
      <c r="KZL83" s="6"/>
      <c r="KZM83" s="6"/>
      <c r="KZN83" s="6"/>
      <c r="KZO83" s="6"/>
      <c r="KZP83" s="6"/>
      <c r="KZQ83" s="6"/>
      <c r="KZR83" s="6"/>
      <c r="KZS83" s="6"/>
      <c r="KZT83" s="6"/>
      <c r="KZU83" s="6"/>
      <c r="KZV83" s="6"/>
      <c r="KZW83" s="6"/>
      <c r="KZX83" s="6"/>
      <c r="KZY83" s="6"/>
      <c r="KZZ83" s="6"/>
      <c r="LAA83" s="6"/>
      <c r="LAB83" s="6"/>
      <c r="LAC83" s="6"/>
      <c r="LAD83" s="6"/>
      <c r="LAE83" s="6"/>
      <c r="LAF83" s="6"/>
      <c r="LAG83" s="6"/>
      <c r="LAH83" s="6"/>
      <c r="LAI83" s="6"/>
      <c r="LAJ83" s="6"/>
      <c r="LAK83" s="6"/>
      <c r="LAL83" s="6"/>
      <c r="LAM83" s="6"/>
      <c r="LAN83" s="6"/>
      <c r="LAO83" s="6"/>
      <c r="LAP83" s="6"/>
      <c r="LAQ83" s="6"/>
      <c r="LAR83" s="6"/>
      <c r="LAS83" s="6"/>
      <c r="LAT83" s="6"/>
      <c r="LAU83" s="6"/>
      <c r="LAV83" s="6"/>
      <c r="LAW83" s="6"/>
      <c r="LAX83" s="6"/>
      <c r="LAY83" s="6"/>
      <c r="LAZ83" s="6"/>
      <c r="LBA83" s="6"/>
      <c r="LBB83" s="6"/>
      <c r="LBC83" s="6"/>
      <c r="LBD83" s="6"/>
      <c r="LBE83" s="6"/>
      <c r="LBF83" s="6"/>
      <c r="LBG83" s="6"/>
      <c r="LBH83" s="6"/>
      <c r="LBI83" s="6"/>
      <c r="LBJ83" s="6"/>
      <c r="LBK83" s="6"/>
      <c r="LBL83" s="6"/>
      <c r="LBM83" s="6"/>
      <c r="LBN83" s="6"/>
      <c r="LBO83" s="6"/>
      <c r="LBP83" s="6"/>
      <c r="LBQ83" s="6"/>
      <c r="LBR83" s="6"/>
      <c r="LBS83" s="6"/>
      <c r="LBT83" s="6"/>
      <c r="LBU83" s="6"/>
      <c r="LBV83" s="6"/>
      <c r="LBW83" s="6"/>
      <c r="LBX83" s="6"/>
      <c r="LBY83" s="6"/>
      <c r="LBZ83" s="6"/>
      <c r="LCA83" s="6"/>
      <c r="LCB83" s="6"/>
      <c r="LCC83" s="6"/>
      <c r="LCD83" s="6"/>
      <c r="LCE83" s="6"/>
      <c r="LCF83" s="6"/>
      <c r="LCG83" s="6"/>
      <c r="LCH83" s="6"/>
      <c r="LCI83" s="6"/>
      <c r="LCJ83" s="6"/>
      <c r="LCK83" s="6"/>
      <c r="LCL83" s="6"/>
      <c r="LCM83" s="6"/>
      <c r="LCN83" s="6"/>
      <c r="LCO83" s="6"/>
      <c r="LCP83" s="6"/>
      <c r="LCQ83" s="6"/>
      <c r="LCR83" s="6"/>
      <c r="LCS83" s="6"/>
      <c r="LCT83" s="6"/>
      <c r="LCU83" s="6"/>
      <c r="LCV83" s="6"/>
      <c r="LCW83" s="6"/>
      <c r="LCX83" s="6"/>
      <c r="LCY83" s="6"/>
      <c r="LCZ83" s="6"/>
      <c r="LDA83" s="6"/>
      <c r="LDB83" s="6"/>
      <c r="LDC83" s="6"/>
      <c r="LDD83" s="6"/>
      <c r="LDE83" s="6"/>
      <c r="LDF83" s="6"/>
      <c r="LDG83" s="6"/>
      <c r="LDH83" s="6"/>
      <c r="LDI83" s="6"/>
      <c r="LDJ83" s="6"/>
      <c r="LDK83" s="6"/>
      <c r="LDL83" s="6"/>
      <c r="LDM83" s="6"/>
      <c r="LDN83" s="6"/>
      <c r="LDO83" s="6"/>
      <c r="LDP83" s="6"/>
      <c r="LDQ83" s="6"/>
      <c r="LDR83" s="6"/>
      <c r="LDS83" s="6"/>
      <c r="LDT83" s="6"/>
      <c r="LDU83" s="6"/>
      <c r="LDV83" s="6"/>
      <c r="LDW83" s="6"/>
      <c r="LDX83" s="6"/>
      <c r="LDY83" s="6"/>
      <c r="LDZ83" s="6"/>
      <c r="LEA83" s="6"/>
      <c r="LEB83" s="6"/>
      <c r="LEC83" s="6"/>
      <c r="LED83" s="6"/>
      <c r="LEE83" s="6"/>
      <c r="LEF83" s="6"/>
      <c r="LEG83" s="6"/>
      <c r="LEH83" s="6"/>
      <c r="LEI83" s="6"/>
      <c r="LEJ83" s="6"/>
      <c r="LEK83" s="6"/>
      <c r="LEL83" s="6"/>
      <c r="LEM83" s="6"/>
      <c r="LEN83" s="6"/>
      <c r="LEO83" s="6"/>
      <c r="LEP83" s="6"/>
      <c r="LEQ83" s="6"/>
      <c r="LER83" s="6"/>
      <c r="LES83" s="6"/>
      <c r="LET83" s="6"/>
      <c r="LEU83" s="6"/>
      <c r="LEV83" s="6"/>
      <c r="LEW83" s="6"/>
      <c r="LEX83" s="6"/>
      <c r="LEY83" s="6"/>
      <c r="LEZ83" s="6"/>
      <c r="LFA83" s="6"/>
      <c r="LFB83" s="6"/>
      <c r="LFC83" s="6"/>
      <c r="LFD83" s="6"/>
      <c r="LFE83" s="6"/>
      <c r="LFF83" s="6"/>
      <c r="LFG83" s="6"/>
      <c r="LFH83" s="6"/>
      <c r="LFI83" s="6"/>
      <c r="LFJ83" s="6"/>
      <c r="LFK83" s="6"/>
      <c r="LFL83" s="6"/>
      <c r="LFM83" s="6"/>
      <c r="LFN83" s="6"/>
      <c r="LFO83" s="6"/>
      <c r="LFP83" s="6"/>
      <c r="LFQ83" s="6"/>
      <c r="LFR83" s="6"/>
      <c r="LFS83" s="6"/>
      <c r="LFT83" s="6"/>
      <c r="LFU83" s="6"/>
      <c r="LFV83" s="6"/>
      <c r="LFW83" s="6"/>
      <c r="LFX83" s="6"/>
      <c r="LFY83" s="6"/>
      <c r="LFZ83" s="6"/>
      <c r="LGA83" s="6"/>
      <c r="LGB83" s="6"/>
      <c r="LGC83" s="6"/>
      <c r="LGD83" s="6"/>
      <c r="LGE83" s="6"/>
      <c r="LGF83" s="6"/>
      <c r="LGG83" s="6"/>
      <c r="LGH83" s="6"/>
      <c r="LGI83" s="6"/>
      <c r="LGJ83" s="6"/>
      <c r="LGK83" s="6"/>
      <c r="LGL83" s="6"/>
      <c r="LGM83" s="6"/>
      <c r="LGN83" s="6"/>
      <c r="LGO83" s="6"/>
      <c r="LGP83" s="6"/>
      <c r="LGQ83" s="6"/>
      <c r="LGR83" s="6"/>
      <c r="LGS83" s="6"/>
      <c r="LGT83" s="6"/>
      <c r="LGU83" s="6"/>
      <c r="LGV83" s="6"/>
      <c r="LGW83" s="6"/>
      <c r="LGX83" s="6"/>
      <c r="LGY83" s="6"/>
      <c r="LGZ83" s="6"/>
      <c r="LHA83" s="6"/>
      <c r="LHB83" s="6"/>
      <c r="LHC83" s="6"/>
      <c r="LHD83" s="6"/>
      <c r="LHE83" s="6"/>
      <c r="LHF83" s="6"/>
      <c r="LHG83" s="6"/>
      <c r="LHH83" s="6"/>
      <c r="LHI83" s="6"/>
      <c r="LHJ83" s="6"/>
      <c r="LHK83" s="6"/>
      <c r="LHL83" s="6"/>
      <c r="LHM83" s="6"/>
      <c r="LHN83" s="6"/>
      <c r="LHO83" s="6"/>
      <c r="LHP83" s="6"/>
      <c r="LHQ83" s="6"/>
      <c r="LHR83" s="6"/>
      <c r="LHS83" s="6"/>
      <c r="LHT83" s="6"/>
      <c r="LHU83" s="6"/>
      <c r="LHV83" s="6"/>
      <c r="LHW83" s="6"/>
      <c r="LHX83" s="6"/>
      <c r="LHY83" s="6"/>
      <c r="LHZ83" s="6"/>
      <c r="LIA83" s="6"/>
      <c r="LIB83" s="6"/>
      <c r="LIC83" s="6"/>
      <c r="LID83" s="6"/>
      <c r="LIE83" s="6"/>
      <c r="LIF83" s="6"/>
      <c r="LIG83" s="6"/>
      <c r="LIH83" s="6"/>
      <c r="LII83" s="6"/>
      <c r="LIJ83" s="6"/>
      <c r="LIK83" s="6"/>
      <c r="LIL83" s="6"/>
      <c r="LIM83" s="6"/>
      <c r="LIN83" s="6"/>
      <c r="LIO83" s="6"/>
      <c r="LIP83" s="6"/>
      <c r="LIQ83" s="6"/>
      <c r="LIR83" s="6"/>
      <c r="LIS83" s="6"/>
      <c r="LIT83" s="6"/>
      <c r="LIU83" s="6"/>
      <c r="LIV83" s="6"/>
      <c r="LIW83" s="6"/>
      <c r="LIX83" s="6"/>
      <c r="LIY83" s="6"/>
      <c r="LIZ83" s="6"/>
      <c r="LJA83" s="6"/>
      <c r="LJB83" s="6"/>
      <c r="LJC83" s="6"/>
      <c r="LJD83" s="6"/>
      <c r="LJE83" s="6"/>
      <c r="LJF83" s="6"/>
      <c r="LJG83" s="6"/>
      <c r="LJH83" s="6"/>
      <c r="LJI83" s="6"/>
      <c r="LJJ83" s="6"/>
      <c r="LJK83" s="6"/>
      <c r="LJL83" s="6"/>
      <c r="LJM83" s="6"/>
      <c r="LJN83" s="6"/>
      <c r="LJO83" s="6"/>
      <c r="LJP83" s="6"/>
      <c r="LJQ83" s="6"/>
      <c r="LJR83" s="6"/>
      <c r="LJS83" s="6"/>
      <c r="LJT83" s="6"/>
      <c r="LJU83" s="6"/>
      <c r="LJV83" s="6"/>
      <c r="LJW83" s="6"/>
      <c r="LJX83" s="6"/>
      <c r="LJY83" s="6"/>
      <c r="LJZ83" s="6"/>
      <c r="LKA83" s="6"/>
      <c r="LKB83" s="6"/>
      <c r="LKC83" s="6"/>
      <c r="LKD83" s="6"/>
      <c r="LKE83" s="6"/>
      <c r="LKF83" s="6"/>
      <c r="LKG83" s="6"/>
      <c r="LKH83" s="6"/>
      <c r="LKI83" s="6"/>
      <c r="LKJ83" s="6"/>
      <c r="LKK83" s="6"/>
      <c r="LKL83" s="6"/>
      <c r="LKM83" s="6"/>
      <c r="LKN83" s="6"/>
      <c r="LKO83" s="6"/>
      <c r="LKP83" s="6"/>
      <c r="LKQ83" s="6"/>
      <c r="LKR83" s="6"/>
      <c r="LKS83" s="6"/>
      <c r="LKT83" s="6"/>
      <c r="LKU83" s="6"/>
      <c r="LKV83" s="6"/>
      <c r="LKW83" s="6"/>
      <c r="LKX83" s="6"/>
      <c r="LKY83" s="6"/>
      <c r="LKZ83" s="6"/>
      <c r="LLA83" s="6"/>
      <c r="LLB83" s="6"/>
      <c r="LLC83" s="6"/>
      <c r="LLD83" s="6"/>
      <c r="LLE83" s="6"/>
      <c r="LLF83" s="6"/>
      <c r="LLG83" s="6"/>
      <c r="LLH83" s="6"/>
      <c r="LLI83" s="6"/>
      <c r="LLJ83" s="6"/>
      <c r="LLK83" s="6"/>
      <c r="LLL83" s="6"/>
      <c r="LLM83" s="6"/>
      <c r="LLN83" s="6"/>
      <c r="LLO83" s="6"/>
      <c r="LLP83" s="6"/>
      <c r="LLQ83" s="6"/>
      <c r="LLR83" s="6"/>
      <c r="LLS83" s="6"/>
      <c r="LLT83" s="6"/>
      <c r="LLU83" s="6"/>
      <c r="LLV83" s="6"/>
      <c r="LLW83" s="6"/>
      <c r="LLX83" s="6"/>
      <c r="LLY83" s="6"/>
      <c r="LLZ83" s="6"/>
      <c r="LMA83" s="6"/>
      <c r="LMB83" s="6"/>
      <c r="LMC83" s="6"/>
      <c r="LMD83" s="6"/>
      <c r="LME83" s="6"/>
      <c r="LMF83" s="6"/>
      <c r="LMG83" s="6"/>
      <c r="LMH83" s="6"/>
      <c r="LMI83" s="6"/>
      <c r="LMJ83" s="6"/>
      <c r="LMK83" s="6"/>
      <c r="LML83" s="6"/>
      <c r="LMM83" s="6"/>
      <c r="LMN83" s="6"/>
      <c r="LMO83" s="6"/>
      <c r="LMP83" s="6"/>
      <c r="LMQ83" s="6"/>
      <c r="LMR83" s="6"/>
      <c r="LMS83" s="6"/>
      <c r="LMT83" s="6"/>
      <c r="LMU83" s="6"/>
      <c r="LMV83" s="6"/>
      <c r="LMW83" s="6"/>
      <c r="LMX83" s="6"/>
      <c r="LMY83" s="6"/>
      <c r="LMZ83" s="6"/>
      <c r="LNA83" s="6"/>
      <c r="LNB83" s="6"/>
      <c r="LNC83" s="6"/>
      <c r="LND83" s="6"/>
      <c r="LNE83" s="6"/>
      <c r="LNF83" s="6"/>
      <c r="LNG83" s="6"/>
      <c r="LNH83" s="6"/>
      <c r="LNI83" s="6"/>
      <c r="LNJ83" s="6"/>
      <c r="LNK83" s="6"/>
      <c r="LNL83" s="6"/>
      <c r="LNM83" s="6"/>
      <c r="LNN83" s="6"/>
      <c r="LNO83" s="6"/>
      <c r="LNP83" s="6"/>
      <c r="LNQ83" s="6"/>
      <c r="LNR83" s="6"/>
      <c r="LNS83" s="6"/>
      <c r="LNT83" s="6"/>
      <c r="LNU83" s="6"/>
      <c r="LNV83" s="6"/>
      <c r="LNW83" s="6"/>
      <c r="LNX83" s="6"/>
      <c r="LNY83" s="6"/>
      <c r="LNZ83" s="6"/>
      <c r="LOA83" s="6"/>
      <c r="LOB83" s="6"/>
      <c r="LOC83" s="6"/>
      <c r="LOD83" s="6"/>
      <c r="LOE83" s="6"/>
      <c r="LOF83" s="6"/>
      <c r="LOG83" s="6"/>
      <c r="LOH83" s="6"/>
      <c r="LOI83" s="6"/>
      <c r="LOJ83" s="6"/>
      <c r="LOK83" s="6"/>
      <c r="LOL83" s="6"/>
      <c r="LOM83" s="6"/>
      <c r="LON83" s="6"/>
      <c r="LOO83" s="6"/>
      <c r="LOP83" s="6"/>
      <c r="LOQ83" s="6"/>
      <c r="LOR83" s="6"/>
      <c r="LOS83" s="6"/>
      <c r="LOT83" s="6"/>
      <c r="LOU83" s="6"/>
      <c r="LOV83" s="6"/>
      <c r="LOW83" s="6"/>
      <c r="LOX83" s="6"/>
      <c r="LOY83" s="6"/>
      <c r="LOZ83" s="6"/>
      <c r="LPA83" s="6"/>
      <c r="LPB83" s="6"/>
      <c r="LPC83" s="6"/>
      <c r="LPD83" s="6"/>
      <c r="LPE83" s="6"/>
      <c r="LPF83" s="6"/>
      <c r="LPG83" s="6"/>
      <c r="LPH83" s="6"/>
      <c r="LPI83" s="6"/>
      <c r="LPJ83" s="6"/>
      <c r="LPK83" s="6"/>
      <c r="LPL83" s="6"/>
      <c r="LPM83" s="6"/>
      <c r="LPN83" s="6"/>
      <c r="LPO83" s="6"/>
      <c r="LPP83" s="6"/>
      <c r="LPQ83" s="6"/>
      <c r="LPR83" s="6"/>
      <c r="LPS83" s="6"/>
      <c r="LPT83" s="6"/>
      <c r="LPU83" s="6"/>
      <c r="LPV83" s="6"/>
      <c r="LPW83" s="6"/>
      <c r="LPX83" s="6"/>
      <c r="LPY83" s="6"/>
      <c r="LPZ83" s="6"/>
      <c r="LQA83" s="6"/>
      <c r="LQB83" s="6"/>
      <c r="LQC83" s="6"/>
      <c r="LQD83" s="6"/>
      <c r="LQE83" s="6"/>
      <c r="LQF83" s="6"/>
      <c r="LQG83" s="6"/>
      <c r="LQH83" s="6"/>
      <c r="LQI83" s="6"/>
      <c r="LQJ83" s="6"/>
      <c r="LQK83" s="6"/>
      <c r="LQL83" s="6"/>
      <c r="LQM83" s="6"/>
      <c r="LQN83" s="6"/>
      <c r="LQO83" s="6"/>
      <c r="LQP83" s="6"/>
      <c r="LQQ83" s="6"/>
      <c r="LQR83" s="6"/>
      <c r="LQS83" s="6"/>
      <c r="LQT83" s="6"/>
      <c r="LQU83" s="6"/>
      <c r="LQV83" s="6"/>
      <c r="LQW83" s="6"/>
      <c r="LQX83" s="6"/>
      <c r="LQY83" s="6"/>
      <c r="LQZ83" s="6"/>
      <c r="LRA83" s="6"/>
      <c r="LRB83" s="6"/>
      <c r="LRC83" s="6"/>
      <c r="LRD83" s="6"/>
      <c r="LRE83" s="6"/>
      <c r="LRF83" s="6"/>
      <c r="LRG83" s="6"/>
      <c r="LRH83" s="6"/>
      <c r="LRI83" s="6"/>
      <c r="LRJ83" s="6"/>
      <c r="LRK83" s="6"/>
      <c r="LRL83" s="6"/>
      <c r="LRM83" s="6"/>
      <c r="LRN83" s="6"/>
      <c r="LRO83" s="6"/>
      <c r="LRP83" s="6"/>
      <c r="LRQ83" s="6"/>
      <c r="LRR83" s="6"/>
      <c r="LRS83" s="6"/>
      <c r="LRT83" s="6"/>
      <c r="LRU83" s="6"/>
      <c r="LRV83" s="6"/>
      <c r="LRW83" s="6"/>
      <c r="LRX83" s="6"/>
      <c r="LRY83" s="6"/>
      <c r="LRZ83" s="6"/>
      <c r="LSA83" s="6"/>
      <c r="LSB83" s="6"/>
      <c r="LSC83" s="6"/>
      <c r="LSD83" s="6"/>
      <c r="LSE83" s="6"/>
      <c r="LSF83" s="6"/>
      <c r="LSG83" s="6"/>
      <c r="LSH83" s="6"/>
      <c r="LSI83" s="6"/>
      <c r="LSJ83" s="6"/>
      <c r="LSK83" s="6"/>
      <c r="LSL83" s="6"/>
      <c r="LSM83" s="6"/>
      <c r="LSN83" s="6"/>
      <c r="LSO83" s="6"/>
      <c r="LSP83" s="6"/>
      <c r="LSQ83" s="6"/>
      <c r="LSR83" s="6"/>
      <c r="LSS83" s="6"/>
      <c r="LST83" s="6"/>
      <c r="LSU83" s="6"/>
      <c r="LSV83" s="6"/>
      <c r="LSW83" s="6"/>
      <c r="LSX83" s="6"/>
      <c r="LSY83" s="6"/>
      <c r="LSZ83" s="6"/>
      <c r="LTA83" s="6"/>
      <c r="LTB83" s="6"/>
      <c r="LTC83" s="6"/>
      <c r="LTD83" s="6"/>
      <c r="LTE83" s="6"/>
      <c r="LTF83" s="6"/>
      <c r="LTG83" s="6"/>
      <c r="LTH83" s="6"/>
      <c r="LTI83" s="6"/>
      <c r="LTJ83" s="6"/>
      <c r="LTK83" s="6"/>
      <c r="LTL83" s="6"/>
      <c r="LTM83" s="6"/>
      <c r="LTN83" s="6"/>
      <c r="LTO83" s="6"/>
      <c r="LTP83" s="6"/>
      <c r="LTQ83" s="6"/>
      <c r="LTR83" s="6"/>
      <c r="LTS83" s="6"/>
      <c r="LTT83" s="6"/>
      <c r="LTU83" s="6"/>
      <c r="LTV83" s="6"/>
      <c r="LTW83" s="6"/>
      <c r="LTX83" s="6"/>
      <c r="LTY83" s="6"/>
      <c r="LTZ83" s="6"/>
      <c r="LUA83" s="6"/>
      <c r="LUB83" s="6"/>
      <c r="LUC83" s="6"/>
      <c r="LUD83" s="6"/>
      <c r="LUE83" s="6"/>
      <c r="LUF83" s="6"/>
      <c r="LUG83" s="6"/>
      <c r="LUH83" s="6"/>
      <c r="LUI83" s="6"/>
      <c r="LUJ83" s="6"/>
      <c r="LUK83" s="6"/>
      <c r="LUL83" s="6"/>
      <c r="LUM83" s="6"/>
      <c r="LUN83" s="6"/>
      <c r="LUO83" s="6"/>
      <c r="LUP83" s="6"/>
      <c r="LUQ83" s="6"/>
      <c r="LUR83" s="6"/>
      <c r="LUS83" s="6"/>
      <c r="LUT83" s="6"/>
      <c r="LUU83" s="6"/>
      <c r="LUV83" s="6"/>
      <c r="LUW83" s="6"/>
      <c r="LUX83" s="6"/>
      <c r="LUY83" s="6"/>
      <c r="LUZ83" s="6"/>
      <c r="LVA83" s="6"/>
      <c r="LVB83" s="6"/>
      <c r="LVC83" s="6"/>
      <c r="LVD83" s="6"/>
      <c r="LVE83" s="6"/>
      <c r="LVF83" s="6"/>
      <c r="LVG83" s="6"/>
      <c r="LVH83" s="6"/>
      <c r="LVI83" s="6"/>
      <c r="LVJ83" s="6"/>
      <c r="LVK83" s="6"/>
      <c r="LVL83" s="6"/>
      <c r="LVM83" s="6"/>
      <c r="LVN83" s="6"/>
      <c r="LVO83" s="6"/>
      <c r="LVP83" s="6"/>
      <c r="LVQ83" s="6"/>
      <c r="LVR83" s="6"/>
      <c r="LVS83" s="6"/>
      <c r="LVT83" s="6"/>
      <c r="LVU83" s="6"/>
      <c r="LVV83" s="6"/>
      <c r="LVW83" s="6"/>
      <c r="LVX83" s="6"/>
      <c r="LVY83" s="6"/>
      <c r="LVZ83" s="6"/>
      <c r="LWA83" s="6"/>
      <c r="LWB83" s="6"/>
      <c r="LWC83" s="6"/>
      <c r="LWD83" s="6"/>
      <c r="LWE83" s="6"/>
      <c r="LWF83" s="6"/>
      <c r="LWG83" s="6"/>
      <c r="LWH83" s="6"/>
      <c r="LWI83" s="6"/>
      <c r="LWJ83" s="6"/>
      <c r="LWK83" s="6"/>
      <c r="LWL83" s="6"/>
      <c r="LWM83" s="6"/>
      <c r="LWN83" s="6"/>
      <c r="LWO83" s="6"/>
      <c r="LWP83" s="6"/>
      <c r="LWQ83" s="6"/>
      <c r="LWR83" s="6"/>
      <c r="LWS83" s="6"/>
      <c r="LWT83" s="6"/>
      <c r="LWU83" s="6"/>
      <c r="LWV83" s="6"/>
      <c r="LWW83" s="6"/>
      <c r="LWX83" s="6"/>
      <c r="LWY83" s="6"/>
      <c r="LWZ83" s="6"/>
      <c r="LXA83" s="6"/>
      <c r="LXB83" s="6"/>
      <c r="LXC83" s="6"/>
      <c r="LXD83" s="6"/>
      <c r="LXE83" s="6"/>
      <c r="LXF83" s="6"/>
      <c r="LXG83" s="6"/>
      <c r="LXH83" s="6"/>
      <c r="LXI83" s="6"/>
      <c r="LXJ83" s="6"/>
      <c r="LXK83" s="6"/>
      <c r="LXL83" s="6"/>
      <c r="LXM83" s="6"/>
      <c r="LXN83" s="6"/>
      <c r="LXO83" s="6"/>
      <c r="LXP83" s="6"/>
      <c r="LXQ83" s="6"/>
      <c r="LXR83" s="6"/>
      <c r="LXS83" s="6"/>
      <c r="LXT83" s="6"/>
      <c r="LXU83" s="6"/>
      <c r="LXV83" s="6"/>
      <c r="LXW83" s="6"/>
      <c r="LXX83" s="6"/>
      <c r="LXY83" s="6"/>
      <c r="LXZ83" s="6"/>
      <c r="LYA83" s="6"/>
      <c r="LYB83" s="6"/>
      <c r="LYC83" s="6"/>
      <c r="LYD83" s="6"/>
      <c r="LYE83" s="6"/>
      <c r="LYF83" s="6"/>
      <c r="LYG83" s="6"/>
      <c r="LYH83" s="6"/>
      <c r="LYI83" s="6"/>
      <c r="LYJ83" s="6"/>
      <c r="LYK83" s="6"/>
      <c r="LYL83" s="6"/>
      <c r="LYM83" s="6"/>
      <c r="LYN83" s="6"/>
      <c r="LYO83" s="6"/>
      <c r="LYP83" s="6"/>
      <c r="LYQ83" s="6"/>
      <c r="LYR83" s="6"/>
      <c r="LYS83" s="6"/>
      <c r="LYT83" s="6"/>
      <c r="LYU83" s="6"/>
      <c r="LYV83" s="6"/>
      <c r="LYW83" s="6"/>
      <c r="LYX83" s="6"/>
      <c r="LYY83" s="6"/>
      <c r="LYZ83" s="6"/>
      <c r="LZA83" s="6"/>
      <c r="LZB83" s="6"/>
      <c r="LZC83" s="6"/>
      <c r="LZD83" s="6"/>
      <c r="LZE83" s="6"/>
      <c r="LZF83" s="6"/>
      <c r="LZG83" s="6"/>
      <c r="LZH83" s="6"/>
      <c r="LZI83" s="6"/>
      <c r="LZJ83" s="6"/>
      <c r="LZK83" s="6"/>
      <c r="LZL83" s="6"/>
      <c r="LZM83" s="6"/>
      <c r="LZN83" s="6"/>
      <c r="LZO83" s="6"/>
      <c r="LZP83" s="6"/>
      <c r="LZQ83" s="6"/>
      <c r="LZR83" s="6"/>
      <c r="LZS83" s="6"/>
      <c r="LZT83" s="6"/>
      <c r="LZU83" s="6"/>
      <c r="LZV83" s="6"/>
      <c r="LZW83" s="6"/>
      <c r="LZX83" s="6"/>
      <c r="LZY83" s="6"/>
      <c r="LZZ83" s="6"/>
      <c r="MAA83" s="6"/>
      <c r="MAB83" s="6"/>
      <c r="MAC83" s="6"/>
      <c r="MAD83" s="6"/>
      <c r="MAE83" s="6"/>
      <c r="MAF83" s="6"/>
      <c r="MAG83" s="6"/>
      <c r="MAH83" s="6"/>
      <c r="MAI83" s="6"/>
      <c r="MAJ83" s="6"/>
      <c r="MAK83" s="6"/>
      <c r="MAL83" s="6"/>
      <c r="MAM83" s="6"/>
      <c r="MAN83" s="6"/>
      <c r="MAO83" s="6"/>
      <c r="MAP83" s="6"/>
      <c r="MAQ83" s="6"/>
      <c r="MAR83" s="6"/>
      <c r="MAS83" s="6"/>
      <c r="MAT83" s="6"/>
      <c r="MAU83" s="6"/>
      <c r="MAV83" s="6"/>
      <c r="MAW83" s="6"/>
      <c r="MAX83" s="6"/>
      <c r="MAY83" s="6"/>
      <c r="MAZ83" s="6"/>
      <c r="MBA83" s="6"/>
      <c r="MBB83" s="6"/>
      <c r="MBC83" s="6"/>
      <c r="MBD83" s="6"/>
      <c r="MBE83" s="6"/>
      <c r="MBF83" s="6"/>
      <c r="MBG83" s="6"/>
      <c r="MBH83" s="6"/>
      <c r="MBI83" s="6"/>
      <c r="MBJ83" s="6"/>
      <c r="MBK83" s="6"/>
      <c r="MBL83" s="6"/>
      <c r="MBM83" s="6"/>
      <c r="MBN83" s="6"/>
      <c r="MBO83" s="6"/>
      <c r="MBP83" s="6"/>
      <c r="MBQ83" s="6"/>
      <c r="MBR83" s="6"/>
      <c r="MBS83" s="6"/>
      <c r="MBT83" s="6"/>
      <c r="MBU83" s="6"/>
      <c r="MBV83" s="6"/>
      <c r="MBW83" s="6"/>
      <c r="MBX83" s="6"/>
      <c r="MBY83" s="6"/>
      <c r="MBZ83" s="6"/>
      <c r="MCA83" s="6"/>
      <c r="MCB83" s="6"/>
      <c r="MCC83" s="6"/>
      <c r="MCD83" s="6"/>
      <c r="MCE83" s="6"/>
      <c r="MCF83" s="6"/>
      <c r="MCG83" s="6"/>
      <c r="MCH83" s="6"/>
      <c r="MCI83" s="6"/>
      <c r="MCJ83" s="6"/>
      <c r="MCK83" s="6"/>
      <c r="MCL83" s="6"/>
      <c r="MCM83" s="6"/>
      <c r="MCN83" s="6"/>
      <c r="MCO83" s="6"/>
      <c r="MCP83" s="6"/>
      <c r="MCQ83" s="6"/>
      <c r="MCR83" s="6"/>
      <c r="MCS83" s="6"/>
      <c r="MCT83" s="6"/>
      <c r="MCU83" s="6"/>
      <c r="MCV83" s="6"/>
      <c r="MCW83" s="6"/>
      <c r="MCX83" s="6"/>
      <c r="MCY83" s="6"/>
      <c r="MCZ83" s="6"/>
      <c r="MDA83" s="6"/>
      <c r="MDB83" s="6"/>
      <c r="MDC83" s="6"/>
      <c r="MDD83" s="6"/>
      <c r="MDE83" s="6"/>
      <c r="MDF83" s="6"/>
      <c r="MDG83" s="6"/>
      <c r="MDH83" s="6"/>
      <c r="MDI83" s="6"/>
      <c r="MDJ83" s="6"/>
      <c r="MDK83" s="6"/>
      <c r="MDL83" s="6"/>
      <c r="MDM83" s="6"/>
      <c r="MDN83" s="6"/>
      <c r="MDO83" s="6"/>
      <c r="MDP83" s="6"/>
      <c r="MDQ83" s="6"/>
      <c r="MDR83" s="6"/>
      <c r="MDS83" s="6"/>
      <c r="MDT83" s="6"/>
      <c r="MDU83" s="6"/>
      <c r="MDV83" s="6"/>
      <c r="MDW83" s="6"/>
      <c r="MDX83" s="6"/>
      <c r="MDY83" s="6"/>
      <c r="MDZ83" s="6"/>
      <c r="MEA83" s="6"/>
      <c r="MEB83" s="6"/>
      <c r="MEC83" s="6"/>
      <c r="MED83" s="6"/>
      <c r="MEE83" s="6"/>
      <c r="MEF83" s="6"/>
      <c r="MEG83" s="6"/>
      <c r="MEH83" s="6"/>
      <c r="MEI83" s="6"/>
      <c r="MEJ83" s="6"/>
      <c r="MEK83" s="6"/>
      <c r="MEL83" s="6"/>
      <c r="MEM83" s="6"/>
      <c r="MEN83" s="6"/>
      <c r="MEO83" s="6"/>
      <c r="MEP83" s="6"/>
      <c r="MEQ83" s="6"/>
      <c r="MER83" s="6"/>
      <c r="MES83" s="6"/>
      <c r="MET83" s="6"/>
      <c r="MEU83" s="6"/>
      <c r="MEV83" s="6"/>
      <c r="MEW83" s="6"/>
      <c r="MEX83" s="6"/>
      <c r="MEY83" s="6"/>
      <c r="MEZ83" s="6"/>
      <c r="MFA83" s="6"/>
      <c r="MFB83" s="6"/>
      <c r="MFC83" s="6"/>
      <c r="MFD83" s="6"/>
      <c r="MFE83" s="6"/>
      <c r="MFF83" s="6"/>
      <c r="MFG83" s="6"/>
      <c r="MFH83" s="6"/>
      <c r="MFI83" s="6"/>
      <c r="MFJ83" s="6"/>
      <c r="MFK83" s="6"/>
      <c r="MFL83" s="6"/>
      <c r="MFM83" s="6"/>
      <c r="MFN83" s="6"/>
      <c r="MFO83" s="6"/>
      <c r="MFP83" s="6"/>
      <c r="MFQ83" s="6"/>
      <c r="MFR83" s="6"/>
      <c r="MFS83" s="6"/>
      <c r="MFT83" s="6"/>
      <c r="MFU83" s="6"/>
      <c r="MFV83" s="6"/>
      <c r="MFW83" s="6"/>
      <c r="MFX83" s="6"/>
      <c r="MFY83" s="6"/>
      <c r="MFZ83" s="6"/>
      <c r="MGA83" s="6"/>
      <c r="MGB83" s="6"/>
      <c r="MGC83" s="6"/>
      <c r="MGD83" s="6"/>
      <c r="MGE83" s="6"/>
      <c r="MGF83" s="6"/>
      <c r="MGG83" s="6"/>
      <c r="MGH83" s="6"/>
      <c r="MGI83" s="6"/>
      <c r="MGJ83" s="6"/>
      <c r="MGK83" s="6"/>
      <c r="MGL83" s="6"/>
      <c r="MGM83" s="6"/>
      <c r="MGN83" s="6"/>
      <c r="MGO83" s="6"/>
      <c r="MGP83" s="6"/>
      <c r="MGQ83" s="6"/>
      <c r="MGR83" s="6"/>
      <c r="MGS83" s="6"/>
      <c r="MGT83" s="6"/>
      <c r="MGU83" s="6"/>
      <c r="MGV83" s="6"/>
      <c r="MGW83" s="6"/>
      <c r="MGX83" s="6"/>
      <c r="MGY83" s="6"/>
      <c r="MGZ83" s="6"/>
      <c r="MHA83" s="6"/>
      <c r="MHB83" s="6"/>
      <c r="MHC83" s="6"/>
      <c r="MHD83" s="6"/>
      <c r="MHE83" s="6"/>
      <c r="MHF83" s="6"/>
      <c r="MHG83" s="6"/>
      <c r="MHH83" s="6"/>
      <c r="MHI83" s="6"/>
      <c r="MHJ83" s="6"/>
      <c r="MHK83" s="6"/>
      <c r="MHL83" s="6"/>
      <c r="MHM83" s="6"/>
      <c r="MHN83" s="6"/>
      <c r="MHO83" s="6"/>
      <c r="MHP83" s="6"/>
      <c r="MHQ83" s="6"/>
      <c r="MHR83" s="6"/>
      <c r="MHS83" s="6"/>
      <c r="MHT83" s="6"/>
      <c r="MHU83" s="6"/>
      <c r="MHV83" s="6"/>
      <c r="MHW83" s="6"/>
      <c r="MHX83" s="6"/>
      <c r="MHY83" s="6"/>
      <c r="MHZ83" s="6"/>
      <c r="MIA83" s="6"/>
      <c r="MIB83" s="6"/>
      <c r="MIC83" s="6"/>
      <c r="MID83" s="6"/>
      <c r="MIE83" s="6"/>
      <c r="MIF83" s="6"/>
      <c r="MIG83" s="6"/>
      <c r="MIH83" s="6"/>
      <c r="MII83" s="6"/>
      <c r="MIJ83" s="6"/>
      <c r="MIK83" s="6"/>
      <c r="MIL83" s="6"/>
      <c r="MIM83" s="6"/>
      <c r="MIN83" s="6"/>
      <c r="MIO83" s="6"/>
      <c r="MIP83" s="6"/>
      <c r="MIQ83" s="6"/>
      <c r="MIR83" s="6"/>
      <c r="MIS83" s="6"/>
      <c r="MIT83" s="6"/>
      <c r="MIU83" s="6"/>
      <c r="MIV83" s="6"/>
      <c r="MIW83" s="6"/>
      <c r="MIX83" s="6"/>
      <c r="MIY83" s="6"/>
      <c r="MIZ83" s="6"/>
      <c r="MJA83" s="6"/>
      <c r="MJB83" s="6"/>
      <c r="MJC83" s="6"/>
      <c r="MJD83" s="6"/>
      <c r="MJE83" s="6"/>
      <c r="MJF83" s="6"/>
      <c r="MJG83" s="6"/>
      <c r="MJH83" s="6"/>
      <c r="MJI83" s="6"/>
      <c r="MJJ83" s="6"/>
      <c r="MJK83" s="6"/>
      <c r="MJL83" s="6"/>
      <c r="MJM83" s="6"/>
      <c r="MJN83" s="6"/>
      <c r="MJO83" s="6"/>
      <c r="MJP83" s="6"/>
      <c r="MJQ83" s="6"/>
      <c r="MJR83" s="6"/>
      <c r="MJS83" s="6"/>
      <c r="MJT83" s="6"/>
      <c r="MJU83" s="6"/>
      <c r="MJV83" s="6"/>
      <c r="MJW83" s="6"/>
      <c r="MJX83" s="6"/>
      <c r="MJY83" s="6"/>
      <c r="MJZ83" s="6"/>
      <c r="MKA83" s="6"/>
      <c r="MKB83" s="6"/>
      <c r="MKC83" s="6"/>
      <c r="MKD83" s="6"/>
      <c r="MKE83" s="6"/>
      <c r="MKF83" s="6"/>
      <c r="MKG83" s="6"/>
      <c r="MKH83" s="6"/>
      <c r="MKI83" s="6"/>
      <c r="MKJ83" s="6"/>
      <c r="MKK83" s="6"/>
      <c r="MKL83" s="6"/>
      <c r="MKM83" s="6"/>
      <c r="MKN83" s="6"/>
      <c r="MKO83" s="6"/>
      <c r="MKP83" s="6"/>
      <c r="MKQ83" s="6"/>
      <c r="MKR83" s="6"/>
      <c r="MKS83" s="6"/>
      <c r="MKT83" s="6"/>
      <c r="MKU83" s="6"/>
      <c r="MKV83" s="6"/>
      <c r="MKW83" s="6"/>
      <c r="MKX83" s="6"/>
      <c r="MKY83" s="6"/>
      <c r="MKZ83" s="6"/>
      <c r="MLA83" s="6"/>
      <c r="MLB83" s="6"/>
      <c r="MLC83" s="6"/>
      <c r="MLD83" s="6"/>
      <c r="MLE83" s="6"/>
      <c r="MLF83" s="6"/>
      <c r="MLG83" s="6"/>
      <c r="MLH83" s="6"/>
      <c r="MLI83" s="6"/>
      <c r="MLJ83" s="6"/>
      <c r="MLK83" s="6"/>
      <c r="MLL83" s="6"/>
      <c r="MLM83" s="6"/>
      <c r="MLN83" s="6"/>
      <c r="MLO83" s="6"/>
      <c r="MLP83" s="6"/>
      <c r="MLQ83" s="6"/>
      <c r="MLR83" s="6"/>
      <c r="MLS83" s="6"/>
      <c r="MLT83" s="6"/>
      <c r="MLU83" s="6"/>
      <c r="MLV83" s="6"/>
      <c r="MLW83" s="6"/>
      <c r="MLX83" s="6"/>
      <c r="MLY83" s="6"/>
      <c r="MLZ83" s="6"/>
      <c r="MMA83" s="6"/>
      <c r="MMB83" s="6"/>
      <c r="MMC83" s="6"/>
      <c r="MMD83" s="6"/>
      <c r="MME83" s="6"/>
      <c r="MMF83" s="6"/>
      <c r="MMG83" s="6"/>
      <c r="MMH83" s="6"/>
      <c r="MMI83" s="6"/>
      <c r="MMJ83" s="6"/>
      <c r="MMK83" s="6"/>
      <c r="MML83" s="6"/>
      <c r="MMM83" s="6"/>
      <c r="MMN83" s="6"/>
      <c r="MMO83" s="6"/>
      <c r="MMP83" s="6"/>
      <c r="MMQ83" s="6"/>
      <c r="MMR83" s="6"/>
      <c r="MMS83" s="6"/>
      <c r="MMT83" s="6"/>
      <c r="MMU83" s="6"/>
      <c r="MMV83" s="6"/>
      <c r="MMW83" s="6"/>
      <c r="MMX83" s="6"/>
      <c r="MMY83" s="6"/>
      <c r="MMZ83" s="6"/>
      <c r="MNA83" s="6"/>
      <c r="MNB83" s="6"/>
      <c r="MNC83" s="6"/>
      <c r="MND83" s="6"/>
      <c r="MNE83" s="6"/>
      <c r="MNF83" s="6"/>
      <c r="MNG83" s="6"/>
      <c r="MNH83" s="6"/>
      <c r="MNI83" s="6"/>
      <c r="MNJ83" s="6"/>
      <c r="MNK83" s="6"/>
      <c r="MNL83" s="6"/>
      <c r="MNM83" s="6"/>
      <c r="MNN83" s="6"/>
      <c r="MNO83" s="6"/>
      <c r="MNP83" s="6"/>
      <c r="MNQ83" s="6"/>
      <c r="MNR83" s="6"/>
      <c r="MNS83" s="6"/>
      <c r="MNT83" s="6"/>
      <c r="MNU83" s="6"/>
      <c r="MNV83" s="6"/>
      <c r="MNW83" s="6"/>
      <c r="MNX83" s="6"/>
      <c r="MNY83" s="6"/>
      <c r="MNZ83" s="6"/>
      <c r="MOA83" s="6"/>
      <c r="MOB83" s="6"/>
      <c r="MOC83" s="6"/>
      <c r="MOD83" s="6"/>
      <c r="MOE83" s="6"/>
      <c r="MOF83" s="6"/>
      <c r="MOG83" s="6"/>
      <c r="MOH83" s="6"/>
      <c r="MOI83" s="6"/>
      <c r="MOJ83" s="6"/>
      <c r="MOK83" s="6"/>
      <c r="MOL83" s="6"/>
      <c r="MOM83" s="6"/>
      <c r="MON83" s="6"/>
      <c r="MOO83" s="6"/>
      <c r="MOP83" s="6"/>
      <c r="MOQ83" s="6"/>
      <c r="MOR83" s="6"/>
      <c r="MOS83" s="6"/>
      <c r="MOT83" s="6"/>
      <c r="MOU83" s="6"/>
      <c r="MOV83" s="6"/>
      <c r="MOW83" s="6"/>
      <c r="MOX83" s="6"/>
      <c r="MOY83" s="6"/>
      <c r="MOZ83" s="6"/>
      <c r="MPA83" s="6"/>
      <c r="MPB83" s="6"/>
      <c r="MPC83" s="6"/>
      <c r="MPD83" s="6"/>
      <c r="MPE83" s="6"/>
      <c r="MPF83" s="6"/>
      <c r="MPG83" s="6"/>
      <c r="MPH83" s="6"/>
      <c r="MPI83" s="6"/>
      <c r="MPJ83" s="6"/>
      <c r="MPK83" s="6"/>
      <c r="MPL83" s="6"/>
      <c r="MPM83" s="6"/>
      <c r="MPN83" s="6"/>
      <c r="MPO83" s="6"/>
      <c r="MPP83" s="6"/>
      <c r="MPQ83" s="6"/>
      <c r="MPR83" s="6"/>
      <c r="MPS83" s="6"/>
      <c r="MPT83" s="6"/>
      <c r="MPU83" s="6"/>
      <c r="MPV83" s="6"/>
      <c r="MPW83" s="6"/>
      <c r="MPX83" s="6"/>
      <c r="MPY83" s="6"/>
      <c r="MPZ83" s="6"/>
      <c r="MQA83" s="6"/>
      <c r="MQB83" s="6"/>
      <c r="MQC83" s="6"/>
      <c r="MQD83" s="6"/>
      <c r="MQE83" s="6"/>
      <c r="MQF83" s="6"/>
      <c r="MQG83" s="6"/>
      <c r="MQH83" s="6"/>
      <c r="MQI83" s="6"/>
      <c r="MQJ83" s="6"/>
      <c r="MQK83" s="6"/>
      <c r="MQL83" s="6"/>
      <c r="MQM83" s="6"/>
      <c r="MQN83" s="6"/>
      <c r="MQO83" s="6"/>
      <c r="MQP83" s="6"/>
      <c r="MQQ83" s="6"/>
      <c r="MQR83" s="6"/>
      <c r="MQS83" s="6"/>
      <c r="MQT83" s="6"/>
      <c r="MQU83" s="6"/>
      <c r="MQV83" s="6"/>
      <c r="MQW83" s="6"/>
      <c r="MQX83" s="6"/>
      <c r="MQY83" s="6"/>
      <c r="MQZ83" s="6"/>
      <c r="MRA83" s="6"/>
      <c r="MRB83" s="6"/>
      <c r="MRC83" s="6"/>
      <c r="MRD83" s="6"/>
      <c r="MRE83" s="6"/>
      <c r="MRF83" s="6"/>
      <c r="MRG83" s="6"/>
      <c r="MRH83" s="6"/>
      <c r="MRI83" s="6"/>
      <c r="MRJ83" s="6"/>
      <c r="MRK83" s="6"/>
      <c r="MRL83" s="6"/>
      <c r="MRM83" s="6"/>
      <c r="MRN83" s="6"/>
      <c r="MRO83" s="6"/>
      <c r="MRP83" s="6"/>
      <c r="MRQ83" s="6"/>
      <c r="MRR83" s="6"/>
      <c r="MRS83" s="6"/>
      <c r="MRT83" s="6"/>
      <c r="MRU83" s="6"/>
      <c r="MRV83" s="6"/>
      <c r="MRW83" s="6"/>
      <c r="MRX83" s="6"/>
      <c r="MRY83" s="6"/>
      <c r="MRZ83" s="6"/>
      <c r="MSA83" s="6"/>
      <c r="MSB83" s="6"/>
      <c r="MSC83" s="6"/>
      <c r="MSD83" s="6"/>
      <c r="MSE83" s="6"/>
      <c r="MSF83" s="6"/>
      <c r="MSG83" s="6"/>
      <c r="MSH83" s="6"/>
      <c r="MSI83" s="6"/>
      <c r="MSJ83" s="6"/>
      <c r="MSK83" s="6"/>
      <c r="MSL83" s="6"/>
      <c r="MSM83" s="6"/>
      <c r="MSN83" s="6"/>
      <c r="MSO83" s="6"/>
      <c r="MSP83" s="6"/>
      <c r="MSQ83" s="6"/>
      <c r="MSR83" s="6"/>
      <c r="MSS83" s="6"/>
      <c r="MST83" s="6"/>
      <c r="MSU83" s="6"/>
      <c r="MSV83" s="6"/>
      <c r="MSW83" s="6"/>
      <c r="MSX83" s="6"/>
      <c r="MSY83" s="6"/>
      <c r="MSZ83" s="6"/>
      <c r="MTA83" s="6"/>
      <c r="MTB83" s="6"/>
      <c r="MTC83" s="6"/>
      <c r="MTD83" s="6"/>
      <c r="MTE83" s="6"/>
      <c r="MTF83" s="6"/>
      <c r="MTG83" s="6"/>
      <c r="MTH83" s="6"/>
      <c r="MTI83" s="6"/>
      <c r="MTJ83" s="6"/>
      <c r="MTK83" s="6"/>
      <c r="MTL83" s="6"/>
      <c r="MTM83" s="6"/>
      <c r="MTN83" s="6"/>
      <c r="MTO83" s="6"/>
      <c r="MTP83" s="6"/>
      <c r="MTQ83" s="6"/>
      <c r="MTR83" s="6"/>
      <c r="MTS83" s="6"/>
      <c r="MTT83" s="6"/>
      <c r="MTU83" s="6"/>
      <c r="MTV83" s="6"/>
      <c r="MTW83" s="6"/>
      <c r="MTX83" s="6"/>
      <c r="MTY83" s="6"/>
      <c r="MTZ83" s="6"/>
      <c r="MUA83" s="6"/>
      <c r="MUB83" s="6"/>
      <c r="MUC83" s="6"/>
      <c r="MUD83" s="6"/>
      <c r="MUE83" s="6"/>
      <c r="MUF83" s="6"/>
      <c r="MUG83" s="6"/>
      <c r="MUH83" s="6"/>
      <c r="MUI83" s="6"/>
      <c r="MUJ83" s="6"/>
      <c r="MUK83" s="6"/>
      <c r="MUL83" s="6"/>
      <c r="MUM83" s="6"/>
      <c r="MUN83" s="6"/>
      <c r="MUO83" s="6"/>
      <c r="MUP83" s="6"/>
      <c r="MUQ83" s="6"/>
      <c r="MUR83" s="6"/>
      <c r="MUS83" s="6"/>
      <c r="MUT83" s="6"/>
      <c r="MUU83" s="6"/>
      <c r="MUV83" s="6"/>
      <c r="MUW83" s="6"/>
      <c r="MUX83" s="6"/>
      <c r="MUY83" s="6"/>
      <c r="MUZ83" s="6"/>
      <c r="MVA83" s="6"/>
      <c r="MVB83" s="6"/>
      <c r="MVC83" s="6"/>
      <c r="MVD83" s="6"/>
      <c r="MVE83" s="6"/>
      <c r="MVF83" s="6"/>
      <c r="MVG83" s="6"/>
      <c r="MVH83" s="6"/>
      <c r="MVI83" s="6"/>
      <c r="MVJ83" s="6"/>
      <c r="MVK83" s="6"/>
      <c r="MVL83" s="6"/>
      <c r="MVM83" s="6"/>
      <c r="MVN83" s="6"/>
      <c r="MVO83" s="6"/>
      <c r="MVP83" s="6"/>
      <c r="MVQ83" s="6"/>
      <c r="MVR83" s="6"/>
      <c r="MVS83" s="6"/>
      <c r="MVT83" s="6"/>
      <c r="MVU83" s="6"/>
      <c r="MVV83" s="6"/>
      <c r="MVW83" s="6"/>
      <c r="MVX83" s="6"/>
      <c r="MVY83" s="6"/>
      <c r="MVZ83" s="6"/>
      <c r="MWA83" s="6"/>
      <c r="MWB83" s="6"/>
      <c r="MWC83" s="6"/>
      <c r="MWD83" s="6"/>
      <c r="MWE83" s="6"/>
      <c r="MWF83" s="6"/>
      <c r="MWG83" s="6"/>
      <c r="MWH83" s="6"/>
      <c r="MWI83" s="6"/>
      <c r="MWJ83" s="6"/>
      <c r="MWK83" s="6"/>
      <c r="MWL83" s="6"/>
      <c r="MWM83" s="6"/>
      <c r="MWN83" s="6"/>
      <c r="MWO83" s="6"/>
      <c r="MWP83" s="6"/>
      <c r="MWQ83" s="6"/>
      <c r="MWR83" s="6"/>
      <c r="MWS83" s="6"/>
      <c r="MWT83" s="6"/>
      <c r="MWU83" s="6"/>
      <c r="MWV83" s="6"/>
      <c r="MWW83" s="6"/>
      <c r="MWX83" s="6"/>
      <c r="MWY83" s="6"/>
      <c r="MWZ83" s="6"/>
      <c r="MXA83" s="6"/>
      <c r="MXB83" s="6"/>
      <c r="MXC83" s="6"/>
      <c r="MXD83" s="6"/>
      <c r="MXE83" s="6"/>
      <c r="MXF83" s="6"/>
      <c r="MXG83" s="6"/>
      <c r="MXH83" s="6"/>
      <c r="MXI83" s="6"/>
      <c r="MXJ83" s="6"/>
      <c r="MXK83" s="6"/>
      <c r="MXL83" s="6"/>
      <c r="MXM83" s="6"/>
      <c r="MXN83" s="6"/>
      <c r="MXO83" s="6"/>
      <c r="MXP83" s="6"/>
      <c r="MXQ83" s="6"/>
      <c r="MXR83" s="6"/>
      <c r="MXS83" s="6"/>
      <c r="MXT83" s="6"/>
      <c r="MXU83" s="6"/>
      <c r="MXV83" s="6"/>
      <c r="MXW83" s="6"/>
      <c r="MXX83" s="6"/>
      <c r="MXY83" s="6"/>
      <c r="MXZ83" s="6"/>
      <c r="MYA83" s="6"/>
      <c r="MYB83" s="6"/>
      <c r="MYC83" s="6"/>
      <c r="MYD83" s="6"/>
      <c r="MYE83" s="6"/>
      <c r="MYF83" s="6"/>
      <c r="MYG83" s="6"/>
      <c r="MYH83" s="6"/>
      <c r="MYI83" s="6"/>
      <c r="MYJ83" s="6"/>
      <c r="MYK83" s="6"/>
      <c r="MYL83" s="6"/>
      <c r="MYM83" s="6"/>
      <c r="MYN83" s="6"/>
      <c r="MYO83" s="6"/>
      <c r="MYP83" s="6"/>
      <c r="MYQ83" s="6"/>
      <c r="MYR83" s="6"/>
      <c r="MYS83" s="6"/>
      <c r="MYT83" s="6"/>
      <c r="MYU83" s="6"/>
      <c r="MYV83" s="6"/>
      <c r="MYW83" s="6"/>
      <c r="MYX83" s="6"/>
      <c r="MYY83" s="6"/>
      <c r="MYZ83" s="6"/>
      <c r="MZA83" s="6"/>
      <c r="MZB83" s="6"/>
      <c r="MZC83" s="6"/>
      <c r="MZD83" s="6"/>
      <c r="MZE83" s="6"/>
      <c r="MZF83" s="6"/>
      <c r="MZG83" s="6"/>
      <c r="MZH83" s="6"/>
      <c r="MZI83" s="6"/>
      <c r="MZJ83" s="6"/>
      <c r="MZK83" s="6"/>
      <c r="MZL83" s="6"/>
      <c r="MZM83" s="6"/>
      <c r="MZN83" s="6"/>
      <c r="MZO83" s="6"/>
      <c r="MZP83" s="6"/>
      <c r="MZQ83" s="6"/>
      <c r="MZR83" s="6"/>
      <c r="MZS83" s="6"/>
      <c r="MZT83" s="6"/>
      <c r="MZU83" s="6"/>
      <c r="MZV83" s="6"/>
      <c r="MZW83" s="6"/>
      <c r="MZX83" s="6"/>
      <c r="MZY83" s="6"/>
      <c r="MZZ83" s="6"/>
      <c r="NAA83" s="6"/>
      <c r="NAB83" s="6"/>
      <c r="NAC83" s="6"/>
      <c r="NAD83" s="6"/>
      <c r="NAE83" s="6"/>
      <c r="NAF83" s="6"/>
      <c r="NAG83" s="6"/>
      <c r="NAH83" s="6"/>
      <c r="NAI83" s="6"/>
      <c r="NAJ83" s="6"/>
      <c r="NAK83" s="6"/>
      <c r="NAL83" s="6"/>
      <c r="NAM83" s="6"/>
      <c r="NAN83" s="6"/>
      <c r="NAO83" s="6"/>
      <c r="NAP83" s="6"/>
      <c r="NAQ83" s="6"/>
      <c r="NAR83" s="6"/>
      <c r="NAS83" s="6"/>
      <c r="NAT83" s="6"/>
      <c r="NAU83" s="6"/>
      <c r="NAV83" s="6"/>
      <c r="NAW83" s="6"/>
      <c r="NAX83" s="6"/>
      <c r="NAY83" s="6"/>
      <c r="NAZ83" s="6"/>
      <c r="NBA83" s="6"/>
      <c r="NBB83" s="6"/>
      <c r="NBC83" s="6"/>
      <c r="NBD83" s="6"/>
      <c r="NBE83" s="6"/>
      <c r="NBF83" s="6"/>
      <c r="NBG83" s="6"/>
      <c r="NBH83" s="6"/>
      <c r="NBI83" s="6"/>
      <c r="NBJ83" s="6"/>
      <c r="NBK83" s="6"/>
      <c r="NBL83" s="6"/>
      <c r="NBM83" s="6"/>
      <c r="NBN83" s="6"/>
      <c r="NBO83" s="6"/>
      <c r="NBP83" s="6"/>
      <c r="NBQ83" s="6"/>
      <c r="NBR83" s="6"/>
      <c r="NBS83" s="6"/>
      <c r="NBT83" s="6"/>
      <c r="NBU83" s="6"/>
      <c r="NBV83" s="6"/>
      <c r="NBW83" s="6"/>
      <c r="NBX83" s="6"/>
      <c r="NBY83" s="6"/>
      <c r="NBZ83" s="6"/>
      <c r="NCA83" s="6"/>
      <c r="NCB83" s="6"/>
      <c r="NCC83" s="6"/>
      <c r="NCD83" s="6"/>
      <c r="NCE83" s="6"/>
      <c r="NCF83" s="6"/>
      <c r="NCG83" s="6"/>
      <c r="NCH83" s="6"/>
      <c r="NCI83" s="6"/>
      <c r="NCJ83" s="6"/>
      <c r="NCK83" s="6"/>
      <c r="NCL83" s="6"/>
      <c r="NCM83" s="6"/>
      <c r="NCN83" s="6"/>
      <c r="NCO83" s="6"/>
      <c r="NCP83" s="6"/>
      <c r="NCQ83" s="6"/>
      <c r="NCR83" s="6"/>
      <c r="NCS83" s="6"/>
      <c r="NCT83" s="6"/>
      <c r="NCU83" s="6"/>
      <c r="NCV83" s="6"/>
      <c r="NCW83" s="6"/>
      <c r="NCX83" s="6"/>
      <c r="NCY83" s="6"/>
      <c r="NCZ83" s="6"/>
      <c r="NDA83" s="6"/>
      <c r="NDB83" s="6"/>
      <c r="NDC83" s="6"/>
      <c r="NDD83" s="6"/>
      <c r="NDE83" s="6"/>
      <c r="NDF83" s="6"/>
      <c r="NDG83" s="6"/>
      <c r="NDH83" s="6"/>
      <c r="NDI83" s="6"/>
      <c r="NDJ83" s="6"/>
      <c r="NDK83" s="6"/>
      <c r="NDL83" s="6"/>
      <c r="NDM83" s="6"/>
      <c r="NDN83" s="6"/>
      <c r="NDO83" s="6"/>
      <c r="NDP83" s="6"/>
      <c r="NDQ83" s="6"/>
      <c r="NDR83" s="6"/>
      <c r="NDS83" s="6"/>
      <c r="NDT83" s="6"/>
      <c r="NDU83" s="6"/>
      <c r="NDV83" s="6"/>
      <c r="NDW83" s="6"/>
      <c r="NDX83" s="6"/>
      <c r="NDY83" s="6"/>
      <c r="NDZ83" s="6"/>
      <c r="NEA83" s="6"/>
      <c r="NEB83" s="6"/>
      <c r="NEC83" s="6"/>
      <c r="NED83" s="6"/>
      <c r="NEE83" s="6"/>
      <c r="NEF83" s="6"/>
      <c r="NEG83" s="6"/>
      <c r="NEH83" s="6"/>
      <c r="NEI83" s="6"/>
      <c r="NEJ83" s="6"/>
      <c r="NEK83" s="6"/>
      <c r="NEL83" s="6"/>
      <c r="NEM83" s="6"/>
      <c r="NEN83" s="6"/>
      <c r="NEO83" s="6"/>
      <c r="NEP83" s="6"/>
      <c r="NEQ83" s="6"/>
      <c r="NER83" s="6"/>
      <c r="NES83" s="6"/>
      <c r="NET83" s="6"/>
      <c r="NEU83" s="6"/>
      <c r="NEV83" s="6"/>
      <c r="NEW83" s="6"/>
      <c r="NEX83" s="6"/>
      <c r="NEY83" s="6"/>
      <c r="NEZ83" s="6"/>
      <c r="NFA83" s="6"/>
      <c r="NFB83" s="6"/>
      <c r="NFC83" s="6"/>
      <c r="NFD83" s="6"/>
      <c r="NFE83" s="6"/>
      <c r="NFF83" s="6"/>
      <c r="NFG83" s="6"/>
      <c r="NFH83" s="6"/>
      <c r="NFI83" s="6"/>
      <c r="NFJ83" s="6"/>
      <c r="NFK83" s="6"/>
      <c r="NFL83" s="6"/>
      <c r="NFM83" s="6"/>
      <c r="NFN83" s="6"/>
      <c r="NFO83" s="6"/>
      <c r="NFP83" s="6"/>
      <c r="NFQ83" s="6"/>
      <c r="NFR83" s="6"/>
      <c r="NFS83" s="6"/>
      <c r="NFT83" s="6"/>
      <c r="NFU83" s="6"/>
      <c r="NFV83" s="6"/>
      <c r="NFW83" s="6"/>
      <c r="NFX83" s="6"/>
      <c r="NFY83" s="6"/>
      <c r="NFZ83" s="6"/>
      <c r="NGA83" s="6"/>
      <c r="NGB83" s="6"/>
      <c r="NGC83" s="6"/>
      <c r="NGD83" s="6"/>
      <c r="NGE83" s="6"/>
      <c r="NGF83" s="6"/>
      <c r="NGG83" s="6"/>
      <c r="NGH83" s="6"/>
      <c r="NGI83" s="6"/>
      <c r="NGJ83" s="6"/>
      <c r="NGK83" s="6"/>
      <c r="NGL83" s="6"/>
      <c r="NGM83" s="6"/>
      <c r="NGN83" s="6"/>
      <c r="NGO83" s="6"/>
      <c r="NGP83" s="6"/>
      <c r="NGQ83" s="6"/>
      <c r="NGR83" s="6"/>
      <c r="NGS83" s="6"/>
      <c r="NGT83" s="6"/>
      <c r="NGU83" s="6"/>
      <c r="NGV83" s="6"/>
      <c r="NGW83" s="6"/>
      <c r="NGX83" s="6"/>
      <c r="NGY83" s="6"/>
      <c r="NGZ83" s="6"/>
      <c r="NHA83" s="6"/>
      <c r="NHB83" s="6"/>
      <c r="NHC83" s="6"/>
      <c r="NHD83" s="6"/>
      <c r="NHE83" s="6"/>
      <c r="NHF83" s="6"/>
      <c r="NHG83" s="6"/>
      <c r="NHH83" s="6"/>
      <c r="NHI83" s="6"/>
      <c r="NHJ83" s="6"/>
      <c r="NHK83" s="6"/>
      <c r="NHL83" s="6"/>
      <c r="NHM83" s="6"/>
      <c r="NHN83" s="6"/>
      <c r="NHO83" s="6"/>
      <c r="NHP83" s="6"/>
      <c r="NHQ83" s="6"/>
      <c r="NHR83" s="6"/>
      <c r="NHS83" s="6"/>
      <c r="NHT83" s="6"/>
      <c r="NHU83" s="6"/>
      <c r="NHV83" s="6"/>
      <c r="NHW83" s="6"/>
      <c r="NHX83" s="6"/>
      <c r="NHY83" s="6"/>
      <c r="NHZ83" s="6"/>
      <c r="NIA83" s="6"/>
      <c r="NIB83" s="6"/>
      <c r="NIC83" s="6"/>
      <c r="NID83" s="6"/>
      <c r="NIE83" s="6"/>
      <c r="NIF83" s="6"/>
      <c r="NIG83" s="6"/>
      <c r="NIH83" s="6"/>
      <c r="NII83" s="6"/>
      <c r="NIJ83" s="6"/>
      <c r="NIK83" s="6"/>
      <c r="NIL83" s="6"/>
      <c r="NIM83" s="6"/>
      <c r="NIN83" s="6"/>
      <c r="NIO83" s="6"/>
      <c r="NIP83" s="6"/>
      <c r="NIQ83" s="6"/>
      <c r="NIR83" s="6"/>
      <c r="NIS83" s="6"/>
      <c r="NIT83" s="6"/>
      <c r="NIU83" s="6"/>
      <c r="NIV83" s="6"/>
      <c r="NIW83" s="6"/>
      <c r="NIX83" s="6"/>
      <c r="NIY83" s="6"/>
      <c r="NIZ83" s="6"/>
      <c r="NJA83" s="6"/>
      <c r="NJB83" s="6"/>
      <c r="NJC83" s="6"/>
      <c r="NJD83" s="6"/>
      <c r="NJE83" s="6"/>
      <c r="NJF83" s="6"/>
      <c r="NJG83" s="6"/>
      <c r="NJH83" s="6"/>
      <c r="NJI83" s="6"/>
      <c r="NJJ83" s="6"/>
      <c r="NJK83" s="6"/>
      <c r="NJL83" s="6"/>
      <c r="NJM83" s="6"/>
      <c r="NJN83" s="6"/>
      <c r="NJO83" s="6"/>
      <c r="NJP83" s="6"/>
      <c r="NJQ83" s="6"/>
      <c r="NJR83" s="6"/>
      <c r="NJS83" s="6"/>
      <c r="NJT83" s="6"/>
      <c r="NJU83" s="6"/>
      <c r="NJV83" s="6"/>
      <c r="NJW83" s="6"/>
      <c r="NJX83" s="6"/>
      <c r="NJY83" s="6"/>
      <c r="NJZ83" s="6"/>
      <c r="NKA83" s="6"/>
      <c r="NKB83" s="6"/>
      <c r="NKC83" s="6"/>
      <c r="NKD83" s="6"/>
      <c r="NKE83" s="6"/>
      <c r="NKF83" s="6"/>
      <c r="NKG83" s="6"/>
      <c r="NKH83" s="6"/>
      <c r="NKI83" s="6"/>
      <c r="NKJ83" s="6"/>
      <c r="NKK83" s="6"/>
      <c r="NKL83" s="6"/>
      <c r="NKM83" s="6"/>
      <c r="NKN83" s="6"/>
      <c r="NKO83" s="6"/>
      <c r="NKP83" s="6"/>
      <c r="NKQ83" s="6"/>
      <c r="NKR83" s="6"/>
      <c r="NKS83" s="6"/>
      <c r="NKT83" s="6"/>
      <c r="NKU83" s="6"/>
      <c r="NKV83" s="6"/>
      <c r="NKW83" s="6"/>
      <c r="NKX83" s="6"/>
      <c r="NKY83" s="6"/>
      <c r="NKZ83" s="6"/>
      <c r="NLA83" s="6"/>
      <c r="NLB83" s="6"/>
      <c r="NLC83" s="6"/>
      <c r="NLD83" s="6"/>
      <c r="NLE83" s="6"/>
      <c r="NLF83" s="6"/>
      <c r="NLG83" s="6"/>
      <c r="NLH83" s="6"/>
      <c r="NLI83" s="6"/>
      <c r="NLJ83" s="6"/>
      <c r="NLK83" s="6"/>
      <c r="NLL83" s="6"/>
      <c r="NLM83" s="6"/>
      <c r="NLN83" s="6"/>
      <c r="NLO83" s="6"/>
      <c r="NLP83" s="6"/>
      <c r="NLQ83" s="6"/>
      <c r="NLR83" s="6"/>
      <c r="NLS83" s="6"/>
      <c r="NLT83" s="6"/>
      <c r="NLU83" s="6"/>
      <c r="NLV83" s="6"/>
      <c r="NLW83" s="6"/>
      <c r="NLX83" s="6"/>
      <c r="NLY83" s="6"/>
      <c r="NLZ83" s="6"/>
      <c r="NMA83" s="6"/>
      <c r="NMB83" s="6"/>
      <c r="NMC83" s="6"/>
      <c r="NMD83" s="6"/>
      <c r="NME83" s="6"/>
      <c r="NMF83" s="6"/>
      <c r="NMG83" s="6"/>
      <c r="NMH83" s="6"/>
      <c r="NMI83" s="6"/>
      <c r="NMJ83" s="6"/>
      <c r="NMK83" s="6"/>
      <c r="NML83" s="6"/>
      <c r="NMM83" s="6"/>
      <c r="NMN83" s="6"/>
      <c r="NMO83" s="6"/>
      <c r="NMP83" s="6"/>
      <c r="NMQ83" s="6"/>
      <c r="NMR83" s="6"/>
      <c r="NMS83" s="6"/>
      <c r="NMT83" s="6"/>
      <c r="NMU83" s="6"/>
      <c r="NMV83" s="6"/>
      <c r="NMW83" s="6"/>
      <c r="NMX83" s="6"/>
      <c r="NMY83" s="6"/>
      <c r="NMZ83" s="6"/>
      <c r="NNA83" s="6"/>
      <c r="NNB83" s="6"/>
      <c r="NNC83" s="6"/>
      <c r="NND83" s="6"/>
      <c r="NNE83" s="6"/>
      <c r="NNF83" s="6"/>
      <c r="NNG83" s="6"/>
      <c r="NNH83" s="6"/>
      <c r="NNI83" s="6"/>
      <c r="NNJ83" s="6"/>
      <c r="NNK83" s="6"/>
      <c r="NNL83" s="6"/>
      <c r="NNM83" s="6"/>
      <c r="NNN83" s="6"/>
      <c r="NNO83" s="6"/>
      <c r="NNP83" s="6"/>
      <c r="NNQ83" s="6"/>
      <c r="NNR83" s="6"/>
      <c r="NNS83" s="6"/>
      <c r="NNT83" s="6"/>
      <c r="NNU83" s="6"/>
      <c r="NNV83" s="6"/>
      <c r="NNW83" s="6"/>
      <c r="NNX83" s="6"/>
      <c r="NNY83" s="6"/>
      <c r="NNZ83" s="6"/>
      <c r="NOA83" s="6"/>
      <c r="NOB83" s="6"/>
      <c r="NOC83" s="6"/>
      <c r="NOD83" s="6"/>
      <c r="NOE83" s="6"/>
      <c r="NOF83" s="6"/>
      <c r="NOG83" s="6"/>
      <c r="NOH83" s="6"/>
      <c r="NOI83" s="6"/>
      <c r="NOJ83" s="6"/>
      <c r="NOK83" s="6"/>
      <c r="NOL83" s="6"/>
      <c r="NOM83" s="6"/>
      <c r="NON83" s="6"/>
      <c r="NOO83" s="6"/>
      <c r="NOP83" s="6"/>
      <c r="NOQ83" s="6"/>
      <c r="NOR83" s="6"/>
      <c r="NOS83" s="6"/>
      <c r="NOT83" s="6"/>
      <c r="NOU83" s="6"/>
      <c r="NOV83" s="6"/>
      <c r="NOW83" s="6"/>
      <c r="NOX83" s="6"/>
      <c r="NOY83" s="6"/>
      <c r="NOZ83" s="6"/>
      <c r="NPA83" s="6"/>
      <c r="NPB83" s="6"/>
      <c r="NPC83" s="6"/>
      <c r="NPD83" s="6"/>
      <c r="NPE83" s="6"/>
      <c r="NPF83" s="6"/>
      <c r="NPG83" s="6"/>
      <c r="NPH83" s="6"/>
      <c r="NPI83" s="6"/>
      <c r="NPJ83" s="6"/>
      <c r="NPK83" s="6"/>
      <c r="NPL83" s="6"/>
      <c r="NPM83" s="6"/>
      <c r="NPN83" s="6"/>
      <c r="NPO83" s="6"/>
      <c r="NPP83" s="6"/>
      <c r="NPQ83" s="6"/>
      <c r="NPR83" s="6"/>
      <c r="NPS83" s="6"/>
      <c r="NPT83" s="6"/>
      <c r="NPU83" s="6"/>
      <c r="NPV83" s="6"/>
      <c r="NPW83" s="6"/>
      <c r="NPX83" s="6"/>
      <c r="NPY83" s="6"/>
      <c r="NPZ83" s="6"/>
      <c r="NQA83" s="6"/>
      <c r="NQB83" s="6"/>
      <c r="NQC83" s="6"/>
      <c r="NQD83" s="6"/>
      <c r="NQE83" s="6"/>
      <c r="NQF83" s="6"/>
      <c r="NQG83" s="6"/>
      <c r="NQH83" s="6"/>
      <c r="NQI83" s="6"/>
      <c r="NQJ83" s="6"/>
      <c r="NQK83" s="6"/>
      <c r="NQL83" s="6"/>
      <c r="NQM83" s="6"/>
      <c r="NQN83" s="6"/>
      <c r="NQO83" s="6"/>
      <c r="NQP83" s="6"/>
      <c r="NQQ83" s="6"/>
      <c r="NQR83" s="6"/>
      <c r="NQS83" s="6"/>
      <c r="NQT83" s="6"/>
      <c r="NQU83" s="6"/>
      <c r="NQV83" s="6"/>
      <c r="NQW83" s="6"/>
      <c r="NQX83" s="6"/>
      <c r="NQY83" s="6"/>
      <c r="NQZ83" s="6"/>
      <c r="NRA83" s="6"/>
      <c r="NRB83" s="6"/>
      <c r="NRC83" s="6"/>
      <c r="NRD83" s="6"/>
      <c r="NRE83" s="6"/>
      <c r="NRF83" s="6"/>
      <c r="NRG83" s="6"/>
      <c r="NRH83" s="6"/>
      <c r="NRI83" s="6"/>
      <c r="NRJ83" s="6"/>
      <c r="NRK83" s="6"/>
      <c r="NRL83" s="6"/>
      <c r="NRM83" s="6"/>
      <c r="NRN83" s="6"/>
      <c r="NRO83" s="6"/>
      <c r="NRP83" s="6"/>
      <c r="NRQ83" s="6"/>
      <c r="NRR83" s="6"/>
      <c r="NRS83" s="6"/>
      <c r="NRT83" s="6"/>
      <c r="NRU83" s="6"/>
      <c r="NRV83" s="6"/>
      <c r="NRW83" s="6"/>
      <c r="NRX83" s="6"/>
      <c r="NRY83" s="6"/>
      <c r="NRZ83" s="6"/>
      <c r="NSA83" s="6"/>
      <c r="NSB83" s="6"/>
      <c r="NSC83" s="6"/>
      <c r="NSD83" s="6"/>
      <c r="NSE83" s="6"/>
      <c r="NSF83" s="6"/>
      <c r="NSG83" s="6"/>
      <c r="NSH83" s="6"/>
      <c r="NSI83" s="6"/>
      <c r="NSJ83" s="6"/>
      <c r="NSK83" s="6"/>
      <c r="NSL83" s="6"/>
      <c r="NSM83" s="6"/>
      <c r="NSN83" s="6"/>
      <c r="NSO83" s="6"/>
      <c r="NSP83" s="6"/>
      <c r="NSQ83" s="6"/>
      <c r="NSR83" s="6"/>
      <c r="NSS83" s="6"/>
      <c r="NST83" s="6"/>
      <c r="NSU83" s="6"/>
      <c r="NSV83" s="6"/>
      <c r="NSW83" s="6"/>
      <c r="NSX83" s="6"/>
      <c r="NSY83" s="6"/>
      <c r="NSZ83" s="6"/>
      <c r="NTA83" s="6"/>
      <c r="NTB83" s="6"/>
      <c r="NTC83" s="6"/>
      <c r="NTD83" s="6"/>
      <c r="NTE83" s="6"/>
      <c r="NTF83" s="6"/>
      <c r="NTG83" s="6"/>
      <c r="NTH83" s="6"/>
      <c r="NTI83" s="6"/>
      <c r="NTJ83" s="6"/>
      <c r="NTK83" s="6"/>
      <c r="NTL83" s="6"/>
      <c r="NTM83" s="6"/>
      <c r="NTN83" s="6"/>
      <c r="NTO83" s="6"/>
      <c r="NTP83" s="6"/>
      <c r="NTQ83" s="6"/>
      <c r="NTR83" s="6"/>
      <c r="NTS83" s="6"/>
      <c r="NTT83" s="6"/>
      <c r="NTU83" s="6"/>
      <c r="NTV83" s="6"/>
      <c r="NTW83" s="6"/>
      <c r="NTX83" s="6"/>
      <c r="NTY83" s="6"/>
      <c r="NTZ83" s="6"/>
      <c r="NUA83" s="6"/>
      <c r="NUB83" s="6"/>
      <c r="NUC83" s="6"/>
      <c r="NUD83" s="6"/>
      <c r="NUE83" s="6"/>
      <c r="NUF83" s="6"/>
      <c r="NUG83" s="6"/>
      <c r="NUH83" s="6"/>
      <c r="NUI83" s="6"/>
      <c r="NUJ83" s="6"/>
      <c r="NUK83" s="6"/>
      <c r="NUL83" s="6"/>
      <c r="NUM83" s="6"/>
      <c r="NUN83" s="6"/>
      <c r="NUO83" s="6"/>
      <c r="NUP83" s="6"/>
      <c r="NUQ83" s="6"/>
      <c r="NUR83" s="6"/>
      <c r="NUS83" s="6"/>
      <c r="NUT83" s="6"/>
      <c r="NUU83" s="6"/>
      <c r="NUV83" s="6"/>
      <c r="NUW83" s="6"/>
      <c r="NUX83" s="6"/>
      <c r="NUY83" s="6"/>
      <c r="NUZ83" s="6"/>
      <c r="NVA83" s="6"/>
      <c r="NVB83" s="6"/>
      <c r="NVC83" s="6"/>
      <c r="NVD83" s="6"/>
      <c r="NVE83" s="6"/>
      <c r="NVF83" s="6"/>
      <c r="NVG83" s="6"/>
      <c r="NVH83" s="6"/>
      <c r="NVI83" s="6"/>
      <c r="NVJ83" s="6"/>
      <c r="NVK83" s="6"/>
      <c r="NVL83" s="6"/>
      <c r="NVM83" s="6"/>
      <c r="NVN83" s="6"/>
      <c r="NVO83" s="6"/>
      <c r="NVP83" s="6"/>
      <c r="NVQ83" s="6"/>
      <c r="NVR83" s="6"/>
      <c r="NVS83" s="6"/>
      <c r="NVT83" s="6"/>
      <c r="NVU83" s="6"/>
      <c r="NVV83" s="6"/>
      <c r="NVW83" s="6"/>
      <c r="NVX83" s="6"/>
      <c r="NVY83" s="6"/>
      <c r="NVZ83" s="6"/>
      <c r="NWA83" s="6"/>
      <c r="NWB83" s="6"/>
      <c r="NWC83" s="6"/>
      <c r="NWD83" s="6"/>
      <c r="NWE83" s="6"/>
      <c r="NWF83" s="6"/>
      <c r="NWG83" s="6"/>
      <c r="NWH83" s="6"/>
      <c r="NWI83" s="6"/>
      <c r="NWJ83" s="6"/>
      <c r="NWK83" s="6"/>
      <c r="NWL83" s="6"/>
      <c r="NWM83" s="6"/>
      <c r="NWN83" s="6"/>
      <c r="NWO83" s="6"/>
      <c r="NWP83" s="6"/>
      <c r="NWQ83" s="6"/>
      <c r="NWR83" s="6"/>
      <c r="NWS83" s="6"/>
      <c r="NWT83" s="6"/>
      <c r="NWU83" s="6"/>
      <c r="NWV83" s="6"/>
      <c r="NWW83" s="6"/>
      <c r="NWX83" s="6"/>
      <c r="NWY83" s="6"/>
      <c r="NWZ83" s="6"/>
      <c r="NXA83" s="6"/>
      <c r="NXB83" s="6"/>
      <c r="NXC83" s="6"/>
      <c r="NXD83" s="6"/>
      <c r="NXE83" s="6"/>
      <c r="NXF83" s="6"/>
      <c r="NXG83" s="6"/>
      <c r="NXH83" s="6"/>
      <c r="NXI83" s="6"/>
      <c r="NXJ83" s="6"/>
      <c r="NXK83" s="6"/>
      <c r="NXL83" s="6"/>
      <c r="NXM83" s="6"/>
      <c r="NXN83" s="6"/>
      <c r="NXO83" s="6"/>
      <c r="NXP83" s="6"/>
      <c r="NXQ83" s="6"/>
      <c r="NXR83" s="6"/>
      <c r="NXS83" s="6"/>
      <c r="NXT83" s="6"/>
      <c r="NXU83" s="6"/>
      <c r="NXV83" s="6"/>
      <c r="NXW83" s="6"/>
      <c r="NXX83" s="6"/>
      <c r="NXY83" s="6"/>
      <c r="NXZ83" s="6"/>
      <c r="NYA83" s="6"/>
      <c r="NYB83" s="6"/>
      <c r="NYC83" s="6"/>
      <c r="NYD83" s="6"/>
      <c r="NYE83" s="6"/>
      <c r="NYF83" s="6"/>
      <c r="NYG83" s="6"/>
      <c r="NYH83" s="6"/>
      <c r="NYI83" s="6"/>
      <c r="NYJ83" s="6"/>
      <c r="NYK83" s="6"/>
      <c r="NYL83" s="6"/>
      <c r="NYM83" s="6"/>
      <c r="NYN83" s="6"/>
      <c r="NYO83" s="6"/>
      <c r="NYP83" s="6"/>
      <c r="NYQ83" s="6"/>
      <c r="NYR83" s="6"/>
      <c r="NYS83" s="6"/>
      <c r="NYT83" s="6"/>
      <c r="NYU83" s="6"/>
      <c r="NYV83" s="6"/>
      <c r="NYW83" s="6"/>
      <c r="NYX83" s="6"/>
      <c r="NYY83" s="6"/>
      <c r="NYZ83" s="6"/>
      <c r="NZA83" s="6"/>
      <c r="NZB83" s="6"/>
      <c r="NZC83" s="6"/>
      <c r="NZD83" s="6"/>
      <c r="NZE83" s="6"/>
      <c r="NZF83" s="6"/>
      <c r="NZG83" s="6"/>
      <c r="NZH83" s="6"/>
      <c r="NZI83" s="6"/>
      <c r="NZJ83" s="6"/>
      <c r="NZK83" s="6"/>
      <c r="NZL83" s="6"/>
      <c r="NZM83" s="6"/>
      <c r="NZN83" s="6"/>
      <c r="NZO83" s="6"/>
      <c r="NZP83" s="6"/>
      <c r="NZQ83" s="6"/>
      <c r="NZR83" s="6"/>
      <c r="NZS83" s="6"/>
      <c r="NZT83" s="6"/>
      <c r="NZU83" s="6"/>
      <c r="NZV83" s="6"/>
      <c r="NZW83" s="6"/>
      <c r="NZX83" s="6"/>
      <c r="NZY83" s="6"/>
      <c r="NZZ83" s="6"/>
      <c r="OAA83" s="6"/>
      <c r="OAB83" s="6"/>
      <c r="OAC83" s="6"/>
      <c r="OAD83" s="6"/>
      <c r="OAE83" s="6"/>
      <c r="OAF83" s="6"/>
      <c r="OAG83" s="6"/>
      <c r="OAH83" s="6"/>
      <c r="OAI83" s="6"/>
      <c r="OAJ83" s="6"/>
      <c r="OAK83" s="6"/>
      <c r="OAL83" s="6"/>
      <c r="OAM83" s="6"/>
      <c r="OAN83" s="6"/>
      <c r="OAO83" s="6"/>
      <c r="OAP83" s="6"/>
      <c r="OAQ83" s="6"/>
      <c r="OAR83" s="6"/>
      <c r="OAS83" s="6"/>
      <c r="OAT83" s="6"/>
      <c r="OAU83" s="6"/>
      <c r="OAV83" s="6"/>
      <c r="OAW83" s="6"/>
      <c r="OAX83" s="6"/>
      <c r="OAY83" s="6"/>
      <c r="OAZ83" s="6"/>
      <c r="OBA83" s="6"/>
      <c r="OBB83" s="6"/>
      <c r="OBC83" s="6"/>
      <c r="OBD83" s="6"/>
      <c r="OBE83" s="6"/>
      <c r="OBF83" s="6"/>
      <c r="OBG83" s="6"/>
      <c r="OBH83" s="6"/>
      <c r="OBI83" s="6"/>
      <c r="OBJ83" s="6"/>
      <c r="OBK83" s="6"/>
      <c r="OBL83" s="6"/>
      <c r="OBM83" s="6"/>
      <c r="OBN83" s="6"/>
      <c r="OBO83" s="6"/>
      <c r="OBP83" s="6"/>
      <c r="OBQ83" s="6"/>
      <c r="OBR83" s="6"/>
      <c r="OBS83" s="6"/>
      <c r="OBT83" s="6"/>
      <c r="OBU83" s="6"/>
      <c r="OBV83" s="6"/>
      <c r="OBW83" s="6"/>
      <c r="OBX83" s="6"/>
      <c r="OBY83" s="6"/>
      <c r="OBZ83" s="6"/>
      <c r="OCA83" s="6"/>
      <c r="OCB83" s="6"/>
      <c r="OCC83" s="6"/>
      <c r="OCD83" s="6"/>
      <c r="OCE83" s="6"/>
      <c r="OCF83" s="6"/>
      <c r="OCG83" s="6"/>
      <c r="OCH83" s="6"/>
      <c r="OCI83" s="6"/>
      <c r="OCJ83" s="6"/>
      <c r="OCK83" s="6"/>
      <c r="OCL83" s="6"/>
      <c r="OCM83" s="6"/>
      <c r="OCN83" s="6"/>
      <c r="OCO83" s="6"/>
      <c r="OCP83" s="6"/>
      <c r="OCQ83" s="6"/>
      <c r="OCR83" s="6"/>
      <c r="OCS83" s="6"/>
      <c r="OCT83" s="6"/>
      <c r="OCU83" s="6"/>
      <c r="OCV83" s="6"/>
      <c r="OCW83" s="6"/>
      <c r="OCX83" s="6"/>
      <c r="OCY83" s="6"/>
      <c r="OCZ83" s="6"/>
      <c r="ODA83" s="6"/>
      <c r="ODB83" s="6"/>
      <c r="ODC83" s="6"/>
      <c r="ODD83" s="6"/>
      <c r="ODE83" s="6"/>
      <c r="ODF83" s="6"/>
      <c r="ODG83" s="6"/>
      <c r="ODH83" s="6"/>
      <c r="ODI83" s="6"/>
      <c r="ODJ83" s="6"/>
      <c r="ODK83" s="6"/>
      <c r="ODL83" s="6"/>
      <c r="ODM83" s="6"/>
      <c r="ODN83" s="6"/>
      <c r="ODO83" s="6"/>
      <c r="ODP83" s="6"/>
      <c r="ODQ83" s="6"/>
      <c r="ODR83" s="6"/>
      <c r="ODS83" s="6"/>
      <c r="ODT83" s="6"/>
      <c r="ODU83" s="6"/>
      <c r="ODV83" s="6"/>
      <c r="ODW83" s="6"/>
      <c r="ODX83" s="6"/>
      <c r="ODY83" s="6"/>
      <c r="ODZ83" s="6"/>
      <c r="OEA83" s="6"/>
      <c r="OEB83" s="6"/>
      <c r="OEC83" s="6"/>
      <c r="OED83" s="6"/>
      <c r="OEE83" s="6"/>
      <c r="OEF83" s="6"/>
      <c r="OEG83" s="6"/>
      <c r="OEH83" s="6"/>
      <c r="OEI83" s="6"/>
      <c r="OEJ83" s="6"/>
      <c r="OEK83" s="6"/>
      <c r="OEL83" s="6"/>
      <c r="OEM83" s="6"/>
      <c r="OEN83" s="6"/>
      <c r="OEO83" s="6"/>
      <c r="OEP83" s="6"/>
      <c r="OEQ83" s="6"/>
      <c r="OER83" s="6"/>
      <c r="OES83" s="6"/>
      <c r="OET83" s="6"/>
      <c r="OEU83" s="6"/>
      <c r="OEV83" s="6"/>
      <c r="OEW83" s="6"/>
      <c r="OEX83" s="6"/>
      <c r="OEY83" s="6"/>
      <c r="OEZ83" s="6"/>
      <c r="OFA83" s="6"/>
      <c r="OFB83" s="6"/>
      <c r="OFC83" s="6"/>
      <c r="OFD83" s="6"/>
      <c r="OFE83" s="6"/>
      <c r="OFF83" s="6"/>
      <c r="OFG83" s="6"/>
      <c r="OFH83" s="6"/>
      <c r="OFI83" s="6"/>
      <c r="OFJ83" s="6"/>
      <c r="OFK83" s="6"/>
      <c r="OFL83" s="6"/>
      <c r="OFM83" s="6"/>
      <c r="OFN83" s="6"/>
      <c r="OFO83" s="6"/>
      <c r="OFP83" s="6"/>
      <c r="OFQ83" s="6"/>
      <c r="OFR83" s="6"/>
      <c r="OFS83" s="6"/>
      <c r="OFT83" s="6"/>
      <c r="OFU83" s="6"/>
      <c r="OFV83" s="6"/>
      <c r="OFW83" s="6"/>
      <c r="OFX83" s="6"/>
      <c r="OFY83" s="6"/>
      <c r="OFZ83" s="6"/>
      <c r="OGA83" s="6"/>
      <c r="OGB83" s="6"/>
      <c r="OGC83" s="6"/>
      <c r="OGD83" s="6"/>
      <c r="OGE83" s="6"/>
      <c r="OGF83" s="6"/>
      <c r="OGG83" s="6"/>
      <c r="OGH83" s="6"/>
      <c r="OGI83" s="6"/>
      <c r="OGJ83" s="6"/>
      <c r="OGK83" s="6"/>
      <c r="OGL83" s="6"/>
      <c r="OGM83" s="6"/>
      <c r="OGN83" s="6"/>
      <c r="OGO83" s="6"/>
      <c r="OGP83" s="6"/>
      <c r="OGQ83" s="6"/>
      <c r="OGR83" s="6"/>
      <c r="OGS83" s="6"/>
      <c r="OGT83" s="6"/>
      <c r="OGU83" s="6"/>
      <c r="OGV83" s="6"/>
      <c r="OGW83" s="6"/>
      <c r="OGX83" s="6"/>
      <c r="OGY83" s="6"/>
      <c r="OGZ83" s="6"/>
      <c r="OHA83" s="6"/>
      <c r="OHB83" s="6"/>
      <c r="OHC83" s="6"/>
      <c r="OHD83" s="6"/>
      <c r="OHE83" s="6"/>
      <c r="OHF83" s="6"/>
      <c r="OHG83" s="6"/>
      <c r="OHH83" s="6"/>
      <c r="OHI83" s="6"/>
      <c r="OHJ83" s="6"/>
      <c r="OHK83" s="6"/>
      <c r="OHL83" s="6"/>
      <c r="OHM83" s="6"/>
      <c r="OHN83" s="6"/>
      <c r="OHO83" s="6"/>
      <c r="OHP83" s="6"/>
      <c r="OHQ83" s="6"/>
      <c r="OHR83" s="6"/>
      <c r="OHS83" s="6"/>
      <c r="OHT83" s="6"/>
      <c r="OHU83" s="6"/>
      <c r="OHV83" s="6"/>
      <c r="OHW83" s="6"/>
      <c r="OHX83" s="6"/>
      <c r="OHY83" s="6"/>
      <c r="OHZ83" s="6"/>
      <c r="OIA83" s="6"/>
      <c r="OIB83" s="6"/>
      <c r="OIC83" s="6"/>
      <c r="OID83" s="6"/>
      <c r="OIE83" s="6"/>
      <c r="OIF83" s="6"/>
      <c r="OIG83" s="6"/>
      <c r="OIH83" s="6"/>
      <c r="OII83" s="6"/>
      <c r="OIJ83" s="6"/>
      <c r="OIK83" s="6"/>
      <c r="OIL83" s="6"/>
      <c r="OIM83" s="6"/>
      <c r="OIN83" s="6"/>
      <c r="OIO83" s="6"/>
      <c r="OIP83" s="6"/>
      <c r="OIQ83" s="6"/>
      <c r="OIR83" s="6"/>
      <c r="OIS83" s="6"/>
      <c r="OIT83" s="6"/>
      <c r="OIU83" s="6"/>
      <c r="OIV83" s="6"/>
      <c r="OIW83" s="6"/>
      <c r="OIX83" s="6"/>
      <c r="OIY83" s="6"/>
      <c r="OIZ83" s="6"/>
      <c r="OJA83" s="6"/>
      <c r="OJB83" s="6"/>
      <c r="OJC83" s="6"/>
      <c r="OJD83" s="6"/>
      <c r="OJE83" s="6"/>
      <c r="OJF83" s="6"/>
      <c r="OJG83" s="6"/>
      <c r="OJH83" s="6"/>
      <c r="OJI83" s="6"/>
      <c r="OJJ83" s="6"/>
      <c r="OJK83" s="6"/>
      <c r="OJL83" s="6"/>
      <c r="OJM83" s="6"/>
      <c r="OJN83" s="6"/>
      <c r="OJO83" s="6"/>
      <c r="OJP83" s="6"/>
      <c r="OJQ83" s="6"/>
      <c r="OJR83" s="6"/>
      <c r="OJS83" s="6"/>
      <c r="OJT83" s="6"/>
      <c r="OJU83" s="6"/>
      <c r="OJV83" s="6"/>
      <c r="OJW83" s="6"/>
      <c r="OJX83" s="6"/>
      <c r="OJY83" s="6"/>
      <c r="OJZ83" s="6"/>
      <c r="OKA83" s="6"/>
      <c r="OKB83" s="6"/>
      <c r="OKC83" s="6"/>
      <c r="OKD83" s="6"/>
      <c r="OKE83" s="6"/>
      <c r="OKF83" s="6"/>
      <c r="OKG83" s="6"/>
      <c r="OKH83" s="6"/>
      <c r="OKI83" s="6"/>
      <c r="OKJ83" s="6"/>
      <c r="OKK83" s="6"/>
      <c r="OKL83" s="6"/>
      <c r="OKM83" s="6"/>
      <c r="OKN83" s="6"/>
      <c r="OKO83" s="6"/>
      <c r="OKP83" s="6"/>
      <c r="OKQ83" s="6"/>
      <c r="OKR83" s="6"/>
      <c r="OKS83" s="6"/>
      <c r="OKT83" s="6"/>
      <c r="OKU83" s="6"/>
      <c r="OKV83" s="6"/>
      <c r="OKW83" s="6"/>
      <c r="OKX83" s="6"/>
      <c r="OKY83" s="6"/>
      <c r="OKZ83" s="6"/>
      <c r="OLA83" s="6"/>
      <c r="OLB83" s="6"/>
      <c r="OLC83" s="6"/>
      <c r="OLD83" s="6"/>
      <c r="OLE83" s="6"/>
      <c r="OLF83" s="6"/>
      <c r="OLG83" s="6"/>
      <c r="OLH83" s="6"/>
      <c r="OLI83" s="6"/>
      <c r="OLJ83" s="6"/>
      <c r="OLK83" s="6"/>
      <c r="OLL83" s="6"/>
      <c r="OLM83" s="6"/>
      <c r="OLN83" s="6"/>
      <c r="OLO83" s="6"/>
      <c r="OLP83" s="6"/>
      <c r="OLQ83" s="6"/>
      <c r="OLR83" s="6"/>
      <c r="OLS83" s="6"/>
      <c r="OLT83" s="6"/>
      <c r="OLU83" s="6"/>
      <c r="OLV83" s="6"/>
      <c r="OLW83" s="6"/>
      <c r="OLX83" s="6"/>
      <c r="OLY83" s="6"/>
      <c r="OLZ83" s="6"/>
      <c r="OMA83" s="6"/>
      <c r="OMB83" s="6"/>
      <c r="OMC83" s="6"/>
      <c r="OMD83" s="6"/>
      <c r="OME83" s="6"/>
      <c r="OMF83" s="6"/>
      <c r="OMG83" s="6"/>
      <c r="OMH83" s="6"/>
      <c r="OMI83" s="6"/>
      <c r="OMJ83" s="6"/>
      <c r="OMK83" s="6"/>
      <c r="OML83" s="6"/>
      <c r="OMM83" s="6"/>
      <c r="OMN83" s="6"/>
      <c r="OMO83" s="6"/>
      <c r="OMP83" s="6"/>
      <c r="OMQ83" s="6"/>
      <c r="OMR83" s="6"/>
      <c r="OMS83" s="6"/>
      <c r="OMT83" s="6"/>
      <c r="OMU83" s="6"/>
      <c r="OMV83" s="6"/>
      <c r="OMW83" s="6"/>
      <c r="OMX83" s="6"/>
      <c r="OMY83" s="6"/>
      <c r="OMZ83" s="6"/>
      <c r="ONA83" s="6"/>
      <c r="ONB83" s="6"/>
      <c r="ONC83" s="6"/>
      <c r="OND83" s="6"/>
      <c r="ONE83" s="6"/>
      <c r="ONF83" s="6"/>
      <c r="ONG83" s="6"/>
      <c r="ONH83" s="6"/>
      <c r="ONI83" s="6"/>
      <c r="ONJ83" s="6"/>
      <c r="ONK83" s="6"/>
      <c r="ONL83" s="6"/>
      <c r="ONM83" s="6"/>
      <c r="ONN83" s="6"/>
      <c r="ONO83" s="6"/>
      <c r="ONP83" s="6"/>
      <c r="ONQ83" s="6"/>
      <c r="ONR83" s="6"/>
      <c r="ONS83" s="6"/>
      <c r="ONT83" s="6"/>
      <c r="ONU83" s="6"/>
      <c r="ONV83" s="6"/>
      <c r="ONW83" s="6"/>
      <c r="ONX83" s="6"/>
      <c r="ONY83" s="6"/>
      <c r="ONZ83" s="6"/>
      <c r="OOA83" s="6"/>
      <c r="OOB83" s="6"/>
      <c r="OOC83" s="6"/>
      <c r="OOD83" s="6"/>
      <c r="OOE83" s="6"/>
      <c r="OOF83" s="6"/>
      <c r="OOG83" s="6"/>
      <c r="OOH83" s="6"/>
      <c r="OOI83" s="6"/>
      <c r="OOJ83" s="6"/>
      <c r="OOK83" s="6"/>
      <c r="OOL83" s="6"/>
      <c r="OOM83" s="6"/>
      <c r="OON83" s="6"/>
      <c r="OOO83" s="6"/>
      <c r="OOP83" s="6"/>
      <c r="OOQ83" s="6"/>
      <c r="OOR83" s="6"/>
      <c r="OOS83" s="6"/>
      <c r="OOT83" s="6"/>
      <c r="OOU83" s="6"/>
      <c r="OOV83" s="6"/>
      <c r="OOW83" s="6"/>
      <c r="OOX83" s="6"/>
      <c r="OOY83" s="6"/>
      <c r="OOZ83" s="6"/>
      <c r="OPA83" s="6"/>
      <c r="OPB83" s="6"/>
      <c r="OPC83" s="6"/>
      <c r="OPD83" s="6"/>
      <c r="OPE83" s="6"/>
      <c r="OPF83" s="6"/>
      <c r="OPG83" s="6"/>
      <c r="OPH83" s="6"/>
      <c r="OPI83" s="6"/>
      <c r="OPJ83" s="6"/>
      <c r="OPK83" s="6"/>
      <c r="OPL83" s="6"/>
      <c r="OPM83" s="6"/>
      <c r="OPN83" s="6"/>
      <c r="OPO83" s="6"/>
      <c r="OPP83" s="6"/>
      <c r="OPQ83" s="6"/>
      <c r="OPR83" s="6"/>
      <c r="OPS83" s="6"/>
      <c r="OPT83" s="6"/>
      <c r="OPU83" s="6"/>
      <c r="OPV83" s="6"/>
      <c r="OPW83" s="6"/>
      <c r="OPX83" s="6"/>
      <c r="OPY83" s="6"/>
      <c r="OPZ83" s="6"/>
      <c r="OQA83" s="6"/>
      <c r="OQB83" s="6"/>
      <c r="OQC83" s="6"/>
      <c r="OQD83" s="6"/>
      <c r="OQE83" s="6"/>
      <c r="OQF83" s="6"/>
      <c r="OQG83" s="6"/>
      <c r="OQH83" s="6"/>
      <c r="OQI83" s="6"/>
      <c r="OQJ83" s="6"/>
      <c r="OQK83" s="6"/>
      <c r="OQL83" s="6"/>
      <c r="OQM83" s="6"/>
      <c r="OQN83" s="6"/>
      <c r="OQO83" s="6"/>
      <c r="OQP83" s="6"/>
      <c r="OQQ83" s="6"/>
      <c r="OQR83" s="6"/>
      <c r="OQS83" s="6"/>
      <c r="OQT83" s="6"/>
      <c r="OQU83" s="6"/>
      <c r="OQV83" s="6"/>
      <c r="OQW83" s="6"/>
      <c r="OQX83" s="6"/>
      <c r="OQY83" s="6"/>
      <c r="OQZ83" s="6"/>
      <c r="ORA83" s="6"/>
      <c r="ORB83" s="6"/>
      <c r="ORC83" s="6"/>
      <c r="ORD83" s="6"/>
      <c r="ORE83" s="6"/>
      <c r="ORF83" s="6"/>
      <c r="ORG83" s="6"/>
      <c r="ORH83" s="6"/>
      <c r="ORI83" s="6"/>
      <c r="ORJ83" s="6"/>
      <c r="ORK83" s="6"/>
      <c r="ORL83" s="6"/>
      <c r="ORM83" s="6"/>
      <c r="ORN83" s="6"/>
      <c r="ORO83" s="6"/>
      <c r="ORP83" s="6"/>
      <c r="ORQ83" s="6"/>
      <c r="ORR83" s="6"/>
      <c r="ORS83" s="6"/>
      <c r="ORT83" s="6"/>
      <c r="ORU83" s="6"/>
      <c r="ORV83" s="6"/>
      <c r="ORW83" s="6"/>
      <c r="ORX83" s="6"/>
      <c r="ORY83" s="6"/>
      <c r="ORZ83" s="6"/>
      <c r="OSA83" s="6"/>
      <c r="OSB83" s="6"/>
      <c r="OSC83" s="6"/>
      <c r="OSD83" s="6"/>
      <c r="OSE83" s="6"/>
      <c r="OSF83" s="6"/>
      <c r="OSG83" s="6"/>
      <c r="OSH83" s="6"/>
      <c r="OSI83" s="6"/>
      <c r="OSJ83" s="6"/>
      <c r="OSK83" s="6"/>
      <c r="OSL83" s="6"/>
      <c r="OSM83" s="6"/>
      <c r="OSN83" s="6"/>
      <c r="OSO83" s="6"/>
      <c r="OSP83" s="6"/>
      <c r="OSQ83" s="6"/>
      <c r="OSR83" s="6"/>
      <c r="OSS83" s="6"/>
      <c r="OST83" s="6"/>
      <c r="OSU83" s="6"/>
      <c r="OSV83" s="6"/>
      <c r="OSW83" s="6"/>
      <c r="OSX83" s="6"/>
      <c r="OSY83" s="6"/>
      <c r="OSZ83" s="6"/>
      <c r="OTA83" s="6"/>
      <c r="OTB83" s="6"/>
      <c r="OTC83" s="6"/>
      <c r="OTD83" s="6"/>
      <c r="OTE83" s="6"/>
      <c r="OTF83" s="6"/>
      <c r="OTG83" s="6"/>
      <c r="OTH83" s="6"/>
      <c r="OTI83" s="6"/>
      <c r="OTJ83" s="6"/>
      <c r="OTK83" s="6"/>
      <c r="OTL83" s="6"/>
      <c r="OTM83" s="6"/>
      <c r="OTN83" s="6"/>
      <c r="OTO83" s="6"/>
      <c r="OTP83" s="6"/>
      <c r="OTQ83" s="6"/>
      <c r="OTR83" s="6"/>
      <c r="OTS83" s="6"/>
      <c r="OTT83" s="6"/>
      <c r="OTU83" s="6"/>
      <c r="OTV83" s="6"/>
      <c r="OTW83" s="6"/>
      <c r="OTX83" s="6"/>
      <c r="OTY83" s="6"/>
      <c r="OTZ83" s="6"/>
      <c r="OUA83" s="6"/>
      <c r="OUB83" s="6"/>
      <c r="OUC83" s="6"/>
      <c r="OUD83" s="6"/>
      <c r="OUE83" s="6"/>
      <c r="OUF83" s="6"/>
      <c r="OUG83" s="6"/>
      <c r="OUH83" s="6"/>
      <c r="OUI83" s="6"/>
      <c r="OUJ83" s="6"/>
      <c r="OUK83" s="6"/>
      <c r="OUL83" s="6"/>
      <c r="OUM83" s="6"/>
      <c r="OUN83" s="6"/>
      <c r="OUO83" s="6"/>
      <c r="OUP83" s="6"/>
      <c r="OUQ83" s="6"/>
      <c r="OUR83" s="6"/>
      <c r="OUS83" s="6"/>
      <c r="OUT83" s="6"/>
      <c r="OUU83" s="6"/>
      <c r="OUV83" s="6"/>
      <c r="OUW83" s="6"/>
      <c r="OUX83" s="6"/>
      <c r="OUY83" s="6"/>
      <c r="OUZ83" s="6"/>
      <c r="OVA83" s="6"/>
      <c r="OVB83" s="6"/>
      <c r="OVC83" s="6"/>
      <c r="OVD83" s="6"/>
      <c r="OVE83" s="6"/>
      <c r="OVF83" s="6"/>
      <c r="OVG83" s="6"/>
      <c r="OVH83" s="6"/>
      <c r="OVI83" s="6"/>
      <c r="OVJ83" s="6"/>
      <c r="OVK83" s="6"/>
      <c r="OVL83" s="6"/>
      <c r="OVM83" s="6"/>
      <c r="OVN83" s="6"/>
      <c r="OVO83" s="6"/>
      <c r="OVP83" s="6"/>
      <c r="OVQ83" s="6"/>
      <c r="OVR83" s="6"/>
      <c r="OVS83" s="6"/>
      <c r="OVT83" s="6"/>
      <c r="OVU83" s="6"/>
      <c r="OVV83" s="6"/>
      <c r="OVW83" s="6"/>
      <c r="OVX83" s="6"/>
      <c r="OVY83" s="6"/>
      <c r="OVZ83" s="6"/>
      <c r="OWA83" s="6"/>
      <c r="OWB83" s="6"/>
      <c r="OWC83" s="6"/>
      <c r="OWD83" s="6"/>
      <c r="OWE83" s="6"/>
      <c r="OWF83" s="6"/>
      <c r="OWG83" s="6"/>
      <c r="OWH83" s="6"/>
      <c r="OWI83" s="6"/>
      <c r="OWJ83" s="6"/>
      <c r="OWK83" s="6"/>
      <c r="OWL83" s="6"/>
      <c r="OWM83" s="6"/>
      <c r="OWN83" s="6"/>
      <c r="OWO83" s="6"/>
      <c r="OWP83" s="6"/>
      <c r="OWQ83" s="6"/>
      <c r="OWR83" s="6"/>
      <c r="OWS83" s="6"/>
      <c r="OWT83" s="6"/>
      <c r="OWU83" s="6"/>
      <c r="OWV83" s="6"/>
      <c r="OWW83" s="6"/>
      <c r="OWX83" s="6"/>
      <c r="OWY83" s="6"/>
      <c r="OWZ83" s="6"/>
      <c r="OXA83" s="6"/>
      <c r="OXB83" s="6"/>
      <c r="OXC83" s="6"/>
      <c r="OXD83" s="6"/>
      <c r="OXE83" s="6"/>
      <c r="OXF83" s="6"/>
      <c r="OXG83" s="6"/>
      <c r="OXH83" s="6"/>
      <c r="OXI83" s="6"/>
      <c r="OXJ83" s="6"/>
      <c r="OXK83" s="6"/>
      <c r="OXL83" s="6"/>
      <c r="OXM83" s="6"/>
      <c r="OXN83" s="6"/>
      <c r="OXO83" s="6"/>
      <c r="OXP83" s="6"/>
      <c r="OXQ83" s="6"/>
      <c r="OXR83" s="6"/>
      <c r="OXS83" s="6"/>
      <c r="OXT83" s="6"/>
      <c r="OXU83" s="6"/>
      <c r="OXV83" s="6"/>
      <c r="OXW83" s="6"/>
      <c r="OXX83" s="6"/>
      <c r="OXY83" s="6"/>
      <c r="OXZ83" s="6"/>
      <c r="OYA83" s="6"/>
      <c r="OYB83" s="6"/>
      <c r="OYC83" s="6"/>
      <c r="OYD83" s="6"/>
      <c r="OYE83" s="6"/>
      <c r="OYF83" s="6"/>
      <c r="OYG83" s="6"/>
      <c r="OYH83" s="6"/>
      <c r="OYI83" s="6"/>
      <c r="OYJ83" s="6"/>
      <c r="OYK83" s="6"/>
      <c r="OYL83" s="6"/>
      <c r="OYM83" s="6"/>
      <c r="OYN83" s="6"/>
      <c r="OYO83" s="6"/>
      <c r="OYP83" s="6"/>
      <c r="OYQ83" s="6"/>
      <c r="OYR83" s="6"/>
      <c r="OYS83" s="6"/>
      <c r="OYT83" s="6"/>
      <c r="OYU83" s="6"/>
      <c r="OYV83" s="6"/>
      <c r="OYW83" s="6"/>
      <c r="OYX83" s="6"/>
      <c r="OYY83" s="6"/>
      <c r="OYZ83" s="6"/>
      <c r="OZA83" s="6"/>
      <c r="OZB83" s="6"/>
      <c r="OZC83" s="6"/>
      <c r="OZD83" s="6"/>
      <c r="OZE83" s="6"/>
      <c r="OZF83" s="6"/>
      <c r="OZG83" s="6"/>
      <c r="OZH83" s="6"/>
      <c r="OZI83" s="6"/>
      <c r="OZJ83" s="6"/>
      <c r="OZK83" s="6"/>
      <c r="OZL83" s="6"/>
      <c r="OZM83" s="6"/>
      <c r="OZN83" s="6"/>
      <c r="OZO83" s="6"/>
      <c r="OZP83" s="6"/>
      <c r="OZQ83" s="6"/>
      <c r="OZR83" s="6"/>
      <c r="OZS83" s="6"/>
      <c r="OZT83" s="6"/>
      <c r="OZU83" s="6"/>
      <c r="OZV83" s="6"/>
      <c r="OZW83" s="6"/>
      <c r="OZX83" s="6"/>
      <c r="OZY83" s="6"/>
      <c r="OZZ83" s="6"/>
      <c r="PAA83" s="6"/>
      <c r="PAB83" s="6"/>
      <c r="PAC83" s="6"/>
      <c r="PAD83" s="6"/>
      <c r="PAE83" s="6"/>
      <c r="PAF83" s="6"/>
      <c r="PAG83" s="6"/>
      <c r="PAH83" s="6"/>
      <c r="PAI83" s="6"/>
      <c r="PAJ83" s="6"/>
      <c r="PAK83" s="6"/>
      <c r="PAL83" s="6"/>
      <c r="PAM83" s="6"/>
      <c r="PAN83" s="6"/>
      <c r="PAO83" s="6"/>
      <c r="PAP83" s="6"/>
      <c r="PAQ83" s="6"/>
      <c r="PAR83" s="6"/>
      <c r="PAS83" s="6"/>
      <c r="PAT83" s="6"/>
      <c r="PAU83" s="6"/>
      <c r="PAV83" s="6"/>
      <c r="PAW83" s="6"/>
      <c r="PAX83" s="6"/>
      <c r="PAY83" s="6"/>
      <c r="PAZ83" s="6"/>
      <c r="PBA83" s="6"/>
      <c r="PBB83" s="6"/>
      <c r="PBC83" s="6"/>
      <c r="PBD83" s="6"/>
      <c r="PBE83" s="6"/>
      <c r="PBF83" s="6"/>
      <c r="PBG83" s="6"/>
      <c r="PBH83" s="6"/>
      <c r="PBI83" s="6"/>
      <c r="PBJ83" s="6"/>
      <c r="PBK83" s="6"/>
      <c r="PBL83" s="6"/>
      <c r="PBM83" s="6"/>
      <c r="PBN83" s="6"/>
      <c r="PBO83" s="6"/>
      <c r="PBP83" s="6"/>
      <c r="PBQ83" s="6"/>
      <c r="PBR83" s="6"/>
      <c r="PBS83" s="6"/>
      <c r="PBT83" s="6"/>
      <c r="PBU83" s="6"/>
      <c r="PBV83" s="6"/>
      <c r="PBW83" s="6"/>
      <c r="PBX83" s="6"/>
      <c r="PBY83" s="6"/>
      <c r="PBZ83" s="6"/>
      <c r="PCA83" s="6"/>
      <c r="PCB83" s="6"/>
      <c r="PCC83" s="6"/>
      <c r="PCD83" s="6"/>
      <c r="PCE83" s="6"/>
      <c r="PCF83" s="6"/>
      <c r="PCG83" s="6"/>
      <c r="PCH83" s="6"/>
      <c r="PCI83" s="6"/>
      <c r="PCJ83" s="6"/>
      <c r="PCK83" s="6"/>
      <c r="PCL83" s="6"/>
      <c r="PCM83" s="6"/>
      <c r="PCN83" s="6"/>
      <c r="PCO83" s="6"/>
      <c r="PCP83" s="6"/>
      <c r="PCQ83" s="6"/>
      <c r="PCR83" s="6"/>
      <c r="PCS83" s="6"/>
      <c r="PCT83" s="6"/>
      <c r="PCU83" s="6"/>
      <c r="PCV83" s="6"/>
      <c r="PCW83" s="6"/>
      <c r="PCX83" s="6"/>
      <c r="PCY83" s="6"/>
      <c r="PCZ83" s="6"/>
      <c r="PDA83" s="6"/>
      <c r="PDB83" s="6"/>
      <c r="PDC83" s="6"/>
      <c r="PDD83" s="6"/>
      <c r="PDE83" s="6"/>
      <c r="PDF83" s="6"/>
      <c r="PDG83" s="6"/>
      <c r="PDH83" s="6"/>
      <c r="PDI83" s="6"/>
      <c r="PDJ83" s="6"/>
      <c r="PDK83" s="6"/>
      <c r="PDL83" s="6"/>
      <c r="PDM83" s="6"/>
      <c r="PDN83" s="6"/>
      <c r="PDO83" s="6"/>
      <c r="PDP83" s="6"/>
      <c r="PDQ83" s="6"/>
      <c r="PDR83" s="6"/>
      <c r="PDS83" s="6"/>
      <c r="PDT83" s="6"/>
      <c r="PDU83" s="6"/>
      <c r="PDV83" s="6"/>
      <c r="PDW83" s="6"/>
      <c r="PDX83" s="6"/>
      <c r="PDY83" s="6"/>
      <c r="PDZ83" s="6"/>
      <c r="PEA83" s="6"/>
      <c r="PEB83" s="6"/>
      <c r="PEC83" s="6"/>
      <c r="PED83" s="6"/>
      <c r="PEE83" s="6"/>
      <c r="PEF83" s="6"/>
      <c r="PEG83" s="6"/>
      <c r="PEH83" s="6"/>
      <c r="PEI83" s="6"/>
      <c r="PEJ83" s="6"/>
      <c r="PEK83" s="6"/>
      <c r="PEL83" s="6"/>
      <c r="PEM83" s="6"/>
      <c r="PEN83" s="6"/>
      <c r="PEO83" s="6"/>
      <c r="PEP83" s="6"/>
      <c r="PEQ83" s="6"/>
      <c r="PER83" s="6"/>
      <c r="PES83" s="6"/>
      <c r="PET83" s="6"/>
      <c r="PEU83" s="6"/>
      <c r="PEV83" s="6"/>
      <c r="PEW83" s="6"/>
      <c r="PEX83" s="6"/>
      <c r="PEY83" s="6"/>
      <c r="PEZ83" s="6"/>
      <c r="PFA83" s="6"/>
      <c r="PFB83" s="6"/>
      <c r="PFC83" s="6"/>
      <c r="PFD83" s="6"/>
      <c r="PFE83" s="6"/>
      <c r="PFF83" s="6"/>
      <c r="PFG83" s="6"/>
      <c r="PFH83" s="6"/>
      <c r="PFI83" s="6"/>
      <c r="PFJ83" s="6"/>
      <c r="PFK83" s="6"/>
      <c r="PFL83" s="6"/>
      <c r="PFM83" s="6"/>
      <c r="PFN83" s="6"/>
      <c r="PFO83" s="6"/>
      <c r="PFP83" s="6"/>
      <c r="PFQ83" s="6"/>
      <c r="PFR83" s="6"/>
      <c r="PFS83" s="6"/>
      <c r="PFT83" s="6"/>
      <c r="PFU83" s="6"/>
      <c r="PFV83" s="6"/>
      <c r="PFW83" s="6"/>
      <c r="PFX83" s="6"/>
      <c r="PFY83" s="6"/>
      <c r="PFZ83" s="6"/>
      <c r="PGA83" s="6"/>
      <c r="PGB83" s="6"/>
      <c r="PGC83" s="6"/>
      <c r="PGD83" s="6"/>
      <c r="PGE83" s="6"/>
      <c r="PGF83" s="6"/>
      <c r="PGG83" s="6"/>
      <c r="PGH83" s="6"/>
      <c r="PGI83" s="6"/>
      <c r="PGJ83" s="6"/>
      <c r="PGK83" s="6"/>
      <c r="PGL83" s="6"/>
      <c r="PGM83" s="6"/>
      <c r="PGN83" s="6"/>
      <c r="PGO83" s="6"/>
      <c r="PGP83" s="6"/>
      <c r="PGQ83" s="6"/>
      <c r="PGR83" s="6"/>
      <c r="PGS83" s="6"/>
      <c r="PGT83" s="6"/>
      <c r="PGU83" s="6"/>
      <c r="PGV83" s="6"/>
      <c r="PGW83" s="6"/>
      <c r="PGX83" s="6"/>
      <c r="PGY83" s="6"/>
      <c r="PGZ83" s="6"/>
      <c r="PHA83" s="6"/>
      <c r="PHB83" s="6"/>
      <c r="PHC83" s="6"/>
      <c r="PHD83" s="6"/>
      <c r="PHE83" s="6"/>
      <c r="PHF83" s="6"/>
      <c r="PHG83" s="6"/>
      <c r="PHH83" s="6"/>
      <c r="PHI83" s="6"/>
      <c r="PHJ83" s="6"/>
      <c r="PHK83" s="6"/>
      <c r="PHL83" s="6"/>
      <c r="PHM83" s="6"/>
      <c r="PHN83" s="6"/>
      <c r="PHO83" s="6"/>
      <c r="PHP83" s="6"/>
      <c r="PHQ83" s="6"/>
      <c r="PHR83" s="6"/>
      <c r="PHS83" s="6"/>
      <c r="PHT83" s="6"/>
      <c r="PHU83" s="6"/>
      <c r="PHV83" s="6"/>
      <c r="PHW83" s="6"/>
      <c r="PHX83" s="6"/>
      <c r="PHY83" s="6"/>
      <c r="PHZ83" s="6"/>
      <c r="PIA83" s="6"/>
      <c r="PIB83" s="6"/>
      <c r="PIC83" s="6"/>
      <c r="PID83" s="6"/>
      <c r="PIE83" s="6"/>
      <c r="PIF83" s="6"/>
      <c r="PIG83" s="6"/>
      <c r="PIH83" s="6"/>
      <c r="PII83" s="6"/>
      <c r="PIJ83" s="6"/>
      <c r="PIK83" s="6"/>
      <c r="PIL83" s="6"/>
      <c r="PIM83" s="6"/>
      <c r="PIN83" s="6"/>
      <c r="PIO83" s="6"/>
      <c r="PIP83" s="6"/>
      <c r="PIQ83" s="6"/>
      <c r="PIR83" s="6"/>
      <c r="PIS83" s="6"/>
      <c r="PIT83" s="6"/>
      <c r="PIU83" s="6"/>
      <c r="PIV83" s="6"/>
      <c r="PIW83" s="6"/>
      <c r="PIX83" s="6"/>
      <c r="PIY83" s="6"/>
      <c r="PIZ83" s="6"/>
      <c r="PJA83" s="6"/>
      <c r="PJB83" s="6"/>
      <c r="PJC83" s="6"/>
      <c r="PJD83" s="6"/>
      <c r="PJE83" s="6"/>
      <c r="PJF83" s="6"/>
      <c r="PJG83" s="6"/>
      <c r="PJH83" s="6"/>
      <c r="PJI83" s="6"/>
      <c r="PJJ83" s="6"/>
      <c r="PJK83" s="6"/>
      <c r="PJL83" s="6"/>
      <c r="PJM83" s="6"/>
      <c r="PJN83" s="6"/>
      <c r="PJO83" s="6"/>
      <c r="PJP83" s="6"/>
      <c r="PJQ83" s="6"/>
      <c r="PJR83" s="6"/>
      <c r="PJS83" s="6"/>
      <c r="PJT83" s="6"/>
      <c r="PJU83" s="6"/>
      <c r="PJV83" s="6"/>
      <c r="PJW83" s="6"/>
      <c r="PJX83" s="6"/>
      <c r="PJY83" s="6"/>
      <c r="PJZ83" s="6"/>
      <c r="PKA83" s="6"/>
      <c r="PKB83" s="6"/>
      <c r="PKC83" s="6"/>
      <c r="PKD83" s="6"/>
      <c r="PKE83" s="6"/>
      <c r="PKF83" s="6"/>
      <c r="PKG83" s="6"/>
      <c r="PKH83" s="6"/>
      <c r="PKI83" s="6"/>
      <c r="PKJ83" s="6"/>
      <c r="PKK83" s="6"/>
      <c r="PKL83" s="6"/>
      <c r="PKM83" s="6"/>
      <c r="PKN83" s="6"/>
      <c r="PKO83" s="6"/>
      <c r="PKP83" s="6"/>
      <c r="PKQ83" s="6"/>
      <c r="PKR83" s="6"/>
      <c r="PKS83" s="6"/>
      <c r="PKT83" s="6"/>
      <c r="PKU83" s="6"/>
      <c r="PKV83" s="6"/>
      <c r="PKW83" s="6"/>
      <c r="PKX83" s="6"/>
      <c r="PKY83" s="6"/>
      <c r="PKZ83" s="6"/>
      <c r="PLA83" s="6"/>
      <c r="PLB83" s="6"/>
      <c r="PLC83" s="6"/>
      <c r="PLD83" s="6"/>
      <c r="PLE83" s="6"/>
      <c r="PLF83" s="6"/>
      <c r="PLG83" s="6"/>
      <c r="PLH83" s="6"/>
      <c r="PLI83" s="6"/>
      <c r="PLJ83" s="6"/>
      <c r="PLK83" s="6"/>
      <c r="PLL83" s="6"/>
      <c r="PLM83" s="6"/>
      <c r="PLN83" s="6"/>
      <c r="PLO83" s="6"/>
      <c r="PLP83" s="6"/>
      <c r="PLQ83" s="6"/>
      <c r="PLR83" s="6"/>
      <c r="PLS83" s="6"/>
      <c r="PLT83" s="6"/>
      <c r="PLU83" s="6"/>
      <c r="PLV83" s="6"/>
      <c r="PLW83" s="6"/>
      <c r="PLX83" s="6"/>
      <c r="PLY83" s="6"/>
      <c r="PLZ83" s="6"/>
      <c r="PMA83" s="6"/>
      <c r="PMB83" s="6"/>
      <c r="PMC83" s="6"/>
      <c r="PMD83" s="6"/>
      <c r="PME83" s="6"/>
      <c r="PMF83" s="6"/>
      <c r="PMG83" s="6"/>
      <c r="PMH83" s="6"/>
      <c r="PMI83" s="6"/>
      <c r="PMJ83" s="6"/>
      <c r="PMK83" s="6"/>
      <c r="PML83" s="6"/>
      <c r="PMM83" s="6"/>
      <c r="PMN83" s="6"/>
      <c r="PMO83" s="6"/>
      <c r="PMP83" s="6"/>
      <c r="PMQ83" s="6"/>
      <c r="PMR83" s="6"/>
      <c r="PMS83" s="6"/>
      <c r="PMT83" s="6"/>
      <c r="PMU83" s="6"/>
      <c r="PMV83" s="6"/>
      <c r="PMW83" s="6"/>
      <c r="PMX83" s="6"/>
      <c r="PMY83" s="6"/>
      <c r="PMZ83" s="6"/>
      <c r="PNA83" s="6"/>
      <c r="PNB83" s="6"/>
      <c r="PNC83" s="6"/>
      <c r="PND83" s="6"/>
      <c r="PNE83" s="6"/>
      <c r="PNF83" s="6"/>
      <c r="PNG83" s="6"/>
      <c r="PNH83" s="6"/>
      <c r="PNI83" s="6"/>
      <c r="PNJ83" s="6"/>
      <c r="PNK83" s="6"/>
      <c r="PNL83" s="6"/>
      <c r="PNM83" s="6"/>
      <c r="PNN83" s="6"/>
      <c r="PNO83" s="6"/>
      <c r="PNP83" s="6"/>
      <c r="PNQ83" s="6"/>
      <c r="PNR83" s="6"/>
      <c r="PNS83" s="6"/>
      <c r="PNT83" s="6"/>
      <c r="PNU83" s="6"/>
      <c r="PNV83" s="6"/>
      <c r="PNW83" s="6"/>
      <c r="PNX83" s="6"/>
      <c r="PNY83" s="6"/>
      <c r="PNZ83" s="6"/>
      <c r="POA83" s="6"/>
      <c r="POB83" s="6"/>
      <c r="POC83" s="6"/>
      <c r="POD83" s="6"/>
      <c r="POE83" s="6"/>
      <c r="POF83" s="6"/>
      <c r="POG83" s="6"/>
      <c r="POH83" s="6"/>
      <c r="POI83" s="6"/>
      <c r="POJ83" s="6"/>
      <c r="POK83" s="6"/>
      <c r="POL83" s="6"/>
      <c r="POM83" s="6"/>
      <c r="PON83" s="6"/>
      <c r="POO83" s="6"/>
      <c r="POP83" s="6"/>
      <c r="POQ83" s="6"/>
      <c r="POR83" s="6"/>
      <c r="POS83" s="6"/>
      <c r="POT83" s="6"/>
      <c r="POU83" s="6"/>
      <c r="POV83" s="6"/>
      <c r="POW83" s="6"/>
      <c r="POX83" s="6"/>
      <c r="POY83" s="6"/>
      <c r="POZ83" s="6"/>
      <c r="PPA83" s="6"/>
      <c r="PPB83" s="6"/>
      <c r="PPC83" s="6"/>
      <c r="PPD83" s="6"/>
      <c r="PPE83" s="6"/>
      <c r="PPF83" s="6"/>
      <c r="PPG83" s="6"/>
      <c r="PPH83" s="6"/>
      <c r="PPI83" s="6"/>
      <c r="PPJ83" s="6"/>
      <c r="PPK83" s="6"/>
      <c r="PPL83" s="6"/>
      <c r="PPM83" s="6"/>
      <c r="PPN83" s="6"/>
      <c r="PPO83" s="6"/>
      <c r="PPP83" s="6"/>
      <c r="PPQ83" s="6"/>
      <c r="PPR83" s="6"/>
      <c r="PPS83" s="6"/>
      <c r="PPT83" s="6"/>
      <c r="PPU83" s="6"/>
      <c r="PPV83" s="6"/>
      <c r="PPW83" s="6"/>
      <c r="PPX83" s="6"/>
      <c r="PPY83" s="6"/>
      <c r="PPZ83" s="6"/>
      <c r="PQA83" s="6"/>
      <c r="PQB83" s="6"/>
      <c r="PQC83" s="6"/>
      <c r="PQD83" s="6"/>
      <c r="PQE83" s="6"/>
      <c r="PQF83" s="6"/>
      <c r="PQG83" s="6"/>
      <c r="PQH83" s="6"/>
      <c r="PQI83" s="6"/>
      <c r="PQJ83" s="6"/>
      <c r="PQK83" s="6"/>
      <c r="PQL83" s="6"/>
      <c r="PQM83" s="6"/>
      <c r="PQN83" s="6"/>
      <c r="PQO83" s="6"/>
      <c r="PQP83" s="6"/>
      <c r="PQQ83" s="6"/>
      <c r="PQR83" s="6"/>
      <c r="PQS83" s="6"/>
      <c r="PQT83" s="6"/>
      <c r="PQU83" s="6"/>
      <c r="PQV83" s="6"/>
      <c r="PQW83" s="6"/>
      <c r="PQX83" s="6"/>
      <c r="PQY83" s="6"/>
      <c r="PQZ83" s="6"/>
      <c r="PRA83" s="6"/>
      <c r="PRB83" s="6"/>
      <c r="PRC83" s="6"/>
      <c r="PRD83" s="6"/>
      <c r="PRE83" s="6"/>
      <c r="PRF83" s="6"/>
      <c r="PRG83" s="6"/>
      <c r="PRH83" s="6"/>
      <c r="PRI83" s="6"/>
      <c r="PRJ83" s="6"/>
      <c r="PRK83" s="6"/>
      <c r="PRL83" s="6"/>
      <c r="PRM83" s="6"/>
      <c r="PRN83" s="6"/>
      <c r="PRO83" s="6"/>
      <c r="PRP83" s="6"/>
      <c r="PRQ83" s="6"/>
      <c r="PRR83" s="6"/>
      <c r="PRS83" s="6"/>
      <c r="PRT83" s="6"/>
      <c r="PRU83" s="6"/>
      <c r="PRV83" s="6"/>
      <c r="PRW83" s="6"/>
      <c r="PRX83" s="6"/>
      <c r="PRY83" s="6"/>
      <c r="PRZ83" s="6"/>
      <c r="PSA83" s="6"/>
      <c r="PSB83" s="6"/>
      <c r="PSC83" s="6"/>
      <c r="PSD83" s="6"/>
      <c r="PSE83" s="6"/>
      <c r="PSF83" s="6"/>
      <c r="PSG83" s="6"/>
      <c r="PSH83" s="6"/>
      <c r="PSI83" s="6"/>
      <c r="PSJ83" s="6"/>
      <c r="PSK83" s="6"/>
      <c r="PSL83" s="6"/>
      <c r="PSM83" s="6"/>
      <c r="PSN83" s="6"/>
      <c r="PSO83" s="6"/>
      <c r="PSP83" s="6"/>
      <c r="PSQ83" s="6"/>
      <c r="PSR83" s="6"/>
      <c r="PSS83" s="6"/>
      <c r="PST83" s="6"/>
      <c r="PSU83" s="6"/>
      <c r="PSV83" s="6"/>
      <c r="PSW83" s="6"/>
      <c r="PSX83" s="6"/>
      <c r="PSY83" s="6"/>
      <c r="PSZ83" s="6"/>
      <c r="PTA83" s="6"/>
      <c r="PTB83" s="6"/>
      <c r="PTC83" s="6"/>
      <c r="PTD83" s="6"/>
      <c r="PTE83" s="6"/>
      <c r="PTF83" s="6"/>
      <c r="PTG83" s="6"/>
      <c r="PTH83" s="6"/>
      <c r="PTI83" s="6"/>
      <c r="PTJ83" s="6"/>
      <c r="PTK83" s="6"/>
      <c r="PTL83" s="6"/>
      <c r="PTM83" s="6"/>
      <c r="PTN83" s="6"/>
      <c r="PTO83" s="6"/>
      <c r="PTP83" s="6"/>
      <c r="PTQ83" s="6"/>
      <c r="PTR83" s="6"/>
      <c r="PTS83" s="6"/>
      <c r="PTT83" s="6"/>
      <c r="PTU83" s="6"/>
      <c r="PTV83" s="6"/>
      <c r="PTW83" s="6"/>
      <c r="PTX83" s="6"/>
      <c r="PTY83" s="6"/>
      <c r="PTZ83" s="6"/>
      <c r="PUA83" s="6"/>
      <c r="PUB83" s="6"/>
      <c r="PUC83" s="6"/>
      <c r="PUD83" s="6"/>
      <c r="PUE83" s="6"/>
      <c r="PUF83" s="6"/>
      <c r="PUG83" s="6"/>
      <c r="PUH83" s="6"/>
      <c r="PUI83" s="6"/>
      <c r="PUJ83" s="6"/>
      <c r="PUK83" s="6"/>
      <c r="PUL83" s="6"/>
      <c r="PUM83" s="6"/>
      <c r="PUN83" s="6"/>
      <c r="PUO83" s="6"/>
      <c r="PUP83" s="6"/>
      <c r="PUQ83" s="6"/>
      <c r="PUR83" s="6"/>
      <c r="PUS83" s="6"/>
      <c r="PUT83" s="6"/>
      <c r="PUU83" s="6"/>
      <c r="PUV83" s="6"/>
      <c r="PUW83" s="6"/>
      <c r="PUX83" s="6"/>
      <c r="PUY83" s="6"/>
      <c r="PUZ83" s="6"/>
      <c r="PVA83" s="6"/>
      <c r="PVB83" s="6"/>
      <c r="PVC83" s="6"/>
      <c r="PVD83" s="6"/>
      <c r="PVE83" s="6"/>
      <c r="PVF83" s="6"/>
      <c r="PVG83" s="6"/>
      <c r="PVH83" s="6"/>
      <c r="PVI83" s="6"/>
      <c r="PVJ83" s="6"/>
      <c r="PVK83" s="6"/>
      <c r="PVL83" s="6"/>
      <c r="PVM83" s="6"/>
      <c r="PVN83" s="6"/>
      <c r="PVO83" s="6"/>
      <c r="PVP83" s="6"/>
      <c r="PVQ83" s="6"/>
      <c r="PVR83" s="6"/>
      <c r="PVS83" s="6"/>
      <c r="PVT83" s="6"/>
      <c r="PVU83" s="6"/>
      <c r="PVV83" s="6"/>
      <c r="PVW83" s="6"/>
      <c r="PVX83" s="6"/>
      <c r="PVY83" s="6"/>
      <c r="PVZ83" s="6"/>
      <c r="PWA83" s="6"/>
      <c r="PWB83" s="6"/>
      <c r="PWC83" s="6"/>
      <c r="PWD83" s="6"/>
      <c r="PWE83" s="6"/>
      <c r="PWF83" s="6"/>
      <c r="PWG83" s="6"/>
      <c r="PWH83" s="6"/>
      <c r="PWI83" s="6"/>
      <c r="PWJ83" s="6"/>
      <c r="PWK83" s="6"/>
      <c r="PWL83" s="6"/>
      <c r="PWM83" s="6"/>
      <c r="PWN83" s="6"/>
      <c r="PWO83" s="6"/>
      <c r="PWP83" s="6"/>
      <c r="PWQ83" s="6"/>
      <c r="PWR83" s="6"/>
      <c r="PWS83" s="6"/>
      <c r="PWT83" s="6"/>
      <c r="PWU83" s="6"/>
      <c r="PWV83" s="6"/>
      <c r="PWW83" s="6"/>
      <c r="PWX83" s="6"/>
      <c r="PWY83" s="6"/>
      <c r="PWZ83" s="6"/>
      <c r="PXA83" s="6"/>
      <c r="PXB83" s="6"/>
      <c r="PXC83" s="6"/>
      <c r="PXD83" s="6"/>
      <c r="PXE83" s="6"/>
      <c r="PXF83" s="6"/>
      <c r="PXG83" s="6"/>
      <c r="PXH83" s="6"/>
      <c r="PXI83" s="6"/>
      <c r="PXJ83" s="6"/>
      <c r="PXK83" s="6"/>
      <c r="PXL83" s="6"/>
      <c r="PXM83" s="6"/>
      <c r="PXN83" s="6"/>
      <c r="PXO83" s="6"/>
      <c r="PXP83" s="6"/>
      <c r="PXQ83" s="6"/>
      <c r="PXR83" s="6"/>
      <c r="PXS83" s="6"/>
      <c r="PXT83" s="6"/>
      <c r="PXU83" s="6"/>
      <c r="PXV83" s="6"/>
      <c r="PXW83" s="6"/>
      <c r="PXX83" s="6"/>
      <c r="PXY83" s="6"/>
      <c r="PXZ83" s="6"/>
      <c r="PYA83" s="6"/>
      <c r="PYB83" s="6"/>
      <c r="PYC83" s="6"/>
      <c r="PYD83" s="6"/>
      <c r="PYE83" s="6"/>
      <c r="PYF83" s="6"/>
      <c r="PYG83" s="6"/>
      <c r="PYH83" s="6"/>
      <c r="PYI83" s="6"/>
      <c r="PYJ83" s="6"/>
      <c r="PYK83" s="6"/>
      <c r="PYL83" s="6"/>
      <c r="PYM83" s="6"/>
      <c r="PYN83" s="6"/>
      <c r="PYO83" s="6"/>
      <c r="PYP83" s="6"/>
      <c r="PYQ83" s="6"/>
      <c r="PYR83" s="6"/>
      <c r="PYS83" s="6"/>
      <c r="PYT83" s="6"/>
      <c r="PYU83" s="6"/>
      <c r="PYV83" s="6"/>
      <c r="PYW83" s="6"/>
      <c r="PYX83" s="6"/>
      <c r="PYY83" s="6"/>
      <c r="PYZ83" s="6"/>
      <c r="PZA83" s="6"/>
      <c r="PZB83" s="6"/>
      <c r="PZC83" s="6"/>
      <c r="PZD83" s="6"/>
      <c r="PZE83" s="6"/>
      <c r="PZF83" s="6"/>
      <c r="PZG83" s="6"/>
      <c r="PZH83" s="6"/>
      <c r="PZI83" s="6"/>
      <c r="PZJ83" s="6"/>
      <c r="PZK83" s="6"/>
      <c r="PZL83" s="6"/>
      <c r="PZM83" s="6"/>
      <c r="PZN83" s="6"/>
      <c r="PZO83" s="6"/>
      <c r="PZP83" s="6"/>
      <c r="PZQ83" s="6"/>
      <c r="PZR83" s="6"/>
      <c r="PZS83" s="6"/>
      <c r="PZT83" s="6"/>
      <c r="PZU83" s="6"/>
      <c r="PZV83" s="6"/>
      <c r="PZW83" s="6"/>
      <c r="PZX83" s="6"/>
      <c r="PZY83" s="6"/>
      <c r="PZZ83" s="6"/>
      <c r="QAA83" s="6"/>
      <c r="QAB83" s="6"/>
      <c r="QAC83" s="6"/>
      <c r="QAD83" s="6"/>
      <c r="QAE83" s="6"/>
      <c r="QAF83" s="6"/>
      <c r="QAG83" s="6"/>
      <c r="QAH83" s="6"/>
      <c r="QAI83" s="6"/>
      <c r="QAJ83" s="6"/>
      <c r="QAK83" s="6"/>
      <c r="QAL83" s="6"/>
      <c r="QAM83" s="6"/>
      <c r="QAN83" s="6"/>
      <c r="QAO83" s="6"/>
      <c r="QAP83" s="6"/>
      <c r="QAQ83" s="6"/>
      <c r="QAR83" s="6"/>
      <c r="QAS83" s="6"/>
      <c r="QAT83" s="6"/>
      <c r="QAU83" s="6"/>
      <c r="QAV83" s="6"/>
      <c r="QAW83" s="6"/>
      <c r="QAX83" s="6"/>
      <c r="QAY83" s="6"/>
      <c r="QAZ83" s="6"/>
      <c r="QBA83" s="6"/>
      <c r="QBB83" s="6"/>
      <c r="QBC83" s="6"/>
      <c r="QBD83" s="6"/>
      <c r="QBE83" s="6"/>
      <c r="QBF83" s="6"/>
      <c r="QBG83" s="6"/>
      <c r="QBH83" s="6"/>
      <c r="QBI83" s="6"/>
      <c r="QBJ83" s="6"/>
      <c r="QBK83" s="6"/>
      <c r="QBL83" s="6"/>
      <c r="QBM83" s="6"/>
      <c r="QBN83" s="6"/>
      <c r="QBO83" s="6"/>
      <c r="QBP83" s="6"/>
      <c r="QBQ83" s="6"/>
      <c r="QBR83" s="6"/>
      <c r="QBS83" s="6"/>
      <c r="QBT83" s="6"/>
      <c r="QBU83" s="6"/>
      <c r="QBV83" s="6"/>
      <c r="QBW83" s="6"/>
      <c r="QBX83" s="6"/>
      <c r="QBY83" s="6"/>
      <c r="QBZ83" s="6"/>
      <c r="QCA83" s="6"/>
      <c r="QCB83" s="6"/>
      <c r="QCC83" s="6"/>
      <c r="QCD83" s="6"/>
      <c r="QCE83" s="6"/>
      <c r="QCF83" s="6"/>
      <c r="QCG83" s="6"/>
      <c r="QCH83" s="6"/>
      <c r="QCI83" s="6"/>
      <c r="QCJ83" s="6"/>
      <c r="QCK83" s="6"/>
      <c r="QCL83" s="6"/>
      <c r="QCM83" s="6"/>
      <c r="QCN83" s="6"/>
      <c r="QCO83" s="6"/>
      <c r="QCP83" s="6"/>
      <c r="QCQ83" s="6"/>
      <c r="QCR83" s="6"/>
      <c r="QCS83" s="6"/>
      <c r="QCT83" s="6"/>
      <c r="QCU83" s="6"/>
      <c r="QCV83" s="6"/>
      <c r="QCW83" s="6"/>
      <c r="QCX83" s="6"/>
      <c r="QCY83" s="6"/>
      <c r="QCZ83" s="6"/>
      <c r="QDA83" s="6"/>
      <c r="QDB83" s="6"/>
      <c r="QDC83" s="6"/>
      <c r="QDD83" s="6"/>
      <c r="QDE83" s="6"/>
      <c r="QDF83" s="6"/>
      <c r="QDG83" s="6"/>
      <c r="QDH83" s="6"/>
      <c r="QDI83" s="6"/>
      <c r="QDJ83" s="6"/>
      <c r="QDK83" s="6"/>
      <c r="QDL83" s="6"/>
      <c r="QDM83" s="6"/>
      <c r="QDN83" s="6"/>
      <c r="QDO83" s="6"/>
      <c r="QDP83" s="6"/>
      <c r="QDQ83" s="6"/>
      <c r="QDR83" s="6"/>
      <c r="QDS83" s="6"/>
      <c r="QDT83" s="6"/>
      <c r="QDU83" s="6"/>
      <c r="QDV83" s="6"/>
      <c r="QDW83" s="6"/>
      <c r="QDX83" s="6"/>
      <c r="QDY83" s="6"/>
      <c r="QDZ83" s="6"/>
      <c r="QEA83" s="6"/>
      <c r="QEB83" s="6"/>
      <c r="QEC83" s="6"/>
      <c r="QED83" s="6"/>
      <c r="QEE83" s="6"/>
      <c r="QEF83" s="6"/>
      <c r="QEG83" s="6"/>
      <c r="QEH83" s="6"/>
      <c r="QEI83" s="6"/>
      <c r="QEJ83" s="6"/>
      <c r="QEK83" s="6"/>
      <c r="QEL83" s="6"/>
      <c r="QEM83" s="6"/>
      <c r="QEN83" s="6"/>
      <c r="QEO83" s="6"/>
      <c r="QEP83" s="6"/>
      <c r="QEQ83" s="6"/>
      <c r="QER83" s="6"/>
      <c r="QES83" s="6"/>
      <c r="QET83" s="6"/>
      <c r="QEU83" s="6"/>
      <c r="QEV83" s="6"/>
      <c r="QEW83" s="6"/>
      <c r="QEX83" s="6"/>
      <c r="QEY83" s="6"/>
      <c r="QEZ83" s="6"/>
      <c r="QFA83" s="6"/>
      <c r="QFB83" s="6"/>
      <c r="QFC83" s="6"/>
      <c r="QFD83" s="6"/>
      <c r="QFE83" s="6"/>
      <c r="QFF83" s="6"/>
      <c r="QFG83" s="6"/>
      <c r="QFH83" s="6"/>
      <c r="QFI83" s="6"/>
      <c r="QFJ83" s="6"/>
      <c r="QFK83" s="6"/>
      <c r="QFL83" s="6"/>
      <c r="QFM83" s="6"/>
      <c r="QFN83" s="6"/>
      <c r="QFO83" s="6"/>
      <c r="QFP83" s="6"/>
      <c r="QFQ83" s="6"/>
      <c r="QFR83" s="6"/>
      <c r="QFS83" s="6"/>
      <c r="QFT83" s="6"/>
      <c r="QFU83" s="6"/>
      <c r="QFV83" s="6"/>
      <c r="QFW83" s="6"/>
      <c r="QFX83" s="6"/>
      <c r="QFY83" s="6"/>
      <c r="QFZ83" s="6"/>
      <c r="QGA83" s="6"/>
      <c r="QGB83" s="6"/>
      <c r="QGC83" s="6"/>
      <c r="QGD83" s="6"/>
      <c r="QGE83" s="6"/>
      <c r="QGF83" s="6"/>
      <c r="QGG83" s="6"/>
      <c r="QGH83" s="6"/>
      <c r="QGI83" s="6"/>
      <c r="QGJ83" s="6"/>
      <c r="QGK83" s="6"/>
      <c r="QGL83" s="6"/>
      <c r="QGM83" s="6"/>
      <c r="QGN83" s="6"/>
      <c r="QGO83" s="6"/>
      <c r="QGP83" s="6"/>
      <c r="QGQ83" s="6"/>
      <c r="QGR83" s="6"/>
      <c r="QGS83" s="6"/>
      <c r="QGT83" s="6"/>
      <c r="QGU83" s="6"/>
      <c r="QGV83" s="6"/>
      <c r="QGW83" s="6"/>
      <c r="QGX83" s="6"/>
      <c r="QGY83" s="6"/>
      <c r="QGZ83" s="6"/>
      <c r="QHA83" s="6"/>
      <c r="QHB83" s="6"/>
      <c r="QHC83" s="6"/>
      <c r="QHD83" s="6"/>
      <c r="QHE83" s="6"/>
      <c r="QHF83" s="6"/>
      <c r="QHG83" s="6"/>
      <c r="QHH83" s="6"/>
      <c r="QHI83" s="6"/>
      <c r="QHJ83" s="6"/>
      <c r="QHK83" s="6"/>
      <c r="QHL83" s="6"/>
      <c r="QHM83" s="6"/>
      <c r="QHN83" s="6"/>
      <c r="QHO83" s="6"/>
      <c r="QHP83" s="6"/>
      <c r="QHQ83" s="6"/>
      <c r="QHR83" s="6"/>
      <c r="QHS83" s="6"/>
      <c r="QHT83" s="6"/>
      <c r="QHU83" s="6"/>
      <c r="QHV83" s="6"/>
      <c r="QHW83" s="6"/>
      <c r="QHX83" s="6"/>
      <c r="QHY83" s="6"/>
      <c r="QHZ83" s="6"/>
      <c r="QIA83" s="6"/>
      <c r="QIB83" s="6"/>
      <c r="QIC83" s="6"/>
      <c r="QID83" s="6"/>
      <c r="QIE83" s="6"/>
      <c r="QIF83" s="6"/>
      <c r="QIG83" s="6"/>
      <c r="QIH83" s="6"/>
      <c r="QII83" s="6"/>
      <c r="QIJ83" s="6"/>
      <c r="QIK83" s="6"/>
      <c r="QIL83" s="6"/>
      <c r="QIM83" s="6"/>
      <c r="QIN83" s="6"/>
      <c r="QIO83" s="6"/>
      <c r="QIP83" s="6"/>
      <c r="QIQ83" s="6"/>
      <c r="QIR83" s="6"/>
      <c r="QIS83" s="6"/>
      <c r="QIT83" s="6"/>
      <c r="QIU83" s="6"/>
      <c r="QIV83" s="6"/>
      <c r="QIW83" s="6"/>
      <c r="QIX83" s="6"/>
      <c r="QIY83" s="6"/>
      <c r="QIZ83" s="6"/>
      <c r="QJA83" s="6"/>
      <c r="QJB83" s="6"/>
      <c r="QJC83" s="6"/>
      <c r="QJD83" s="6"/>
      <c r="QJE83" s="6"/>
      <c r="QJF83" s="6"/>
      <c r="QJG83" s="6"/>
      <c r="QJH83" s="6"/>
      <c r="QJI83" s="6"/>
      <c r="QJJ83" s="6"/>
      <c r="QJK83" s="6"/>
      <c r="QJL83" s="6"/>
      <c r="QJM83" s="6"/>
      <c r="QJN83" s="6"/>
      <c r="QJO83" s="6"/>
      <c r="QJP83" s="6"/>
      <c r="QJQ83" s="6"/>
      <c r="QJR83" s="6"/>
      <c r="QJS83" s="6"/>
      <c r="QJT83" s="6"/>
      <c r="QJU83" s="6"/>
      <c r="QJV83" s="6"/>
      <c r="QJW83" s="6"/>
      <c r="QJX83" s="6"/>
      <c r="QJY83" s="6"/>
      <c r="QJZ83" s="6"/>
      <c r="QKA83" s="6"/>
      <c r="QKB83" s="6"/>
      <c r="QKC83" s="6"/>
      <c r="QKD83" s="6"/>
      <c r="QKE83" s="6"/>
      <c r="QKF83" s="6"/>
      <c r="QKG83" s="6"/>
      <c r="QKH83" s="6"/>
      <c r="QKI83" s="6"/>
      <c r="QKJ83" s="6"/>
      <c r="QKK83" s="6"/>
      <c r="QKL83" s="6"/>
      <c r="QKM83" s="6"/>
      <c r="QKN83" s="6"/>
      <c r="QKO83" s="6"/>
      <c r="QKP83" s="6"/>
      <c r="QKQ83" s="6"/>
      <c r="QKR83" s="6"/>
      <c r="QKS83" s="6"/>
      <c r="QKT83" s="6"/>
      <c r="QKU83" s="6"/>
      <c r="QKV83" s="6"/>
      <c r="QKW83" s="6"/>
      <c r="QKX83" s="6"/>
      <c r="QKY83" s="6"/>
      <c r="QKZ83" s="6"/>
      <c r="QLA83" s="6"/>
      <c r="QLB83" s="6"/>
      <c r="QLC83" s="6"/>
      <c r="QLD83" s="6"/>
      <c r="QLE83" s="6"/>
      <c r="QLF83" s="6"/>
      <c r="QLG83" s="6"/>
      <c r="QLH83" s="6"/>
      <c r="QLI83" s="6"/>
      <c r="QLJ83" s="6"/>
      <c r="QLK83" s="6"/>
      <c r="QLL83" s="6"/>
      <c r="QLM83" s="6"/>
      <c r="QLN83" s="6"/>
      <c r="QLO83" s="6"/>
      <c r="QLP83" s="6"/>
      <c r="QLQ83" s="6"/>
      <c r="QLR83" s="6"/>
      <c r="QLS83" s="6"/>
      <c r="QLT83" s="6"/>
      <c r="QLU83" s="6"/>
      <c r="QLV83" s="6"/>
      <c r="QLW83" s="6"/>
      <c r="QLX83" s="6"/>
      <c r="QLY83" s="6"/>
      <c r="QLZ83" s="6"/>
      <c r="QMA83" s="6"/>
      <c r="QMB83" s="6"/>
      <c r="QMC83" s="6"/>
      <c r="QMD83" s="6"/>
      <c r="QME83" s="6"/>
      <c r="QMF83" s="6"/>
      <c r="QMG83" s="6"/>
      <c r="QMH83" s="6"/>
      <c r="QMI83" s="6"/>
      <c r="QMJ83" s="6"/>
      <c r="QMK83" s="6"/>
      <c r="QML83" s="6"/>
      <c r="QMM83" s="6"/>
      <c r="QMN83" s="6"/>
      <c r="QMO83" s="6"/>
      <c r="QMP83" s="6"/>
      <c r="QMQ83" s="6"/>
      <c r="QMR83" s="6"/>
      <c r="QMS83" s="6"/>
      <c r="QMT83" s="6"/>
      <c r="QMU83" s="6"/>
      <c r="QMV83" s="6"/>
      <c r="QMW83" s="6"/>
      <c r="QMX83" s="6"/>
      <c r="QMY83" s="6"/>
      <c r="QMZ83" s="6"/>
      <c r="QNA83" s="6"/>
      <c r="QNB83" s="6"/>
      <c r="QNC83" s="6"/>
      <c r="QND83" s="6"/>
      <c r="QNE83" s="6"/>
      <c r="QNF83" s="6"/>
      <c r="QNG83" s="6"/>
      <c r="QNH83" s="6"/>
      <c r="QNI83" s="6"/>
      <c r="QNJ83" s="6"/>
      <c r="QNK83" s="6"/>
      <c r="QNL83" s="6"/>
      <c r="QNM83" s="6"/>
      <c r="QNN83" s="6"/>
      <c r="QNO83" s="6"/>
      <c r="QNP83" s="6"/>
      <c r="QNQ83" s="6"/>
      <c r="QNR83" s="6"/>
      <c r="QNS83" s="6"/>
      <c r="QNT83" s="6"/>
      <c r="QNU83" s="6"/>
      <c r="QNV83" s="6"/>
      <c r="QNW83" s="6"/>
      <c r="QNX83" s="6"/>
      <c r="QNY83" s="6"/>
      <c r="QNZ83" s="6"/>
      <c r="QOA83" s="6"/>
      <c r="QOB83" s="6"/>
      <c r="QOC83" s="6"/>
      <c r="QOD83" s="6"/>
      <c r="QOE83" s="6"/>
      <c r="QOF83" s="6"/>
      <c r="QOG83" s="6"/>
      <c r="QOH83" s="6"/>
      <c r="QOI83" s="6"/>
      <c r="QOJ83" s="6"/>
      <c r="QOK83" s="6"/>
      <c r="QOL83" s="6"/>
      <c r="QOM83" s="6"/>
      <c r="QON83" s="6"/>
      <c r="QOO83" s="6"/>
      <c r="QOP83" s="6"/>
      <c r="QOQ83" s="6"/>
      <c r="QOR83" s="6"/>
      <c r="QOS83" s="6"/>
      <c r="QOT83" s="6"/>
      <c r="QOU83" s="6"/>
      <c r="QOV83" s="6"/>
      <c r="QOW83" s="6"/>
      <c r="QOX83" s="6"/>
      <c r="QOY83" s="6"/>
      <c r="QOZ83" s="6"/>
      <c r="QPA83" s="6"/>
      <c r="QPB83" s="6"/>
      <c r="QPC83" s="6"/>
      <c r="QPD83" s="6"/>
      <c r="QPE83" s="6"/>
      <c r="QPF83" s="6"/>
      <c r="QPG83" s="6"/>
      <c r="QPH83" s="6"/>
      <c r="QPI83" s="6"/>
      <c r="QPJ83" s="6"/>
      <c r="QPK83" s="6"/>
      <c r="QPL83" s="6"/>
      <c r="QPM83" s="6"/>
      <c r="QPN83" s="6"/>
      <c r="QPO83" s="6"/>
      <c r="QPP83" s="6"/>
      <c r="QPQ83" s="6"/>
      <c r="QPR83" s="6"/>
      <c r="QPS83" s="6"/>
      <c r="QPT83" s="6"/>
      <c r="QPU83" s="6"/>
      <c r="QPV83" s="6"/>
      <c r="QPW83" s="6"/>
      <c r="QPX83" s="6"/>
      <c r="QPY83" s="6"/>
      <c r="QPZ83" s="6"/>
      <c r="QQA83" s="6"/>
      <c r="QQB83" s="6"/>
      <c r="QQC83" s="6"/>
      <c r="QQD83" s="6"/>
      <c r="QQE83" s="6"/>
      <c r="QQF83" s="6"/>
      <c r="QQG83" s="6"/>
      <c r="QQH83" s="6"/>
      <c r="QQI83" s="6"/>
      <c r="QQJ83" s="6"/>
      <c r="QQK83" s="6"/>
      <c r="QQL83" s="6"/>
      <c r="QQM83" s="6"/>
      <c r="QQN83" s="6"/>
      <c r="QQO83" s="6"/>
      <c r="QQP83" s="6"/>
      <c r="QQQ83" s="6"/>
      <c r="QQR83" s="6"/>
      <c r="QQS83" s="6"/>
      <c r="QQT83" s="6"/>
      <c r="QQU83" s="6"/>
      <c r="QQV83" s="6"/>
      <c r="QQW83" s="6"/>
      <c r="QQX83" s="6"/>
      <c r="QQY83" s="6"/>
      <c r="QQZ83" s="6"/>
      <c r="QRA83" s="6"/>
      <c r="QRB83" s="6"/>
      <c r="QRC83" s="6"/>
      <c r="QRD83" s="6"/>
      <c r="QRE83" s="6"/>
      <c r="QRF83" s="6"/>
      <c r="QRG83" s="6"/>
      <c r="QRH83" s="6"/>
      <c r="QRI83" s="6"/>
      <c r="QRJ83" s="6"/>
      <c r="QRK83" s="6"/>
      <c r="QRL83" s="6"/>
      <c r="QRM83" s="6"/>
      <c r="QRN83" s="6"/>
      <c r="QRO83" s="6"/>
      <c r="QRP83" s="6"/>
      <c r="QRQ83" s="6"/>
      <c r="QRR83" s="6"/>
      <c r="QRS83" s="6"/>
      <c r="QRT83" s="6"/>
      <c r="QRU83" s="6"/>
      <c r="QRV83" s="6"/>
      <c r="QRW83" s="6"/>
      <c r="QRX83" s="6"/>
      <c r="QRY83" s="6"/>
      <c r="QRZ83" s="6"/>
      <c r="QSA83" s="6"/>
      <c r="QSB83" s="6"/>
      <c r="QSC83" s="6"/>
      <c r="QSD83" s="6"/>
      <c r="QSE83" s="6"/>
      <c r="QSF83" s="6"/>
      <c r="QSG83" s="6"/>
      <c r="QSH83" s="6"/>
      <c r="QSI83" s="6"/>
      <c r="QSJ83" s="6"/>
      <c r="QSK83" s="6"/>
      <c r="QSL83" s="6"/>
      <c r="QSM83" s="6"/>
      <c r="QSN83" s="6"/>
      <c r="QSO83" s="6"/>
      <c r="QSP83" s="6"/>
      <c r="QSQ83" s="6"/>
      <c r="QSR83" s="6"/>
      <c r="QSS83" s="6"/>
      <c r="QST83" s="6"/>
      <c r="QSU83" s="6"/>
      <c r="QSV83" s="6"/>
      <c r="QSW83" s="6"/>
      <c r="QSX83" s="6"/>
      <c r="QSY83" s="6"/>
      <c r="QSZ83" s="6"/>
      <c r="QTA83" s="6"/>
      <c r="QTB83" s="6"/>
      <c r="QTC83" s="6"/>
      <c r="QTD83" s="6"/>
      <c r="QTE83" s="6"/>
      <c r="QTF83" s="6"/>
      <c r="QTG83" s="6"/>
      <c r="QTH83" s="6"/>
      <c r="QTI83" s="6"/>
      <c r="QTJ83" s="6"/>
      <c r="QTK83" s="6"/>
      <c r="QTL83" s="6"/>
      <c r="QTM83" s="6"/>
      <c r="QTN83" s="6"/>
      <c r="QTO83" s="6"/>
      <c r="QTP83" s="6"/>
      <c r="QTQ83" s="6"/>
      <c r="QTR83" s="6"/>
      <c r="QTS83" s="6"/>
      <c r="QTT83" s="6"/>
      <c r="QTU83" s="6"/>
      <c r="QTV83" s="6"/>
      <c r="QTW83" s="6"/>
      <c r="QTX83" s="6"/>
      <c r="QTY83" s="6"/>
      <c r="QTZ83" s="6"/>
      <c r="QUA83" s="6"/>
      <c r="QUB83" s="6"/>
      <c r="QUC83" s="6"/>
      <c r="QUD83" s="6"/>
      <c r="QUE83" s="6"/>
      <c r="QUF83" s="6"/>
      <c r="QUG83" s="6"/>
      <c r="QUH83" s="6"/>
      <c r="QUI83" s="6"/>
      <c r="QUJ83" s="6"/>
      <c r="QUK83" s="6"/>
      <c r="QUL83" s="6"/>
      <c r="QUM83" s="6"/>
      <c r="QUN83" s="6"/>
      <c r="QUO83" s="6"/>
      <c r="QUP83" s="6"/>
      <c r="QUQ83" s="6"/>
      <c r="QUR83" s="6"/>
      <c r="QUS83" s="6"/>
      <c r="QUT83" s="6"/>
      <c r="QUU83" s="6"/>
      <c r="QUV83" s="6"/>
      <c r="QUW83" s="6"/>
      <c r="QUX83" s="6"/>
      <c r="QUY83" s="6"/>
      <c r="QUZ83" s="6"/>
      <c r="QVA83" s="6"/>
      <c r="QVB83" s="6"/>
      <c r="QVC83" s="6"/>
      <c r="QVD83" s="6"/>
      <c r="QVE83" s="6"/>
      <c r="QVF83" s="6"/>
      <c r="QVG83" s="6"/>
      <c r="QVH83" s="6"/>
      <c r="QVI83" s="6"/>
      <c r="QVJ83" s="6"/>
      <c r="QVK83" s="6"/>
      <c r="QVL83" s="6"/>
      <c r="QVM83" s="6"/>
      <c r="QVN83" s="6"/>
      <c r="QVO83" s="6"/>
      <c r="QVP83" s="6"/>
      <c r="QVQ83" s="6"/>
      <c r="QVR83" s="6"/>
      <c r="QVS83" s="6"/>
      <c r="QVT83" s="6"/>
      <c r="QVU83" s="6"/>
      <c r="QVV83" s="6"/>
      <c r="QVW83" s="6"/>
      <c r="QVX83" s="6"/>
      <c r="QVY83" s="6"/>
      <c r="QVZ83" s="6"/>
      <c r="QWA83" s="6"/>
      <c r="QWB83" s="6"/>
      <c r="QWC83" s="6"/>
      <c r="QWD83" s="6"/>
      <c r="QWE83" s="6"/>
      <c r="QWF83" s="6"/>
      <c r="QWG83" s="6"/>
      <c r="QWH83" s="6"/>
      <c r="QWI83" s="6"/>
      <c r="QWJ83" s="6"/>
      <c r="QWK83" s="6"/>
      <c r="QWL83" s="6"/>
      <c r="QWM83" s="6"/>
      <c r="QWN83" s="6"/>
      <c r="QWO83" s="6"/>
      <c r="QWP83" s="6"/>
      <c r="QWQ83" s="6"/>
      <c r="QWR83" s="6"/>
      <c r="QWS83" s="6"/>
      <c r="QWT83" s="6"/>
      <c r="QWU83" s="6"/>
      <c r="QWV83" s="6"/>
      <c r="QWW83" s="6"/>
      <c r="QWX83" s="6"/>
      <c r="QWY83" s="6"/>
      <c r="QWZ83" s="6"/>
      <c r="QXA83" s="6"/>
      <c r="QXB83" s="6"/>
      <c r="QXC83" s="6"/>
      <c r="QXD83" s="6"/>
      <c r="QXE83" s="6"/>
      <c r="QXF83" s="6"/>
      <c r="QXG83" s="6"/>
      <c r="QXH83" s="6"/>
      <c r="QXI83" s="6"/>
      <c r="QXJ83" s="6"/>
      <c r="QXK83" s="6"/>
      <c r="QXL83" s="6"/>
      <c r="QXM83" s="6"/>
      <c r="QXN83" s="6"/>
      <c r="QXO83" s="6"/>
      <c r="QXP83" s="6"/>
      <c r="QXQ83" s="6"/>
      <c r="QXR83" s="6"/>
      <c r="QXS83" s="6"/>
      <c r="QXT83" s="6"/>
      <c r="QXU83" s="6"/>
      <c r="QXV83" s="6"/>
      <c r="QXW83" s="6"/>
      <c r="QXX83" s="6"/>
      <c r="QXY83" s="6"/>
      <c r="QXZ83" s="6"/>
      <c r="QYA83" s="6"/>
      <c r="QYB83" s="6"/>
      <c r="QYC83" s="6"/>
      <c r="QYD83" s="6"/>
      <c r="QYE83" s="6"/>
      <c r="QYF83" s="6"/>
      <c r="QYG83" s="6"/>
      <c r="QYH83" s="6"/>
      <c r="QYI83" s="6"/>
      <c r="QYJ83" s="6"/>
      <c r="QYK83" s="6"/>
      <c r="QYL83" s="6"/>
      <c r="QYM83" s="6"/>
      <c r="QYN83" s="6"/>
      <c r="QYO83" s="6"/>
      <c r="QYP83" s="6"/>
      <c r="QYQ83" s="6"/>
      <c r="QYR83" s="6"/>
      <c r="QYS83" s="6"/>
      <c r="QYT83" s="6"/>
      <c r="QYU83" s="6"/>
      <c r="QYV83" s="6"/>
      <c r="QYW83" s="6"/>
      <c r="QYX83" s="6"/>
      <c r="QYY83" s="6"/>
      <c r="QYZ83" s="6"/>
      <c r="QZA83" s="6"/>
      <c r="QZB83" s="6"/>
      <c r="QZC83" s="6"/>
      <c r="QZD83" s="6"/>
      <c r="QZE83" s="6"/>
      <c r="QZF83" s="6"/>
      <c r="QZG83" s="6"/>
      <c r="QZH83" s="6"/>
      <c r="QZI83" s="6"/>
      <c r="QZJ83" s="6"/>
      <c r="QZK83" s="6"/>
      <c r="QZL83" s="6"/>
      <c r="QZM83" s="6"/>
      <c r="QZN83" s="6"/>
      <c r="QZO83" s="6"/>
      <c r="QZP83" s="6"/>
      <c r="QZQ83" s="6"/>
      <c r="QZR83" s="6"/>
      <c r="QZS83" s="6"/>
      <c r="QZT83" s="6"/>
      <c r="QZU83" s="6"/>
      <c r="QZV83" s="6"/>
      <c r="QZW83" s="6"/>
      <c r="QZX83" s="6"/>
      <c r="QZY83" s="6"/>
      <c r="QZZ83" s="6"/>
      <c r="RAA83" s="6"/>
      <c r="RAB83" s="6"/>
      <c r="RAC83" s="6"/>
      <c r="RAD83" s="6"/>
      <c r="RAE83" s="6"/>
      <c r="RAF83" s="6"/>
      <c r="RAG83" s="6"/>
      <c r="RAH83" s="6"/>
      <c r="RAI83" s="6"/>
      <c r="RAJ83" s="6"/>
      <c r="RAK83" s="6"/>
      <c r="RAL83" s="6"/>
      <c r="RAM83" s="6"/>
      <c r="RAN83" s="6"/>
      <c r="RAO83" s="6"/>
      <c r="RAP83" s="6"/>
      <c r="RAQ83" s="6"/>
      <c r="RAR83" s="6"/>
      <c r="RAS83" s="6"/>
      <c r="RAT83" s="6"/>
      <c r="RAU83" s="6"/>
      <c r="RAV83" s="6"/>
      <c r="RAW83" s="6"/>
      <c r="RAX83" s="6"/>
      <c r="RAY83" s="6"/>
      <c r="RAZ83" s="6"/>
      <c r="RBA83" s="6"/>
      <c r="RBB83" s="6"/>
      <c r="RBC83" s="6"/>
      <c r="RBD83" s="6"/>
      <c r="RBE83" s="6"/>
      <c r="RBF83" s="6"/>
      <c r="RBG83" s="6"/>
      <c r="RBH83" s="6"/>
      <c r="RBI83" s="6"/>
      <c r="RBJ83" s="6"/>
      <c r="RBK83" s="6"/>
      <c r="RBL83" s="6"/>
      <c r="RBM83" s="6"/>
      <c r="RBN83" s="6"/>
      <c r="RBO83" s="6"/>
      <c r="RBP83" s="6"/>
      <c r="RBQ83" s="6"/>
      <c r="RBR83" s="6"/>
      <c r="RBS83" s="6"/>
      <c r="RBT83" s="6"/>
      <c r="RBU83" s="6"/>
      <c r="RBV83" s="6"/>
      <c r="RBW83" s="6"/>
      <c r="RBX83" s="6"/>
      <c r="RBY83" s="6"/>
      <c r="RBZ83" s="6"/>
      <c r="RCA83" s="6"/>
      <c r="RCB83" s="6"/>
      <c r="RCC83" s="6"/>
      <c r="RCD83" s="6"/>
      <c r="RCE83" s="6"/>
      <c r="RCF83" s="6"/>
      <c r="RCG83" s="6"/>
      <c r="RCH83" s="6"/>
      <c r="RCI83" s="6"/>
      <c r="RCJ83" s="6"/>
      <c r="RCK83" s="6"/>
      <c r="RCL83" s="6"/>
      <c r="RCM83" s="6"/>
      <c r="RCN83" s="6"/>
      <c r="RCO83" s="6"/>
      <c r="RCP83" s="6"/>
      <c r="RCQ83" s="6"/>
      <c r="RCR83" s="6"/>
      <c r="RCS83" s="6"/>
      <c r="RCT83" s="6"/>
      <c r="RCU83" s="6"/>
      <c r="RCV83" s="6"/>
      <c r="RCW83" s="6"/>
      <c r="RCX83" s="6"/>
      <c r="RCY83" s="6"/>
      <c r="RCZ83" s="6"/>
      <c r="RDA83" s="6"/>
      <c r="RDB83" s="6"/>
      <c r="RDC83" s="6"/>
      <c r="RDD83" s="6"/>
      <c r="RDE83" s="6"/>
      <c r="RDF83" s="6"/>
      <c r="RDG83" s="6"/>
      <c r="RDH83" s="6"/>
      <c r="RDI83" s="6"/>
      <c r="RDJ83" s="6"/>
      <c r="RDK83" s="6"/>
      <c r="RDL83" s="6"/>
      <c r="RDM83" s="6"/>
      <c r="RDN83" s="6"/>
      <c r="RDO83" s="6"/>
      <c r="RDP83" s="6"/>
      <c r="RDQ83" s="6"/>
      <c r="RDR83" s="6"/>
      <c r="RDS83" s="6"/>
      <c r="RDT83" s="6"/>
      <c r="RDU83" s="6"/>
      <c r="RDV83" s="6"/>
      <c r="RDW83" s="6"/>
      <c r="RDX83" s="6"/>
      <c r="RDY83" s="6"/>
      <c r="RDZ83" s="6"/>
      <c r="REA83" s="6"/>
      <c r="REB83" s="6"/>
      <c r="REC83" s="6"/>
      <c r="RED83" s="6"/>
      <c r="REE83" s="6"/>
      <c r="REF83" s="6"/>
      <c r="REG83" s="6"/>
      <c r="REH83" s="6"/>
      <c r="REI83" s="6"/>
      <c r="REJ83" s="6"/>
      <c r="REK83" s="6"/>
      <c r="REL83" s="6"/>
      <c r="REM83" s="6"/>
      <c r="REN83" s="6"/>
      <c r="REO83" s="6"/>
      <c r="REP83" s="6"/>
      <c r="REQ83" s="6"/>
      <c r="RER83" s="6"/>
      <c r="RES83" s="6"/>
      <c r="RET83" s="6"/>
      <c r="REU83" s="6"/>
      <c r="REV83" s="6"/>
      <c r="REW83" s="6"/>
      <c r="REX83" s="6"/>
      <c r="REY83" s="6"/>
      <c r="REZ83" s="6"/>
      <c r="RFA83" s="6"/>
      <c r="RFB83" s="6"/>
      <c r="RFC83" s="6"/>
      <c r="RFD83" s="6"/>
      <c r="RFE83" s="6"/>
      <c r="RFF83" s="6"/>
      <c r="RFG83" s="6"/>
      <c r="RFH83" s="6"/>
      <c r="RFI83" s="6"/>
      <c r="RFJ83" s="6"/>
      <c r="RFK83" s="6"/>
      <c r="RFL83" s="6"/>
      <c r="RFM83" s="6"/>
      <c r="RFN83" s="6"/>
      <c r="RFO83" s="6"/>
      <c r="RFP83" s="6"/>
      <c r="RFQ83" s="6"/>
      <c r="RFR83" s="6"/>
      <c r="RFS83" s="6"/>
      <c r="RFT83" s="6"/>
      <c r="RFU83" s="6"/>
      <c r="RFV83" s="6"/>
      <c r="RFW83" s="6"/>
      <c r="RFX83" s="6"/>
      <c r="RFY83" s="6"/>
      <c r="RFZ83" s="6"/>
      <c r="RGA83" s="6"/>
      <c r="RGB83" s="6"/>
      <c r="RGC83" s="6"/>
      <c r="RGD83" s="6"/>
      <c r="RGE83" s="6"/>
      <c r="RGF83" s="6"/>
      <c r="RGG83" s="6"/>
      <c r="RGH83" s="6"/>
      <c r="RGI83" s="6"/>
      <c r="RGJ83" s="6"/>
      <c r="RGK83" s="6"/>
      <c r="RGL83" s="6"/>
      <c r="RGM83" s="6"/>
      <c r="RGN83" s="6"/>
      <c r="RGO83" s="6"/>
      <c r="RGP83" s="6"/>
      <c r="RGQ83" s="6"/>
      <c r="RGR83" s="6"/>
      <c r="RGS83" s="6"/>
      <c r="RGT83" s="6"/>
      <c r="RGU83" s="6"/>
      <c r="RGV83" s="6"/>
      <c r="RGW83" s="6"/>
      <c r="RGX83" s="6"/>
      <c r="RGY83" s="6"/>
      <c r="RGZ83" s="6"/>
      <c r="RHA83" s="6"/>
      <c r="RHB83" s="6"/>
      <c r="RHC83" s="6"/>
      <c r="RHD83" s="6"/>
      <c r="RHE83" s="6"/>
      <c r="RHF83" s="6"/>
      <c r="RHG83" s="6"/>
      <c r="RHH83" s="6"/>
      <c r="RHI83" s="6"/>
      <c r="RHJ83" s="6"/>
      <c r="RHK83" s="6"/>
      <c r="RHL83" s="6"/>
      <c r="RHM83" s="6"/>
      <c r="RHN83" s="6"/>
      <c r="RHO83" s="6"/>
      <c r="RHP83" s="6"/>
      <c r="RHQ83" s="6"/>
      <c r="RHR83" s="6"/>
      <c r="RHS83" s="6"/>
      <c r="RHT83" s="6"/>
      <c r="RHU83" s="6"/>
      <c r="RHV83" s="6"/>
      <c r="RHW83" s="6"/>
      <c r="RHX83" s="6"/>
      <c r="RHY83" s="6"/>
      <c r="RHZ83" s="6"/>
      <c r="RIA83" s="6"/>
      <c r="RIB83" s="6"/>
      <c r="RIC83" s="6"/>
      <c r="RID83" s="6"/>
      <c r="RIE83" s="6"/>
      <c r="RIF83" s="6"/>
      <c r="RIG83" s="6"/>
      <c r="RIH83" s="6"/>
      <c r="RII83" s="6"/>
      <c r="RIJ83" s="6"/>
      <c r="RIK83" s="6"/>
      <c r="RIL83" s="6"/>
      <c r="RIM83" s="6"/>
      <c r="RIN83" s="6"/>
      <c r="RIO83" s="6"/>
      <c r="RIP83" s="6"/>
      <c r="RIQ83" s="6"/>
      <c r="RIR83" s="6"/>
      <c r="RIS83" s="6"/>
      <c r="RIT83" s="6"/>
      <c r="RIU83" s="6"/>
      <c r="RIV83" s="6"/>
      <c r="RIW83" s="6"/>
      <c r="RIX83" s="6"/>
      <c r="RIY83" s="6"/>
      <c r="RIZ83" s="6"/>
      <c r="RJA83" s="6"/>
      <c r="RJB83" s="6"/>
      <c r="RJC83" s="6"/>
      <c r="RJD83" s="6"/>
      <c r="RJE83" s="6"/>
      <c r="RJF83" s="6"/>
      <c r="RJG83" s="6"/>
      <c r="RJH83" s="6"/>
      <c r="RJI83" s="6"/>
      <c r="RJJ83" s="6"/>
      <c r="RJK83" s="6"/>
      <c r="RJL83" s="6"/>
      <c r="RJM83" s="6"/>
      <c r="RJN83" s="6"/>
      <c r="RJO83" s="6"/>
      <c r="RJP83" s="6"/>
      <c r="RJQ83" s="6"/>
      <c r="RJR83" s="6"/>
      <c r="RJS83" s="6"/>
      <c r="RJT83" s="6"/>
      <c r="RJU83" s="6"/>
      <c r="RJV83" s="6"/>
      <c r="RJW83" s="6"/>
      <c r="RJX83" s="6"/>
      <c r="RJY83" s="6"/>
      <c r="RJZ83" s="6"/>
      <c r="RKA83" s="6"/>
      <c r="RKB83" s="6"/>
      <c r="RKC83" s="6"/>
      <c r="RKD83" s="6"/>
      <c r="RKE83" s="6"/>
      <c r="RKF83" s="6"/>
      <c r="RKG83" s="6"/>
      <c r="RKH83" s="6"/>
      <c r="RKI83" s="6"/>
      <c r="RKJ83" s="6"/>
      <c r="RKK83" s="6"/>
      <c r="RKL83" s="6"/>
      <c r="RKM83" s="6"/>
      <c r="RKN83" s="6"/>
      <c r="RKO83" s="6"/>
      <c r="RKP83" s="6"/>
      <c r="RKQ83" s="6"/>
      <c r="RKR83" s="6"/>
      <c r="RKS83" s="6"/>
      <c r="RKT83" s="6"/>
      <c r="RKU83" s="6"/>
      <c r="RKV83" s="6"/>
      <c r="RKW83" s="6"/>
      <c r="RKX83" s="6"/>
      <c r="RKY83" s="6"/>
      <c r="RKZ83" s="6"/>
      <c r="RLA83" s="6"/>
      <c r="RLB83" s="6"/>
      <c r="RLC83" s="6"/>
      <c r="RLD83" s="6"/>
      <c r="RLE83" s="6"/>
      <c r="RLF83" s="6"/>
      <c r="RLG83" s="6"/>
      <c r="RLH83" s="6"/>
      <c r="RLI83" s="6"/>
      <c r="RLJ83" s="6"/>
      <c r="RLK83" s="6"/>
      <c r="RLL83" s="6"/>
      <c r="RLM83" s="6"/>
      <c r="RLN83" s="6"/>
      <c r="RLO83" s="6"/>
      <c r="RLP83" s="6"/>
      <c r="RLQ83" s="6"/>
      <c r="RLR83" s="6"/>
      <c r="RLS83" s="6"/>
      <c r="RLT83" s="6"/>
      <c r="RLU83" s="6"/>
      <c r="RLV83" s="6"/>
      <c r="RLW83" s="6"/>
      <c r="RLX83" s="6"/>
      <c r="RLY83" s="6"/>
      <c r="RLZ83" s="6"/>
      <c r="RMA83" s="6"/>
      <c r="RMB83" s="6"/>
      <c r="RMC83" s="6"/>
      <c r="RMD83" s="6"/>
      <c r="RME83" s="6"/>
      <c r="RMF83" s="6"/>
      <c r="RMG83" s="6"/>
      <c r="RMH83" s="6"/>
      <c r="RMI83" s="6"/>
      <c r="RMJ83" s="6"/>
      <c r="RMK83" s="6"/>
      <c r="RML83" s="6"/>
      <c r="RMM83" s="6"/>
      <c r="RMN83" s="6"/>
      <c r="RMO83" s="6"/>
      <c r="RMP83" s="6"/>
      <c r="RMQ83" s="6"/>
      <c r="RMR83" s="6"/>
      <c r="RMS83" s="6"/>
      <c r="RMT83" s="6"/>
      <c r="RMU83" s="6"/>
      <c r="RMV83" s="6"/>
      <c r="RMW83" s="6"/>
      <c r="RMX83" s="6"/>
      <c r="RMY83" s="6"/>
      <c r="RMZ83" s="6"/>
      <c r="RNA83" s="6"/>
      <c r="RNB83" s="6"/>
      <c r="RNC83" s="6"/>
      <c r="RND83" s="6"/>
      <c r="RNE83" s="6"/>
      <c r="RNF83" s="6"/>
      <c r="RNG83" s="6"/>
      <c r="RNH83" s="6"/>
      <c r="RNI83" s="6"/>
      <c r="RNJ83" s="6"/>
      <c r="RNK83" s="6"/>
      <c r="RNL83" s="6"/>
      <c r="RNM83" s="6"/>
      <c r="RNN83" s="6"/>
      <c r="RNO83" s="6"/>
      <c r="RNP83" s="6"/>
      <c r="RNQ83" s="6"/>
      <c r="RNR83" s="6"/>
      <c r="RNS83" s="6"/>
      <c r="RNT83" s="6"/>
      <c r="RNU83" s="6"/>
      <c r="RNV83" s="6"/>
      <c r="RNW83" s="6"/>
      <c r="RNX83" s="6"/>
      <c r="RNY83" s="6"/>
      <c r="RNZ83" s="6"/>
      <c r="ROA83" s="6"/>
      <c r="ROB83" s="6"/>
      <c r="ROC83" s="6"/>
      <c r="ROD83" s="6"/>
      <c r="ROE83" s="6"/>
      <c r="ROF83" s="6"/>
      <c r="ROG83" s="6"/>
      <c r="ROH83" s="6"/>
      <c r="ROI83" s="6"/>
      <c r="ROJ83" s="6"/>
      <c r="ROK83" s="6"/>
      <c r="ROL83" s="6"/>
      <c r="ROM83" s="6"/>
      <c r="RON83" s="6"/>
      <c r="ROO83" s="6"/>
      <c r="ROP83" s="6"/>
      <c r="ROQ83" s="6"/>
      <c r="ROR83" s="6"/>
      <c r="ROS83" s="6"/>
      <c r="ROT83" s="6"/>
      <c r="ROU83" s="6"/>
      <c r="ROV83" s="6"/>
      <c r="ROW83" s="6"/>
      <c r="ROX83" s="6"/>
      <c r="ROY83" s="6"/>
      <c r="ROZ83" s="6"/>
      <c r="RPA83" s="6"/>
      <c r="RPB83" s="6"/>
      <c r="RPC83" s="6"/>
      <c r="RPD83" s="6"/>
      <c r="RPE83" s="6"/>
      <c r="RPF83" s="6"/>
      <c r="RPG83" s="6"/>
      <c r="RPH83" s="6"/>
      <c r="RPI83" s="6"/>
      <c r="RPJ83" s="6"/>
      <c r="RPK83" s="6"/>
      <c r="RPL83" s="6"/>
      <c r="RPM83" s="6"/>
      <c r="RPN83" s="6"/>
      <c r="RPO83" s="6"/>
      <c r="RPP83" s="6"/>
      <c r="RPQ83" s="6"/>
      <c r="RPR83" s="6"/>
      <c r="RPS83" s="6"/>
      <c r="RPT83" s="6"/>
      <c r="RPU83" s="6"/>
      <c r="RPV83" s="6"/>
      <c r="RPW83" s="6"/>
      <c r="RPX83" s="6"/>
      <c r="RPY83" s="6"/>
      <c r="RPZ83" s="6"/>
      <c r="RQA83" s="6"/>
      <c r="RQB83" s="6"/>
      <c r="RQC83" s="6"/>
      <c r="RQD83" s="6"/>
      <c r="RQE83" s="6"/>
      <c r="RQF83" s="6"/>
      <c r="RQG83" s="6"/>
      <c r="RQH83" s="6"/>
      <c r="RQI83" s="6"/>
      <c r="RQJ83" s="6"/>
      <c r="RQK83" s="6"/>
      <c r="RQL83" s="6"/>
      <c r="RQM83" s="6"/>
      <c r="RQN83" s="6"/>
      <c r="RQO83" s="6"/>
      <c r="RQP83" s="6"/>
      <c r="RQQ83" s="6"/>
      <c r="RQR83" s="6"/>
      <c r="RQS83" s="6"/>
      <c r="RQT83" s="6"/>
      <c r="RQU83" s="6"/>
      <c r="RQV83" s="6"/>
      <c r="RQW83" s="6"/>
      <c r="RQX83" s="6"/>
      <c r="RQY83" s="6"/>
      <c r="RQZ83" s="6"/>
      <c r="RRA83" s="6"/>
      <c r="RRB83" s="6"/>
      <c r="RRC83" s="6"/>
      <c r="RRD83" s="6"/>
      <c r="RRE83" s="6"/>
      <c r="RRF83" s="6"/>
      <c r="RRG83" s="6"/>
      <c r="RRH83" s="6"/>
      <c r="RRI83" s="6"/>
      <c r="RRJ83" s="6"/>
      <c r="RRK83" s="6"/>
      <c r="RRL83" s="6"/>
      <c r="RRM83" s="6"/>
      <c r="RRN83" s="6"/>
      <c r="RRO83" s="6"/>
      <c r="RRP83" s="6"/>
      <c r="RRQ83" s="6"/>
      <c r="RRR83" s="6"/>
      <c r="RRS83" s="6"/>
      <c r="RRT83" s="6"/>
      <c r="RRU83" s="6"/>
      <c r="RRV83" s="6"/>
      <c r="RRW83" s="6"/>
      <c r="RRX83" s="6"/>
      <c r="RRY83" s="6"/>
      <c r="RRZ83" s="6"/>
      <c r="RSA83" s="6"/>
      <c r="RSB83" s="6"/>
      <c r="RSC83" s="6"/>
      <c r="RSD83" s="6"/>
      <c r="RSE83" s="6"/>
      <c r="RSF83" s="6"/>
      <c r="RSG83" s="6"/>
      <c r="RSH83" s="6"/>
      <c r="RSI83" s="6"/>
      <c r="RSJ83" s="6"/>
      <c r="RSK83" s="6"/>
      <c r="RSL83" s="6"/>
      <c r="RSM83" s="6"/>
      <c r="RSN83" s="6"/>
      <c r="RSO83" s="6"/>
      <c r="RSP83" s="6"/>
      <c r="RSQ83" s="6"/>
      <c r="RSR83" s="6"/>
      <c r="RSS83" s="6"/>
      <c r="RST83" s="6"/>
      <c r="RSU83" s="6"/>
      <c r="RSV83" s="6"/>
      <c r="RSW83" s="6"/>
      <c r="RSX83" s="6"/>
      <c r="RSY83" s="6"/>
      <c r="RSZ83" s="6"/>
      <c r="RTA83" s="6"/>
      <c r="RTB83" s="6"/>
      <c r="RTC83" s="6"/>
      <c r="RTD83" s="6"/>
      <c r="RTE83" s="6"/>
      <c r="RTF83" s="6"/>
      <c r="RTG83" s="6"/>
      <c r="RTH83" s="6"/>
      <c r="RTI83" s="6"/>
      <c r="RTJ83" s="6"/>
      <c r="RTK83" s="6"/>
      <c r="RTL83" s="6"/>
      <c r="RTM83" s="6"/>
      <c r="RTN83" s="6"/>
      <c r="RTO83" s="6"/>
      <c r="RTP83" s="6"/>
      <c r="RTQ83" s="6"/>
      <c r="RTR83" s="6"/>
      <c r="RTS83" s="6"/>
      <c r="RTT83" s="6"/>
      <c r="RTU83" s="6"/>
      <c r="RTV83" s="6"/>
      <c r="RTW83" s="6"/>
      <c r="RTX83" s="6"/>
      <c r="RTY83" s="6"/>
      <c r="RTZ83" s="6"/>
      <c r="RUA83" s="6"/>
      <c r="RUB83" s="6"/>
      <c r="RUC83" s="6"/>
      <c r="RUD83" s="6"/>
      <c r="RUE83" s="6"/>
      <c r="RUF83" s="6"/>
      <c r="RUG83" s="6"/>
      <c r="RUH83" s="6"/>
      <c r="RUI83" s="6"/>
      <c r="RUJ83" s="6"/>
      <c r="RUK83" s="6"/>
      <c r="RUL83" s="6"/>
      <c r="RUM83" s="6"/>
      <c r="RUN83" s="6"/>
      <c r="RUO83" s="6"/>
      <c r="RUP83" s="6"/>
      <c r="RUQ83" s="6"/>
      <c r="RUR83" s="6"/>
      <c r="RUS83" s="6"/>
      <c r="RUT83" s="6"/>
      <c r="RUU83" s="6"/>
      <c r="RUV83" s="6"/>
      <c r="RUW83" s="6"/>
      <c r="RUX83" s="6"/>
      <c r="RUY83" s="6"/>
      <c r="RUZ83" s="6"/>
      <c r="RVA83" s="6"/>
      <c r="RVB83" s="6"/>
      <c r="RVC83" s="6"/>
      <c r="RVD83" s="6"/>
      <c r="RVE83" s="6"/>
      <c r="RVF83" s="6"/>
      <c r="RVG83" s="6"/>
      <c r="RVH83" s="6"/>
      <c r="RVI83" s="6"/>
      <c r="RVJ83" s="6"/>
      <c r="RVK83" s="6"/>
      <c r="RVL83" s="6"/>
      <c r="RVM83" s="6"/>
      <c r="RVN83" s="6"/>
      <c r="RVO83" s="6"/>
      <c r="RVP83" s="6"/>
      <c r="RVQ83" s="6"/>
      <c r="RVR83" s="6"/>
      <c r="RVS83" s="6"/>
      <c r="RVT83" s="6"/>
      <c r="RVU83" s="6"/>
      <c r="RVV83" s="6"/>
      <c r="RVW83" s="6"/>
      <c r="RVX83" s="6"/>
      <c r="RVY83" s="6"/>
      <c r="RVZ83" s="6"/>
      <c r="RWA83" s="6"/>
      <c r="RWB83" s="6"/>
      <c r="RWC83" s="6"/>
      <c r="RWD83" s="6"/>
      <c r="RWE83" s="6"/>
      <c r="RWF83" s="6"/>
      <c r="RWG83" s="6"/>
      <c r="RWH83" s="6"/>
      <c r="RWI83" s="6"/>
      <c r="RWJ83" s="6"/>
      <c r="RWK83" s="6"/>
      <c r="RWL83" s="6"/>
      <c r="RWM83" s="6"/>
      <c r="RWN83" s="6"/>
      <c r="RWO83" s="6"/>
      <c r="RWP83" s="6"/>
      <c r="RWQ83" s="6"/>
      <c r="RWR83" s="6"/>
      <c r="RWS83" s="6"/>
      <c r="RWT83" s="6"/>
      <c r="RWU83" s="6"/>
      <c r="RWV83" s="6"/>
      <c r="RWW83" s="6"/>
      <c r="RWX83" s="6"/>
      <c r="RWY83" s="6"/>
      <c r="RWZ83" s="6"/>
      <c r="RXA83" s="6"/>
      <c r="RXB83" s="6"/>
      <c r="RXC83" s="6"/>
      <c r="RXD83" s="6"/>
      <c r="RXE83" s="6"/>
      <c r="RXF83" s="6"/>
      <c r="RXG83" s="6"/>
      <c r="RXH83" s="6"/>
      <c r="RXI83" s="6"/>
      <c r="RXJ83" s="6"/>
      <c r="RXK83" s="6"/>
      <c r="RXL83" s="6"/>
      <c r="RXM83" s="6"/>
      <c r="RXN83" s="6"/>
      <c r="RXO83" s="6"/>
      <c r="RXP83" s="6"/>
      <c r="RXQ83" s="6"/>
      <c r="RXR83" s="6"/>
      <c r="RXS83" s="6"/>
      <c r="RXT83" s="6"/>
      <c r="RXU83" s="6"/>
      <c r="RXV83" s="6"/>
      <c r="RXW83" s="6"/>
      <c r="RXX83" s="6"/>
      <c r="RXY83" s="6"/>
      <c r="RXZ83" s="6"/>
      <c r="RYA83" s="6"/>
      <c r="RYB83" s="6"/>
      <c r="RYC83" s="6"/>
      <c r="RYD83" s="6"/>
      <c r="RYE83" s="6"/>
      <c r="RYF83" s="6"/>
      <c r="RYG83" s="6"/>
      <c r="RYH83" s="6"/>
      <c r="RYI83" s="6"/>
      <c r="RYJ83" s="6"/>
      <c r="RYK83" s="6"/>
      <c r="RYL83" s="6"/>
      <c r="RYM83" s="6"/>
      <c r="RYN83" s="6"/>
      <c r="RYO83" s="6"/>
      <c r="RYP83" s="6"/>
      <c r="RYQ83" s="6"/>
      <c r="RYR83" s="6"/>
      <c r="RYS83" s="6"/>
      <c r="RYT83" s="6"/>
      <c r="RYU83" s="6"/>
      <c r="RYV83" s="6"/>
      <c r="RYW83" s="6"/>
      <c r="RYX83" s="6"/>
      <c r="RYY83" s="6"/>
      <c r="RYZ83" s="6"/>
      <c r="RZA83" s="6"/>
      <c r="RZB83" s="6"/>
      <c r="RZC83" s="6"/>
      <c r="RZD83" s="6"/>
      <c r="RZE83" s="6"/>
      <c r="RZF83" s="6"/>
      <c r="RZG83" s="6"/>
      <c r="RZH83" s="6"/>
      <c r="RZI83" s="6"/>
      <c r="RZJ83" s="6"/>
      <c r="RZK83" s="6"/>
      <c r="RZL83" s="6"/>
      <c r="RZM83" s="6"/>
      <c r="RZN83" s="6"/>
      <c r="RZO83" s="6"/>
      <c r="RZP83" s="6"/>
      <c r="RZQ83" s="6"/>
      <c r="RZR83" s="6"/>
      <c r="RZS83" s="6"/>
      <c r="RZT83" s="6"/>
      <c r="RZU83" s="6"/>
      <c r="RZV83" s="6"/>
      <c r="RZW83" s="6"/>
      <c r="RZX83" s="6"/>
      <c r="RZY83" s="6"/>
      <c r="RZZ83" s="6"/>
      <c r="SAA83" s="6"/>
      <c r="SAB83" s="6"/>
      <c r="SAC83" s="6"/>
      <c r="SAD83" s="6"/>
      <c r="SAE83" s="6"/>
      <c r="SAF83" s="6"/>
      <c r="SAG83" s="6"/>
      <c r="SAH83" s="6"/>
      <c r="SAI83" s="6"/>
      <c r="SAJ83" s="6"/>
      <c r="SAK83" s="6"/>
      <c r="SAL83" s="6"/>
      <c r="SAM83" s="6"/>
      <c r="SAN83" s="6"/>
      <c r="SAO83" s="6"/>
      <c r="SAP83" s="6"/>
      <c r="SAQ83" s="6"/>
      <c r="SAR83" s="6"/>
      <c r="SAS83" s="6"/>
      <c r="SAT83" s="6"/>
      <c r="SAU83" s="6"/>
      <c r="SAV83" s="6"/>
      <c r="SAW83" s="6"/>
      <c r="SAX83" s="6"/>
      <c r="SAY83" s="6"/>
      <c r="SAZ83" s="6"/>
      <c r="SBA83" s="6"/>
      <c r="SBB83" s="6"/>
      <c r="SBC83" s="6"/>
      <c r="SBD83" s="6"/>
      <c r="SBE83" s="6"/>
      <c r="SBF83" s="6"/>
      <c r="SBG83" s="6"/>
      <c r="SBH83" s="6"/>
      <c r="SBI83" s="6"/>
      <c r="SBJ83" s="6"/>
      <c r="SBK83" s="6"/>
      <c r="SBL83" s="6"/>
      <c r="SBM83" s="6"/>
      <c r="SBN83" s="6"/>
      <c r="SBO83" s="6"/>
      <c r="SBP83" s="6"/>
      <c r="SBQ83" s="6"/>
      <c r="SBR83" s="6"/>
      <c r="SBS83" s="6"/>
      <c r="SBT83" s="6"/>
      <c r="SBU83" s="6"/>
      <c r="SBV83" s="6"/>
      <c r="SBW83" s="6"/>
      <c r="SBX83" s="6"/>
      <c r="SBY83" s="6"/>
      <c r="SBZ83" s="6"/>
      <c r="SCA83" s="6"/>
      <c r="SCB83" s="6"/>
      <c r="SCC83" s="6"/>
      <c r="SCD83" s="6"/>
      <c r="SCE83" s="6"/>
      <c r="SCF83" s="6"/>
      <c r="SCG83" s="6"/>
      <c r="SCH83" s="6"/>
      <c r="SCI83" s="6"/>
      <c r="SCJ83" s="6"/>
      <c r="SCK83" s="6"/>
      <c r="SCL83" s="6"/>
      <c r="SCM83" s="6"/>
      <c r="SCN83" s="6"/>
      <c r="SCO83" s="6"/>
      <c r="SCP83" s="6"/>
      <c r="SCQ83" s="6"/>
      <c r="SCR83" s="6"/>
      <c r="SCS83" s="6"/>
      <c r="SCT83" s="6"/>
      <c r="SCU83" s="6"/>
      <c r="SCV83" s="6"/>
      <c r="SCW83" s="6"/>
      <c r="SCX83" s="6"/>
      <c r="SCY83" s="6"/>
      <c r="SCZ83" s="6"/>
      <c r="SDA83" s="6"/>
      <c r="SDB83" s="6"/>
      <c r="SDC83" s="6"/>
      <c r="SDD83" s="6"/>
      <c r="SDE83" s="6"/>
      <c r="SDF83" s="6"/>
      <c r="SDG83" s="6"/>
      <c r="SDH83" s="6"/>
      <c r="SDI83" s="6"/>
      <c r="SDJ83" s="6"/>
      <c r="SDK83" s="6"/>
      <c r="SDL83" s="6"/>
      <c r="SDM83" s="6"/>
      <c r="SDN83" s="6"/>
      <c r="SDO83" s="6"/>
      <c r="SDP83" s="6"/>
      <c r="SDQ83" s="6"/>
      <c r="SDR83" s="6"/>
      <c r="SDS83" s="6"/>
      <c r="SDT83" s="6"/>
      <c r="SDU83" s="6"/>
      <c r="SDV83" s="6"/>
      <c r="SDW83" s="6"/>
      <c r="SDX83" s="6"/>
      <c r="SDY83" s="6"/>
      <c r="SDZ83" s="6"/>
      <c r="SEA83" s="6"/>
      <c r="SEB83" s="6"/>
      <c r="SEC83" s="6"/>
      <c r="SED83" s="6"/>
      <c r="SEE83" s="6"/>
      <c r="SEF83" s="6"/>
      <c r="SEG83" s="6"/>
      <c r="SEH83" s="6"/>
      <c r="SEI83" s="6"/>
      <c r="SEJ83" s="6"/>
      <c r="SEK83" s="6"/>
      <c r="SEL83" s="6"/>
      <c r="SEM83" s="6"/>
      <c r="SEN83" s="6"/>
      <c r="SEO83" s="6"/>
      <c r="SEP83" s="6"/>
      <c r="SEQ83" s="6"/>
      <c r="SER83" s="6"/>
      <c r="SES83" s="6"/>
      <c r="SET83" s="6"/>
      <c r="SEU83" s="6"/>
      <c r="SEV83" s="6"/>
      <c r="SEW83" s="6"/>
      <c r="SEX83" s="6"/>
      <c r="SEY83" s="6"/>
      <c r="SEZ83" s="6"/>
      <c r="SFA83" s="6"/>
      <c r="SFB83" s="6"/>
      <c r="SFC83" s="6"/>
      <c r="SFD83" s="6"/>
      <c r="SFE83" s="6"/>
      <c r="SFF83" s="6"/>
      <c r="SFG83" s="6"/>
      <c r="SFH83" s="6"/>
      <c r="SFI83" s="6"/>
      <c r="SFJ83" s="6"/>
      <c r="SFK83" s="6"/>
      <c r="SFL83" s="6"/>
      <c r="SFM83" s="6"/>
      <c r="SFN83" s="6"/>
      <c r="SFO83" s="6"/>
      <c r="SFP83" s="6"/>
      <c r="SFQ83" s="6"/>
      <c r="SFR83" s="6"/>
      <c r="SFS83" s="6"/>
      <c r="SFT83" s="6"/>
      <c r="SFU83" s="6"/>
      <c r="SFV83" s="6"/>
      <c r="SFW83" s="6"/>
      <c r="SFX83" s="6"/>
      <c r="SFY83" s="6"/>
      <c r="SFZ83" s="6"/>
      <c r="SGA83" s="6"/>
      <c r="SGB83" s="6"/>
      <c r="SGC83" s="6"/>
      <c r="SGD83" s="6"/>
      <c r="SGE83" s="6"/>
      <c r="SGF83" s="6"/>
      <c r="SGG83" s="6"/>
      <c r="SGH83" s="6"/>
      <c r="SGI83" s="6"/>
      <c r="SGJ83" s="6"/>
      <c r="SGK83" s="6"/>
      <c r="SGL83" s="6"/>
      <c r="SGM83" s="6"/>
      <c r="SGN83" s="6"/>
      <c r="SGO83" s="6"/>
      <c r="SGP83" s="6"/>
      <c r="SGQ83" s="6"/>
      <c r="SGR83" s="6"/>
      <c r="SGS83" s="6"/>
      <c r="SGT83" s="6"/>
      <c r="SGU83" s="6"/>
      <c r="SGV83" s="6"/>
      <c r="SGW83" s="6"/>
      <c r="SGX83" s="6"/>
      <c r="SGY83" s="6"/>
      <c r="SGZ83" s="6"/>
      <c r="SHA83" s="6"/>
      <c r="SHB83" s="6"/>
      <c r="SHC83" s="6"/>
      <c r="SHD83" s="6"/>
      <c r="SHE83" s="6"/>
      <c r="SHF83" s="6"/>
      <c r="SHG83" s="6"/>
      <c r="SHH83" s="6"/>
      <c r="SHI83" s="6"/>
      <c r="SHJ83" s="6"/>
      <c r="SHK83" s="6"/>
      <c r="SHL83" s="6"/>
      <c r="SHM83" s="6"/>
      <c r="SHN83" s="6"/>
      <c r="SHO83" s="6"/>
      <c r="SHP83" s="6"/>
      <c r="SHQ83" s="6"/>
      <c r="SHR83" s="6"/>
      <c r="SHS83" s="6"/>
      <c r="SHT83" s="6"/>
      <c r="SHU83" s="6"/>
      <c r="SHV83" s="6"/>
      <c r="SHW83" s="6"/>
      <c r="SHX83" s="6"/>
      <c r="SHY83" s="6"/>
      <c r="SHZ83" s="6"/>
      <c r="SIA83" s="6"/>
      <c r="SIB83" s="6"/>
      <c r="SIC83" s="6"/>
      <c r="SID83" s="6"/>
      <c r="SIE83" s="6"/>
      <c r="SIF83" s="6"/>
      <c r="SIG83" s="6"/>
      <c r="SIH83" s="6"/>
      <c r="SII83" s="6"/>
      <c r="SIJ83" s="6"/>
      <c r="SIK83" s="6"/>
      <c r="SIL83" s="6"/>
      <c r="SIM83" s="6"/>
      <c r="SIN83" s="6"/>
      <c r="SIO83" s="6"/>
      <c r="SIP83" s="6"/>
      <c r="SIQ83" s="6"/>
      <c r="SIR83" s="6"/>
      <c r="SIS83" s="6"/>
      <c r="SIT83" s="6"/>
      <c r="SIU83" s="6"/>
      <c r="SIV83" s="6"/>
      <c r="SIW83" s="6"/>
      <c r="SIX83" s="6"/>
      <c r="SIY83" s="6"/>
      <c r="SIZ83" s="6"/>
      <c r="SJA83" s="6"/>
      <c r="SJB83" s="6"/>
      <c r="SJC83" s="6"/>
      <c r="SJD83" s="6"/>
      <c r="SJE83" s="6"/>
      <c r="SJF83" s="6"/>
      <c r="SJG83" s="6"/>
      <c r="SJH83" s="6"/>
      <c r="SJI83" s="6"/>
      <c r="SJJ83" s="6"/>
      <c r="SJK83" s="6"/>
      <c r="SJL83" s="6"/>
      <c r="SJM83" s="6"/>
      <c r="SJN83" s="6"/>
      <c r="SJO83" s="6"/>
      <c r="SJP83" s="6"/>
      <c r="SJQ83" s="6"/>
      <c r="SJR83" s="6"/>
      <c r="SJS83" s="6"/>
      <c r="SJT83" s="6"/>
      <c r="SJU83" s="6"/>
      <c r="SJV83" s="6"/>
      <c r="SJW83" s="6"/>
      <c r="SJX83" s="6"/>
      <c r="SJY83" s="6"/>
      <c r="SJZ83" s="6"/>
      <c r="SKA83" s="6"/>
      <c r="SKB83" s="6"/>
      <c r="SKC83" s="6"/>
      <c r="SKD83" s="6"/>
      <c r="SKE83" s="6"/>
      <c r="SKF83" s="6"/>
      <c r="SKG83" s="6"/>
      <c r="SKH83" s="6"/>
      <c r="SKI83" s="6"/>
      <c r="SKJ83" s="6"/>
      <c r="SKK83" s="6"/>
      <c r="SKL83" s="6"/>
      <c r="SKM83" s="6"/>
      <c r="SKN83" s="6"/>
      <c r="SKO83" s="6"/>
      <c r="SKP83" s="6"/>
      <c r="SKQ83" s="6"/>
      <c r="SKR83" s="6"/>
      <c r="SKS83" s="6"/>
      <c r="SKT83" s="6"/>
      <c r="SKU83" s="6"/>
      <c r="SKV83" s="6"/>
      <c r="SKW83" s="6"/>
      <c r="SKX83" s="6"/>
      <c r="SKY83" s="6"/>
      <c r="SKZ83" s="6"/>
      <c r="SLA83" s="6"/>
      <c r="SLB83" s="6"/>
      <c r="SLC83" s="6"/>
      <c r="SLD83" s="6"/>
      <c r="SLE83" s="6"/>
      <c r="SLF83" s="6"/>
      <c r="SLG83" s="6"/>
      <c r="SLH83" s="6"/>
      <c r="SLI83" s="6"/>
      <c r="SLJ83" s="6"/>
      <c r="SLK83" s="6"/>
      <c r="SLL83" s="6"/>
      <c r="SLM83" s="6"/>
      <c r="SLN83" s="6"/>
      <c r="SLO83" s="6"/>
      <c r="SLP83" s="6"/>
      <c r="SLQ83" s="6"/>
      <c r="SLR83" s="6"/>
      <c r="SLS83" s="6"/>
      <c r="SLT83" s="6"/>
      <c r="SLU83" s="6"/>
      <c r="SLV83" s="6"/>
      <c r="SLW83" s="6"/>
      <c r="SLX83" s="6"/>
      <c r="SLY83" s="6"/>
      <c r="SLZ83" s="6"/>
      <c r="SMA83" s="6"/>
      <c r="SMB83" s="6"/>
      <c r="SMC83" s="6"/>
      <c r="SMD83" s="6"/>
      <c r="SME83" s="6"/>
      <c r="SMF83" s="6"/>
      <c r="SMG83" s="6"/>
      <c r="SMH83" s="6"/>
      <c r="SMI83" s="6"/>
      <c r="SMJ83" s="6"/>
      <c r="SMK83" s="6"/>
      <c r="SML83" s="6"/>
      <c r="SMM83" s="6"/>
      <c r="SMN83" s="6"/>
      <c r="SMO83" s="6"/>
      <c r="SMP83" s="6"/>
      <c r="SMQ83" s="6"/>
      <c r="SMR83" s="6"/>
      <c r="SMS83" s="6"/>
      <c r="SMT83" s="6"/>
      <c r="SMU83" s="6"/>
      <c r="SMV83" s="6"/>
      <c r="SMW83" s="6"/>
      <c r="SMX83" s="6"/>
      <c r="SMY83" s="6"/>
      <c r="SMZ83" s="6"/>
      <c r="SNA83" s="6"/>
      <c r="SNB83" s="6"/>
      <c r="SNC83" s="6"/>
      <c r="SND83" s="6"/>
      <c r="SNE83" s="6"/>
      <c r="SNF83" s="6"/>
      <c r="SNG83" s="6"/>
      <c r="SNH83" s="6"/>
      <c r="SNI83" s="6"/>
      <c r="SNJ83" s="6"/>
      <c r="SNK83" s="6"/>
      <c r="SNL83" s="6"/>
      <c r="SNM83" s="6"/>
      <c r="SNN83" s="6"/>
      <c r="SNO83" s="6"/>
      <c r="SNP83" s="6"/>
      <c r="SNQ83" s="6"/>
      <c r="SNR83" s="6"/>
      <c r="SNS83" s="6"/>
      <c r="SNT83" s="6"/>
      <c r="SNU83" s="6"/>
      <c r="SNV83" s="6"/>
      <c r="SNW83" s="6"/>
      <c r="SNX83" s="6"/>
      <c r="SNY83" s="6"/>
      <c r="SNZ83" s="6"/>
      <c r="SOA83" s="6"/>
      <c r="SOB83" s="6"/>
      <c r="SOC83" s="6"/>
      <c r="SOD83" s="6"/>
      <c r="SOE83" s="6"/>
      <c r="SOF83" s="6"/>
      <c r="SOG83" s="6"/>
      <c r="SOH83" s="6"/>
      <c r="SOI83" s="6"/>
      <c r="SOJ83" s="6"/>
      <c r="SOK83" s="6"/>
      <c r="SOL83" s="6"/>
      <c r="SOM83" s="6"/>
      <c r="SON83" s="6"/>
      <c r="SOO83" s="6"/>
      <c r="SOP83" s="6"/>
      <c r="SOQ83" s="6"/>
      <c r="SOR83" s="6"/>
      <c r="SOS83" s="6"/>
      <c r="SOT83" s="6"/>
      <c r="SOU83" s="6"/>
      <c r="SOV83" s="6"/>
      <c r="SOW83" s="6"/>
      <c r="SOX83" s="6"/>
      <c r="SOY83" s="6"/>
      <c r="SOZ83" s="6"/>
      <c r="SPA83" s="6"/>
      <c r="SPB83" s="6"/>
      <c r="SPC83" s="6"/>
      <c r="SPD83" s="6"/>
      <c r="SPE83" s="6"/>
      <c r="SPF83" s="6"/>
      <c r="SPG83" s="6"/>
      <c r="SPH83" s="6"/>
      <c r="SPI83" s="6"/>
      <c r="SPJ83" s="6"/>
      <c r="SPK83" s="6"/>
      <c r="SPL83" s="6"/>
      <c r="SPM83" s="6"/>
      <c r="SPN83" s="6"/>
      <c r="SPO83" s="6"/>
      <c r="SPP83" s="6"/>
      <c r="SPQ83" s="6"/>
      <c r="SPR83" s="6"/>
      <c r="SPS83" s="6"/>
      <c r="SPT83" s="6"/>
      <c r="SPU83" s="6"/>
      <c r="SPV83" s="6"/>
      <c r="SPW83" s="6"/>
      <c r="SPX83" s="6"/>
      <c r="SPY83" s="6"/>
      <c r="SPZ83" s="6"/>
      <c r="SQA83" s="6"/>
      <c r="SQB83" s="6"/>
      <c r="SQC83" s="6"/>
      <c r="SQD83" s="6"/>
      <c r="SQE83" s="6"/>
      <c r="SQF83" s="6"/>
      <c r="SQG83" s="6"/>
      <c r="SQH83" s="6"/>
      <c r="SQI83" s="6"/>
      <c r="SQJ83" s="6"/>
      <c r="SQK83" s="6"/>
      <c r="SQL83" s="6"/>
      <c r="SQM83" s="6"/>
      <c r="SQN83" s="6"/>
      <c r="SQO83" s="6"/>
      <c r="SQP83" s="6"/>
      <c r="SQQ83" s="6"/>
      <c r="SQR83" s="6"/>
      <c r="SQS83" s="6"/>
      <c r="SQT83" s="6"/>
      <c r="SQU83" s="6"/>
      <c r="SQV83" s="6"/>
      <c r="SQW83" s="6"/>
      <c r="SQX83" s="6"/>
      <c r="SQY83" s="6"/>
      <c r="SQZ83" s="6"/>
      <c r="SRA83" s="6"/>
      <c r="SRB83" s="6"/>
      <c r="SRC83" s="6"/>
      <c r="SRD83" s="6"/>
      <c r="SRE83" s="6"/>
      <c r="SRF83" s="6"/>
      <c r="SRG83" s="6"/>
      <c r="SRH83" s="6"/>
      <c r="SRI83" s="6"/>
      <c r="SRJ83" s="6"/>
      <c r="SRK83" s="6"/>
      <c r="SRL83" s="6"/>
      <c r="SRM83" s="6"/>
      <c r="SRN83" s="6"/>
      <c r="SRO83" s="6"/>
      <c r="SRP83" s="6"/>
      <c r="SRQ83" s="6"/>
      <c r="SRR83" s="6"/>
      <c r="SRS83" s="6"/>
      <c r="SRT83" s="6"/>
      <c r="SRU83" s="6"/>
      <c r="SRV83" s="6"/>
      <c r="SRW83" s="6"/>
      <c r="SRX83" s="6"/>
      <c r="SRY83" s="6"/>
      <c r="SRZ83" s="6"/>
      <c r="SSA83" s="6"/>
      <c r="SSB83" s="6"/>
      <c r="SSC83" s="6"/>
      <c r="SSD83" s="6"/>
      <c r="SSE83" s="6"/>
      <c r="SSF83" s="6"/>
      <c r="SSG83" s="6"/>
      <c r="SSH83" s="6"/>
      <c r="SSI83" s="6"/>
      <c r="SSJ83" s="6"/>
      <c r="SSK83" s="6"/>
      <c r="SSL83" s="6"/>
      <c r="SSM83" s="6"/>
      <c r="SSN83" s="6"/>
      <c r="SSO83" s="6"/>
      <c r="SSP83" s="6"/>
      <c r="SSQ83" s="6"/>
      <c r="SSR83" s="6"/>
      <c r="SSS83" s="6"/>
      <c r="SST83" s="6"/>
      <c r="SSU83" s="6"/>
      <c r="SSV83" s="6"/>
      <c r="SSW83" s="6"/>
      <c r="SSX83" s="6"/>
      <c r="SSY83" s="6"/>
      <c r="SSZ83" s="6"/>
      <c r="STA83" s="6"/>
      <c r="STB83" s="6"/>
      <c r="STC83" s="6"/>
      <c r="STD83" s="6"/>
      <c r="STE83" s="6"/>
      <c r="STF83" s="6"/>
      <c r="STG83" s="6"/>
      <c r="STH83" s="6"/>
      <c r="STI83" s="6"/>
      <c r="STJ83" s="6"/>
      <c r="STK83" s="6"/>
      <c r="STL83" s="6"/>
      <c r="STM83" s="6"/>
      <c r="STN83" s="6"/>
      <c r="STO83" s="6"/>
      <c r="STP83" s="6"/>
      <c r="STQ83" s="6"/>
      <c r="STR83" s="6"/>
      <c r="STS83" s="6"/>
      <c r="STT83" s="6"/>
      <c r="STU83" s="6"/>
      <c r="STV83" s="6"/>
      <c r="STW83" s="6"/>
      <c r="STX83" s="6"/>
      <c r="STY83" s="6"/>
      <c r="STZ83" s="6"/>
      <c r="SUA83" s="6"/>
      <c r="SUB83" s="6"/>
      <c r="SUC83" s="6"/>
      <c r="SUD83" s="6"/>
      <c r="SUE83" s="6"/>
      <c r="SUF83" s="6"/>
      <c r="SUG83" s="6"/>
      <c r="SUH83" s="6"/>
      <c r="SUI83" s="6"/>
      <c r="SUJ83" s="6"/>
      <c r="SUK83" s="6"/>
      <c r="SUL83" s="6"/>
      <c r="SUM83" s="6"/>
      <c r="SUN83" s="6"/>
      <c r="SUO83" s="6"/>
      <c r="SUP83" s="6"/>
      <c r="SUQ83" s="6"/>
      <c r="SUR83" s="6"/>
      <c r="SUS83" s="6"/>
      <c r="SUT83" s="6"/>
      <c r="SUU83" s="6"/>
      <c r="SUV83" s="6"/>
      <c r="SUW83" s="6"/>
      <c r="SUX83" s="6"/>
      <c r="SUY83" s="6"/>
      <c r="SUZ83" s="6"/>
      <c r="SVA83" s="6"/>
      <c r="SVB83" s="6"/>
      <c r="SVC83" s="6"/>
      <c r="SVD83" s="6"/>
      <c r="SVE83" s="6"/>
      <c r="SVF83" s="6"/>
      <c r="SVG83" s="6"/>
      <c r="SVH83" s="6"/>
      <c r="SVI83" s="6"/>
      <c r="SVJ83" s="6"/>
      <c r="SVK83" s="6"/>
      <c r="SVL83" s="6"/>
      <c r="SVM83" s="6"/>
      <c r="SVN83" s="6"/>
      <c r="SVO83" s="6"/>
      <c r="SVP83" s="6"/>
      <c r="SVQ83" s="6"/>
      <c r="SVR83" s="6"/>
      <c r="SVS83" s="6"/>
      <c r="SVT83" s="6"/>
      <c r="SVU83" s="6"/>
      <c r="SVV83" s="6"/>
      <c r="SVW83" s="6"/>
      <c r="SVX83" s="6"/>
      <c r="SVY83" s="6"/>
      <c r="SVZ83" s="6"/>
      <c r="SWA83" s="6"/>
      <c r="SWB83" s="6"/>
      <c r="SWC83" s="6"/>
      <c r="SWD83" s="6"/>
      <c r="SWE83" s="6"/>
      <c r="SWF83" s="6"/>
      <c r="SWG83" s="6"/>
      <c r="SWH83" s="6"/>
      <c r="SWI83" s="6"/>
      <c r="SWJ83" s="6"/>
      <c r="SWK83" s="6"/>
      <c r="SWL83" s="6"/>
      <c r="SWM83" s="6"/>
      <c r="SWN83" s="6"/>
      <c r="SWO83" s="6"/>
      <c r="SWP83" s="6"/>
      <c r="SWQ83" s="6"/>
      <c r="SWR83" s="6"/>
      <c r="SWS83" s="6"/>
      <c r="SWT83" s="6"/>
      <c r="SWU83" s="6"/>
      <c r="SWV83" s="6"/>
      <c r="SWW83" s="6"/>
      <c r="SWX83" s="6"/>
      <c r="SWY83" s="6"/>
      <c r="SWZ83" s="6"/>
      <c r="SXA83" s="6"/>
      <c r="SXB83" s="6"/>
      <c r="SXC83" s="6"/>
      <c r="SXD83" s="6"/>
      <c r="SXE83" s="6"/>
      <c r="SXF83" s="6"/>
      <c r="SXG83" s="6"/>
      <c r="SXH83" s="6"/>
      <c r="SXI83" s="6"/>
      <c r="SXJ83" s="6"/>
      <c r="SXK83" s="6"/>
      <c r="SXL83" s="6"/>
      <c r="SXM83" s="6"/>
      <c r="SXN83" s="6"/>
      <c r="SXO83" s="6"/>
      <c r="SXP83" s="6"/>
      <c r="SXQ83" s="6"/>
      <c r="SXR83" s="6"/>
      <c r="SXS83" s="6"/>
      <c r="SXT83" s="6"/>
      <c r="SXU83" s="6"/>
      <c r="SXV83" s="6"/>
      <c r="SXW83" s="6"/>
      <c r="SXX83" s="6"/>
      <c r="SXY83" s="6"/>
      <c r="SXZ83" s="6"/>
      <c r="SYA83" s="6"/>
      <c r="SYB83" s="6"/>
      <c r="SYC83" s="6"/>
      <c r="SYD83" s="6"/>
      <c r="SYE83" s="6"/>
      <c r="SYF83" s="6"/>
      <c r="SYG83" s="6"/>
      <c r="SYH83" s="6"/>
      <c r="SYI83" s="6"/>
      <c r="SYJ83" s="6"/>
      <c r="SYK83" s="6"/>
      <c r="SYL83" s="6"/>
      <c r="SYM83" s="6"/>
      <c r="SYN83" s="6"/>
      <c r="SYO83" s="6"/>
      <c r="SYP83" s="6"/>
      <c r="SYQ83" s="6"/>
      <c r="SYR83" s="6"/>
      <c r="SYS83" s="6"/>
      <c r="SYT83" s="6"/>
      <c r="SYU83" s="6"/>
      <c r="SYV83" s="6"/>
      <c r="SYW83" s="6"/>
      <c r="SYX83" s="6"/>
      <c r="SYY83" s="6"/>
      <c r="SYZ83" s="6"/>
      <c r="SZA83" s="6"/>
      <c r="SZB83" s="6"/>
      <c r="SZC83" s="6"/>
      <c r="SZD83" s="6"/>
      <c r="SZE83" s="6"/>
      <c r="SZF83" s="6"/>
      <c r="SZG83" s="6"/>
      <c r="SZH83" s="6"/>
      <c r="SZI83" s="6"/>
      <c r="SZJ83" s="6"/>
      <c r="SZK83" s="6"/>
      <c r="SZL83" s="6"/>
      <c r="SZM83" s="6"/>
      <c r="SZN83" s="6"/>
      <c r="SZO83" s="6"/>
      <c r="SZP83" s="6"/>
      <c r="SZQ83" s="6"/>
      <c r="SZR83" s="6"/>
      <c r="SZS83" s="6"/>
      <c r="SZT83" s="6"/>
      <c r="SZU83" s="6"/>
      <c r="SZV83" s="6"/>
      <c r="SZW83" s="6"/>
      <c r="SZX83" s="6"/>
      <c r="SZY83" s="6"/>
      <c r="SZZ83" s="6"/>
      <c r="TAA83" s="6"/>
      <c r="TAB83" s="6"/>
      <c r="TAC83" s="6"/>
      <c r="TAD83" s="6"/>
      <c r="TAE83" s="6"/>
      <c r="TAF83" s="6"/>
      <c r="TAG83" s="6"/>
      <c r="TAH83" s="6"/>
      <c r="TAI83" s="6"/>
      <c r="TAJ83" s="6"/>
      <c r="TAK83" s="6"/>
      <c r="TAL83" s="6"/>
      <c r="TAM83" s="6"/>
      <c r="TAN83" s="6"/>
      <c r="TAO83" s="6"/>
      <c r="TAP83" s="6"/>
      <c r="TAQ83" s="6"/>
      <c r="TAR83" s="6"/>
      <c r="TAS83" s="6"/>
      <c r="TAT83" s="6"/>
      <c r="TAU83" s="6"/>
      <c r="TAV83" s="6"/>
      <c r="TAW83" s="6"/>
      <c r="TAX83" s="6"/>
      <c r="TAY83" s="6"/>
      <c r="TAZ83" s="6"/>
      <c r="TBA83" s="6"/>
      <c r="TBB83" s="6"/>
      <c r="TBC83" s="6"/>
      <c r="TBD83" s="6"/>
      <c r="TBE83" s="6"/>
      <c r="TBF83" s="6"/>
      <c r="TBG83" s="6"/>
      <c r="TBH83" s="6"/>
      <c r="TBI83" s="6"/>
      <c r="TBJ83" s="6"/>
      <c r="TBK83" s="6"/>
      <c r="TBL83" s="6"/>
      <c r="TBM83" s="6"/>
      <c r="TBN83" s="6"/>
      <c r="TBO83" s="6"/>
      <c r="TBP83" s="6"/>
      <c r="TBQ83" s="6"/>
      <c r="TBR83" s="6"/>
      <c r="TBS83" s="6"/>
      <c r="TBT83" s="6"/>
      <c r="TBU83" s="6"/>
      <c r="TBV83" s="6"/>
      <c r="TBW83" s="6"/>
      <c r="TBX83" s="6"/>
      <c r="TBY83" s="6"/>
      <c r="TBZ83" s="6"/>
      <c r="TCA83" s="6"/>
      <c r="TCB83" s="6"/>
      <c r="TCC83" s="6"/>
      <c r="TCD83" s="6"/>
      <c r="TCE83" s="6"/>
      <c r="TCF83" s="6"/>
      <c r="TCG83" s="6"/>
      <c r="TCH83" s="6"/>
      <c r="TCI83" s="6"/>
      <c r="TCJ83" s="6"/>
      <c r="TCK83" s="6"/>
      <c r="TCL83" s="6"/>
      <c r="TCM83" s="6"/>
      <c r="TCN83" s="6"/>
      <c r="TCO83" s="6"/>
      <c r="TCP83" s="6"/>
      <c r="TCQ83" s="6"/>
      <c r="TCR83" s="6"/>
      <c r="TCS83" s="6"/>
      <c r="TCT83" s="6"/>
      <c r="TCU83" s="6"/>
      <c r="TCV83" s="6"/>
      <c r="TCW83" s="6"/>
      <c r="TCX83" s="6"/>
      <c r="TCY83" s="6"/>
      <c r="TCZ83" s="6"/>
      <c r="TDA83" s="6"/>
      <c r="TDB83" s="6"/>
      <c r="TDC83" s="6"/>
      <c r="TDD83" s="6"/>
      <c r="TDE83" s="6"/>
      <c r="TDF83" s="6"/>
      <c r="TDG83" s="6"/>
      <c r="TDH83" s="6"/>
      <c r="TDI83" s="6"/>
      <c r="TDJ83" s="6"/>
      <c r="TDK83" s="6"/>
      <c r="TDL83" s="6"/>
      <c r="TDM83" s="6"/>
      <c r="TDN83" s="6"/>
      <c r="TDO83" s="6"/>
      <c r="TDP83" s="6"/>
      <c r="TDQ83" s="6"/>
      <c r="TDR83" s="6"/>
      <c r="TDS83" s="6"/>
      <c r="TDT83" s="6"/>
      <c r="TDU83" s="6"/>
      <c r="TDV83" s="6"/>
      <c r="TDW83" s="6"/>
      <c r="TDX83" s="6"/>
      <c r="TDY83" s="6"/>
      <c r="TDZ83" s="6"/>
      <c r="TEA83" s="6"/>
      <c r="TEB83" s="6"/>
      <c r="TEC83" s="6"/>
      <c r="TED83" s="6"/>
      <c r="TEE83" s="6"/>
      <c r="TEF83" s="6"/>
      <c r="TEG83" s="6"/>
      <c r="TEH83" s="6"/>
      <c r="TEI83" s="6"/>
      <c r="TEJ83" s="6"/>
      <c r="TEK83" s="6"/>
      <c r="TEL83" s="6"/>
      <c r="TEM83" s="6"/>
      <c r="TEN83" s="6"/>
      <c r="TEO83" s="6"/>
      <c r="TEP83" s="6"/>
      <c r="TEQ83" s="6"/>
      <c r="TER83" s="6"/>
      <c r="TES83" s="6"/>
      <c r="TET83" s="6"/>
      <c r="TEU83" s="6"/>
      <c r="TEV83" s="6"/>
      <c r="TEW83" s="6"/>
      <c r="TEX83" s="6"/>
      <c r="TEY83" s="6"/>
      <c r="TEZ83" s="6"/>
      <c r="TFA83" s="6"/>
      <c r="TFB83" s="6"/>
      <c r="TFC83" s="6"/>
      <c r="TFD83" s="6"/>
      <c r="TFE83" s="6"/>
      <c r="TFF83" s="6"/>
      <c r="TFG83" s="6"/>
      <c r="TFH83" s="6"/>
      <c r="TFI83" s="6"/>
      <c r="TFJ83" s="6"/>
      <c r="TFK83" s="6"/>
      <c r="TFL83" s="6"/>
      <c r="TFM83" s="6"/>
      <c r="TFN83" s="6"/>
      <c r="TFO83" s="6"/>
      <c r="TFP83" s="6"/>
      <c r="TFQ83" s="6"/>
      <c r="TFR83" s="6"/>
      <c r="TFS83" s="6"/>
      <c r="TFT83" s="6"/>
      <c r="TFU83" s="6"/>
      <c r="TFV83" s="6"/>
      <c r="TFW83" s="6"/>
      <c r="TFX83" s="6"/>
      <c r="TFY83" s="6"/>
      <c r="TFZ83" s="6"/>
      <c r="TGA83" s="6"/>
      <c r="TGB83" s="6"/>
      <c r="TGC83" s="6"/>
      <c r="TGD83" s="6"/>
      <c r="TGE83" s="6"/>
      <c r="TGF83" s="6"/>
      <c r="TGG83" s="6"/>
      <c r="TGH83" s="6"/>
      <c r="TGI83" s="6"/>
      <c r="TGJ83" s="6"/>
      <c r="TGK83" s="6"/>
      <c r="TGL83" s="6"/>
      <c r="TGM83" s="6"/>
      <c r="TGN83" s="6"/>
      <c r="TGO83" s="6"/>
      <c r="TGP83" s="6"/>
      <c r="TGQ83" s="6"/>
      <c r="TGR83" s="6"/>
      <c r="TGS83" s="6"/>
      <c r="TGT83" s="6"/>
      <c r="TGU83" s="6"/>
      <c r="TGV83" s="6"/>
      <c r="TGW83" s="6"/>
      <c r="TGX83" s="6"/>
      <c r="TGY83" s="6"/>
      <c r="TGZ83" s="6"/>
      <c r="THA83" s="6"/>
      <c r="THB83" s="6"/>
      <c r="THC83" s="6"/>
      <c r="THD83" s="6"/>
      <c r="THE83" s="6"/>
      <c r="THF83" s="6"/>
      <c r="THG83" s="6"/>
      <c r="THH83" s="6"/>
      <c r="THI83" s="6"/>
      <c r="THJ83" s="6"/>
      <c r="THK83" s="6"/>
      <c r="THL83" s="6"/>
      <c r="THM83" s="6"/>
      <c r="THN83" s="6"/>
      <c r="THO83" s="6"/>
      <c r="THP83" s="6"/>
      <c r="THQ83" s="6"/>
      <c r="THR83" s="6"/>
      <c r="THS83" s="6"/>
      <c r="THT83" s="6"/>
      <c r="THU83" s="6"/>
      <c r="THV83" s="6"/>
      <c r="THW83" s="6"/>
      <c r="THX83" s="6"/>
      <c r="THY83" s="6"/>
      <c r="THZ83" s="6"/>
      <c r="TIA83" s="6"/>
      <c r="TIB83" s="6"/>
      <c r="TIC83" s="6"/>
      <c r="TID83" s="6"/>
      <c r="TIE83" s="6"/>
      <c r="TIF83" s="6"/>
      <c r="TIG83" s="6"/>
      <c r="TIH83" s="6"/>
      <c r="TII83" s="6"/>
      <c r="TIJ83" s="6"/>
      <c r="TIK83" s="6"/>
      <c r="TIL83" s="6"/>
      <c r="TIM83" s="6"/>
      <c r="TIN83" s="6"/>
      <c r="TIO83" s="6"/>
      <c r="TIP83" s="6"/>
      <c r="TIQ83" s="6"/>
      <c r="TIR83" s="6"/>
      <c r="TIS83" s="6"/>
      <c r="TIT83" s="6"/>
      <c r="TIU83" s="6"/>
      <c r="TIV83" s="6"/>
      <c r="TIW83" s="6"/>
      <c r="TIX83" s="6"/>
      <c r="TIY83" s="6"/>
      <c r="TIZ83" s="6"/>
      <c r="TJA83" s="6"/>
      <c r="TJB83" s="6"/>
      <c r="TJC83" s="6"/>
      <c r="TJD83" s="6"/>
      <c r="TJE83" s="6"/>
      <c r="TJF83" s="6"/>
      <c r="TJG83" s="6"/>
      <c r="TJH83" s="6"/>
      <c r="TJI83" s="6"/>
      <c r="TJJ83" s="6"/>
      <c r="TJK83" s="6"/>
      <c r="TJL83" s="6"/>
      <c r="TJM83" s="6"/>
      <c r="TJN83" s="6"/>
      <c r="TJO83" s="6"/>
      <c r="TJP83" s="6"/>
      <c r="TJQ83" s="6"/>
      <c r="TJR83" s="6"/>
      <c r="TJS83" s="6"/>
      <c r="TJT83" s="6"/>
      <c r="TJU83" s="6"/>
      <c r="TJV83" s="6"/>
      <c r="TJW83" s="6"/>
      <c r="TJX83" s="6"/>
      <c r="TJY83" s="6"/>
      <c r="TJZ83" s="6"/>
      <c r="TKA83" s="6"/>
      <c r="TKB83" s="6"/>
      <c r="TKC83" s="6"/>
      <c r="TKD83" s="6"/>
      <c r="TKE83" s="6"/>
      <c r="TKF83" s="6"/>
      <c r="TKG83" s="6"/>
      <c r="TKH83" s="6"/>
      <c r="TKI83" s="6"/>
      <c r="TKJ83" s="6"/>
      <c r="TKK83" s="6"/>
      <c r="TKL83" s="6"/>
      <c r="TKM83" s="6"/>
      <c r="TKN83" s="6"/>
      <c r="TKO83" s="6"/>
      <c r="TKP83" s="6"/>
      <c r="TKQ83" s="6"/>
      <c r="TKR83" s="6"/>
      <c r="TKS83" s="6"/>
      <c r="TKT83" s="6"/>
      <c r="TKU83" s="6"/>
      <c r="TKV83" s="6"/>
      <c r="TKW83" s="6"/>
      <c r="TKX83" s="6"/>
      <c r="TKY83" s="6"/>
      <c r="TKZ83" s="6"/>
      <c r="TLA83" s="6"/>
      <c r="TLB83" s="6"/>
      <c r="TLC83" s="6"/>
      <c r="TLD83" s="6"/>
      <c r="TLE83" s="6"/>
      <c r="TLF83" s="6"/>
      <c r="TLG83" s="6"/>
      <c r="TLH83" s="6"/>
      <c r="TLI83" s="6"/>
      <c r="TLJ83" s="6"/>
      <c r="TLK83" s="6"/>
      <c r="TLL83" s="6"/>
      <c r="TLM83" s="6"/>
      <c r="TLN83" s="6"/>
      <c r="TLO83" s="6"/>
      <c r="TLP83" s="6"/>
      <c r="TLQ83" s="6"/>
      <c r="TLR83" s="6"/>
      <c r="TLS83" s="6"/>
      <c r="TLT83" s="6"/>
      <c r="TLU83" s="6"/>
      <c r="TLV83" s="6"/>
      <c r="TLW83" s="6"/>
      <c r="TLX83" s="6"/>
      <c r="TLY83" s="6"/>
      <c r="TLZ83" s="6"/>
      <c r="TMA83" s="6"/>
      <c r="TMB83" s="6"/>
      <c r="TMC83" s="6"/>
      <c r="TMD83" s="6"/>
      <c r="TME83" s="6"/>
      <c r="TMF83" s="6"/>
      <c r="TMG83" s="6"/>
      <c r="TMH83" s="6"/>
      <c r="TMI83" s="6"/>
      <c r="TMJ83" s="6"/>
      <c r="TMK83" s="6"/>
      <c r="TML83" s="6"/>
      <c r="TMM83" s="6"/>
      <c r="TMN83" s="6"/>
      <c r="TMO83" s="6"/>
      <c r="TMP83" s="6"/>
      <c r="TMQ83" s="6"/>
      <c r="TMR83" s="6"/>
      <c r="TMS83" s="6"/>
      <c r="TMT83" s="6"/>
      <c r="TMU83" s="6"/>
      <c r="TMV83" s="6"/>
      <c r="TMW83" s="6"/>
      <c r="TMX83" s="6"/>
      <c r="TMY83" s="6"/>
      <c r="TMZ83" s="6"/>
      <c r="TNA83" s="6"/>
      <c r="TNB83" s="6"/>
      <c r="TNC83" s="6"/>
      <c r="TND83" s="6"/>
      <c r="TNE83" s="6"/>
      <c r="TNF83" s="6"/>
      <c r="TNG83" s="6"/>
      <c r="TNH83" s="6"/>
      <c r="TNI83" s="6"/>
      <c r="TNJ83" s="6"/>
      <c r="TNK83" s="6"/>
      <c r="TNL83" s="6"/>
      <c r="TNM83" s="6"/>
      <c r="TNN83" s="6"/>
      <c r="TNO83" s="6"/>
      <c r="TNP83" s="6"/>
      <c r="TNQ83" s="6"/>
      <c r="TNR83" s="6"/>
      <c r="TNS83" s="6"/>
      <c r="TNT83" s="6"/>
      <c r="TNU83" s="6"/>
      <c r="TNV83" s="6"/>
      <c r="TNW83" s="6"/>
      <c r="TNX83" s="6"/>
      <c r="TNY83" s="6"/>
      <c r="TNZ83" s="6"/>
      <c r="TOA83" s="6"/>
      <c r="TOB83" s="6"/>
      <c r="TOC83" s="6"/>
      <c r="TOD83" s="6"/>
      <c r="TOE83" s="6"/>
      <c r="TOF83" s="6"/>
      <c r="TOG83" s="6"/>
      <c r="TOH83" s="6"/>
      <c r="TOI83" s="6"/>
      <c r="TOJ83" s="6"/>
      <c r="TOK83" s="6"/>
      <c r="TOL83" s="6"/>
      <c r="TOM83" s="6"/>
      <c r="TON83" s="6"/>
      <c r="TOO83" s="6"/>
      <c r="TOP83" s="6"/>
      <c r="TOQ83" s="6"/>
      <c r="TOR83" s="6"/>
      <c r="TOS83" s="6"/>
      <c r="TOT83" s="6"/>
      <c r="TOU83" s="6"/>
      <c r="TOV83" s="6"/>
      <c r="TOW83" s="6"/>
      <c r="TOX83" s="6"/>
      <c r="TOY83" s="6"/>
      <c r="TOZ83" s="6"/>
      <c r="TPA83" s="6"/>
      <c r="TPB83" s="6"/>
      <c r="TPC83" s="6"/>
      <c r="TPD83" s="6"/>
      <c r="TPE83" s="6"/>
      <c r="TPF83" s="6"/>
      <c r="TPG83" s="6"/>
      <c r="TPH83" s="6"/>
      <c r="TPI83" s="6"/>
      <c r="TPJ83" s="6"/>
      <c r="TPK83" s="6"/>
      <c r="TPL83" s="6"/>
      <c r="TPM83" s="6"/>
      <c r="TPN83" s="6"/>
      <c r="TPO83" s="6"/>
      <c r="TPP83" s="6"/>
      <c r="TPQ83" s="6"/>
      <c r="TPR83" s="6"/>
      <c r="TPS83" s="6"/>
      <c r="TPT83" s="6"/>
      <c r="TPU83" s="6"/>
      <c r="TPV83" s="6"/>
      <c r="TPW83" s="6"/>
      <c r="TPX83" s="6"/>
      <c r="TPY83" s="6"/>
      <c r="TPZ83" s="6"/>
      <c r="TQA83" s="6"/>
      <c r="TQB83" s="6"/>
      <c r="TQC83" s="6"/>
      <c r="TQD83" s="6"/>
      <c r="TQE83" s="6"/>
      <c r="TQF83" s="6"/>
      <c r="TQG83" s="6"/>
      <c r="TQH83" s="6"/>
      <c r="TQI83" s="6"/>
      <c r="TQJ83" s="6"/>
      <c r="TQK83" s="6"/>
      <c r="TQL83" s="6"/>
      <c r="TQM83" s="6"/>
      <c r="TQN83" s="6"/>
      <c r="TQO83" s="6"/>
      <c r="TQP83" s="6"/>
      <c r="TQQ83" s="6"/>
      <c r="TQR83" s="6"/>
      <c r="TQS83" s="6"/>
      <c r="TQT83" s="6"/>
      <c r="TQU83" s="6"/>
      <c r="TQV83" s="6"/>
      <c r="TQW83" s="6"/>
      <c r="TQX83" s="6"/>
      <c r="TQY83" s="6"/>
      <c r="TQZ83" s="6"/>
      <c r="TRA83" s="6"/>
      <c r="TRB83" s="6"/>
      <c r="TRC83" s="6"/>
      <c r="TRD83" s="6"/>
      <c r="TRE83" s="6"/>
      <c r="TRF83" s="6"/>
      <c r="TRG83" s="6"/>
      <c r="TRH83" s="6"/>
      <c r="TRI83" s="6"/>
      <c r="TRJ83" s="6"/>
      <c r="TRK83" s="6"/>
      <c r="TRL83" s="6"/>
      <c r="TRM83" s="6"/>
      <c r="TRN83" s="6"/>
      <c r="TRO83" s="6"/>
      <c r="TRP83" s="6"/>
      <c r="TRQ83" s="6"/>
      <c r="TRR83" s="6"/>
      <c r="TRS83" s="6"/>
      <c r="TRT83" s="6"/>
      <c r="TRU83" s="6"/>
      <c r="TRV83" s="6"/>
      <c r="TRW83" s="6"/>
      <c r="TRX83" s="6"/>
      <c r="TRY83" s="6"/>
      <c r="TRZ83" s="6"/>
      <c r="TSA83" s="6"/>
      <c r="TSB83" s="6"/>
      <c r="TSC83" s="6"/>
      <c r="TSD83" s="6"/>
      <c r="TSE83" s="6"/>
      <c r="TSF83" s="6"/>
      <c r="TSG83" s="6"/>
      <c r="TSH83" s="6"/>
      <c r="TSI83" s="6"/>
      <c r="TSJ83" s="6"/>
      <c r="TSK83" s="6"/>
      <c r="TSL83" s="6"/>
      <c r="TSM83" s="6"/>
      <c r="TSN83" s="6"/>
      <c r="TSO83" s="6"/>
      <c r="TSP83" s="6"/>
      <c r="TSQ83" s="6"/>
      <c r="TSR83" s="6"/>
      <c r="TSS83" s="6"/>
      <c r="TST83" s="6"/>
      <c r="TSU83" s="6"/>
      <c r="TSV83" s="6"/>
      <c r="TSW83" s="6"/>
      <c r="TSX83" s="6"/>
      <c r="TSY83" s="6"/>
      <c r="TSZ83" s="6"/>
      <c r="TTA83" s="6"/>
      <c r="TTB83" s="6"/>
      <c r="TTC83" s="6"/>
      <c r="TTD83" s="6"/>
      <c r="TTE83" s="6"/>
      <c r="TTF83" s="6"/>
      <c r="TTG83" s="6"/>
      <c r="TTH83" s="6"/>
      <c r="TTI83" s="6"/>
      <c r="TTJ83" s="6"/>
      <c r="TTK83" s="6"/>
      <c r="TTL83" s="6"/>
      <c r="TTM83" s="6"/>
      <c r="TTN83" s="6"/>
      <c r="TTO83" s="6"/>
      <c r="TTP83" s="6"/>
      <c r="TTQ83" s="6"/>
      <c r="TTR83" s="6"/>
      <c r="TTS83" s="6"/>
      <c r="TTT83" s="6"/>
      <c r="TTU83" s="6"/>
      <c r="TTV83" s="6"/>
      <c r="TTW83" s="6"/>
      <c r="TTX83" s="6"/>
      <c r="TTY83" s="6"/>
      <c r="TTZ83" s="6"/>
      <c r="TUA83" s="6"/>
      <c r="TUB83" s="6"/>
      <c r="TUC83" s="6"/>
      <c r="TUD83" s="6"/>
      <c r="TUE83" s="6"/>
      <c r="TUF83" s="6"/>
      <c r="TUG83" s="6"/>
      <c r="TUH83" s="6"/>
      <c r="TUI83" s="6"/>
      <c r="TUJ83" s="6"/>
      <c r="TUK83" s="6"/>
      <c r="TUL83" s="6"/>
      <c r="TUM83" s="6"/>
      <c r="TUN83" s="6"/>
      <c r="TUO83" s="6"/>
      <c r="TUP83" s="6"/>
      <c r="TUQ83" s="6"/>
      <c r="TUR83" s="6"/>
      <c r="TUS83" s="6"/>
      <c r="TUT83" s="6"/>
      <c r="TUU83" s="6"/>
      <c r="TUV83" s="6"/>
      <c r="TUW83" s="6"/>
      <c r="TUX83" s="6"/>
      <c r="TUY83" s="6"/>
      <c r="TUZ83" s="6"/>
      <c r="TVA83" s="6"/>
      <c r="TVB83" s="6"/>
      <c r="TVC83" s="6"/>
      <c r="TVD83" s="6"/>
      <c r="TVE83" s="6"/>
      <c r="TVF83" s="6"/>
      <c r="TVG83" s="6"/>
      <c r="TVH83" s="6"/>
      <c r="TVI83" s="6"/>
      <c r="TVJ83" s="6"/>
      <c r="TVK83" s="6"/>
      <c r="TVL83" s="6"/>
      <c r="TVM83" s="6"/>
      <c r="TVN83" s="6"/>
      <c r="TVO83" s="6"/>
      <c r="TVP83" s="6"/>
      <c r="TVQ83" s="6"/>
      <c r="TVR83" s="6"/>
      <c r="TVS83" s="6"/>
      <c r="TVT83" s="6"/>
      <c r="TVU83" s="6"/>
      <c r="TVV83" s="6"/>
      <c r="TVW83" s="6"/>
      <c r="TVX83" s="6"/>
      <c r="TVY83" s="6"/>
      <c r="TVZ83" s="6"/>
      <c r="TWA83" s="6"/>
      <c r="TWB83" s="6"/>
      <c r="TWC83" s="6"/>
      <c r="TWD83" s="6"/>
      <c r="TWE83" s="6"/>
      <c r="TWF83" s="6"/>
      <c r="TWG83" s="6"/>
      <c r="TWH83" s="6"/>
      <c r="TWI83" s="6"/>
      <c r="TWJ83" s="6"/>
      <c r="TWK83" s="6"/>
      <c r="TWL83" s="6"/>
      <c r="TWM83" s="6"/>
      <c r="TWN83" s="6"/>
      <c r="TWO83" s="6"/>
      <c r="TWP83" s="6"/>
      <c r="TWQ83" s="6"/>
      <c r="TWR83" s="6"/>
      <c r="TWS83" s="6"/>
      <c r="TWT83" s="6"/>
      <c r="TWU83" s="6"/>
      <c r="TWV83" s="6"/>
      <c r="TWW83" s="6"/>
      <c r="TWX83" s="6"/>
      <c r="TWY83" s="6"/>
      <c r="TWZ83" s="6"/>
      <c r="TXA83" s="6"/>
      <c r="TXB83" s="6"/>
      <c r="TXC83" s="6"/>
      <c r="TXD83" s="6"/>
      <c r="TXE83" s="6"/>
      <c r="TXF83" s="6"/>
      <c r="TXG83" s="6"/>
      <c r="TXH83" s="6"/>
      <c r="TXI83" s="6"/>
      <c r="TXJ83" s="6"/>
      <c r="TXK83" s="6"/>
      <c r="TXL83" s="6"/>
      <c r="TXM83" s="6"/>
      <c r="TXN83" s="6"/>
      <c r="TXO83" s="6"/>
      <c r="TXP83" s="6"/>
      <c r="TXQ83" s="6"/>
      <c r="TXR83" s="6"/>
      <c r="TXS83" s="6"/>
      <c r="TXT83" s="6"/>
      <c r="TXU83" s="6"/>
      <c r="TXV83" s="6"/>
      <c r="TXW83" s="6"/>
      <c r="TXX83" s="6"/>
      <c r="TXY83" s="6"/>
      <c r="TXZ83" s="6"/>
      <c r="TYA83" s="6"/>
      <c r="TYB83" s="6"/>
      <c r="TYC83" s="6"/>
      <c r="TYD83" s="6"/>
      <c r="TYE83" s="6"/>
      <c r="TYF83" s="6"/>
      <c r="TYG83" s="6"/>
      <c r="TYH83" s="6"/>
      <c r="TYI83" s="6"/>
      <c r="TYJ83" s="6"/>
      <c r="TYK83" s="6"/>
      <c r="TYL83" s="6"/>
      <c r="TYM83" s="6"/>
      <c r="TYN83" s="6"/>
      <c r="TYO83" s="6"/>
      <c r="TYP83" s="6"/>
      <c r="TYQ83" s="6"/>
      <c r="TYR83" s="6"/>
      <c r="TYS83" s="6"/>
      <c r="TYT83" s="6"/>
      <c r="TYU83" s="6"/>
      <c r="TYV83" s="6"/>
      <c r="TYW83" s="6"/>
      <c r="TYX83" s="6"/>
      <c r="TYY83" s="6"/>
      <c r="TYZ83" s="6"/>
      <c r="TZA83" s="6"/>
      <c r="TZB83" s="6"/>
      <c r="TZC83" s="6"/>
      <c r="TZD83" s="6"/>
      <c r="TZE83" s="6"/>
      <c r="TZF83" s="6"/>
      <c r="TZG83" s="6"/>
      <c r="TZH83" s="6"/>
      <c r="TZI83" s="6"/>
      <c r="TZJ83" s="6"/>
      <c r="TZK83" s="6"/>
      <c r="TZL83" s="6"/>
      <c r="TZM83" s="6"/>
      <c r="TZN83" s="6"/>
      <c r="TZO83" s="6"/>
      <c r="TZP83" s="6"/>
      <c r="TZQ83" s="6"/>
      <c r="TZR83" s="6"/>
      <c r="TZS83" s="6"/>
      <c r="TZT83" s="6"/>
      <c r="TZU83" s="6"/>
      <c r="TZV83" s="6"/>
      <c r="TZW83" s="6"/>
      <c r="TZX83" s="6"/>
      <c r="TZY83" s="6"/>
      <c r="TZZ83" s="6"/>
      <c r="UAA83" s="6"/>
      <c r="UAB83" s="6"/>
      <c r="UAC83" s="6"/>
      <c r="UAD83" s="6"/>
      <c r="UAE83" s="6"/>
      <c r="UAF83" s="6"/>
      <c r="UAG83" s="6"/>
      <c r="UAH83" s="6"/>
      <c r="UAI83" s="6"/>
      <c r="UAJ83" s="6"/>
      <c r="UAK83" s="6"/>
      <c r="UAL83" s="6"/>
      <c r="UAM83" s="6"/>
      <c r="UAN83" s="6"/>
      <c r="UAO83" s="6"/>
      <c r="UAP83" s="6"/>
      <c r="UAQ83" s="6"/>
      <c r="UAR83" s="6"/>
      <c r="UAS83" s="6"/>
      <c r="UAT83" s="6"/>
      <c r="UAU83" s="6"/>
      <c r="UAV83" s="6"/>
      <c r="UAW83" s="6"/>
      <c r="UAX83" s="6"/>
      <c r="UAY83" s="6"/>
      <c r="UAZ83" s="6"/>
      <c r="UBA83" s="6"/>
      <c r="UBB83" s="6"/>
      <c r="UBC83" s="6"/>
      <c r="UBD83" s="6"/>
      <c r="UBE83" s="6"/>
      <c r="UBF83" s="6"/>
      <c r="UBG83" s="6"/>
      <c r="UBH83" s="6"/>
      <c r="UBI83" s="6"/>
      <c r="UBJ83" s="6"/>
      <c r="UBK83" s="6"/>
      <c r="UBL83" s="6"/>
      <c r="UBM83" s="6"/>
      <c r="UBN83" s="6"/>
      <c r="UBO83" s="6"/>
      <c r="UBP83" s="6"/>
      <c r="UBQ83" s="6"/>
      <c r="UBR83" s="6"/>
      <c r="UBS83" s="6"/>
      <c r="UBT83" s="6"/>
      <c r="UBU83" s="6"/>
      <c r="UBV83" s="6"/>
      <c r="UBW83" s="6"/>
      <c r="UBX83" s="6"/>
      <c r="UBY83" s="6"/>
      <c r="UBZ83" s="6"/>
      <c r="UCA83" s="6"/>
      <c r="UCB83" s="6"/>
      <c r="UCC83" s="6"/>
      <c r="UCD83" s="6"/>
      <c r="UCE83" s="6"/>
      <c r="UCF83" s="6"/>
      <c r="UCG83" s="6"/>
      <c r="UCH83" s="6"/>
      <c r="UCI83" s="6"/>
      <c r="UCJ83" s="6"/>
      <c r="UCK83" s="6"/>
      <c r="UCL83" s="6"/>
      <c r="UCM83" s="6"/>
      <c r="UCN83" s="6"/>
      <c r="UCO83" s="6"/>
      <c r="UCP83" s="6"/>
      <c r="UCQ83" s="6"/>
      <c r="UCR83" s="6"/>
      <c r="UCS83" s="6"/>
      <c r="UCT83" s="6"/>
      <c r="UCU83" s="6"/>
      <c r="UCV83" s="6"/>
      <c r="UCW83" s="6"/>
      <c r="UCX83" s="6"/>
      <c r="UCY83" s="6"/>
      <c r="UCZ83" s="6"/>
      <c r="UDA83" s="6"/>
      <c r="UDB83" s="6"/>
      <c r="UDC83" s="6"/>
      <c r="UDD83" s="6"/>
      <c r="UDE83" s="6"/>
      <c r="UDF83" s="6"/>
      <c r="UDG83" s="6"/>
      <c r="UDH83" s="6"/>
      <c r="UDI83" s="6"/>
      <c r="UDJ83" s="6"/>
      <c r="UDK83" s="6"/>
      <c r="UDL83" s="6"/>
      <c r="UDM83" s="6"/>
      <c r="UDN83" s="6"/>
      <c r="UDO83" s="6"/>
      <c r="UDP83" s="6"/>
      <c r="UDQ83" s="6"/>
      <c r="UDR83" s="6"/>
      <c r="UDS83" s="6"/>
      <c r="UDT83" s="6"/>
      <c r="UDU83" s="6"/>
      <c r="UDV83" s="6"/>
      <c r="UDW83" s="6"/>
      <c r="UDX83" s="6"/>
      <c r="UDY83" s="6"/>
      <c r="UDZ83" s="6"/>
      <c r="UEA83" s="6"/>
      <c r="UEB83" s="6"/>
      <c r="UEC83" s="6"/>
      <c r="UED83" s="6"/>
      <c r="UEE83" s="6"/>
      <c r="UEF83" s="6"/>
      <c r="UEG83" s="6"/>
      <c r="UEH83" s="6"/>
      <c r="UEI83" s="6"/>
      <c r="UEJ83" s="6"/>
      <c r="UEK83" s="6"/>
      <c r="UEL83" s="6"/>
      <c r="UEM83" s="6"/>
      <c r="UEN83" s="6"/>
      <c r="UEO83" s="6"/>
      <c r="UEP83" s="6"/>
      <c r="UEQ83" s="6"/>
      <c r="UER83" s="6"/>
      <c r="UES83" s="6"/>
      <c r="UET83" s="6"/>
      <c r="UEU83" s="6"/>
      <c r="UEV83" s="6"/>
      <c r="UEW83" s="6"/>
      <c r="UEX83" s="6"/>
      <c r="UEY83" s="6"/>
      <c r="UEZ83" s="6"/>
      <c r="UFA83" s="6"/>
      <c r="UFB83" s="6"/>
      <c r="UFC83" s="6"/>
      <c r="UFD83" s="6"/>
      <c r="UFE83" s="6"/>
      <c r="UFF83" s="6"/>
      <c r="UFG83" s="6"/>
      <c r="UFH83" s="6"/>
      <c r="UFI83" s="6"/>
      <c r="UFJ83" s="6"/>
      <c r="UFK83" s="6"/>
      <c r="UFL83" s="6"/>
      <c r="UFM83" s="6"/>
      <c r="UFN83" s="6"/>
      <c r="UFO83" s="6"/>
      <c r="UFP83" s="6"/>
      <c r="UFQ83" s="6"/>
      <c r="UFR83" s="6"/>
      <c r="UFS83" s="6"/>
      <c r="UFT83" s="6"/>
      <c r="UFU83" s="6"/>
      <c r="UFV83" s="6"/>
      <c r="UFW83" s="6"/>
      <c r="UFX83" s="6"/>
      <c r="UFY83" s="6"/>
      <c r="UFZ83" s="6"/>
      <c r="UGA83" s="6"/>
      <c r="UGB83" s="6"/>
      <c r="UGC83" s="6"/>
      <c r="UGD83" s="6"/>
      <c r="UGE83" s="6"/>
      <c r="UGF83" s="6"/>
      <c r="UGG83" s="6"/>
      <c r="UGH83" s="6"/>
      <c r="UGI83" s="6"/>
      <c r="UGJ83" s="6"/>
      <c r="UGK83" s="6"/>
      <c r="UGL83" s="6"/>
      <c r="UGM83" s="6"/>
      <c r="UGN83" s="6"/>
      <c r="UGO83" s="6"/>
      <c r="UGP83" s="6"/>
      <c r="UGQ83" s="6"/>
      <c r="UGR83" s="6"/>
      <c r="UGS83" s="6"/>
      <c r="UGT83" s="6"/>
      <c r="UGU83" s="6"/>
      <c r="UGV83" s="6"/>
      <c r="UGW83" s="6"/>
      <c r="UGX83" s="6"/>
      <c r="UGY83" s="6"/>
      <c r="UGZ83" s="6"/>
      <c r="UHA83" s="6"/>
      <c r="UHB83" s="6"/>
      <c r="UHC83" s="6"/>
      <c r="UHD83" s="6"/>
      <c r="UHE83" s="6"/>
      <c r="UHF83" s="6"/>
      <c r="UHG83" s="6"/>
      <c r="UHH83" s="6"/>
      <c r="UHI83" s="6"/>
      <c r="UHJ83" s="6"/>
      <c r="UHK83" s="6"/>
      <c r="UHL83" s="6"/>
      <c r="UHM83" s="6"/>
      <c r="UHN83" s="6"/>
      <c r="UHO83" s="6"/>
      <c r="UHP83" s="6"/>
      <c r="UHQ83" s="6"/>
      <c r="UHR83" s="6"/>
      <c r="UHS83" s="6"/>
      <c r="UHT83" s="6"/>
      <c r="UHU83" s="6"/>
      <c r="UHV83" s="6"/>
      <c r="UHW83" s="6"/>
      <c r="UHX83" s="6"/>
      <c r="UHY83" s="6"/>
      <c r="UHZ83" s="6"/>
      <c r="UIA83" s="6"/>
      <c r="UIB83" s="6"/>
      <c r="UIC83" s="6"/>
      <c r="UID83" s="6"/>
      <c r="UIE83" s="6"/>
      <c r="UIF83" s="6"/>
      <c r="UIG83" s="6"/>
      <c r="UIH83" s="6"/>
      <c r="UII83" s="6"/>
      <c r="UIJ83" s="6"/>
      <c r="UIK83" s="6"/>
      <c r="UIL83" s="6"/>
      <c r="UIM83" s="6"/>
      <c r="UIN83" s="6"/>
      <c r="UIO83" s="6"/>
      <c r="UIP83" s="6"/>
      <c r="UIQ83" s="6"/>
      <c r="UIR83" s="6"/>
      <c r="UIS83" s="6"/>
      <c r="UIT83" s="6"/>
      <c r="UIU83" s="6"/>
      <c r="UIV83" s="6"/>
      <c r="UIW83" s="6"/>
      <c r="UIX83" s="6"/>
      <c r="UIY83" s="6"/>
      <c r="UIZ83" s="6"/>
      <c r="UJA83" s="6"/>
      <c r="UJB83" s="6"/>
      <c r="UJC83" s="6"/>
      <c r="UJD83" s="6"/>
      <c r="UJE83" s="6"/>
      <c r="UJF83" s="6"/>
      <c r="UJG83" s="6"/>
      <c r="UJH83" s="6"/>
      <c r="UJI83" s="6"/>
      <c r="UJJ83" s="6"/>
      <c r="UJK83" s="6"/>
      <c r="UJL83" s="6"/>
      <c r="UJM83" s="6"/>
      <c r="UJN83" s="6"/>
      <c r="UJO83" s="6"/>
      <c r="UJP83" s="6"/>
      <c r="UJQ83" s="6"/>
      <c r="UJR83" s="6"/>
      <c r="UJS83" s="6"/>
      <c r="UJT83" s="6"/>
      <c r="UJU83" s="6"/>
      <c r="UJV83" s="6"/>
      <c r="UJW83" s="6"/>
      <c r="UJX83" s="6"/>
      <c r="UJY83" s="6"/>
      <c r="UJZ83" s="6"/>
      <c r="UKA83" s="6"/>
      <c r="UKB83" s="6"/>
      <c r="UKC83" s="6"/>
      <c r="UKD83" s="6"/>
      <c r="UKE83" s="6"/>
      <c r="UKF83" s="6"/>
      <c r="UKG83" s="6"/>
      <c r="UKH83" s="6"/>
      <c r="UKI83" s="6"/>
      <c r="UKJ83" s="6"/>
      <c r="UKK83" s="6"/>
      <c r="UKL83" s="6"/>
      <c r="UKM83" s="6"/>
      <c r="UKN83" s="6"/>
      <c r="UKO83" s="6"/>
      <c r="UKP83" s="6"/>
      <c r="UKQ83" s="6"/>
      <c r="UKR83" s="6"/>
      <c r="UKS83" s="6"/>
      <c r="UKT83" s="6"/>
      <c r="UKU83" s="6"/>
      <c r="UKV83" s="6"/>
      <c r="UKW83" s="6"/>
      <c r="UKX83" s="6"/>
      <c r="UKY83" s="6"/>
      <c r="UKZ83" s="6"/>
      <c r="ULA83" s="6"/>
      <c r="ULB83" s="6"/>
      <c r="ULC83" s="6"/>
      <c r="ULD83" s="6"/>
      <c r="ULE83" s="6"/>
      <c r="ULF83" s="6"/>
      <c r="ULG83" s="6"/>
      <c r="ULH83" s="6"/>
      <c r="ULI83" s="6"/>
      <c r="ULJ83" s="6"/>
      <c r="ULK83" s="6"/>
      <c r="ULL83" s="6"/>
      <c r="ULM83" s="6"/>
      <c r="ULN83" s="6"/>
      <c r="ULO83" s="6"/>
      <c r="ULP83" s="6"/>
      <c r="ULQ83" s="6"/>
      <c r="ULR83" s="6"/>
      <c r="ULS83" s="6"/>
      <c r="ULT83" s="6"/>
      <c r="ULU83" s="6"/>
      <c r="ULV83" s="6"/>
      <c r="ULW83" s="6"/>
      <c r="ULX83" s="6"/>
      <c r="ULY83" s="6"/>
      <c r="ULZ83" s="6"/>
      <c r="UMA83" s="6"/>
      <c r="UMB83" s="6"/>
      <c r="UMC83" s="6"/>
      <c r="UMD83" s="6"/>
      <c r="UME83" s="6"/>
      <c r="UMF83" s="6"/>
      <c r="UMG83" s="6"/>
      <c r="UMH83" s="6"/>
      <c r="UMI83" s="6"/>
      <c r="UMJ83" s="6"/>
      <c r="UMK83" s="6"/>
      <c r="UML83" s="6"/>
      <c r="UMM83" s="6"/>
      <c r="UMN83" s="6"/>
      <c r="UMO83" s="6"/>
      <c r="UMP83" s="6"/>
      <c r="UMQ83" s="6"/>
      <c r="UMR83" s="6"/>
      <c r="UMS83" s="6"/>
      <c r="UMT83" s="6"/>
      <c r="UMU83" s="6"/>
      <c r="UMV83" s="6"/>
      <c r="UMW83" s="6"/>
      <c r="UMX83" s="6"/>
      <c r="UMY83" s="6"/>
      <c r="UMZ83" s="6"/>
      <c r="UNA83" s="6"/>
      <c r="UNB83" s="6"/>
      <c r="UNC83" s="6"/>
      <c r="UND83" s="6"/>
      <c r="UNE83" s="6"/>
      <c r="UNF83" s="6"/>
      <c r="UNG83" s="6"/>
      <c r="UNH83" s="6"/>
      <c r="UNI83" s="6"/>
      <c r="UNJ83" s="6"/>
      <c r="UNK83" s="6"/>
      <c r="UNL83" s="6"/>
      <c r="UNM83" s="6"/>
      <c r="UNN83" s="6"/>
      <c r="UNO83" s="6"/>
      <c r="UNP83" s="6"/>
      <c r="UNQ83" s="6"/>
      <c r="UNR83" s="6"/>
      <c r="UNS83" s="6"/>
      <c r="UNT83" s="6"/>
      <c r="UNU83" s="6"/>
      <c r="UNV83" s="6"/>
      <c r="UNW83" s="6"/>
      <c r="UNX83" s="6"/>
      <c r="UNY83" s="6"/>
      <c r="UNZ83" s="6"/>
      <c r="UOA83" s="6"/>
      <c r="UOB83" s="6"/>
      <c r="UOC83" s="6"/>
      <c r="UOD83" s="6"/>
      <c r="UOE83" s="6"/>
      <c r="UOF83" s="6"/>
      <c r="UOG83" s="6"/>
      <c r="UOH83" s="6"/>
      <c r="UOI83" s="6"/>
      <c r="UOJ83" s="6"/>
      <c r="UOK83" s="6"/>
      <c r="UOL83" s="6"/>
      <c r="UOM83" s="6"/>
      <c r="UON83" s="6"/>
      <c r="UOO83" s="6"/>
      <c r="UOP83" s="6"/>
      <c r="UOQ83" s="6"/>
      <c r="UOR83" s="6"/>
      <c r="UOS83" s="6"/>
      <c r="UOT83" s="6"/>
      <c r="UOU83" s="6"/>
      <c r="UOV83" s="6"/>
      <c r="UOW83" s="6"/>
      <c r="UOX83" s="6"/>
      <c r="UOY83" s="6"/>
      <c r="UOZ83" s="6"/>
      <c r="UPA83" s="6"/>
      <c r="UPB83" s="6"/>
      <c r="UPC83" s="6"/>
      <c r="UPD83" s="6"/>
      <c r="UPE83" s="6"/>
      <c r="UPF83" s="6"/>
      <c r="UPG83" s="6"/>
      <c r="UPH83" s="6"/>
      <c r="UPI83" s="6"/>
      <c r="UPJ83" s="6"/>
      <c r="UPK83" s="6"/>
      <c r="UPL83" s="6"/>
      <c r="UPM83" s="6"/>
      <c r="UPN83" s="6"/>
      <c r="UPO83" s="6"/>
      <c r="UPP83" s="6"/>
      <c r="UPQ83" s="6"/>
      <c r="UPR83" s="6"/>
      <c r="UPS83" s="6"/>
      <c r="UPT83" s="6"/>
      <c r="UPU83" s="6"/>
      <c r="UPV83" s="6"/>
      <c r="UPW83" s="6"/>
      <c r="UPX83" s="6"/>
      <c r="UPY83" s="6"/>
      <c r="UPZ83" s="6"/>
      <c r="UQA83" s="6"/>
      <c r="UQB83" s="6"/>
      <c r="UQC83" s="6"/>
      <c r="UQD83" s="6"/>
      <c r="UQE83" s="6"/>
      <c r="UQF83" s="6"/>
      <c r="UQG83" s="6"/>
      <c r="UQH83" s="6"/>
      <c r="UQI83" s="6"/>
      <c r="UQJ83" s="6"/>
      <c r="UQK83" s="6"/>
      <c r="UQL83" s="6"/>
      <c r="UQM83" s="6"/>
      <c r="UQN83" s="6"/>
      <c r="UQO83" s="6"/>
      <c r="UQP83" s="6"/>
      <c r="UQQ83" s="6"/>
      <c r="UQR83" s="6"/>
      <c r="UQS83" s="6"/>
      <c r="UQT83" s="6"/>
      <c r="UQU83" s="6"/>
      <c r="UQV83" s="6"/>
      <c r="UQW83" s="6"/>
      <c r="UQX83" s="6"/>
      <c r="UQY83" s="6"/>
      <c r="UQZ83" s="6"/>
      <c r="URA83" s="6"/>
      <c r="URB83" s="6"/>
      <c r="URC83" s="6"/>
      <c r="URD83" s="6"/>
      <c r="URE83" s="6"/>
      <c r="URF83" s="6"/>
      <c r="URG83" s="6"/>
      <c r="URH83" s="6"/>
      <c r="URI83" s="6"/>
      <c r="URJ83" s="6"/>
      <c r="URK83" s="6"/>
      <c r="URL83" s="6"/>
      <c r="URM83" s="6"/>
      <c r="URN83" s="6"/>
      <c r="URO83" s="6"/>
      <c r="URP83" s="6"/>
      <c r="URQ83" s="6"/>
      <c r="URR83" s="6"/>
      <c r="URS83" s="6"/>
      <c r="URT83" s="6"/>
      <c r="URU83" s="6"/>
      <c r="URV83" s="6"/>
      <c r="URW83" s="6"/>
      <c r="URX83" s="6"/>
      <c r="URY83" s="6"/>
      <c r="URZ83" s="6"/>
      <c r="USA83" s="6"/>
      <c r="USB83" s="6"/>
      <c r="USC83" s="6"/>
      <c r="USD83" s="6"/>
      <c r="USE83" s="6"/>
      <c r="USF83" s="6"/>
      <c r="USG83" s="6"/>
      <c r="USH83" s="6"/>
      <c r="USI83" s="6"/>
      <c r="USJ83" s="6"/>
      <c r="USK83" s="6"/>
      <c r="USL83" s="6"/>
      <c r="USM83" s="6"/>
      <c r="USN83" s="6"/>
      <c r="USO83" s="6"/>
      <c r="USP83" s="6"/>
      <c r="USQ83" s="6"/>
      <c r="USR83" s="6"/>
      <c r="USS83" s="6"/>
      <c r="UST83" s="6"/>
      <c r="USU83" s="6"/>
      <c r="USV83" s="6"/>
      <c r="USW83" s="6"/>
      <c r="USX83" s="6"/>
      <c r="USY83" s="6"/>
      <c r="USZ83" s="6"/>
      <c r="UTA83" s="6"/>
      <c r="UTB83" s="6"/>
      <c r="UTC83" s="6"/>
      <c r="UTD83" s="6"/>
      <c r="UTE83" s="6"/>
      <c r="UTF83" s="6"/>
      <c r="UTG83" s="6"/>
      <c r="UTH83" s="6"/>
      <c r="UTI83" s="6"/>
      <c r="UTJ83" s="6"/>
      <c r="UTK83" s="6"/>
      <c r="UTL83" s="6"/>
      <c r="UTM83" s="6"/>
      <c r="UTN83" s="6"/>
      <c r="UTO83" s="6"/>
      <c r="UTP83" s="6"/>
      <c r="UTQ83" s="6"/>
      <c r="UTR83" s="6"/>
      <c r="UTS83" s="6"/>
      <c r="UTT83" s="6"/>
      <c r="UTU83" s="6"/>
      <c r="UTV83" s="6"/>
      <c r="UTW83" s="6"/>
      <c r="UTX83" s="6"/>
      <c r="UTY83" s="6"/>
      <c r="UTZ83" s="6"/>
      <c r="UUA83" s="6"/>
      <c r="UUB83" s="6"/>
      <c r="UUC83" s="6"/>
      <c r="UUD83" s="6"/>
      <c r="UUE83" s="6"/>
      <c r="UUF83" s="6"/>
      <c r="UUG83" s="6"/>
      <c r="UUH83" s="6"/>
      <c r="UUI83" s="6"/>
      <c r="UUJ83" s="6"/>
      <c r="UUK83" s="6"/>
      <c r="UUL83" s="6"/>
      <c r="UUM83" s="6"/>
      <c r="UUN83" s="6"/>
      <c r="UUO83" s="6"/>
      <c r="UUP83" s="6"/>
      <c r="UUQ83" s="6"/>
      <c r="UUR83" s="6"/>
      <c r="UUS83" s="6"/>
      <c r="UUT83" s="6"/>
      <c r="UUU83" s="6"/>
      <c r="UUV83" s="6"/>
      <c r="UUW83" s="6"/>
      <c r="UUX83" s="6"/>
      <c r="UUY83" s="6"/>
      <c r="UUZ83" s="6"/>
      <c r="UVA83" s="6"/>
      <c r="UVB83" s="6"/>
      <c r="UVC83" s="6"/>
      <c r="UVD83" s="6"/>
      <c r="UVE83" s="6"/>
      <c r="UVF83" s="6"/>
      <c r="UVG83" s="6"/>
      <c r="UVH83" s="6"/>
      <c r="UVI83" s="6"/>
      <c r="UVJ83" s="6"/>
      <c r="UVK83" s="6"/>
      <c r="UVL83" s="6"/>
      <c r="UVM83" s="6"/>
      <c r="UVN83" s="6"/>
      <c r="UVO83" s="6"/>
      <c r="UVP83" s="6"/>
      <c r="UVQ83" s="6"/>
      <c r="UVR83" s="6"/>
      <c r="UVS83" s="6"/>
      <c r="UVT83" s="6"/>
      <c r="UVU83" s="6"/>
      <c r="UVV83" s="6"/>
      <c r="UVW83" s="6"/>
      <c r="UVX83" s="6"/>
      <c r="UVY83" s="6"/>
      <c r="UVZ83" s="6"/>
      <c r="UWA83" s="6"/>
      <c r="UWB83" s="6"/>
      <c r="UWC83" s="6"/>
      <c r="UWD83" s="6"/>
      <c r="UWE83" s="6"/>
      <c r="UWF83" s="6"/>
      <c r="UWG83" s="6"/>
      <c r="UWH83" s="6"/>
      <c r="UWI83" s="6"/>
      <c r="UWJ83" s="6"/>
      <c r="UWK83" s="6"/>
      <c r="UWL83" s="6"/>
      <c r="UWM83" s="6"/>
      <c r="UWN83" s="6"/>
      <c r="UWO83" s="6"/>
      <c r="UWP83" s="6"/>
      <c r="UWQ83" s="6"/>
      <c r="UWR83" s="6"/>
      <c r="UWS83" s="6"/>
      <c r="UWT83" s="6"/>
      <c r="UWU83" s="6"/>
      <c r="UWV83" s="6"/>
      <c r="UWW83" s="6"/>
      <c r="UWX83" s="6"/>
      <c r="UWY83" s="6"/>
      <c r="UWZ83" s="6"/>
      <c r="UXA83" s="6"/>
      <c r="UXB83" s="6"/>
      <c r="UXC83" s="6"/>
      <c r="UXD83" s="6"/>
      <c r="UXE83" s="6"/>
      <c r="UXF83" s="6"/>
      <c r="UXG83" s="6"/>
      <c r="UXH83" s="6"/>
      <c r="UXI83" s="6"/>
      <c r="UXJ83" s="6"/>
      <c r="UXK83" s="6"/>
      <c r="UXL83" s="6"/>
      <c r="UXM83" s="6"/>
      <c r="UXN83" s="6"/>
      <c r="UXO83" s="6"/>
      <c r="UXP83" s="6"/>
      <c r="UXQ83" s="6"/>
      <c r="UXR83" s="6"/>
      <c r="UXS83" s="6"/>
      <c r="UXT83" s="6"/>
      <c r="UXU83" s="6"/>
      <c r="UXV83" s="6"/>
      <c r="UXW83" s="6"/>
      <c r="UXX83" s="6"/>
      <c r="UXY83" s="6"/>
      <c r="UXZ83" s="6"/>
      <c r="UYA83" s="6"/>
      <c r="UYB83" s="6"/>
      <c r="UYC83" s="6"/>
      <c r="UYD83" s="6"/>
      <c r="UYE83" s="6"/>
      <c r="UYF83" s="6"/>
      <c r="UYG83" s="6"/>
      <c r="UYH83" s="6"/>
      <c r="UYI83" s="6"/>
      <c r="UYJ83" s="6"/>
      <c r="UYK83" s="6"/>
      <c r="UYL83" s="6"/>
      <c r="UYM83" s="6"/>
      <c r="UYN83" s="6"/>
      <c r="UYO83" s="6"/>
      <c r="UYP83" s="6"/>
      <c r="UYQ83" s="6"/>
      <c r="UYR83" s="6"/>
      <c r="UYS83" s="6"/>
      <c r="UYT83" s="6"/>
      <c r="UYU83" s="6"/>
      <c r="UYV83" s="6"/>
      <c r="UYW83" s="6"/>
      <c r="UYX83" s="6"/>
      <c r="UYY83" s="6"/>
      <c r="UYZ83" s="6"/>
      <c r="UZA83" s="6"/>
      <c r="UZB83" s="6"/>
      <c r="UZC83" s="6"/>
      <c r="UZD83" s="6"/>
      <c r="UZE83" s="6"/>
      <c r="UZF83" s="6"/>
      <c r="UZG83" s="6"/>
      <c r="UZH83" s="6"/>
      <c r="UZI83" s="6"/>
      <c r="UZJ83" s="6"/>
      <c r="UZK83" s="6"/>
      <c r="UZL83" s="6"/>
      <c r="UZM83" s="6"/>
      <c r="UZN83" s="6"/>
      <c r="UZO83" s="6"/>
      <c r="UZP83" s="6"/>
      <c r="UZQ83" s="6"/>
      <c r="UZR83" s="6"/>
      <c r="UZS83" s="6"/>
      <c r="UZT83" s="6"/>
      <c r="UZU83" s="6"/>
      <c r="UZV83" s="6"/>
      <c r="UZW83" s="6"/>
      <c r="UZX83" s="6"/>
      <c r="UZY83" s="6"/>
      <c r="UZZ83" s="6"/>
      <c r="VAA83" s="6"/>
      <c r="VAB83" s="6"/>
      <c r="VAC83" s="6"/>
      <c r="VAD83" s="6"/>
      <c r="VAE83" s="6"/>
      <c r="VAF83" s="6"/>
      <c r="VAG83" s="6"/>
      <c r="VAH83" s="6"/>
      <c r="VAI83" s="6"/>
      <c r="VAJ83" s="6"/>
      <c r="VAK83" s="6"/>
      <c r="VAL83" s="6"/>
      <c r="VAM83" s="6"/>
      <c r="VAN83" s="6"/>
      <c r="VAO83" s="6"/>
      <c r="VAP83" s="6"/>
      <c r="VAQ83" s="6"/>
      <c r="VAR83" s="6"/>
      <c r="VAS83" s="6"/>
      <c r="VAT83" s="6"/>
      <c r="VAU83" s="6"/>
      <c r="VAV83" s="6"/>
      <c r="VAW83" s="6"/>
      <c r="VAX83" s="6"/>
      <c r="VAY83" s="6"/>
      <c r="VAZ83" s="6"/>
      <c r="VBA83" s="6"/>
      <c r="VBB83" s="6"/>
      <c r="VBC83" s="6"/>
      <c r="VBD83" s="6"/>
      <c r="VBE83" s="6"/>
      <c r="VBF83" s="6"/>
      <c r="VBG83" s="6"/>
      <c r="VBH83" s="6"/>
      <c r="VBI83" s="6"/>
      <c r="VBJ83" s="6"/>
      <c r="VBK83" s="6"/>
      <c r="VBL83" s="6"/>
      <c r="VBM83" s="6"/>
      <c r="VBN83" s="6"/>
      <c r="VBO83" s="6"/>
      <c r="VBP83" s="6"/>
      <c r="VBQ83" s="6"/>
      <c r="VBR83" s="6"/>
      <c r="VBS83" s="6"/>
      <c r="VBT83" s="6"/>
      <c r="VBU83" s="6"/>
      <c r="VBV83" s="6"/>
      <c r="VBW83" s="6"/>
      <c r="VBX83" s="6"/>
      <c r="VBY83" s="6"/>
      <c r="VBZ83" s="6"/>
      <c r="VCA83" s="6"/>
      <c r="VCB83" s="6"/>
      <c r="VCC83" s="6"/>
      <c r="VCD83" s="6"/>
      <c r="VCE83" s="6"/>
      <c r="VCF83" s="6"/>
      <c r="VCG83" s="6"/>
      <c r="VCH83" s="6"/>
      <c r="VCI83" s="6"/>
      <c r="VCJ83" s="6"/>
      <c r="VCK83" s="6"/>
      <c r="VCL83" s="6"/>
      <c r="VCM83" s="6"/>
      <c r="VCN83" s="6"/>
      <c r="VCO83" s="6"/>
      <c r="VCP83" s="6"/>
      <c r="VCQ83" s="6"/>
      <c r="VCR83" s="6"/>
      <c r="VCS83" s="6"/>
      <c r="VCT83" s="6"/>
      <c r="VCU83" s="6"/>
      <c r="VCV83" s="6"/>
      <c r="VCW83" s="6"/>
      <c r="VCX83" s="6"/>
      <c r="VCY83" s="6"/>
      <c r="VCZ83" s="6"/>
      <c r="VDA83" s="6"/>
      <c r="VDB83" s="6"/>
      <c r="VDC83" s="6"/>
      <c r="VDD83" s="6"/>
      <c r="VDE83" s="6"/>
      <c r="VDF83" s="6"/>
      <c r="VDG83" s="6"/>
      <c r="VDH83" s="6"/>
      <c r="VDI83" s="6"/>
      <c r="VDJ83" s="6"/>
      <c r="VDK83" s="6"/>
      <c r="VDL83" s="6"/>
      <c r="VDM83" s="6"/>
      <c r="VDN83" s="6"/>
      <c r="VDO83" s="6"/>
      <c r="VDP83" s="6"/>
      <c r="VDQ83" s="6"/>
      <c r="VDR83" s="6"/>
      <c r="VDS83" s="6"/>
      <c r="VDT83" s="6"/>
      <c r="VDU83" s="6"/>
      <c r="VDV83" s="6"/>
      <c r="VDW83" s="6"/>
      <c r="VDX83" s="6"/>
      <c r="VDY83" s="6"/>
      <c r="VDZ83" s="6"/>
      <c r="VEA83" s="6"/>
      <c r="VEB83" s="6"/>
      <c r="VEC83" s="6"/>
      <c r="VED83" s="6"/>
      <c r="VEE83" s="6"/>
      <c r="VEF83" s="6"/>
      <c r="VEG83" s="6"/>
      <c r="VEH83" s="6"/>
      <c r="VEI83" s="6"/>
      <c r="VEJ83" s="6"/>
      <c r="VEK83" s="6"/>
      <c r="VEL83" s="6"/>
      <c r="VEM83" s="6"/>
      <c r="VEN83" s="6"/>
      <c r="VEO83" s="6"/>
      <c r="VEP83" s="6"/>
      <c r="VEQ83" s="6"/>
      <c r="VER83" s="6"/>
      <c r="VES83" s="6"/>
      <c r="VET83" s="6"/>
      <c r="VEU83" s="6"/>
      <c r="VEV83" s="6"/>
      <c r="VEW83" s="6"/>
      <c r="VEX83" s="6"/>
      <c r="VEY83" s="6"/>
      <c r="VEZ83" s="6"/>
      <c r="VFA83" s="6"/>
      <c r="VFB83" s="6"/>
      <c r="VFC83" s="6"/>
      <c r="VFD83" s="6"/>
      <c r="VFE83" s="6"/>
      <c r="VFF83" s="6"/>
      <c r="VFG83" s="6"/>
      <c r="VFH83" s="6"/>
      <c r="VFI83" s="6"/>
      <c r="VFJ83" s="6"/>
      <c r="VFK83" s="6"/>
      <c r="VFL83" s="6"/>
      <c r="VFM83" s="6"/>
      <c r="VFN83" s="6"/>
      <c r="VFO83" s="6"/>
      <c r="VFP83" s="6"/>
      <c r="VFQ83" s="6"/>
      <c r="VFR83" s="6"/>
      <c r="VFS83" s="6"/>
      <c r="VFT83" s="6"/>
      <c r="VFU83" s="6"/>
      <c r="VFV83" s="6"/>
      <c r="VFW83" s="6"/>
      <c r="VFX83" s="6"/>
      <c r="VFY83" s="6"/>
      <c r="VFZ83" s="6"/>
      <c r="VGA83" s="6"/>
      <c r="VGB83" s="6"/>
      <c r="VGC83" s="6"/>
      <c r="VGD83" s="6"/>
      <c r="VGE83" s="6"/>
      <c r="VGF83" s="6"/>
      <c r="VGG83" s="6"/>
      <c r="VGH83" s="6"/>
      <c r="VGI83" s="6"/>
      <c r="VGJ83" s="6"/>
      <c r="VGK83" s="6"/>
      <c r="VGL83" s="6"/>
      <c r="VGM83" s="6"/>
      <c r="VGN83" s="6"/>
      <c r="VGO83" s="6"/>
      <c r="VGP83" s="6"/>
      <c r="VGQ83" s="6"/>
      <c r="VGR83" s="6"/>
      <c r="VGS83" s="6"/>
      <c r="VGT83" s="6"/>
      <c r="VGU83" s="6"/>
      <c r="VGV83" s="6"/>
      <c r="VGW83" s="6"/>
      <c r="VGX83" s="6"/>
      <c r="VGY83" s="6"/>
      <c r="VGZ83" s="6"/>
      <c r="VHA83" s="6"/>
      <c r="VHB83" s="6"/>
      <c r="VHC83" s="6"/>
      <c r="VHD83" s="6"/>
      <c r="VHE83" s="6"/>
      <c r="VHF83" s="6"/>
      <c r="VHG83" s="6"/>
      <c r="VHH83" s="6"/>
      <c r="VHI83" s="6"/>
      <c r="VHJ83" s="6"/>
      <c r="VHK83" s="6"/>
      <c r="VHL83" s="6"/>
      <c r="VHM83" s="6"/>
      <c r="VHN83" s="6"/>
      <c r="VHO83" s="6"/>
      <c r="VHP83" s="6"/>
      <c r="VHQ83" s="6"/>
      <c r="VHR83" s="6"/>
      <c r="VHS83" s="6"/>
      <c r="VHT83" s="6"/>
      <c r="VHU83" s="6"/>
      <c r="VHV83" s="6"/>
      <c r="VHW83" s="6"/>
      <c r="VHX83" s="6"/>
      <c r="VHY83" s="6"/>
      <c r="VHZ83" s="6"/>
      <c r="VIA83" s="6"/>
      <c r="VIB83" s="6"/>
      <c r="VIC83" s="6"/>
      <c r="VID83" s="6"/>
      <c r="VIE83" s="6"/>
      <c r="VIF83" s="6"/>
      <c r="VIG83" s="6"/>
      <c r="VIH83" s="6"/>
      <c r="VII83" s="6"/>
      <c r="VIJ83" s="6"/>
      <c r="VIK83" s="6"/>
      <c r="VIL83" s="6"/>
      <c r="VIM83" s="6"/>
      <c r="VIN83" s="6"/>
      <c r="VIO83" s="6"/>
      <c r="VIP83" s="6"/>
      <c r="VIQ83" s="6"/>
      <c r="VIR83" s="6"/>
      <c r="VIS83" s="6"/>
      <c r="VIT83" s="6"/>
      <c r="VIU83" s="6"/>
      <c r="VIV83" s="6"/>
      <c r="VIW83" s="6"/>
      <c r="VIX83" s="6"/>
      <c r="VIY83" s="6"/>
      <c r="VIZ83" s="6"/>
      <c r="VJA83" s="6"/>
      <c r="VJB83" s="6"/>
      <c r="VJC83" s="6"/>
      <c r="VJD83" s="6"/>
      <c r="VJE83" s="6"/>
      <c r="VJF83" s="6"/>
      <c r="VJG83" s="6"/>
      <c r="VJH83" s="6"/>
      <c r="VJI83" s="6"/>
      <c r="VJJ83" s="6"/>
      <c r="VJK83" s="6"/>
      <c r="VJL83" s="6"/>
      <c r="VJM83" s="6"/>
      <c r="VJN83" s="6"/>
      <c r="VJO83" s="6"/>
      <c r="VJP83" s="6"/>
      <c r="VJQ83" s="6"/>
      <c r="VJR83" s="6"/>
      <c r="VJS83" s="6"/>
      <c r="VJT83" s="6"/>
      <c r="VJU83" s="6"/>
      <c r="VJV83" s="6"/>
      <c r="VJW83" s="6"/>
      <c r="VJX83" s="6"/>
      <c r="VJY83" s="6"/>
      <c r="VJZ83" s="6"/>
      <c r="VKA83" s="6"/>
      <c r="VKB83" s="6"/>
      <c r="VKC83" s="6"/>
      <c r="VKD83" s="6"/>
      <c r="VKE83" s="6"/>
      <c r="VKF83" s="6"/>
      <c r="VKG83" s="6"/>
      <c r="VKH83" s="6"/>
      <c r="VKI83" s="6"/>
      <c r="VKJ83" s="6"/>
      <c r="VKK83" s="6"/>
      <c r="VKL83" s="6"/>
      <c r="VKM83" s="6"/>
      <c r="VKN83" s="6"/>
      <c r="VKO83" s="6"/>
      <c r="VKP83" s="6"/>
      <c r="VKQ83" s="6"/>
      <c r="VKR83" s="6"/>
      <c r="VKS83" s="6"/>
      <c r="VKT83" s="6"/>
      <c r="VKU83" s="6"/>
      <c r="VKV83" s="6"/>
      <c r="VKW83" s="6"/>
      <c r="VKX83" s="6"/>
      <c r="VKY83" s="6"/>
      <c r="VKZ83" s="6"/>
      <c r="VLA83" s="6"/>
      <c r="VLB83" s="6"/>
      <c r="VLC83" s="6"/>
      <c r="VLD83" s="6"/>
      <c r="VLE83" s="6"/>
      <c r="VLF83" s="6"/>
      <c r="VLG83" s="6"/>
      <c r="VLH83" s="6"/>
      <c r="VLI83" s="6"/>
      <c r="VLJ83" s="6"/>
      <c r="VLK83" s="6"/>
      <c r="VLL83" s="6"/>
      <c r="VLM83" s="6"/>
      <c r="VLN83" s="6"/>
      <c r="VLO83" s="6"/>
      <c r="VLP83" s="6"/>
      <c r="VLQ83" s="6"/>
      <c r="VLR83" s="6"/>
      <c r="VLS83" s="6"/>
      <c r="VLT83" s="6"/>
      <c r="VLU83" s="6"/>
      <c r="VLV83" s="6"/>
      <c r="VLW83" s="6"/>
      <c r="VLX83" s="6"/>
      <c r="VLY83" s="6"/>
      <c r="VLZ83" s="6"/>
      <c r="VMA83" s="6"/>
      <c r="VMB83" s="6"/>
      <c r="VMC83" s="6"/>
      <c r="VMD83" s="6"/>
      <c r="VME83" s="6"/>
      <c r="VMF83" s="6"/>
      <c r="VMG83" s="6"/>
      <c r="VMH83" s="6"/>
      <c r="VMI83" s="6"/>
      <c r="VMJ83" s="6"/>
      <c r="VMK83" s="6"/>
      <c r="VML83" s="6"/>
      <c r="VMM83" s="6"/>
      <c r="VMN83" s="6"/>
      <c r="VMO83" s="6"/>
      <c r="VMP83" s="6"/>
      <c r="VMQ83" s="6"/>
      <c r="VMR83" s="6"/>
      <c r="VMS83" s="6"/>
      <c r="VMT83" s="6"/>
      <c r="VMU83" s="6"/>
      <c r="VMV83" s="6"/>
      <c r="VMW83" s="6"/>
      <c r="VMX83" s="6"/>
      <c r="VMY83" s="6"/>
      <c r="VMZ83" s="6"/>
      <c r="VNA83" s="6"/>
      <c r="VNB83" s="6"/>
      <c r="VNC83" s="6"/>
      <c r="VND83" s="6"/>
      <c r="VNE83" s="6"/>
      <c r="VNF83" s="6"/>
      <c r="VNG83" s="6"/>
      <c r="VNH83" s="6"/>
      <c r="VNI83" s="6"/>
      <c r="VNJ83" s="6"/>
      <c r="VNK83" s="6"/>
      <c r="VNL83" s="6"/>
      <c r="VNM83" s="6"/>
      <c r="VNN83" s="6"/>
      <c r="VNO83" s="6"/>
      <c r="VNP83" s="6"/>
      <c r="VNQ83" s="6"/>
      <c r="VNR83" s="6"/>
      <c r="VNS83" s="6"/>
      <c r="VNT83" s="6"/>
      <c r="VNU83" s="6"/>
      <c r="VNV83" s="6"/>
      <c r="VNW83" s="6"/>
      <c r="VNX83" s="6"/>
      <c r="VNY83" s="6"/>
      <c r="VNZ83" s="6"/>
      <c r="VOA83" s="6"/>
      <c r="VOB83" s="6"/>
      <c r="VOC83" s="6"/>
      <c r="VOD83" s="6"/>
      <c r="VOE83" s="6"/>
      <c r="VOF83" s="6"/>
      <c r="VOG83" s="6"/>
      <c r="VOH83" s="6"/>
      <c r="VOI83" s="6"/>
      <c r="VOJ83" s="6"/>
      <c r="VOK83" s="6"/>
      <c r="VOL83" s="6"/>
      <c r="VOM83" s="6"/>
      <c r="VON83" s="6"/>
      <c r="VOO83" s="6"/>
      <c r="VOP83" s="6"/>
      <c r="VOQ83" s="6"/>
      <c r="VOR83" s="6"/>
      <c r="VOS83" s="6"/>
      <c r="VOT83" s="6"/>
      <c r="VOU83" s="6"/>
      <c r="VOV83" s="6"/>
      <c r="VOW83" s="6"/>
      <c r="VOX83" s="6"/>
      <c r="VOY83" s="6"/>
      <c r="VOZ83" s="6"/>
      <c r="VPA83" s="6"/>
      <c r="VPB83" s="6"/>
      <c r="VPC83" s="6"/>
      <c r="VPD83" s="6"/>
      <c r="VPE83" s="6"/>
      <c r="VPF83" s="6"/>
      <c r="VPG83" s="6"/>
      <c r="VPH83" s="6"/>
      <c r="VPI83" s="6"/>
      <c r="VPJ83" s="6"/>
      <c r="VPK83" s="6"/>
      <c r="VPL83" s="6"/>
      <c r="VPM83" s="6"/>
      <c r="VPN83" s="6"/>
      <c r="VPO83" s="6"/>
      <c r="VPP83" s="6"/>
      <c r="VPQ83" s="6"/>
      <c r="VPR83" s="6"/>
      <c r="VPS83" s="6"/>
      <c r="VPT83" s="6"/>
      <c r="VPU83" s="6"/>
      <c r="VPV83" s="6"/>
      <c r="VPW83" s="6"/>
      <c r="VPX83" s="6"/>
      <c r="VPY83" s="6"/>
      <c r="VPZ83" s="6"/>
      <c r="VQA83" s="6"/>
      <c r="VQB83" s="6"/>
      <c r="VQC83" s="6"/>
      <c r="VQD83" s="6"/>
      <c r="VQE83" s="6"/>
      <c r="VQF83" s="6"/>
      <c r="VQG83" s="6"/>
      <c r="VQH83" s="6"/>
      <c r="VQI83" s="6"/>
      <c r="VQJ83" s="6"/>
      <c r="VQK83" s="6"/>
      <c r="VQL83" s="6"/>
      <c r="VQM83" s="6"/>
      <c r="VQN83" s="6"/>
      <c r="VQO83" s="6"/>
      <c r="VQP83" s="6"/>
      <c r="VQQ83" s="6"/>
      <c r="VQR83" s="6"/>
      <c r="VQS83" s="6"/>
      <c r="VQT83" s="6"/>
      <c r="VQU83" s="6"/>
      <c r="VQV83" s="6"/>
      <c r="VQW83" s="6"/>
      <c r="VQX83" s="6"/>
      <c r="VQY83" s="6"/>
      <c r="VQZ83" s="6"/>
      <c r="VRA83" s="6"/>
      <c r="VRB83" s="6"/>
      <c r="VRC83" s="6"/>
      <c r="VRD83" s="6"/>
      <c r="VRE83" s="6"/>
      <c r="VRF83" s="6"/>
      <c r="VRG83" s="6"/>
      <c r="VRH83" s="6"/>
      <c r="VRI83" s="6"/>
      <c r="VRJ83" s="6"/>
      <c r="VRK83" s="6"/>
      <c r="VRL83" s="6"/>
      <c r="VRM83" s="6"/>
      <c r="VRN83" s="6"/>
      <c r="VRO83" s="6"/>
      <c r="VRP83" s="6"/>
      <c r="VRQ83" s="6"/>
      <c r="VRR83" s="6"/>
      <c r="VRS83" s="6"/>
      <c r="VRT83" s="6"/>
      <c r="VRU83" s="6"/>
      <c r="VRV83" s="6"/>
      <c r="VRW83" s="6"/>
      <c r="VRX83" s="6"/>
      <c r="VRY83" s="6"/>
      <c r="VRZ83" s="6"/>
      <c r="VSA83" s="6"/>
      <c r="VSB83" s="6"/>
      <c r="VSC83" s="6"/>
      <c r="VSD83" s="6"/>
      <c r="VSE83" s="6"/>
      <c r="VSF83" s="6"/>
      <c r="VSG83" s="6"/>
      <c r="VSH83" s="6"/>
      <c r="VSI83" s="6"/>
      <c r="VSJ83" s="6"/>
      <c r="VSK83" s="6"/>
      <c r="VSL83" s="6"/>
      <c r="VSM83" s="6"/>
      <c r="VSN83" s="6"/>
      <c r="VSO83" s="6"/>
      <c r="VSP83" s="6"/>
      <c r="VSQ83" s="6"/>
      <c r="VSR83" s="6"/>
      <c r="VSS83" s="6"/>
      <c r="VST83" s="6"/>
      <c r="VSU83" s="6"/>
      <c r="VSV83" s="6"/>
      <c r="VSW83" s="6"/>
      <c r="VSX83" s="6"/>
      <c r="VSY83" s="6"/>
      <c r="VSZ83" s="6"/>
      <c r="VTA83" s="6"/>
      <c r="VTB83" s="6"/>
      <c r="VTC83" s="6"/>
      <c r="VTD83" s="6"/>
      <c r="VTE83" s="6"/>
      <c r="VTF83" s="6"/>
      <c r="VTG83" s="6"/>
      <c r="VTH83" s="6"/>
      <c r="VTI83" s="6"/>
      <c r="VTJ83" s="6"/>
      <c r="VTK83" s="6"/>
      <c r="VTL83" s="6"/>
      <c r="VTM83" s="6"/>
      <c r="VTN83" s="6"/>
      <c r="VTO83" s="6"/>
      <c r="VTP83" s="6"/>
      <c r="VTQ83" s="6"/>
      <c r="VTR83" s="6"/>
      <c r="VTS83" s="6"/>
      <c r="VTT83" s="6"/>
      <c r="VTU83" s="6"/>
      <c r="VTV83" s="6"/>
      <c r="VTW83" s="6"/>
      <c r="VTX83" s="6"/>
      <c r="VTY83" s="6"/>
      <c r="VTZ83" s="6"/>
      <c r="VUA83" s="6"/>
      <c r="VUB83" s="6"/>
      <c r="VUC83" s="6"/>
      <c r="VUD83" s="6"/>
      <c r="VUE83" s="6"/>
      <c r="VUF83" s="6"/>
      <c r="VUG83" s="6"/>
      <c r="VUH83" s="6"/>
      <c r="VUI83" s="6"/>
      <c r="VUJ83" s="6"/>
      <c r="VUK83" s="6"/>
      <c r="VUL83" s="6"/>
      <c r="VUM83" s="6"/>
      <c r="VUN83" s="6"/>
      <c r="VUO83" s="6"/>
      <c r="VUP83" s="6"/>
      <c r="VUQ83" s="6"/>
      <c r="VUR83" s="6"/>
      <c r="VUS83" s="6"/>
      <c r="VUT83" s="6"/>
      <c r="VUU83" s="6"/>
      <c r="VUV83" s="6"/>
      <c r="VUW83" s="6"/>
      <c r="VUX83" s="6"/>
      <c r="VUY83" s="6"/>
      <c r="VUZ83" s="6"/>
      <c r="VVA83" s="6"/>
      <c r="VVB83" s="6"/>
      <c r="VVC83" s="6"/>
      <c r="VVD83" s="6"/>
      <c r="VVE83" s="6"/>
      <c r="VVF83" s="6"/>
      <c r="VVG83" s="6"/>
      <c r="VVH83" s="6"/>
      <c r="VVI83" s="6"/>
      <c r="VVJ83" s="6"/>
      <c r="VVK83" s="6"/>
      <c r="VVL83" s="6"/>
      <c r="VVM83" s="6"/>
      <c r="VVN83" s="6"/>
      <c r="VVO83" s="6"/>
      <c r="VVP83" s="6"/>
      <c r="VVQ83" s="6"/>
      <c r="VVR83" s="6"/>
      <c r="VVS83" s="6"/>
      <c r="VVT83" s="6"/>
      <c r="VVU83" s="6"/>
      <c r="VVV83" s="6"/>
      <c r="VVW83" s="6"/>
      <c r="VVX83" s="6"/>
      <c r="VVY83" s="6"/>
      <c r="VVZ83" s="6"/>
      <c r="VWA83" s="6"/>
      <c r="VWB83" s="6"/>
      <c r="VWC83" s="6"/>
      <c r="VWD83" s="6"/>
      <c r="VWE83" s="6"/>
      <c r="VWF83" s="6"/>
      <c r="VWG83" s="6"/>
      <c r="VWH83" s="6"/>
      <c r="VWI83" s="6"/>
      <c r="VWJ83" s="6"/>
      <c r="VWK83" s="6"/>
      <c r="VWL83" s="6"/>
      <c r="VWM83" s="6"/>
      <c r="VWN83" s="6"/>
      <c r="VWO83" s="6"/>
      <c r="VWP83" s="6"/>
      <c r="VWQ83" s="6"/>
      <c r="VWR83" s="6"/>
      <c r="VWS83" s="6"/>
      <c r="VWT83" s="6"/>
      <c r="VWU83" s="6"/>
      <c r="VWV83" s="6"/>
      <c r="VWW83" s="6"/>
      <c r="VWX83" s="6"/>
      <c r="VWY83" s="6"/>
      <c r="VWZ83" s="6"/>
      <c r="VXA83" s="6"/>
      <c r="VXB83" s="6"/>
      <c r="VXC83" s="6"/>
      <c r="VXD83" s="6"/>
      <c r="VXE83" s="6"/>
      <c r="VXF83" s="6"/>
      <c r="VXG83" s="6"/>
      <c r="VXH83" s="6"/>
      <c r="VXI83" s="6"/>
      <c r="VXJ83" s="6"/>
      <c r="VXK83" s="6"/>
      <c r="VXL83" s="6"/>
      <c r="VXM83" s="6"/>
      <c r="VXN83" s="6"/>
      <c r="VXO83" s="6"/>
      <c r="VXP83" s="6"/>
      <c r="VXQ83" s="6"/>
      <c r="VXR83" s="6"/>
      <c r="VXS83" s="6"/>
      <c r="VXT83" s="6"/>
      <c r="VXU83" s="6"/>
      <c r="VXV83" s="6"/>
      <c r="VXW83" s="6"/>
      <c r="VXX83" s="6"/>
      <c r="VXY83" s="6"/>
      <c r="VXZ83" s="6"/>
      <c r="VYA83" s="6"/>
      <c r="VYB83" s="6"/>
      <c r="VYC83" s="6"/>
      <c r="VYD83" s="6"/>
      <c r="VYE83" s="6"/>
      <c r="VYF83" s="6"/>
      <c r="VYG83" s="6"/>
      <c r="VYH83" s="6"/>
      <c r="VYI83" s="6"/>
      <c r="VYJ83" s="6"/>
      <c r="VYK83" s="6"/>
      <c r="VYL83" s="6"/>
      <c r="VYM83" s="6"/>
      <c r="VYN83" s="6"/>
      <c r="VYO83" s="6"/>
      <c r="VYP83" s="6"/>
      <c r="VYQ83" s="6"/>
      <c r="VYR83" s="6"/>
      <c r="VYS83" s="6"/>
      <c r="VYT83" s="6"/>
      <c r="VYU83" s="6"/>
      <c r="VYV83" s="6"/>
      <c r="VYW83" s="6"/>
      <c r="VYX83" s="6"/>
      <c r="VYY83" s="6"/>
      <c r="VYZ83" s="6"/>
      <c r="VZA83" s="6"/>
      <c r="VZB83" s="6"/>
      <c r="VZC83" s="6"/>
      <c r="VZD83" s="6"/>
      <c r="VZE83" s="6"/>
      <c r="VZF83" s="6"/>
      <c r="VZG83" s="6"/>
      <c r="VZH83" s="6"/>
      <c r="VZI83" s="6"/>
      <c r="VZJ83" s="6"/>
      <c r="VZK83" s="6"/>
      <c r="VZL83" s="6"/>
      <c r="VZM83" s="6"/>
      <c r="VZN83" s="6"/>
      <c r="VZO83" s="6"/>
      <c r="VZP83" s="6"/>
      <c r="VZQ83" s="6"/>
      <c r="VZR83" s="6"/>
      <c r="VZS83" s="6"/>
      <c r="VZT83" s="6"/>
      <c r="VZU83" s="6"/>
      <c r="VZV83" s="6"/>
      <c r="VZW83" s="6"/>
      <c r="VZX83" s="6"/>
      <c r="VZY83" s="6"/>
      <c r="VZZ83" s="6"/>
      <c r="WAA83" s="6"/>
      <c r="WAB83" s="6"/>
      <c r="WAC83" s="6"/>
      <c r="WAD83" s="6"/>
      <c r="WAE83" s="6"/>
      <c r="WAF83" s="6"/>
      <c r="WAG83" s="6"/>
      <c r="WAH83" s="6"/>
      <c r="WAI83" s="6"/>
      <c r="WAJ83" s="6"/>
      <c r="WAK83" s="6"/>
      <c r="WAL83" s="6"/>
      <c r="WAM83" s="6"/>
      <c r="WAN83" s="6"/>
      <c r="WAO83" s="6"/>
      <c r="WAP83" s="6"/>
      <c r="WAQ83" s="6"/>
      <c r="WAR83" s="6"/>
      <c r="WAS83" s="6"/>
      <c r="WAT83" s="6"/>
      <c r="WAU83" s="6"/>
      <c r="WAV83" s="6"/>
      <c r="WAW83" s="6"/>
      <c r="WAX83" s="6"/>
      <c r="WAY83" s="6"/>
      <c r="WAZ83" s="6"/>
      <c r="WBA83" s="6"/>
      <c r="WBB83" s="6"/>
      <c r="WBC83" s="6"/>
      <c r="WBD83" s="6"/>
      <c r="WBE83" s="6"/>
      <c r="WBF83" s="6"/>
      <c r="WBG83" s="6"/>
      <c r="WBH83" s="6"/>
      <c r="WBI83" s="6"/>
      <c r="WBJ83" s="6"/>
      <c r="WBK83" s="6"/>
      <c r="WBL83" s="6"/>
      <c r="WBM83" s="6"/>
      <c r="WBN83" s="6"/>
      <c r="WBO83" s="6"/>
      <c r="WBP83" s="6"/>
      <c r="WBQ83" s="6"/>
      <c r="WBR83" s="6"/>
      <c r="WBS83" s="6"/>
      <c r="WBT83" s="6"/>
      <c r="WBU83" s="6"/>
      <c r="WBV83" s="6"/>
      <c r="WBW83" s="6"/>
      <c r="WBX83" s="6"/>
      <c r="WBY83" s="6"/>
      <c r="WBZ83" s="6"/>
      <c r="WCA83" s="6"/>
      <c r="WCB83" s="6"/>
      <c r="WCC83" s="6"/>
      <c r="WCD83" s="6"/>
      <c r="WCE83" s="6"/>
      <c r="WCF83" s="6"/>
      <c r="WCG83" s="6"/>
      <c r="WCH83" s="6"/>
      <c r="WCI83" s="6"/>
      <c r="WCJ83" s="6"/>
      <c r="WCK83" s="6"/>
      <c r="WCL83" s="6"/>
      <c r="WCM83" s="6"/>
      <c r="WCN83" s="6"/>
      <c r="WCO83" s="6"/>
      <c r="WCP83" s="6"/>
      <c r="WCQ83" s="6"/>
      <c r="WCR83" s="6"/>
      <c r="WCS83" s="6"/>
      <c r="WCT83" s="6"/>
      <c r="WCU83" s="6"/>
      <c r="WCV83" s="6"/>
      <c r="WCW83" s="6"/>
      <c r="WCX83" s="6"/>
      <c r="WCY83" s="6"/>
      <c r="WCZ83" s="6"/>
      <c r="WDA83" s="6"/>
      <c r="WDB83" s="6"/>
      <c r="WDC83" s="6"/>
      <c r="WDD83" s="6"/>
      <c r="WDE83" s="6"/>
      <c r="WDF83" s="6"/>
      <c r="WDG83" s="6"/>
      <c r="WDH83" s="6"/>
      <c r="WDI83" s="6"/>
      <c r="WDJ83" s="6"/>
      <c r="WDK83" s="6"/>
      <c r="WDL83" s="6"/>
      <c r="WDM83" s="6"/>
      <c r="WDN83" s="6"/>
      <c r="WDO83" s="6"/>
      <c r="WDP83" s="6"/>
      <c r="WDQ83" s="6"/>
      <c r="WDR83" s="6"/>
      <c r="WDS83" s="6"/>
      <c r="WDT83" s="6"/>
      <c r="WDU83" s="6"/>
      <c r="WDV83" s="6"/>
      <c r="WDW83" s="6"/>
      <c r="WDX83" s="6"/>
      <c r="WDY83" s="6"/>
      <c r="WDZ83" s="6"/>
      <c r="WEA83" s="6"/>
      <c r="WEB83" s="6"/>
      <c r="WEC83" s="6"/>
      <c r="WED83" s="6"/>
      <c r="WEE83" s="6"/>
      <c r="WEF83" s="6"/>
      <c r="WEG83" s="6"/>
      <c r="WEH83" s="6"/>
      <c r="WEI83" s="6"/>
      <c r="WEJ83" s="6"/>
      <c r="WEK83" s="6"/>
      <c r="WEL83" s="6"/>
      <c r="WEM83" s="6"/>
      <c r="WEN83" s="6"/>
      <c r="WEO83" s="6"/>
      <c r="WEP83" s="6"/>
      <c r="WEQ83" s="6"/>
      <c r="WER83" s="6"/>
      <c r="WES83" s="6"/>
      <c r="WET83" s="6"/>
      <c r="WEU83" s="6"/>
      <c r="WEV83" s="6"/>
      <c r="WEW83" s="6"/>
      <c r="WEX83" s="6"/>
      <c r="WEY83" s="6"/>
      <c r="WEZ83" s="6"/>
      <c r="WFA83" s="6"/>
      <c r="WFB83" s="6"/>
      <c r="WFC83" s="6"/>
      <c r="WFD83" s="6"/>
      <c r="WFE83" s="6"/>
      <c r="WFF83" s="6"/>
      <c r="WFG83" s="6"/>
      <c r="WFH83" s="6"/>
      <c r="WFI83" s="6"/>
      <c r="WFJ83" s="6"/>
      <c r="WFK83" s="6"/>
      <c r="WFL83" s="6"/>
      <c r="WFM83" s="6"/>
      <c r="WFN83" s="6"/>
      <c r="WFO83" s="6"/>
      <c r="WFP83" s="6"/>
      <c r="WFQ83" s="6"/>
      <c r="WFR83" s="6"/>
      <c r="WFS83" s="6"/>
      <c r="WFT83" s="6"/>
      <c r="WFU83" s="6"/>
      <c r="WFV83" s="6"/>
      <c r="WFW83" s="6"/>
      <c r="WFX83" s="6"/>
      <c r="WFY83" s="6"/>
      <c r="WFZ83" s="6"/>
      <c r="WGA83" s="6"/>
      <c r="WGB83" s="6"/>
      <c r="WGC83" s="6"/>
      <c r="WGD83" s="6"/>
      <c r="WGE83" s="6"/>
      <c r="WGF83" s="6"/>
      <c r="WGG83" s="6"/>
      <c r="WGH83" s="6"/>
      <c r="WGI83" s="6"/>
      <c r="WGJ83" s="6"/>
      <c r="WGK83" s="6"/>
      <c r="WGL83" s="6"/>
      <c r="WGM83" s="6"/>
      <c r="WGN83" s="6"/>
      <c r="WGO83" s="6"/>
      <c r="WGP83" s="6"/>
      <c r="WGQ83" s="6"/>
      <c r="WGR83" s="6"/>
      <c r="WGS83" s="6"/>
      <c r="WGT83" s="6"/>
      <c r="WGU83" s="6"/>
      <c r="WGV83" s="6"/>
      <c r="WGW83" s="6"/>
      <c r="WGX83" s="6"/>
      <c r="WGY83" s="6"/>
      <c r="WGZ83" s="6"/>
      <c r="WHA83" s="6"/>
      <c r="WHB83" s="6"/>
      <c r="WHC83" s="6"/>
      <c r="WHD83" s="6"/>
      <c r="WHE83" s="6"/>
      <c r="WHF83" s="6"/>
      <c r="WHG83" s="6"/>
      <c r="WHH83" s="6"/>
      <c r="WHI83" s="6"/>
      <c r="WHJ83" s="6"/>
      <c r="WHK83" s="6"/>
      <c r="WHL83" s="6"/>
      <c r="WHM83" s="6"/>
      <c r="WHN83" s="6"/>
      <c r="WHO83" s="6"/>
      <c r="WHP83" s="6"/>
      <c r="WHQ83" s="6"/>
      <c r="WHR83" s="6"/>
      <c r="WHS83" s="6"/>
      <c r="WHT83" s="6"/>
      <c r="WHU83" s="6"/>
      <c r="WHV83" s="6"/>
      <c r="WHW83" s="6"/>
      <c r="WHX83" s="6"/>
      <c r="WHY83" s="6"/>
      <c r="WHZ83" s="6"/>
      <c r="WIA83" s="6"/>
      <c r="WIB83" s="6"/>
      <c r="WIC83" s="6"/>
      <c r="WID83" s="6"/>
      <c r="WIE83" s="6"/>
      <c r="WIF83" s="6"/>
      <c r="WIG83" s="6"/>
      <c r="WIH83" s="6"/>
      <c r="WII83" s="6"/>
      <c r="WIJ83" s="6"/>
      <c r="WIK83" s="6"/>
      <c r="WIL83" s="6"/>
      <c r="WIM83" s="6"/>
      <c r="WIN83" s="6"/>
      <c r="WIO83" s="6"/>
      <c r="WIP83" s="6"/>
      <c r="WIQ83" s="6"/>
      <c r="WIR83" s="6"/>
      <c r="WIS83" s="6"/>
      <c r="WIT83" s="6"/>
      <c r="WIU83" s="6"/>
      <c r="WIV83" s="6"/>
      <c r="WIW83" s="6"/>
      <c r="WIX83" s="6"/>
      <c r="WIY83" s="6"/>
      <c r="WIZ83" s="6"/>
      <c r="WJA83" s="6"/>
      <c r="WJB83" s="6"/>
      <c r="WJC83" s="6"/>
      <c r="WJD83" s="6"/>
      <c r="WJE83" s="6"/>
      <c r="WJF83" s="6"/>
      <c r="WJG83" s="6"/>
      <c r="WJH83" s="6"/>
      <c r="WJI83" s="6"/>
      <c r="WJJ83" s="6"/>
      <c r="WJK83" s="6"/>
      <c r="WJL83" s="6"/>
      <c r="WJM83" s="6"/>
      <c r="WJN83" s="6"/>
      <c r="WJO83" s="6"/>
      <c r="WJP83" s="6"/>
      <c r="WJQ83" s="6"/>
      <c r="WJR83" s="6"/>
      <c r="WJS83" s="6"/>
      <c r="WJT83" s="6"/>
      <c r="WJU83" s="6"/>
      <c r="WJV83" s="6"/>
      <c r="WJW83" s="6"/>
      <c r="WJX83" s="6"/>
      <c r="WJY83" s="6"/>
      <c r="WJZ83" s="6"/>
      <c r="WKA83" s="6"/>
      <c r="WKB83" s="6"/>
      <c r="WKC83" s="6"/>
      <c r="WKD83" s="6"/>
      <c r="WKE83" s="6"/>
      <c r="WKF83" s="6"/>
      <c r="WKG83" s="6"/>
      <c r="WKH83" s="6"/>
      <c r="WKI83" s="6"/>
      <c r="WKJ83" s="6"/>
      <c r="WKK83" s="6"/>
      <c r="WKL83" s="6"/>
      <c r="WKM83" s="6"/>
      <c r="WKN83" s="6"/>
      <c r="WKO83" s="6"/>
      <c r="WKP83" s="6"/>
      <c r="WKQ83" s="6"/>
      <c r="WKR83" s="6"/>
      <c r="WKS83" s="6"/>
      <c r="WKT83" s="6"/>
      <c r="WKU83" s="6"/>
      <c r="WKV83" s="6"/>
      <c r="WKW83" s="6"/>
      <c r="WKX83" s="6"/>
      <c r="WKY83" s="6"/>
      <c r="WKZ83" s="6"/>
      <c r="WLA83" s="6"/>
      <c r="WLB83" s="6"/>
      <c r="WLC83" s="6"/>
      <c r="WLD83" s="6"/>
      <c r="WLE83" s="6"/>
      <c r="WLF83" s="6"/>
      <c r="WLG83" s="6"/>
      <c r="WLH83" s="6"/>
      <c r="WLI83" s="6"/>
      <c r="WLJ83" s="6"/>
      <c r="WLK83" s="6"/>
      <c r="WLL83" s="6"/>
      <c r="WLM83" s="6"/>
      <c r="WLN83" s="6"/>
      <c r="WLO83" s="6"/>
      <c r="WLP83" s="6"/>
      <c r="WLQ83" s="6"/>
      <c r="WLR83" s="6"/>
      <c r="WLS83" s="6"/>
      <c r="WLT83" s="6"/>
      <c r="WLU83" s="6"/>
      <c r="WLV83" s="6"/>
      <c r="WLW83" s="6"/>
      <c r="WLX83" s="6"/>
      <c r="WLY83" s="6"/>
      <c r="WLZ83" s="6"/>
      <c r="WMA83" s="6"/>
      <c r="WMB83" s="6"/>
      <c r="WMC83" s="6"/>
      <c r="WMD83" s="6"/>
      <c r="WME83" s="6"/>
      <c r="WMF83" s="6"/>
      <c r="WMG83" s="6"/>
      <c r="WMH83" s="6"/>
      <c r="WMI83" s="6"/>
      <c r="WMJ83" s="6"/>
      <c r="WMK83" s="6"/>
      <c r="WML83" s="6"/>
      <c r="WMM83" s="6"/>
      <c r="WMN83" s="6"/>
      <c r="WMO83" s="6"/>
      <c r="WMP83" s="6"/>
      <c r="WMQ83" s="6"/>
      <c r="WMR83" s="6"/>
      <c r="WMS83" s="6"/>
      <c r="WMT83" s="6"/>
      <c r="WMU83" s="6"/>
      <c r="WMV83" s="6"/>
      <c r="WMW83" s="6"/>
      <c r="WMX83" s="6"/>
      <c r="WMY83" s="6"/>
      <c r="WMZ83" s="6"/>
      <c r="WNA83" s="6"/>
      <c r="WNB83" s="6"/>
      <c r="WNC83" s="6"/>
      <c r="WND83" s="6"/>
      <c r="WNE83" s="6"/>
      <c r="WNF83" s="6"/>
      <c r="WNG83" s="6"/>
      <c r="WNH83" s="6"/>
      <c r="WNI83" s="6"/>
      <c r="WNJ83" s="6"/>
      <c r="WNK83" s="6"/>
      <c r="WNL83" s="6"/>
      <c r="WNM83" s="6"/>
      <c r="WNN83" s="6"/>
      <c r="WNO83" s="6"/>
      <c r="WNP83" s="6"/>
      <c r="WNQ83" s="6"/>
      <c r="WNR83" s="6"/>
      <c r="WNS83" s="6"/>
      <c r="WNT83" s="6"/>
      <c r="WNU83" s="6"/>
      <c r="WNV83" s="6"/>
      <c r="WNW83" s="6"/>
      <c r="WNX83" s="6"/>
      <c r="WNY83" s="6"/>
      <c r="WNZ83" s="6"/>
      <c r="WOA83" s="6"/>
      <c r="WOB83" s="6"/>
      <c r="WOC83" s="6"/>
      <c r="WOD83" s="6"/>
      <c r="WOE83" s="6"/>
      <c r="WOF83" s="6"/>
      <c r="WOG83" s="6"/>
      <c r="WOH83" s="6"/>
      <c r="WOI83" s="6"/>
      <c r="WOJ83" s="6"/>
      <c r="WOK83" s="6"/>
      <c r="WOL83" s="6"/>
      <c r="WOM83" s="6"/>
      <c r="WON83" s="6"/>
      <c r="WOO83" s="6"/>
      <c r="WOP83" s="6"/>
      <c r="WOQ83" s="6"/>
      <c r="WOR83" s="6"/>
      <c r="WOS83" s="6"/>
      <c r="WOT83" s="6"/>
      <c r="WOU83" s="6"/>
      <c r="WOV83" s="6"/>
      <c r="WOW83" s="6"/>
      <c r="WOX83" s="6"/>
      <c r="WOY83" s="6"/>
      <c r="WOZ83" s="6"/>
      <c r="WPA83" s="6"/>
      <c r="WPB83" s="6"/>
      <c r="WPC83" s="6"/>
      <c r="WPD83" s="6"/>
      <c r="WPE83" s="6"/>
      <c r="WPF83" s="6"/>
      <c r="WPG83" s="6"/>
      <c r="WPH83" s="6"/>
      <c r="WPI83" s="6"/>
      <c r="WPJ83" s="6"/>
      <c r="WPK83" s="6"/>
      <c r="WPL83" s="6"/>
      <c r="WPM83" s="6"/>
      <c r="WPN83" s="6"/>
      <c r="WPO83" s="6"/>
      <c r="WPP83" s="6"/>
      <c r="WPQ83" s="6"/>
      <c r="WPR83" s="6"/>
      <c r="WPS83" s="6"/>
      <c r="WPT83" s="6"/>
      <c r="WPU83" s="6"/>
      <c r="WPV83" s="6"/>
      <c r="WPW83" s="6"/>
      <c r="WPX83" s="6"/>
      <c r="WPY83" s="6"/>
      <c r="WPZ83" s="6"/>
      <c r="WQA83" s="6"/>
      <c r="WQB83" s="6"/>
      <c r="WQC83" s="6"/>
      <c r="WQD83" s="6"/>
      <c r="WQE83" s="6"/>
      <c r="WQF83" s="6"/>
      <c r="WQG83" s="6"/>
      <c r="WQH83" s="6"/>
      <c r="WQI83" s="6"/>
      <c r="WQJ83" s="6"/>
      <c r="WQK83" s="6"/>
      <c r="WQL83" s="6"/>
      <c r="WQM83" s="6"/>
      <c r="WQN83" s="6"/>
      <c r="WQO83" s="6"/>
      <c r="WQP83" s="6"/>
      <c r="WQQ83" s="6"/>
      <c r="WQR83" s="6"/>
      <c r="WQS83" s="6"/>
      <c r="WQT83" s="6"/>
      <c r="WQU83" s="6"/>
      <c r="WQV83" s="6"/>
      <c r="WQW83" s="6"/>
      <c r="WQX83" s="6"/>
      <c r="WQY83" s="6"/>
      <c r="WQZ83" s="6"/>
      <c r="WRA83" s="6"/>
      <c r="WRB83" s="6"/>
      <c r="WRC83" s="6"/>
      <c r="WRD83" s="6"/>
      <c r="WRE83" s="6"/>
      <c r="WRF83" s="6"/>
      <c r="WRG83" s="6"/>
      <c r="WRH83" s="6"/>
      <c r="WRI83" s="6"/>
      <c r="WRJ83" s="6"/>
      <c r="WRK83" s="6"/>
      <c r="WRL83" s="6"/>
      <c r="WRM83" s="6"/>
      <c r="WRN83" s="6"/>
      <c r="WRO83" s="6"/>
      <c r="WRP83" s="6"/>
      <c r="WRQ83" s="6"/>
      <c r="WRR83" s="6"/>
      <c r="WRS83" s="6"/>
      <c r="WRT83" s="6"/>
      <c r="WRU83" s="6"/>
      <c r="WRV83" s="6"/>
      <c r="WRW83" s="6"/>
      <c r="WRX83" s="6"/>
      <c r="WRY83" s="6"/>
      <c r="WRZ83" s="6"/>
      <c r="WSA83" s="6"/>
      <c r="WSB83" s="6"/>
      <c r="WSC83" s="6"/>
      <c r="WSD83" s="6"/>
      <c r="WSE83" s="6"/>
      <c r="WSF83" s="6"/>
      <c r="WSG83" s="6"/>
      <c r="WSH83" s="6"/>
      <c r="WSI83" s="6"/>
      <c r="WSJ83" s="6"/>
      <c r="WSK83" s="6"/>
      <c r="WSL83" s="6"/>
      <c r="WSM83" s="6"/>
      <c r="WSN83" s="6"/>
      <c r="WSO83" s="6"/>
      <c r="WSP83" s="6"/>
      <c r="WSQ83" s="6"/>
      <c r="WSR83" s="6"/>
      <c r="WSS83" s="6"/>
      <c r="WST83" s="6"/>
      <c r="WSU83" s="6"/>
      <c r="WSV83" s="6"/>
      <c r="WSW83" s="6"/>
      <c r="WSX83" s="6"/>
      <c r="WSY83" s="6"/>
      <c r="WSZ83" s="6"/>
      <c r="WTA83" s="6"/>
      <c r="WTB83" s="6"/>
      <c r="WTC83" s="6"/>
      <c r="WTD83" s="6"/>
      <c r="WTE83" s="6"/>
      <c r="WTF83" s="6"/>
      <c r="WTG83" s="6"/>
      <c r="WTH83" s="6"/>
      <c r="WTI83" s="6"/>
      <c r="WTJ83" s="6"/>
      <c r="WTK83" s="6"/>
      <c r="WTL83" s="6"/>
      <c r="WTM83" s="6"/>
      <c r="WTN83" s="6"/>
      <c r="WTO83" s="6"/>
      <c r="WTP83" s="6"/>
      <c r="WTQ83" s="6"/>
      <c r="WTR83" s="6"/>
      <c r="WTS83" s="6"/>
      <c r="WTT83" s="6"/>
      <c r="WTU83" s="6"/>
      <c r="WTV83" s="6"/>
      <c r="WTW83" s="6"/>
      <c r="WTX83" s="6"/>
      <c r="WTY83" s="6"/>
      <c r="WTZ83" s="6"/>
      <c r="WUA83" s="6"/>
      <c r="WUB83" s="6"/>
      <c r="WUC83" s="6"/>
      <c r="WUD83" s="6"/>
      <c r="WUE83" s="6"/>
      <c r="WUF83" s="6"/>
      <c r="WUG83" s="6"/>
      <c r="WUH83" s="6"/>
      <c r="WUI83" s="6"/>
      <c r="WUJ83" s="6"/>
      <c r="WUK83" s="6"/>
      <c r="WUL83" s="6"/>
      <c r="WUM83" s="6"/>
      <c r="WUN83" s="6"/>
      <c r="WUO83" s="6"/>
      <c r="WUP83" s="6"/>
      <c r="WUQ83" s="6"/>
      <c r="WUR83" s="6"/>
      <c r="WUS83" s="6"/>
      <c r="WUT83" s="6"/>
      <c r="WUU83" s="6"/>
      <c r="WUV83" s="6"/>
      <c r="WUW83" s="6"/>
      <c r="WUX83" s="6"/>
      <c r="WUY83" s="6"/>
      <c r="WUZ83" s="6"/>
      <c r="WVA83" s="6"/>
      <c r="WVB83" s="6"/>
      <c r="WVC83" s="6"/>
      <c r="WVD83" s="6"/>
      <c r="WVE83" s="6"/>
      <c r="WVF83" s="6"/>
      <c r="WVG83" s="6"/>
      <c r="WVH83" s="6"/>
      <c r="WVI83" s="6"/>
      <c r="WVJ83" s="6"/>
      <c r="WVK83" s="6"/>
      <c r="WVL83" s="6"/>
      <c r="WVM83" s="6"/>
      <c r="WVN83" s="6"/>
      <c r="WVO83" s="6"/>
      <c r="WVP83" s="6"/>
      <c r="WVQ83" s="6"/>
      <c r="WVR83" s="6"/>
      <c r="WVS83" s="6"/>
      <c r="WVT83" s="6"/>
      <c r="WVU83" s="6"/>
      <c r="WVV83" s="6"/>
      <c r="WVW83" s="6"/>
      <c r="WVX83" s="6"/>
      <c r="WVY83" s="6"/>
      <c r="WVZ83" s="6"/>
      <c r="WWA83" s="6"/>
      <c r="WWB83" s="6"/>
      <c r="WWC83" s="6"/>
      <c r="WWD83" s="6"/>
      <c r="WWE83" s="6"/>
      <c r="WWF83" s="6"/>
      <c r="WWG83" s="6"/>
      <c r="WWH83" s="6"/>
      <c r="WWI83" s="6"/>
      <c r="WWJ83" s="6"/>
      <c r="WWK83" s="6"/>
      <c r="WWL83" s="6"/>
      <c r="WWM83" s="6"/>
      <c r="WWN83" s="6"/>
      <c r="WWO83" s="6"/>
      <c r="WWP83" s="6"/>
      <c r="WWQ83" s="6"/>
      <c r="WWR83" s="6"/>
      <c r="WWS83" s="6"/>
      <c r="WWT83" s="6"/>
      <c r="WWU83" s="6"/>
      <c r="WWV83" s="6"/>
      <c r="WWW83" s="6"/>
      <c r="WWX83" s="6"/>
      <c r="WWY83" s="6"/>
      <c r="WWZ83" s="6"/>
      <c r="WXA83" s="6"/>
      <c r="WXB83" s="6"/>
      <c r="WXC83" s="6"/>
      <c r="WXD83" s="6"/>
      <c r="WXE83" s="6"/>
      <c r="WXF83" s="6"/>
      <c r="WXG83" s="6"/>
      <c r="WXH83" s="6"/>
      <c r="WXI83" s="6"/>
      <c r="WXJ83" s="6"/>
      <c r="WXK83" s="6"/>
      <c r="WXL83" s="6"/>
      <c r="WXM83" s="6"/>
      <c r="WXN83" s="6"/>
      <c r="WXO83" s="6"/>
      <c r="WXP83" s="6"/>
      <c r="WXQ83" s="6"/>
      <c r="WXR83" s="6"/>
      <c r="WXS83" s="6"/>
      <c r="WXT83" s="6"/>
      <c r="WXU83" s="6"/>
      <c r="WXV83" s="6"/>
      <c r="WXW83" s="6"/>
      <c r="WXX83" s="6"/>
      <c r="WXY83" s="6"/>
      <c r="WXZ83" s="6"/>
      <c r="WYA83" s="6"/>
      <c r="WYB83" s="6"/>
      <c r="WYC83" s="6"/>
      <c r="WYD83" s="6"/>
      <c r="WYE83" s="6"/>
      <c r="WYF83" s="6"/>
      <c r="WYG83" s="6"/>
      <c r="WYH83" s="6"/>
      <c r="WYI83" s="6"/>
      <c r="WYJ83" s="6"/>
      <c r="WYK83" s="6"/>
      <c r="WYL83" s="6"/>
      <c r="WYM83" s="6"/>
      <c r="WYN83" s="6"/>
      <c r="WYO83" s="6"/>
      <c r="WYP83" s="6"/>
      <c r="WYQ83" s="6"/>
      <c r="WYR83" s="6"/>
      <c r="WYS83" s="6"/>
      <c r="WYT83" s="6"/>
      <c r="WYU83" s="6"/>
      <c r="WYV83" s="6"/>
      <c r="WYW83" s="6"/>
      <c r="WYX83" s="6"/>
      <c r="WYY83" s="6"/>
      <c r="WYZ83" s="6"/>
      <c r="WZA83" s="6"/>
      <c r="WZB83" s="6"/>
      <c r="WZC83" s="6"/>
      <c r="WZD83" s="6"/>
      <c r="WZE83" s="6"/>
      <c r="WZF83" s="6"/>
      <c r="WZG83" s="6"/>
      <c r="WZH83" s="6"/>
      <c r="WZI83" s="6"/>
      <c r="WZJ83" s="6"/>
      <c r="WZK83" s="6"/>
      <c r="WZL83" s="6"/>
      <c r="WZM83" s="6"/>
      <c r="WZN83" s="6"/>
      <c r="WZO83" s="6"/>
      <c r="WZP83" s="6"/>
      <c r="WZQ83" s="6"/>
      <c r="WZR83" s="6"/>
      <c r="WZS83" s="6"/>
      <c r="WZT83" s="6"/>
      <c r="WZU83" s="6"/>
      <c r="WZV83" s="6"/>
      <c r="WZW83" s="6"/>
      <c r="WZX83" s="6"/>
      <c r="WZY83" s="6"/>
      <c r="WZZ83" s="6"/>
      <c r="XAA83" s="6"/>
      <c r="XAB83" s="6"/>
      <c r="XAC83" s="6"/>
      <c r="XAD83" s="6"/>
      <c r="XAE83" s="6"/>
      <c r="XAF83" s="6"/>
      <c r="XAG83" s="6"/>
      <c r="XAH83" s="6"/>
      <c r="XAI83" s="6"/>
      <c r="XAJ83" s="6"/>
      <c r="XAK83" s="6"/>
      <c r="XAL83" s="6"/>
      <c r="XAM83" s="6"/>
      <c r="XAN83" s="6"/>
      <c r="XAO83" s="6"/>
      <c r="XAP83" s="6"/>
      <c r="XAQ83" s="6"/>
      <c r="XAR83" s="6"/>
      <c r="XAS83" s="6"/>
      <c r="XAT83" s="6"/>
      <c r="XAU83" s="6"/>
      <c r="XAV83" s="6"/>
      <c r="XAW83" s="6"/>
      <c r="XAX83" s="6"/>
      <c r="XAY83" s="6"/>
      <c r="XAZ83" s="6"/>
      <c r="XBA83" s="6"/>
      <c r="XBB83" s="6"/>
      <c r="XBC83" s="6"/>
      <c r="XBD83" s="6"/>
      <c r="XBE83" s="6"/>
      <c r="XBF83" s="6"/>
      <c r="XBG83" s="6"/>
      <c r="XBH83" s="6"/>
      <c r="XBI83" s="6"/>
      <c r="XBJ83" s="6"/>
      <c r="XBK83" s="6"/>
      <c r="XBL83" s="6"/>
      <c r="XBM83" s="6"/>
      <c r="XBN83" s="6"/>
      <c r="XBO83" s="6"/>
      <c r="XBP83" s="6"/>
      <c r="XBQ83" s="6"/>
      <c r="XBR83" s="6"/>
      <c r="XBS83" s="6"/>
      <c r="XBT83" s="6"/>
      <c r="XBU83" s="6"/>
      <c r="XBV83" s="6"/>
      <c r="XBW83" s="6"/>
      <c r="XBX83" s="6"/>
      <c r="XBY83" s="6"/>
      <c r="XBZ83" s="6"/>
      <c r="XCA83" s="6"/>
      <c r="XCB83" s="6"/>
      <c r="XCC83" s="6"/>
      <c r="XCD83" s="6"/>
      <c r="XCE83" s="6"/>
      <c r="XCF83" s="6"/>
      <c r="XCG83" s="6"/>
      <c r="XCH83" s="6"/>
      <c r="XCI83" s="6"/>
      <c r="XCJ83" s="6"/>
      <c r="XCK83" s="6"/>
      <c r="XCL83" s="6"/>
      <c r="XCM83" s="6"/>
      <c r="XCN83" s="6"/>
      <c r="XCO83" s="6"/>
      <c r="XCP83" s="6"/>
      <c r="XCQ83" s="6"/>
      <c r="XCR83" s="6"/>
      <c r="XCS83" s="6"/>
      <c r="XCT83" s="6"/>
      <c r="XCU83" s="6"/>
      <c r="XCV83" s="6"/>
      <c r="XCW83" s="6"/>
    </row>
    <row r="84" spans="1:16325" s="28" customFormat="1" hidden="1" x14ac:dyDescent="0.15">
      <c r="B84" s="34" t="s">
        <v>96</v>
      </c>
      <c r="C84" s="35"/>
      <c r="D84" s="36"/>
      <c r="E84" s="36"/>
      <c r="F84" s="36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36"/>
      <c r="AT84" s="36"/>
      <c r="AU84" s="34"/>
      <c r="AV84" s="35"/>
      <c r="AW84" s="36"/>
      <c r="AX84" s="36"/>
      <c r="AY84" s="36"/>
      <c r="AZ84" s="34"/>
      <c r="BA84" s="45"/>
      <c r="BB84" s="45"/>
      <c r="BC84" s="45"/>
      <c r="BD84" s="45"/>
      <c r="BE84" s="45" t="e">
        <f>Sales!#REF!</f>
        <v>#REF!</v>
      </c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</row>
    <row r="85" spans="1:16325" s="153" customFormat="1" hidden="1" x14ac:dyDescent="0.15">
      <c r="A85" s="6"/>
      <c r="B85" s="70" t="s">
        <v>97</v>
      </c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158">
        <v>20</v>
      </c>
      <c r="AT85" s="158">
        <v>40</v>
      </c>
      <c r="AU85" s="159">
        <f>SUM(AQ85:AT85)</f>
        <v>60</v>
      </c>
      <c r="AV85" s="158">
        <v>35</v>
      </c>
      <c r="AW85" s="158">
        <v>35</v>
      </c>
      <c r="AX85" s="158">
        <v>40</v>
      </c>
      <c r="AY85" s="158">
        <v>40</v>
      </c>
      <c r="AZ85" s="159">
        <f>SUM(AV85:AY85)</f>
        <v>150</v>
      </c>
      <c r="BA85" s="6"/>
      <c r="BB85" s="6"/>
      <c r="BC85" s="6"/>
      <c r="BD85" s="6"/>
      <c r="BE85" s="6" t="e">
        <f>BE84*0.62</f>
        <v>#REF!</v>
      </c>
      <c r="BF85" s="6"/>
      <c r="BG85" s="6"/>
      <c r="BH85" s="6"/>
      <c r="BI85" s="6"/>
      <c r="BJ85" s="6" t="s">
        <v>98</v>
      </c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  <c r="CYY85" s="6"/>
      <c r="CYZ85" s="6"/>
      <c r="CZA85" s="6"/>
      <c r="CZB85" s="6"/>
      <c r="CZC85" s="6"/>
      <c r="CZD85" s="6"/>
      <c r="CZE85" s="6"/>
      <c r="CZF85" s="6"/>
      <c r="CZG85" s="6"/>
      <c r="CZH85" s="6"/>
      <c r="CZI85" s="6"/>
      <c r="CZJ85" s="6"/>
      <c r="CZK85" s="6"/>
      <c r="CZL85" s="6"/>
      <c r="CZM85" s="6"/>
      <c r="CZN85" s="6"/>
      <c r="CZO85" s="6"/>
      <c r="CZP85" s="6"/>
      <c r="CZQ85" s="6"/>
      <c r="CZR85" s="6"/>
      <c r="CZS85" s="6"/>
      <c r="CZT85" s="6"/>
      <c r="CZU85" s="6"/>
      <c r="CZV85" s="6"/>
      <c r="CZW85" s="6"/>
      <c r="CZX85" s="6"/>
      <c r="CZY85" s="6"/>
      <c r="CZZ85" s="6"/>
      <c r="DAA85" s="6"/>
      <c r="DAB85" s="6"/>
      <c r="DAC85" s="6"/>
      <c r="DAD85" s="6"/>
      <c r="DAE85" s="6"/>
      <c r="DAF85" s="6"/>
      <c r="DAG85" s="6"/>
      <c r="DAH85" s="6"/>
      <c r="DAI85" s="6"/>
      <c r="DAJ85" s="6"/>
      <c r="DAK85" s="6"/>
      <c r="DAL85" s="6"/>
      <c r="DAM85" s="6"/>
      <c r="DAN85" s="6"/>
      <c r="DAO85" s="6"/>
      <c r="DAP85" s="6"/>
      <c r="DAQ85" s="6"/>
      <c r="DAR85" s="6"/>
      <c r="DAS85" s="6"/>
      <c r="DAT85" s="6"/>
      <c r="DAU85" s="6"/>
      <c r="DAV85" s="6"/>
      <c r="DAW85" s="6"/>
      <c r="DAX85" s="6"/>
      <c r="DAY85" s="6"/>
      <c r="DAZ85" s="6"/>
      <c r="DBA85" s="6"/>
      <c r="DBB85" s="6"/>
      <c r="DBC85" s="6"/>
      <c r="DBD85" s="6"/>
      <c r="DBE85" s="6"/>
      <c r="DBF85" s="6"/>
      <c r="DBG85" s="6"/>
      <c r="DBH85" s="6"/>
      <c r="DBI85" s="6"/>
      <c r="DBJ85" s="6"/>
      <c r="DBK85" s="6"/>
      <c r="DBL85" s="6"/>
      <c r="DBM85" s="6"/>
      <c r="DBN85" s="6"/>
      <c r="DBO85" s="6"/>
      <c r="DBP85" s="6"/>
      <c r="DBQ85" s="6"/>
      <c r="DBR85" s="6"/>
      <c r="DBS85" s="6"/>
      <c r="DBT85" s="6"/>
      <c r="DBU85" s="6"/>
      <c r="DBV85" s="6"/>
      <c r="DBW85" s="6"/>
      <c r="DBX85" s="6"/>
      <c r="DBY85" s="6"/>
      <c r="DBZ85" s="6"/>
      <c r="DCA85" s="6"/>
      <c r="DCB85" s="6"/>
      <c r="DCC85" s="6"/>
      <c r="DCD85" s="6"/>
      <c r="DCE85" s="6"/>
      <c r="DCF85" s="6"/>
      <c r="DCG85" s="6"/>
      <c r="DCH85" s="6"/>
      <c r="DCI85" s="6"/>
      <c r="DCJ85" s="6"/>
      <c r="DCK85" s="6"/>
      <c r="DCL85" s="6"/>
      <c r="DCM85" s="6"/>
      <c r="DCN85" s="6"/>
      <c r="DCO85" s="6"/>
      <c r="DCP85" s="6"/>
      <c r="DCQ85" s="6"/>
      <c r="DCR85" s="6"/>
      <c r="DCS85" s="6"/>
      <c r="DCT85" s="6"/>
      <c r="DCU85" s="6"/>
      <c r="DCV85" s="6"/>
      <c r="DCW85" s="6"/>
      <c r="DCX85" s="6"/>
      <c r="DCY85" s="6"/>
      <c r="DCZ85" s="6"/>
      <c r="DDA85" s="6"/>
      <c r="DDB85" s="6"/>
      <c r="DDC85" s="6"/>
      <c r="DDD85" s="6"/>
      <c r="DDE85" s="6"/>
      <c r="DDF85" s="6"/>
      <c r="DDG85" s="6"/>
      <c r="DDH85" s="6"/>
      <c r="DDI85" s="6"/>
      <c r="DDJ85" s="6"/>
      <c r="DDK85" s="6"/>
      <c r="DDL85" s="6"/>
      <c r="DDM85" s="6"/>
      <c r="DDN85" s="6"/>
      <c r="DDO85" s="6"/>
      <c r="DDP85" s="6"/>
      <c r="DDQ85" s="6"/>
      <c r="DDR85" s="6"/>
      <c r="DDS85" s="6"/>
      <c r="DDT85" s="6"/>
      <c r="DDU85" s="6"/>
      <c r="DDV85" s="6"/>
      <c r="DDW85" s="6"/>
      <c r="DDX85" s="6"/>
      <c r="DDY85" s="6"/>
      <c r="DDZ85" s="6"/>
      <c r="DEA85" s="6"/>
      <c r="DEB85" s="6"/>
      <c r="DEC85" s="6"/>
      <c r="DED85" s="6"/>
      <c r="DEE85" s="6"/>
      <c r="DEF85" s="6"/>
      <c r="DEG85" s="6"/>
      <c r="DEH85" s="6"/>
      <c r="DEI85" s="6"/>
      <c r="DEJ85" s="6"/>
      <c r="DEK85" s="6"/>
      <c r="DEL85" s="6"/>
      <c r="DEM85" s="6"/>
      <c r="DEN85" s="6"/>
      <c r="DEO85" s="6"/>
      <c r="DEP85" s="6"/>
      <c r="DEQ85" s="6"/>
      <c r="DER85" s="6"/>
      <c r="DES85" s="6"/>
      <c r="DET85" s="6"/>
      <c r="DEU85" s="6"/>
      <c r="DEV85" s="6"/>
      <c r="DEW85" s="6"/>
      <c r="DEX85" s="6"/>
      <c r="DEY85" s="6"/>
      <c r="DEZ85" s="6"/>
      <c r="DFA85" s="6"/>
      <c r="DFB85" s="6"/>
      <c r="DFC85" s="6"/>
      <c r="DFD85" s="6"/>
      <c r="DFE85" s="6"/>
      <c r="DFF85" s="6"/>
      <c r="DFG85" s="6"/>
      <c r="DFH85" s="6"/>
      <c r="DFI85" s="6"/>
      <c r="DFJ85" s="6"/>
      <c r="DFK85" s="6"/>
      <c r="DFL85" s="6"/>
      <c r="DFM85" s="6"/>
      <c r="DFN85" s="6"/>
      <c r="DFO85" s="6"/>
      <c r="DFP85" s="6"/>
      <c r="DFQ85" s="6"/>
      <c r="DFR85" s="6"/>
      <c r="DFS85" s="6"/>
      <c r="DFT85" s="6"/>
      <c r="DFU85" s="6"/>
      <c r="DFV85" s="6"/>
      <c r="DFW85" s="6"/>
      <c r="DFX85" s="6"/>
      <c r="DFY85" s="6"/>
      <c r="DFZ85" s="6"/>
      <c r="DGA85" s="6"/>
      <c r="DGB85" s="6"/>
      <c r="DGC85" s="6"/>
      <c r="DGD85" s="6"/>
      <c r="DGE85" s="6"/>
      <c r="DGF85" s="6"/>
      <c r="DGG85" s="6"/>
      <c r="DGH85" s="6"/>
      <c r="DGI85" s="6"/>
      <c r="DGJ85" s="6"/>
      <c r="DGK85" s="6"/>
      <c r="DGL85" s="6"/>
      <c r="DGM85" s="6"/>
      <c r="DGN85" s="6"/>
      <c r="DGO85" s="6"/>
      <c r="DGP85" s="6"/>
      <c r="DGQ85" s="6"/>
      <c r="DGR85" s="6"/>
      <c r="DGS85" s="6"/>
      <c r="DGT85" s="6"/>
      <c r="DGU85" s="6"/>
      <c r="DGV85" s="6"/>
      <c r="DGW85" s="6"/>
      <c r="DGX85" s="6"/>
      <c r="DGY85" s="6"/>
      <c r="DGZ85" s="6"/>
      <c r="DHA85" s="6"/>
      <c r="DHB85" s="6"/>
      <c r="DHC85" s="6"/>
      <c r="DHD85" s="6"/>
      <c r="DHE85" s="6"/>
      <c r="DHF85" s="6"/>
      <c r="DHG85" s="6"/>
      <c r="DHH85" s="6"/>
      <c r="DHI85" s="6"/>
      <c r="DHJ85" s="6"/>
      <c r="DHK85" s="6"/>
      <c r="DHL85" s="6"/>
      <c r="DHM85" s="6"/>
      <c r="DHN85" s="6"/>
      <c r="DHO85" s="6"/>
      <c r="DHP85" s="6"/>
      <c r="DHQ85" s="6"/>
      <c r="DHR85" s="6"/>
      <c r="DHS85" s="6"/>
      <c r="DHT85" s="6"/>
      <c r="DHU85" s="6"/>
      <c r="DHV85" s="6"/>
      <c r="DHW85" s="6"/>
      <c r="DHX85" s="6"/>
      <c r="DHY85" s="6"/>
      <c r="DHZ85" s="6"/>
      <c r="DIA85" s="6"/>
      <c r="DIB85" s="6"/>
      <c r="DIC85" s="6"/>
      <c r="DID85" s="6"/>
      <c r="DIE85" s="6"/>
      <c r="DIF85" s="6"/>
      <c r="DIG85" s="6"/>
      <c r="DIH85" s="6"/>
      <c r="DII85" s="6"/>
      <c r="DIJ85" s="6"/>
      <c r="DIK85" s="6"/>
      <c r="DIL85" s="6"/>
      <c r="DIM85" s="6"/>
      <c r="DIN85" s="6"/>
      <c r="DIO85" s="6"/>
      <c r="DIP85" s="6"/>
      <c r="DIQ85" s="6"/>
      <c r="DIR85" s="6"/>
      <c r="DIS85" s="6"/>
      <c r="DIT85" s="6"/>
      <c r="DIU85" s="6"/>
      <c r="DIV85" s="6"/>
      <c r="DIW85" s="6"/>
      <c r="DIX85" s="6"/>
      <c r="DIY85" s="6"/>
      <c r="DIZ85" s="6"/>
      <c r="DJA85" s="6"/>
      <c r="DJB85" s="6"/>
      <c r="DJC85" s="6"/>
      <c r="DJD85" s="6"/>
      <c r="DJE85" s="6"/>
      <c r="DJF85" s="6"/>
      <c r="DJG85" s="6"/>
      <c r="DJH85" s="6"/>
      <c r="DJI85" s="6"/>
      <c r="DJJ85" s="6"/>
      <c r="DJK85" s="6"/>
      <c r="DJL85" s="6"/>
      <c r="DJM85" s="6"/>
      <c r="DJN85" s="6"/>
      <c r="DJO85" s="6"/>
      <c r="DJP85" s="6"/>
      <c r="DJQ85" s="6"/>
      <c r="DJR85" s="6"/>
      <c r="DJS85" s="6"/>
      <c r="DJT85" s="6"/>
      <c r="DJU85" s="6"/>
      <c r="DJV85" s="6"/>
      <c r="DJW85" s="6"/>
      <c r="DJX85" s="6"/>
      <c r="DJY85" s="6"/>
      <c r="DJZ85" s="6"/>
      <c r="DKA85" s="6"/>
      <c r="DKB85" s="6"/>
      <c r="DKC85" s="6"/>
      <c r="DKD85" s="6"/>
      <c r="DKE85" s="6"/>
      <c r="DKF85" s="6"/>
      <c r="DKG85" s="6"/>
      <c r="DKH85" s="6"/>
      <c r="DKI85" s="6"/>
      <c r="DKJ85" s="6"/>
      <c r="DKK85" s="6"/>
      <c r="DKL85" s="6"/>
      <c r="DKM85" s="6"/>
      <c r="DKN85" s="6"/>
      <c r="DKO85" s="6"/>
      <c r="DKP85" s="6"/>
      <c r="DKQ85" s="6"/>
      <c r="DKR85" s="6"/>
      <c r="DKS85" s="6"/>
      <c r="DKT85" s="6"/>
      <c r="DKU85" s="6"/>
      <c r="DKV85" s="6"/>
      <c r="DKW85" s="6"/>
      <c r="DKX85" s="6"/>
      <c r="DKY85" s="6"/>
      <c r="DKZ85" s="6"/>
      <c r="DLA85" s="6"/>
      <c r="DLB85" s="6"/>
      <c r="DLC85" s="6"/>
      <c r="DLD85" s="6"/>
      <c r="DLE85" s="6"/>
      <c r="DLF85" s="6"/>
      <c r="DLG85" s="6"/>
      <c r="DLH85" s="6"/>
      <c r="DLI85" s="6"/>
      <c r="DLJ85" s="6"/>
      <c r="DLK85" s="6"/>
      <c r="DLL85" s="6"/>
      <c r="DLM85" s="6"/>
      <c r="DLN85" s="6"/>
      <c r="DLO85" s="6"/>
      <c r="DLP85" s="6"/>
      <c r="DLQ85" s="6"/>
      <c r="DLR85" s="6"/>
      <c r="DLS85" s="6"/>
      <c r="DLT85" s="6"/>
      <c r="DLU85" s="6"/>
      <c r="DLV85" s="6"/>
      <c r="DLW85" s="6"/>
      <c r="DLX85" s="6"/>
      <c r="DLY85" s="6"/>
      <c r="DLZ85" s="6"/>
      <c r="DMA85" s="6"/>
      <c r="DMB85" s="6"/>
      <c r="DMC85" s="6"/>
      <c r="DMD85" s="6"/>
      <c r="DME85" s="6"/>
      <c r="DMF85" s="6"/>
      <c r="DMG85" s="6"/>
      <c r="DMH85" s="6"/>
      <c r="DMI85" s="6"/>
      <c r="DMJ85" s="6"/>
      <c r="DMK85" s="6"/>
      <c r="DML85" s="6"/>
      <c r="DMM85" s="6"/>
      <c r="DMN85" s="6"/>
      <c r="DMO85" s="6"/>
      <c r="DMP85" s="6"/>
      <c r="DMQ85" s="6"/>
      <c r="DMR85" s="6"/>
      <c r="DMS85" s="6"/>
      <c r="DMT85" s="6"/>
      <c r="DMU85" s="6"/>
      <c r="DMV85" s="6"/>
      <c r="DMW85" s="6"/>
      <c r="DMX85" s="6"/>
      <c r="DMY85" s="6"/>
      <c r="DMZ85" s="6"/>
      <c r="DNA85" s="6"/>
      <c r="DNB85" s="6"/>
      <c r="DNC85" s="6"/>
      <c r="DND85" s="6"/>
      <c r="DNE85" s="6"/>
      <c r="DNF85" s="6"/>
      <c r="DNG85" s="6"/>
      <c r="DNH85" s="6"/>
      <c r="DNI85" s="6"/>
      <c r="DNJ85" s="6"/>
      <c r="DNK85" s="6"/>
      <c r="DNL85" s="6"/>
      <c r="DNM85" s="6"/>
      <c r="DNN85" s="6"/>
      <c r="DNO85" s="6"/>
      <c r="DNP85" s="6"/>
      <c r="DNQ85" s="6"/>
      <c r="DNR85" s="6"/>
      <c r="DNS85" s="6"/>
      <c r="DNT85" s="6"/>
      <c r="DNU85" s="6"/>
      <c r="DNV85" s="6"/>
      <c r="DNW85" s="6"/>
      <c r="DNX85" s="6"/>
      <c r="DNY85" s="6"/>
      <c r="DNZ85" s="6"/>
      <c r="DOA85" s="6"/>
      <c r="DOB85" s="6"/>
      <c r="DOC85" s="6"/>
      <c r="DOD85" s="6"/>
      <c r="DOE85" s="6"/>
      <c r="DOF85" s="6"/>
      <c r="DOG85" s="6"/>
      <c r="DOH85" s="6"/>
      <c r="DOI85" s="6"/>
      <c r="DOJ85" s="6"/>
      <c r="DOK85" s="6"/>
      <c r="DOL85" s="6"/>
      <c r="DOM85" s="6"/>
      <c r="DON85" s="6"/>
      <c r="DOO85" s="6"/>
      <c r="DOP85" s="6"/>
      <c r="DOQ85" s="6"/>
      <c r="DOR85" s="6"/>
      <c r="DOS85" s="6"/>
      <c r="DOT85" s="6"/>
      <c r="DOU85" s="6"/>
      <c r="DOV85" s="6"/>
      <c r="DOW85" s="6"/>
      <c r="DOX85" s="6"/>
      <c r="DOY85" s="6"/>
      <c r="DOZ85" s="6"/>
      <c r="DPA85" s="6"/>
      <c r="DPB85" s="6"/>
      <c r="DPC85" s="6"/>
      <c r="DPD85" s="6"/>
      <c r="DPE85" s="6"/>
      <c r="DPF85" s="6"/>
      <c r="DPG85" s="6"/>
      <c r="DPH85" s="6"/>
      <c r="DPI85" s="6"/>
      <c r="DPJ85" s="6"/>
      <c r="DPK85" s="6"/>
      <c r="DPL85" s="6"/>
      <c r="DPM85" s="6"/>
      <c r="DPN85" s="6"/>
      <c r="DPO85" s="6"/>
      <c r="DPP85" s="6"/>
      <c r="DPQ85" s="6"/>
      <c r="DPR85" s="6"/>
      <c r="DPS85" s="6"/>
      <c r="DPT85" s="6"/>
      <c r="DPU85" s="6"/>
      <c r="DPV85" s="6"/>
      <c r="DPW85" s="6"/>
      <c r="DPX85" s="6"/>
      <c r="DPY85" s="6"/>
      <c r="DPZ85" s="6"/>
      <c r="DQA85" s="6"/>
      <c r="DQB85" s="6"/>
      <c r="DQC85" s="6"/>
      <c r="DQD85" s="6"/>
      <c r="DQE85" s="6"/>
      <c r="DQF85" s="6"/>
      <c r="DQG85" s="6"/>
      <c r="DQH85" s="6"/>
      <c r="DQI85" s="6"/>
      <c r="DQJ85" s="6"/>
      <c r="DQK85" s="6"/>
      <c r="DQL85" s="6"/>
      <c r="DQM85" s="6"/>
      <c r="DQN85" s="6"/>
      <c r="DQO85" s="6"/>
      <c r="DQP85" s="6"/>
      <c r="DQQ85" s="6"/>
      <c r="DQR85" s="6"/>
      <c r="DQS85" s="6"/>
      <c r="DQT85" s="6"/>
      <c r="DQU85" s="6"/>
      <c r="DQV85" s="6"/>
      <c r="DQW85" s="6"/>
      <c r="DQX85" s="6"/>
      <c r="DQY85" s="6"/>
      <c r="DQZ85" s="6"/>
      <c r="DRA85" s="6"/>
      <c r="DRB85" s="6"/>
      <c r="DRC85" s="6"/>
      <c r="DRD85" s="6"/>
      <c r="DRE85" s="6"/>
      <c r="DRF85" s="6"/>
      <c r="DRG85" s="6"/>
      <c r="DRH85" s="6"/>
      <c r="DRI85" s="6"/>
      <c r="DRJ85" s="6"/>
      <c r="DRK85" s="6"/>
      <c r="DRL85" s="6"/>
      <c r="DRM85" s="6"/>
      <c r="DRN85" s="6"/>
      <c r="DRO85" s="6"/>
      <c r="DRP85" s="6"/>
      <c r="DRQ85" s="6"/>
      <c r="DRR85" s="6"/>
      <c r="DRS85" s="6"/>
      <c r="DRT85" s="6"/>
      <c r="DRU85" s="6"/>
      <c r="DRV85" s="6"/>
      <c r="DRW85" s="6"/>
      <c r="DRX85" s="6"/>
      <c r="DRY85" s="6"/>
      <c r="DRZ85" s="6"/>
      <c r="DSA85" s="6"/>
      <c r="DSB85" s="6"/>
      <c r="DSC85" s="6"/>
      <c r="DSD85" s="6"/>
      <c r="DSE85" s="6"/>
      <c r="DSF85" s="6"/>
      <c r="DSG85" s="6"/>
      <c r="DSH85" s="6"/>
      <c r="DSI85" s="6"/>
      <c r="DSJ85" s="6"/>
      <c r="DSK85" s="6"/>
      <c r="DSL85" s="6"/>
      <c r="DSM85" s="6"/>
      <c r="DSN85" s="6"/>
      <c r="DSO85" s="6"/>
      <c r="DSP85" s="6"/>
      <c r="DSQ85" s="6"/>
      <c r="DSR85" s="6"/>
      <c r="DSS85" s="6"/>
      <c r="DST85" s="6"/>
      <c r="DSU85" s="6"/>
      <c r="DSV85" s="6"/>
      <c r="DSW85" s="6"/>
      <c r="DSX85" s="6"/>
      <c r="DSY85" s="6"/>
      <c r="DSZ85" s="6"/>
      <c r="DTA85" s="6"/>
      <c r="DTB85" s="6"/>
      <c r="DTC85" s="6"/>
      <c r="DTD85" s="6"/>
      <c r="DTE85" s="6"/>
      <c r="DTF85" s="6"/>
      <c r="DTG85" s="6"/>
      <c r="DTH85" s="6"/>
      <c r="DTI85" s="6"/>
      <c r="DTJ85" s="6"/>
      <c r="DTK85" s="6"/>
      <c r="DTL85" s="6"/>
      <c r="DTM85" s="6"/>
      <c r="DTN85" s="6"/>
      <c r="DTO85" s="6"/>
      <c r="DTP85" s="6"/>
      <c r="DTQ85" s="6"/>
      <c r="DTR85" s="6"/>
      <c r="DTS85" s="6"/>
      <c r="DTT85" s="6"/>
      <c r="DTU85" s="6"/>
      <c r="DTV85" s="6"/>
      <c r="DTW85" s="6"/>
      <c r="DTX85" s="6"/>
      <c r="DTY85" s="6"/>
      <c r="DTZ85" s="6"/>
      <c r="DUA85" s="6"/>
      <c r="DUB85" s="6"/>
      <c r="DUC85" s="6"/>
      <c r="DUD85" s="6"/>
      <c r="DUE85" s="6"/>
      <c r="DUF85" s="6"/>
      <c r="DUG85" s="6"/>
      <c r="DUH85" s="6"/>
      <c r="DUI85" s="6"/>
      <c r="DUJ85" s="6"/>
      <c r="DUK85" s="6"/>
      <c r="DUL85" s="6"/>
      <c r="DUM85" s="6"/>
      <c r="DUN85" s="6"/>
      <c r="DUO85" s="6"/>
      <c r="DUP85" s="6"/>
      <c r="DUQ85" s="6"/>
      <c r="DUR85" s="6"/>
      <c r="DUS85" s="6"/>
      <c r="DUT85" s="6"/>
      <c r="DUU85" s="6"/>
      <c r="DUV85" s="6"/>
      <c r="DUW85" s="6"/>
      <c r="DUX85" s="6"/>
      <c r="DUY85" s="6"/>
      <c r="DUZ85" s="6"/>
      <c r="DVA85" s="6"/>
      <c r="DVB85" s="6"/>
      <c r="DVC85" s="6"/>
      <c r="DVD85" s="6"/>
      <c r="DVE85" s="6"/>
      <c r="DVF85" s="6"/>
      <c r="DVG85" s="6"/>
      <c r="DVH85" s="6"/>
      <c r="DVI85" s="6"/>
      <c r="DVJ85" s="6"/>
      <c r="DVK85" s="6"/>
      <c r="DVL85" s="6"/>
      <c r="DVM85" s="6"/>
      <c r="DVN85" s="6"/>
      <c r="DVO85" s="6"/>
      <c r="DVP85" s="6"/>
      <c r="DVQ85" s="6"/>
      <c r="DVR85" s="6"/>
      <c r="DVS85" s="6"/>
      <c r="DVT85" s="6"/>
      <c r="DVU85" s="6"/>
      <c r="DVV85" s="6"/>
      <c r="DVW85" s="6"/>
      <c r="DVX85" s="6"/>
      <c r="DVY85" s="6"/>
      <c r="DVZ85" s="6"/>
      <c r="DWA85" s="6"/>
      <c r="DWB85" s="6"/>
      <c r="DWC85" s="6"/>
      <c r="DWD85" s="6"/>
      <c r="DWE85" s="6"/>
      <c r="DWF85" s="6"/>
      <c r="DWG85" s="6"/>
      <c r="DWH85" s="6"/>
      <c r="DWI85" s="6"/>
      <c r="DWJ85" s="6"/>
      <c r="DWK85" s="6"/>
      <c r="DWL85" s="6"/>
      <c r="DWM85" s="6"/>
      <c r="DWN85" s="6"/>
      <c r="DWO85" s="6"/>
      <c r="DWP85" s="6"/>
      <c r="DWQ85" s="6"/>
      <c r="DWR85" s="6"/>
      <c r="DWS85" s="6"/>
      <c r="DWT85" s="6"/>
      <c r="DWU85" s="6"/>
      <c r="DWV85" s="6"/>
      <c r="DWW85" s="6"/>
      <c r="DWX85" s="6"/>
      <c r="DWY85" s="6"/>
      <c r="DWZ85" s="6"/>
      <c r="DXA85" s="6"/>
      <c r="DXB85" s="6"/>
      <c r="DXC85" s="6"/>
      <c r="DXD85" s="6"/>
      <c r="DXE85" s="6"/>
      <c r="DXF85" s="6"/>
      <c r="DXG85" s="6"/>
      <c r="DXH85" s="6"/>
      <c r="DXI85" s="6"/>
      <c r="DXJ85" s="6"/>
      <c r="DXK85" s="6"/>
      <c r="DXL85" s="6"/>
      <c r="DXM85" s="6"/>
      <c r="DXN85" s="6"/>
      <c r="DXO85" s="6"/>
      <c r="DXP85" s="6"/>
      <c r="DXQ85" s="6"/>
      <c r="DXR85" s="6"/>
      <c r="DXS85" s="6"/>
      <c r="DXT85" s="6"/>
      <c r="DXU85" s="6"/>
      <c r="DXV85" s="6"/>
      <c r="DXW85" s="6"/>
      <c r="DXX85" s="6"/>
      <c r="DXY85" s="6"/>
      <c r="DXZ85" s="6"/>
      <c r="DYA85" s="6"/>
      <c r="DYB85" s="6"/>
      <c r="DYC85" s="6"/>
      <c r="DYD85" s="6"/>
      <c r="DYE85" s="6"/>
      <c r="DYF85" s="6"/>
      <c r="DYG85" s="6"/>
      <c r="DYH85" s="6"/>
      <c r="DYI85" s="6"/>
      <c r="DYJ85" s="6"/>
      <c r="DYK85" s="6"/>
      <c r="DYL85" s="6"/>
      <c r="DYM85" s="6"/>
      <c r="DYN85" s="6"/>
      <c r="DYO85" s="6"/>
      <c r="DYP85" s="6"/>
      <c r="DYQ85" s="6"/>
      <c r="DYR85" s="6"/>
      <c r="DYS85" s="6"/>
      <c r="DYT85" s="6"/>
      <c r="DYU85" s="6"/>
      <c r="DYV85" s="6"/>
      <c r="DYW85" s="6"/>
      <c r="DYX85" s="6"/>
      <c r="DYY85" s="6"/>
      <c r="DYZ85" s="6"/>
      <c r="DZA85" s="6"/>
      <c r="DZB85" s="6"/>
      <c r="DZC85" s="6"/>
      <c r="DZD85" s="6"/>
      <c r="DZE85" s="6"/>
      <c r="DZF85" s="6"/>
      <c r="DZG85" s="6"/>
      <c r="DZH85" s="6"/>
      <c r="DZI85" s="6"/>
      <c r="DZJ85" s="6"/>
      <c r="DZK85" s="6"/>
      <c r="DZL85" s="6"/>
      <c r="DZM85" s="6"/>
      <c r="DZN85" s="6"/>
      <c r="DZO85" s="6"/>
      <c r="DZP85" s="6"/>
      <c r="DZQ85" s="6"/>
      <c r="DZR85" s="6"/>
      <c r="DZS85" s="6"/>
      <c r="DZT85" s="6"/>
      <c r="DZU85" s="6"/>
      <c r="DZV85" s="6"/>
      <c r="DZW85" s="6"/>
      <c r="DZX85" s="6"/>
      <c r="DZY85" s="6"/>
      <c r="DZZ85" s="6"/>
      <c r="EAA85" s="6"/>
      <c r="EAB85" s="6"/>
      <c r="EAC85" s="6"/>
      <c r="EAD85" s="6"/>
      <c r="EAE85" s="6"/>
      <c r="EAF85" s="6"/>
      <c r="EAG85" s="6"/>
      <c r="EAH85" s="6"/>
      <c r="EAI85" s="6"/>
      <c r="EAJ85" s="6"/>
      <c r="EAK85" s="6"/>
      <c r="EAL85" s="6"/>
      <c r="EAM85" s="6"/>
      <c r="EAN85" s="6"/>
      <c r="EAO85" s="6"/>
      <c r="EAP85" s="6"/>
      <c r="EAQ85" s="6"/>
      <c r="EAR85" s="6"/>
      <c r="EAS85" s="6"/>
      <c r="EAT85" s="6"/>
      <c r="EAU85" s="6"/>
      <c r="EAV85" s="6"/>
      <c r="EAW85" s="6"/>
      <c r="EAX85" s="6"/>
      <c r="EAY85" s="6"/>
      <c r="EAZ85" s="6"/>
      <c r="EBA85" s="6"/>
      <c r="EBB85" s="6"/>
      <c r="EBC85" s="6"/>
      <c r="EBD85" s="6"/>
      <c r="EBE85" s="6"/>
      <c r="EBF85" s="6"/>
      <c r="EBG85" s="6"/>
      <c r="EBH85" s="6"/>
      <c r="EBI85" s="6"/>
      <c r="EBJ85" s="6"/>
      <c r="EBK85" s="6"/>
      <c r="EBL85" s="6"/>
      <c r="EBM85" s="6"/>
      <c r="EBN85" s="6"/>
      <c r="EBO85" s="6"/>
      <c r="EBP85" s="6"/>
      <c r="EBQ85" s="6"/>
      <c r="EBR85" s="6"/>
      <c r="EBS85" s="6"/>
      <c r="EBT85" s="6"/>
      <c r="EBU85" s="6"/>
      <c r="EBV85" s="6"/>
      <c r="EBW85" s="6"/>
      <c r="EBX85" s="6"/>
      <c r="EBY85" s="6"/>
      <c r="EBZ85" s="6"/>
      <c r="ECA85" s="6"/>
      <c r="ECB85" s="6"/>
      <c r="ECC85" s="6"/>
      <c r="ECD85" s="6"/>
      <c r="ECE85" s="6"/>
      <c r="ECF85" s="6"/>
      <c r="ECG85" s="6"/>
      <c r="ECH85" s="6"/>
      <c r="ECI85" s="6"/>
      <c r="ECJ85" s="6"/>
      <c r="ECK85" s="6"/>
      <c r="ECL85" s="6"/>
      <c r="ECM85" s="6"/>
      <c r="ECN85" s="6"/>
      <c r="ECO85" s="6"/>
      <c r="ECP85" s="6"/>
      <c r="ECQ85" s="6"/>
      <c r="ECR85" s="6"/>
      <c r="ECS85" s="6"/>
      <c r="ECT85" s="6"/>
      <c r="ECU85" s="6"/>
      <c r="ECV85" s="6"/>
      <c r="ECW85" s="6"/>
      <c r="ECX85" s="6"/>
      <c r="ECY85" s="6"/>
      <c r="ECZ85" s="6"/>
      <c r="EDA85" s="6"/>
      <c r="EDB85" s="6"/>
      <c r="EDC85" s="6"/>
      <c r="EDD85" s="6"/>
      <c r="EDE85" s="6"/>
      <c r="EDF85" s="6"/>
      <c r="EDG85" s="6"/>
      <c r="EDH85" s="6"/>
      <c r="EDI85" s="6"/>
      <c r="EDJ85" s="6"/>
      <c r="EDK85" s="6"/>
      <c r="EDL85" s="6"/>
      <c r="EDM85" s="6"/>
      <c r="EDN85" s="6"/>
      <c r="EDO85" s="6"/>
      <c r="EDP85" s="6"/>
      <c r="EDQ85" s="6"/>
      <c r="EDR85" s="6"/>
      <c r="EDS85" s="6"/>
      <c r="EDT85" s="6"/>
      <c r="EDU85" s="6"/>
      <c r="EDV85" s="6"/>
      <c r="EDW85" s="6"/>
      <c r="EDX85" s="6"/>
      <c r="EDY85" s="6"/>
      <c r="EDZ85" s="6"/>
      <c r="EEA85" s="6"/>
      <c r="EEB85" s="6"/>
      <c r="EEC85" s="6"/>
      <c r="EED85" s="6"/>
      <c r="EEE85" s="6"/>
      <c r="EEF85" s="6"/>
      <c r="EEG85" s="6"/>
      <c r="EEH85" s="6"/>
      <c r="EEI85" s="6"/>
      <c r="EEJ85" s="6"/>
      <c r="EEK85" s="6"/>
      <c r="EEL85" s="6"/>
      <c r="EEM85" s="6"/>
      <c r="EEN85" s="6"/>
      <c r="EEO85" s="6"/>
      <c r="EEP85" s="6"/>
      <c r="EEQ85" s="6"/>
      <c r="EER85" s="6"/>
      <c r="EES85" s="6"/>
      <c r="EET85" s="6"/>
      <c r="EEU85" s="6"/>
      <c r="EEV85" s="6"/>
      <c r="EEW85" s="6"/>
      <c r="EEX85" s="6"/>
      <c r="EEY85" s="6"/>
      <c r="EEZ85" s="6"/>
      <c r="EFA85" s="6"/>
      <c r="EFB85" s="6"/>
      <c r="EFC85" s="6"/>
      <c r="EFD85" s="6"/>
      <c r="EFE85" s="6"/>
      <c r="EFF85" s="6"/>
      <c r="EFG85" s="6"/>
      <c r="EFH85" s="6"/>
      <c r="EFI85" s="6"/>
      <c r="EFJ85" s="6"/>
      <c r="EFK85" s="6"/>
      <c r="EFL85" s="6"/>
      <c r="EFM85" s="6"/>
      <c r="EFN85" s="6"/>
      <c r="EFO85" s="6"/>
      <c r="EFP85" s="6"/>
      <c r="EFQ85" s="6"/>
      <c r="EFR85" s="6"/>
      <c r="EFS85" s="6"/>
      <c r="EFT85" s="6"/>
      <c r="EFU85" s="6"/>
      <c r="EFV85" s="6"/>
      <c r="EFW85" s="6"/>
      <c r="EFX85" s="6"/>
      <c r="EFY85" s="6"/>
      <c r="EFZ85" s="6"/>
      <c r="EGA85" s="6"/>
      <c r="EGB85" s="6"/>
      <c r="EGC85" s="6"/>
      <c r="EGD85" s="6"/>
      <c r="EGE85" s="6"/>
      <c r="EGF85" s="6"/>
      <c r="EGG85" s="6"/>
      <c r="EGH85" s="6"/>
      <c r="EGI85" s="6"/>
      <c r="EGJ85" s="6"/>
      <c r="EGK85" s="6"/>
      <c r="EGL85" s="6"/>
      <c r="EGM85" s="6"/>
      <c r="EGN85" s="6"/>
      <c r="EGO85" s="6"/>
      <c r="EGP85" s="6"/>
      <c r="EGQ85" s="6"/>
      <c r="EGR85" s="6"/>
      <c r="EGS85" s="6"/>
      <c r="EGT85" s="6"/>
      <c r="EGU85" s="6"/>
      <c r="EGV85" s="6"/>
      <c r="EGW85" s="6"/>
      <c r="EGX85" s="6"/>
      <c r="EGY85" s="6"/>
      <c r="EGZ85" s="6"/>
      <c r="EHA85" s="6"/>
      <c r="EHB85" s="6"/>
      <c r="EHC85" s="6"/>
      <c r="EHD85" s="6"/>
      <c r="EHE85" s="6"/>
      <c r="EHF85" s="6"/>
      <c r="EHG85" s="6"/>
      <c r="EHH85" s="6"/>
      <c r="EHI85" s="6"/>
      <c r="EHJ85" s="6"/>
      <c r="EHK85" s="6"/>
      <c r="EHL85" s="6"/>
      <c r="EHM85" s="6"/>
      <c r="EHN85" s="6"/>
      <c r="EHO85" s="6"/>
      <c r="EHP85" s="6"/>
      <c r="EHQ85" s="6"/>
      <c r="EHR85" s="6"/>
      <c r="EHS85" s="6"/>
      <c r="EHT85" s="6"/>
      <c r="EHU85" s="6"/>
      <c r="EHV85" s="6"/>
      <c r="EHW85" s="6"/>
      <c r="EHX85" s="6"/>
      <c r="EHY85" s="6"/>
      <c r="EHZ85" s="6"/>
      <c r="EIA85" s="6"/>
      <c r="EIB85" s="6"/>
      <c r="EIC85" s="6"/>
      <c r="EID85" s="6"/>
      <c r="EIE85" s="6"/>
      <c r="EIF85" s="6"/>
      <c r="EIG85" s="6"/>
      <c r="EIH85" s="6"/>
      <c r="EII85" s="6"/>
      <c r="EIJ85" s="6"/>
      <c r="EIK85" s="6"/>
      <c r="EIL85" s="6"/>
      <c r="EIM85" s="6"/>
      <c r="EIN85" s="6"/>
      <c r="EIO85" s="6"/>
      <c r="EIP85" s="6"/>
      <c r="EIQ85" s="6"/>
      <c r="EIR85" s="6"/>
      <c r="EIS85" s="6"/>
      <c r="EIT85" s="6"/>
      <c r="EIU85" s="6"/>
      <c r="EIV85" s="6"/>
      <c r="EIW85" s="6"/>
      <c r="EIX85" s="6"/>
      <c r="EIY85" s="6"/>
      <c r="EIZ85" s="6"/>
      <c r="EJA85" s="6"/>
      <c r="EJB85" s="6"/>
      <c r="EJC85" s="6"/>
      <c r="EJD85" s="6"/>
      <c r="EJE85" s="6"/>
      <c r="EJF85" s="6"/>
      <c r="EJG85" s="6"/>
      <c r="EJH85" s="6"/>
      <c r="EJI85" s="6"/>
      <c r="EJJ85" s="6"/>
      <c r="EJK85" s="6"/>
      <c r="EJL85" s="6"/>
      <c r="EJM85" s="6"/>
      <c r="EJN85" s="6"/>
      <c r="EJO85" s="6"/>
      <c r="EJP85" s="6"/>
      <c r="EJQ85" s="6"/>
      <c r="EJR85" s="6"/>
      <c r="EJS85" s="6"/>
      <c r="EJT85" s="6"/>
      <c r="EJU85" s="6"/>
      <c r="EJV85" s="6"/>
      <c r="EJW85" s="6"/>
      <c r="EJX85" s="6"/>
      <c r="EJY85" s="6"/>
      <c r="EJZ85" s="6"/>
      <c r="EKA85" s="6"/>
      <c r="EKB85" s="6"/>
      <c r="EKC85" s="6"/>
      <c r="EKD85" s="6"/>
      <c r="EKE85" s="6"/>
      <c r="EKF85" s="6"/>
      <c r="EKG85" s="6"/>
      <c r="EKH85" s="6"/>
      <c r="EKI85" s="6"/>
      <c r="EKJ85" s="6"/>
      <c r="EKK85" s="6"/>
      <c r="EKL85" s="6"/>
      <c r="EKM85" s="6"/>
      <c r="EKN85" s="6"/>
      <c r="EKO85" s="6"/>
      <c r="EKP85" s="6"/>
      <c r="EKQ85" s="6"/>
      <c r="EKR85" s="6"/>
      <c r="EKS85" s="6"/>
      <c r="EKT85" s="6"/>
      <c r="EKU85" s="6"/>
      <c r="EKV85" s="6"/>
      <c r="EKW85" s="6"/>
      <c r="EKX85" s="6"/>
      <c r="EKY85" s="6"/>
      <c r="EKZ85" s="6"/>
      <c r="ELA85" s="6"/>
      <c r="ELB85" s="6"/>
      <c r="ELC85" s="6"/>
      <c r="ELD85" s="6"/>
      <c r="ELE85" s="6"/>
      <c r="ELF85" s="6"/>
      <c r="ELG85" s="6"/>
      <c r="ELH85" s="6"/>
      <c r="ELI85" s="6"/>
      <c r="ELJ85" s="6"/>
      <c r="ELK85" s="6"/>
      <c r="ELL85" s="6"/>
      <c r="ELM85" s="6"/>
      <c r="ELN85" s="6"/>
      <c r="ELO85" s="6"/>
      <c r="ELP85" s="6"/>
      <c r="ELQ85" s="6"/>
      <c r="ELR85" s="6"/>
      <c r="ELS85" s="6"/>
      <c r="ELT85" s="6"/>
      <c r="ELU85" s="6"/>
      <c r="ELV85" s="6"/>
      <c r="ELW85" s="6"/>
      <c r="ELX85" s="6"/>
      <c r="ELY85" s="6"/>
      <c r="ELZ85" s="6"/>
      <c r="EMA85" s="6"/>
      <c r="EMB85" s="6"/>
      <c r="EMC85" s="6"/>
      <c r="EMD85" s="6"/>
      <c r="EME85" s="6"/>
      <c r="EMF85" s="6"/>
      <c r="EMG85" s="6"/>
      <c r="EMH85" s="6"/>
      <c r="EMI85" s="6"/>
      <c r="EMJ85" s="6"/>
      <c r="EMK85" s="6"/>
      <c r="EML85" s="6"/>
      <c r="EMM85" s="6"/>
      <c r="EMN85" s="6"/>
      <c r="EMO85" s="6"/>
      <c r="EMP85" s="6"/>
      <c r="EMQ85" s="6"/>
      <c r="EMR85" s="6"/>
      <c r="EMS85" s="6"/>
      <c r="EMT85" s="6"/>
      <c r="EMU85" s="6"/>
      <c r="EMV85" s="6"/>
      <c r="EMW85" s="6"/>
      <c r="EMX85" s="6"/>
      <c r="EMY85" s="6"/>
      <c r="EMZ85" s="6"/>
      <c r="ENA85" s="6"/>
      <c r="ENB85" s="6"/>
      <c r="ENC85" s="6"/>
      <c r="END85" s="6"/>
      <c r="ENE85" s="6"/>
      <c r="ENF85" s="6"/>
      <c r="ENG85" s="6"/>
      <c r="ENH85" s="6"/>
      <c r="ENI85" s="6"/>
      <c r="ENJ85" s="6"/>
      <c r="ENK85" s="6"/>
      <c r="ENL85" s="6"/>
      <c r="ENM85" s="6"/>
      <c r="ENN85" s="6"/>
      <c r="ENO85" s="6"/>
      <c r="ENP85" s="6"/>
      <c r="ENQ85" s="6"/>
      <c r="ENR85" s="6"/>
      <c r="ENS85" s="6"/>
      <c r="ENT85" s="6"/>
      <c r="ENU85" s="6"/>
      <c r="ENV85" s="6"/>
      <c r="ENW85" s="6"/>
      <c r="ENX85" s="6"/>
      <c r="ENY85" s="6"/>
      <c r="ENZ85" s="6"/>
      <c r="EOA85" s="6"/>
      <c r="EOB85" s="6"/>
      <c r="EOC85" s="6"/>
      <c r="EOD85" s="6"/>
      <c r="EOE85" s="6"/>
      <c r="EOF85" s="6"/>
      <c r="EOG85" s="6"/>
      <c r="EOH85" s="6"/>
      <c r="EOI85" s="6"/>
      <c r="EOJ85" s="6"/>
      <c r="EOK85" s="6"/>
      <c r="EOL85" s="6"/>
      <c r="EOM85" s="6"/>
      <c r="EON85" s="6"/>
      <c r="EOO85" s="6"/>
      <c r="EOP85" s="6"/>
      <c r="EOQ85" s="6"/>
      <c r="EOR85" s="6"/>
      <c r="EOS85" s="6"/>
      <c r="EOT85" s="6"/>
      <c r="EOU85" s="6"/>
      <c r="EOV85" s="6"/>
      <c r="EOW85" s="6"/>
      <c r="EOX85" s="6"/>
      <c r="EOY85" s="6"/>
      <c r="EOZ85" s="6"/>
      <c r="EPA85" s="6"/>
      <c r="EPB85" s="6"/>
      <c r="EPC85" s="6"/>
      <c r="EPD85" s="6"/>
      <c r="EPE85" s="6"/>
      <c r="EPF85" s="6"/>
      <c r="EPG85" s="6"/>
      <c r="EPH85" s="6"/>
      <c r="EPI85" s="6"/>
      <c r="EPJ85" s="6"/>
      <c r="EPK85" s="6"/>
      <c r="EPL85" s="6"/>
      <c r="EPM85" s="6"/>
      <c r="EPN85" s="6"/>
      <c r="EPO85" s="6"/>
      <c r="EPP85" s="6"/>
      <c r="EPQ85" s="6"/>
      <c r="EPR85" s="6"/>
      <c r="EPS85" s="6"/>
      <c r="EPT85" s="6"/>
      <c r="EPU85" s="6"/>
      <c r="EPV85" s="6"/>
      <c r="EPW85" s="6"/>
      <c r="EPX85" s="6"/>
      <c r="EPY85" s="6"/>
      <c r="EPZ85" s="6"/>
      <c r="EQA85" s="6"/>
      <c r="EQB85" s="6"/>
      <c r="EQC85" s="6"/>
      <c r="EQD85" s="6"/>
      <c r="EQE85" s="6"/>
      <c r="EQF85" s="6"/>
      <c r="EQG85" s="6"/>
      <c r="EQH85" s="6"/>
      <c r="EQI85" s="6"/>
      <c r="EQJ85" s="6"/>
      <c r="EQK85" s="6"/>
      <c r="EQL85" s="6"/>
      <c r="EQM85" s="6"/>
      <c r="EQN85" s="6"/>
      <c r="EQO85" s="6"/>
      <c r="EQP85" s="6"/>
      <c r="EQQ85" s="6"/>
      <c r="EQR85" s="6"/>
      <c r="EQS85" s="6"/>
      <c r="EQT85" s="6"/>
      <c r="EQU85" s="6"/>
      <c r="EQV85" s="6"/>
      <c r="EQW85" s="6"/>
      <c r="EQX85" s="6"/>
      <c r="EQY85" s="6"/>
      <c r="EQZ85" s="6"/>
      <c r="ERA85" s="6"/>
      <c r="ERB85" s="6"/>
      <c r="ERC85" s="6"/>
      <c r="ERD85" s="6"/>
      <c r="ERE85" s="6"/>
      <c r="ERF85" s="6"/>
      <c r="ERG85" s="6"/>
      <c r="ERH85" s="6"/>
      <c r="ERI85" s="6"/>
      <c r="ERJ85" s="6"/>
      <c r="ERK85" s="6"/>
      <c r="ERL85" s="6"/>
      <c r="ERM85" s="6"/>
      <c r="ERN85" s="6"/>
      <c r="ERO85" s="6"/>
      <c r="ERP85" s="6"/>
      <c r="ERQ85" s="6"/>
      <c r="ERR85" s="6"/>
      <c r="ERS85" s="6"/>
      <c r="ERT85" s="6"/>
      <c r="ERU85" s="6"/>
      <c r="ERV85" s="6"/>
      <c r="ERW85" s="6"/>
      <c r="ERX85" s="6"/>
      <c r="ERY85" s="6"/>
      <c r="ERZ85" s="6"/>
      <c r="ESA85" s="6"/>
      <c r="ESB85" s="6"/>
      <c r="ESC85" s="6"/>
      <c r="ESD85" s="6"/>
      <c r="ESE85" s="6"/>
      <c r="ESF85" s="6"/>
      <c r="ESG85" s="6"/>
      <c r="ESH85" s="6"/>
      <c r="ESI85" s="6"/>
      <c r="ESJ85" s="6"/>
      <c r="ESK85" s="6"/>
      <c r="ESL85" s="6"/>
      <c r="ESM85" s="6"/>
      <c r="ESN85" s="6"/>
      <c r="ESO85" s="6"/>
      <c r="ESP85" s="6"/>
      <c r="ESQ85" s="6"/>
      <c r="ESR85" s="6"/>
      <c r="ESS85" s="6"/>
      <c r="EST85" s="6"/>
      <c r="ESU85" s="6"/>
      <c r="ESV85" s="6"/>
      <c r="ESW85" s="6"/>
      <c r="ESX85" s="6"/>
      <c r="ESY85" s="6"/>
      <c r="ESZ85" s="6"/>
      <c r="ETA85" s="6"/>
      <c r="ETB85" s="6"/>
      <c r="ETC85" s="6"/>
      <c r="ETD85" s="6"/>
      <c r="ETE85" s="6"/>
      <c r="ETF85" s="6"/>
      <c r="ETG85" s="6"/>
      <c r="ETH85" s="6"/>
      <c r="ETI85" s="6"/>
      <c r="ETJ85" s="6"/>
      <c r="ETK85" s="6"/>
      <c r="ETL85" s="6"/>
      <c r="ETM85" s="6"/>
      <c r="ETN85" s="6"/>
      <c r="ETO85" s="6"/>
      <c r="ETP85" s="6"/>
      <c r="ETQ85" s="6"/>
      <c r="ETR85" s="6"/>
      <c r="ETS85" s="6"/>
      <c r="ETT85" s="6"/>
      <c r="ETU85" s="6"/>
      <c r="ETV85" s="6"/>
      <c r="ETW85" s="6"/>
      <c r="ETX85" s="6"/>
      <c r="ETY85" s="6"/>
      <c r="ETZ85" s="6"/>
      <c r="EUA85" s="6"/>
      <c r="EUB85" s="6"/>
      <c r="EUC85" s="6"/>
      <c r="EUD85" s="6"/>
      <c r="EUE85" s="6"/>
      <c r="EUF85" s="6"/>
      <c r="EUG85" s="6"/>
      <c r="EUH85" s="6"/>
      <c r="EUI85" s="6"/>
      <c r="EUJ85" s="6"/>
      <c r="EUK85" s="6"/>
      <c r="EUL85" s="6"/>
      <c r="EUM85" s="6"/>
      <c r="EUN85" s="6"/>
      <c r="EUO85" s="6"/>
      <c r="EUP85" s="6"/>
      <c r="EUQ85" s="6"/>
      <c r="EUR85" s="6"/>
      <c r="EUS85" s="6"/>
      <c r="EUT85" s="6"/>
      <c r="EUU85" s="6"/>
      <c r="EUV85" s="6"/>
      <c r="EUW85" s="6"/>
      <c r="EUX85" s="6"/>
      <c r="EUY85" s="6"/>
      <c r="EUZ85" s="6"/>
      <c r="EVA85" s="6"/>
      <c r="EVB85" s="6"/>
      <c r="EVC85" s="6"/>
      <c r="EVD85" s="6"/>
      <c r="EVE85" s="6"/>
      <c r="EVF85" s="6"/>
      <c r="EVG85" s="6"/>
      <c r="EVH85" s="6"/>
      <c r="EVI85" s="6"/>
      <c r="EVJ85" s="6"/>
      <c r="EVK85" s="6"/>
      <c r="EVL85" s="6"/>
      <c r="EVM85" s="6"/>
      <c r="EVN85" s="6"/>
      <c r="EVO85" s="6"/>
      <c r="EVP85" s="6"/>
      <c r="EVQ85" s="6"/>
      <c r="EVR85" s="6"/>
      <c r="EVS85" s="6"/>
      <c r="EVT85" s="6"/>
      <c r="EVU85" s="6"/>
      <c r="EVV85" s="6"/>
      <c r="EVW85" s="6"/>
      <c r="EVX85" s="6"/>
      <c r="EVY85" s="6"/>
      <c r="EVZ85" s="6"/>
      <c r="EWA85" s="6"/>
      <c r="EWB85" s="6"/>
      <c r="EWC85" s="6"/>
      <c r="EWD85" s="6"/>
      <c r="EWE85" s="6"/>
      <c r="EWF85" s="6"/>
      <c r="EWG85" s="6"/>
      <c r="EWH85" s="6"/>
      <c r="EWI85" s="6"/>
      <c r="EWJ85" s="6"/>
      <c r="EWK85" s="6"/>
      <c r="EWL85" s="6"/>
      <c r="EWM85" s="6"/>
      <c r="EWN85" s="6"/>
      <c r="EWO85" s="6"/>
      <c r="EWP85" s="6"/>
      <c r="EWQ85" s="6"/>
      <c r="EWR85" s="6"/>
      <c r="EWS85" s="6"/>
      <c r="EWT85" s="6"/>
      <c r="EWU85" s="6"/>
      <c r="EWV85" s="6"/>
      <c r="EWW85" s="6"/>
      <c r="EWX85" s="6"/>
      <c r="EWY85" s="6"/>
      <c r="EWZ85" s="6"/>
      <c r="EXA85" s="6"/>
      <c r="EXB85" s="6"/>
      <c r="EXC85" s="6"/>
      <c r="EXD85" s="6"/>
      <c r="EXE85" s="6"/>
      <c r="EXF85" s="6"/>
      <c r="EXG85" s="6"/>
      <c r="EXH85" s="6"/>
      <c r="EXI85" s="6"/>
      <c r="EXJ85" s="6"/>
      <c r="EXK85" s="6"/>
      <c r="EXL85" s="6"/>
      <c r="EXM85" s="6"/>
      <c r="EXN85" s="6"/>
      <c r="EXO85" s="6"/>
      <c r="EXP85" s="6"/>
      <c r="EXQ85" s="6"/>
      <c r="EXR85" s="6"/>
      <c r="EXS85" s="6"/>
      <c r="EXT85" s="6"/>
      <c r="EXU85" s="6"/>
      <c r="EXV85" s="6"/>
      <c r="EXW85" s="6"/>
      <c r="EXX85" s="6"/>
      <c r="EXY85" s="6"/>
      <c r="EXZ85" s="6"/>
      <c r="EYA85" s="6"/>
      <c r="EYB85" s="6"/>
      <c r="EYC85" s="6"/>
      <c r="EYD85" s="6"/>
      <c r="EYE85" s="6"/>
      <c r="EYF85" s="6"/>
      <c r="EYG85" s="6"/>
      <c r="EYH85" s="6"/>
      <c r="EYI85" s="6"/>
      <c r="EYJ85" s="6"/>
      <c r="EYK85" s="6"/>
      <c r="EYL85" s="6"/>
      <c r="EYM85" s="6"/>
      <c r="EYN85" s="6"/>
      <c r="EYO85" s="6"/>
      <c r="EYP85" s="6"/>
      <c r="EYQ85" s="6"/>
      <c r="EYR85" s="6"/>
      <c r="EYS85" s="6"/>
      <c r="EYT85" s="6"/>
      <c r="EYU85" s="6"/>
      <c r="EYV85" s="6"/>
      <c r="EYW85" s="6"/>
      <c r="EYX85" s="6"/>
      <c r="EYY85" s="6"/>
      <c r="EYZ85" s="6"/>
      <c r="EZA85" s="6"/>
      <c r="EZB85" s="6"/>
      <c r="EZC85" s="6"/>
      <c r="EZD85" s="6"/>
      <c r="EZE85" s="6"/>
      <c r="EZF85" s="6"/>
      <c r="EZG85" s="6"/>
      <c r="EZH85" s="6"/>
      <c r="EZI85" s="6"/>
      <c r="EZJ85" s="6"/>
      <c r="EZK85" s="6"/>
      <c r="EZL85" s="6"/>
      <c r="EZM85" s="6"/>
      <c r="EZN85" s="6"/>
      <c r="EZO85" s="6"/>
      <c r="EZP85" s="6"/>
      <c r="EZQ85" s="6"/>
      <c r="EZR85" s="6"/>
      <c r="EZS85" s="6"/>
      <c r="EZT85" s="6"/>
      <c r="EZU85" s="6"/>
      <c r="EZV85" s="6"/>
      <c r="EZW85" s="6"/>
      <c r="EZX85" s="6"/>
      <c r="EZY85" s="6"/>
      <c r="EZZ85" s="6"/>
      <c r="FAA85" s="6"/>
      <c r="FAB85" s="6"/>
      <c r="FAC85" s="6"/>
      <c r="FAD85" s="6"/>
      <c r="FAE85" s="6"/>
      <c r="FAF85" s="6"/>
      <c r="FAG85" s="6"/>
      <c r="FAH85" s="6"/>
      <c r="FAI85" s="6"/>
      <c r="FAJ85" s="6"/>
      <c r="FAK85" s="6"/>
      <c r="FAL85" s="6"/>
      <c r="FAM85" s="6"/>
      <c r="FAN85" s="6"/>
      <c r="FAO85" s="6"/>
      <c r="FAP85" s="6"/>
      <c r="FAQ85" s="6"/>
      <c r="FAR85" s="6"/>
      <c r="FAS85" s="6"/>
      <c r="FAT85" s="6"/>
      <c r="FAU85" s="6"/>
      <c r="FAV85" s="6"/>
      <c r="FAW85" s="6"/>
      <c r="FAX85" s="6"/>
      <c r="FAY85" s="6"/>
      <c r="FAZ85" s="6"/>
      <c r="FBA85" s="6"/>
      <c r="FBB85" s="6"/>
      <c r="FBC85" s="6"/>
      <c r="FBD85" s="6"/>
      <c r="FBE85" s="6"/>
      <c r="FBF85" s="6"/>
      <c r="FBG85" s="6"/>
      <c r="FBH85" s="6"/>
      <c r="FBI85" s="6"/>
      <c r="FBJ85" s="6"/>
      <c r="FBK85" s="6"/>
      <c r="FBL85" s="6"/>
      <c r="FBM85" s="6"/>
      <c r="FBN85" s="6"/>
      <c r="FBO85" s="6"/>
      <c r="FBP85" s="6"/>
      <c r="FBQ85" s="6"/>
      <c r="FBR85" s="6"/>
      <c r="FBS85" s="6"/>
      <c r="FBT85" s="6"/>
      <c r="FBU85" s="6"/>
      <c r="FBV85" s="6"/>
      <c r="FBW85" s="6"/>
      <c r="FBX85" s="6"/>
      <c r="FBY85" s="6"/>
      <c r="FBZ85" s="6"/>
      <c r="FCA85" s="6"/>
      <c r="FCB85" s="6"/>
      <c r="FCC85" s="6"/>
      <c r="FCD85" s="6"/>
      <c r="FCE85" s="6"/>
      <c r="FCF85" s="6"/>
      <c r="FCG85" s="6"/>
      <c r="FCH85" s="6"/>
      <c r="FCI85" s="6"/>
      <c r="FCJ85" s="6"/>
      <c r="FCK85" s="6"/>
      <c r="FCL85" s="6"/>
      <c r="FCM85" s="6"/>
      <c r="FCN85" s="6"/>
      <c r="FCO85" s="6"/>
      <c r="FCP85" s="6"/>
      <c r="FCQ85" s="6"/>
      <c r="FCR85" s="6"/>
      <c r="FCS85" s="6"/>
      <c r="FCT85" s="6"/>
      <c r="FCU85" s="6"/>
      <c r="FCV85" s="6"/>
      <c r="FCW85" s="6"/>
      <c r="FCX85" s="6"/>
      <c r="FCY85" s="6"/>
      <c r="FCZ85" s="6"/>
      <c r="FDA85" s="6"/>
      <c r="FDB85" s="6"/>
      <c r="FDC85" s="6"/>
      <c r="FDD85" s="6"/>
      <c r="FDE85" s="6"/>
      <c r="FDF85" s="6"/>
      <c r="FDG85" s="6"/>
      <c r="FDH85" s="6"/>
      <c r="FDI85" s="6"/>
      <c r="FDJ85" s="6"/>
      <c r="FDK85" s="6"/>
      <c r="FDL85" s="6"/>
      <c r="FDM85" s="6"/>
      <c r="FDN85" s="6"/>
      <c r="FDO85" s="6"/>
      <c r="FDP85" s="6"/>
      <c r="FDQ85" s="6"/>
      <c r="FDR85" s="6"/>
      <c r="FDS85" s="6"/>
      <c r="FDT85" s="6"/>
      <c r="FDU85" s="6"/>
      <c r="FDV85" s="6"/>
      <c r="FDW85" s="6"/>
      <c r="FDX85" s="6"/>
      <c r="FDY85" s="6"/>
      <c r="FDZ85" s="6"/>
      <c r="FEA85" s="6"/>
      <c r="FEB85" s="6"/>
      <c r="FEC85" s="6"/>
      <c r="FED85" s="6"/>
      <c r="FEE85" s="6"/>
      <c r="FEF85" s="6"/>
      <c r="FEG85" s="6"/>
      <c r="FEH85" s="6"/>
      <c r="FEI85" s="6"/>
      <c r="FEJ85" s="6"/>
      <c r="FEK85" s="6"/>
      <c r="FEL85" s="6"/>
      <c r="FEM85" s="6"/>
      <c r="FEN85" s="6"/>
      <c r="FEO85" s="6"/>
      <c r="FEP85" s="6"/>
      <c r="FEQ85" s="6"/>
      <c r="FER85" s="6"/>
      <c r="FES85" s="6"/>
      <c r="FET85" s="6"/>
      <c r="FEU85" s="6"/>
      <c r="FEV85" s="6"/>
      <c r="FEW85" s="6"/>
      <c r="FEX85" s="6"/>
      <c r="FEY85" s="6"/>
      <c r="FEZ85" s="6"/>
      <c r="FFA85" s="6"/>
      <c r="FFB85" s="6"/>
      <c r="FFC85" s="6"/>
      <c r="FFD85" s="6"/>
      <c r="FFE85" s="6"/>
      <c r="FFF85" s="6"/>
      <c r="FFG85" s="6"/>
      <c r="FFH85" s="6"/>
      <c r="FFI85" s="6"/>
      <c r="FFJ85" s="6"/>
      <c r="FFK85" s="6"/>
      <c r="FFL85" s="6"/>
      <c r="FFM85" s="6"/>
      <c r="FFN85" s="6"/>
      <c r="FFO85" s="6"/>
      <c r="FFP85" s="6"/>
      <c r="FFQ85" s="6"/>
      <c r="FFR85" s="6"/>
      <c r="FFS85" s="6"/>
      <c r="FFT85" s="6"/>
      <c r="FFU85" s="6"/>
      <c r="FFV85" s="6"/>
      <c r="FFW85" s="6"/>
      <c r="FFX85" s="6"/>
      <c r="FFY85" s="6"/>
      <c r="FFZ85" s="6"/>
      <c r="FGA85" s="6"/>
      <c r="FGB85" s="6"/>
      <c r="FGC85" s="6"/>
      <c r="FGD85" s="6"/>
      <c r="FGE85" s="6"/>
      <c r="FGF85" s="6"/>
      <c r="FGG85" s="6"/>
      <c r="FGH85" s="6"/>
      <c r="FGI85" s="6"/>
      <c r="FGJ85" s="6"/>
      <c r="FGK85" s="6"/>
      <c r="FGL85" s="6"/>
      <c r="FGM85" s="6"/>
      <c r="FGN85" s="6"/>
      <c r="FGO85" s="6"/>
      <c r="FGP85" s="6"/>
      <c r="FGQ85" s="6"/>
      <c r="FGR85" s="6"/>
      <c r="FGS85" s="6"/>
      <c r="FGT85" s="6"/>
      <c r="FGU85" s="6"/>
      <c r="FGV85" s="6"/>
      <c r="FGW85" s="6"/>
      <c r="FGX85" s="6"/>
      <c r="FGY85" s="6"/>
      <c r="FGZ85" s="6"/>
      <c r="FHA85" s="6"/>
      <c r="FHB85" s="6"/>
      <c r="FHC85" s="6"/>
      <c r="FHD85" s="6"/>
      <c r="FHE85" s="6"/>
      <c r="FHF85" s="6"/>
      <c r="FHG85" s="6"/>
      <c r="FHH85" s="6"/>
      <c r="FHI85" s="6"/>
      <c r="FHJ85" s="6"/>
      <c r="FHK85" s="6"/>
      <c r="FHL85" s="6"/>
      <c r="FHM85" s="6"/>
      <c r="FHN85" s="6"/>
      <c r="FHO85" s="6"/>
      <c r="FHP85" s="6"/>
      <c r="FHQ85" s="6"/>
      <c r="FHR85" s="6"/>
      <c r="FHS85" s="6"/>
      <c r="FHT85" s="6"/>
      <c r="FHU85" s="6"/>
      <c r="FHV85" s="6"/>
      <c r="FHW85" s="6"/>
      <c r="FHX85" s="6"/>
      <c r="FHY85" s="6"/>
      <c r="FHZ85" s="6"/>
      <c r="FIA85" s="6"/>
      <c r="FIB85" s="6"/>
      <c r="FIC85" s="6"/>
      <c r="FID85" s="6"/>
      <c r="FIE85" s="6"/>
      <c r="FIF85" s="6"/>
      <c r="FIG85" s="6"/>
      <c r="FIH85" s="6"/>
      <c r="FII85" s="6"/>
      <c r="FIJ85" s="6"/>
      <c r="FIK85" s="6"/>
      <c r="FIL85" s="6"/>
      <c r="FIM85" s="6"/>
      <c r="FIN85" s="6"/>
      <c r="FIO85" s="6"/>
      <c r="FIP85" s="6"/>
      <c r="FIQ85" s="6"/>
      <c r="FIR85" s="6"/>
      <c r="FIS85" s="6"/>
      <c r="FIT85" s="6"/>
      <c r="FIU85" s="6"/>
      <c r="FIV85" s="6"/>
      <c r="FIW85" s="6"/>
      <c r="FIX85" s="6"/>
      <c r="FIY85" s="6"/>
      <c r="FIZ85" s="6"/>
      <c r="FJA85" s="6"/>
      <c r="FJB85" s="6"/>
      <c r="FJC85" s="6"/>
      <c r="FJD85" s="6"/>
      <c r="FJE85" s="6"/>
      <c r="FJF85" s="6"/>
      <c r="FJG85" s="6"/>
      <c r="FJH85" s="6"/>
      <c r="FJI85" s="6"/>
      <c r="FJJ85" s="6"/>
      <c r="FJK85" s="6"/>
      <c r="FJL85" s="6"/>
      <c r="FJM85" s="6"/>
      <c r="FJN85" s="6"/>
      <c r="FJO85" s="6"/>
      <c r="FJP85" s="6"/>
      <c r="FJQ85" s="6"/>
      <c r="FJR85" s="6"/>
      <c r="FJS85" s="6"/>
      <c r="FJT85" s="6"/>
      <c r="FJU85" s="6"/>
      <c r="FJV85" s="6"/>
      <c r="FJW85" s="6"/>
      <c r="FJX85" s="6"/>
      <c r="FJY85" s="6"/>
      <c r="FJZ85" s="6"/>
      <c r="FKA85" s="6"/>
      <c r="FKB85" s="6"/>
      <c r="FKC85" s="6"/>
      <c r="FKD85" s="6"/>
      <c r="FKE85" s="6"/>
      <c r="FKF85" s="6"/>
      <c r="FKG85" s="6"/>
      <c r="FKH85" s="6"/>
      <c r="FKI85" s="6"/>
      <c r="FKJ85" s="6"/>
      <c r="FKK85" s="6"/>
      <c r="FKL85" s="6"/>
      <c r="FKM85" s="6"/>
      <c r="FKN85" s="6"/>
      <c r="FKO85" s="6"/>
      <c r="FKP85" s="6"/>
      <c r="FKQ85" s="6"/>
      <c r="FKR85" s="6"/>
      <c r="FKS85" s="6"/>
      <c r="FKT85" s="6"/>
      <c r="FKU85" s="6"/>
      <c r="FKV85" s="6"/>
      <c r="FKW85" s="6"/>
      <c r="FKX85" s="6"/>
      <c r="FKY85" s="6"/>
      <c r="FKZ85" s="6"/>
      <c r="FLA85" s="6"/>
      <c r="FLB85" s="6"/>
      <c r="FLC85" s="6"/>
      <c r="FLD85" s="6"/>
      <c r="FLE85" s="6"/>
      <c r="FLF85" s="6"/>
      <c r="FLG85" s="6"/>
      <c r="FLH85" s="6"/>
      <c r="FLI85" s="6"/>
      <c r="FLJ85" s="6"/>
      <c r="FLK85" s="6"/>
      <c r="FLL85" s="6"/>
      <c r="FLM85" s="6"/>
      <c r="FLN85" s="6"/>
      <c r="FLO85" s="6"/>
      <c r="FLP85" s="6"/>
      <c r="FLQ85" s="6"/>
      <c r="FLR85" s="6"/>
      <c r="FLS85" s="6"/>
      <c r="FLT85" s="6"/>
      <c r="FLU85" s="6"/>
      <c r="FLV85" s="6"/>
      <c r="FLW85" s="6"/>
      <c r="FLX85" s="6"/>
      <c r="FLY85" s="6"/>
      <c r="FLZ85" s="6"/>
      <c r="FMA85" s="6"/>
      <c r="FMB85" s="6"/>
      <c r="FMC85" s="6"/>
      <c r="FMD85" s="6"/>
      <c r="FME85" s="6"/>
      <c r="FMF85" s="6"/>
      <c r="FMG85" s="6"/>
      <c r="FMH85" s="6"/>
      <c r="FMI85" s="6"/>
      <c r="FMJ85" s="6"/>
      <c r="FMK85" s="6"/>
      <c r="FML85" s="6"/>
      <c r="FMM85" s="6"/>
      <c r="FMN85" s="6"/>
      <c r="FMO85" s="6"/>
      <c r="FMP85" s="6"/>
      <c r="FMQ85" s="6"/>
      <c r="FMR85" s="6"/>
      <c r="FMS85" s="6"/>
      <c r="FMT85" s="6"/>
      <c r="FMU85" s="6"/>
      <c r="FMV85" s="6"/>
      <c r="FMW85" s="6"/>
      <c r="FMX85" s="6"/>
      <c r="FMY85" s="6"/>
      <c r="FMZ85" s="6"/>
      <c r="FNA85" s="6"/>
      <c r="FNB85" s="6"/>
      <c r="FNC85" s="6"/>
      <c r="FND85" s="6"/>
      <c r="FNE85" s="6"/>
      <c r="FNF85" s="6"/>
      <c r="FNG85" s="6"/>
      <c r="FNH85" s="6"/>
      <c r="FNI85" s="6"/>
      <c r="FNJ85" s="6"/>
      <c r="FNK85" s="6"/>
      <c r="FNL85" s="6"/>
      <c r="FNM85" s="6"/>
      <c r="FNN85" s="6"/>
      <c r="FNO85" s="6"/>
      <c r="FNP85" s="6"/>
      <c r="FNQ85" s="6"/>
      <c r="FNR85" s="6"/>
      <c r="FNS85" s="6"/>
      <c r="FNT85" s="6"/>
      <c r="FNU85" s="6"/>
      <c r="FNV85" s="6"/>
      <c r="FNW85" s="6"/>
      <c r="FNX85" s="6"/>
      <c r="FNY85" s="6"/>
      <c r="FNZ85" s="6"/>
      <c r="FOA85" s="6"/>
      <c r="FOB85" s="6"/>
      <c r="FOC85" s="6"/>
      <c r="FOD85" s="6"/>
      <c r="FOE85" s="6"/>
      <c r="FOF85" s="6"/>
      <c r="FOG85" s="6"/>
      <c r="FOH85" s="6"/>
      <c r="FOI85" s="6"/>
      <c r="FOJ85" s="6"/>
      <c r="FOK85" s="6"/>
      <c r="FOL85" s="6"/>
      <c r="FOM85" s="6"/>
      <c r="FON85" s="6"/>
      <c r="FOO85" s="6"/>
      <c r="FOP85" s="6"/>
      <c r="FOQ85" s="6"/>
      <c r="FOR85" s="6"/>
      <c r="FOS85" s="6"/>
      <c r="FOT85" s="6"/>
      <c r="FOU85" s="6"/>
      <c r="FOV85" s="6"/>
      <c r="FOW85" s="6"/>
      <c r="FOX85" s="6"/>
      <c r="FOY85" s="6"/>
      <c r="FOZ85" s="6"/>
      <c r="FPA85" s="6"/>
      <c r="FPB85" s="6"/>
      <c r="FPC85" s="6"/>
      <c r="FPD85" s="6"/>
      <c r="FPE85" s="6"/>
      <c r="FPF85" s="6"/>
      <c r="FPG85" s="6"/>
      <c r="FPH85" s="6"/>
      <c r="FPI85" s="6"/>
      <c r="FPJ85" s="6"/>
      <c r="FPK85" s="6"/>
      <c r="FPL85" s="6"/>
      <c r="FPM85" s="6"/>
      <c r="FPN85" s="6"/>
      <c r="FPO85" s="6"/>
      <c r="FPP85" s="6"/>
      <c r="FPQ85" s="6"/>
      <c r="FPR85" s="6"/>
      <c r="FPS85" s="6"/>
      <c r="FPT85" s="6"/>
      <c r="FPU85" s="6"/>
      <c r="FPV85" s="6"/>
      <c r="FPW85" s="6"/>
      <c r="FPX85" s="6"/>
      <c r="FPY85" s="6"/>
      <c r="FPZ85" s="6"/>
      <c r="FQA85" s="6"/>
      <c r="FQB85" s="6"/>
      <c r="FQC85" s="6"/>
      <c r="FQD85" s="6"/>
      <c r="FQE85" s="6"/>
      <c r="FQF85" s="6"/>
      <c r="FQG85" s="6"/>
      <c r="FQH85" s="6"/>
      <c r="FQI85" s="6"/>
      <c r="FQJ85" s="6"/>
      <c r="FQK85" s="6"/>
      <c r="FQL85" s="6"/>
      <c r="FQM85" s="6"/>
      <c r="FQN85" s="6"/>
      <c r="FQO85" s="6"/>
      <c r="FQP85" s="6"/>
      <c r="FQQ85" s="6"/>
      <c r="FQR85" s="6"/>
      <c r="FQS85" s="6"/>
      <c r="FQT85" s="6"/>
      <c r="FQU85" s="6"/>
      <c r="FQV85" s="6"/>
      <c r="FQW85" s="6"/>
      <c r="FQX85" s="6"/>
      <c r="FQY85" s="6"/>
      <c r="FQZ85" s="6"/>
      <c r="FRA85" s="6"/>
      <c r="FRB85" s="6"/>
      <c r="FRC85" s="6"/>
      <c r="FRD85" s="6"/>
      <c r="FRE85" s="6"/>
      <c r="FRF85" s="6"/>
      <c r="FRG85" s="6"/>
      <c r="FRH85" s="6"/>
      <c r="FRI85" s="6"/>
      <c r="FRJ85" s="6"/>
      <c r="FRK85" s="6"/>
      <c r="FRL85" s="6"/>
      <c r="FRM85" s="6"/>
      <c r="FRN85" s="6"/>
      <c r="FRO85" s="6"/>
      <c r="FRP85" s="6"/>
      <c r="FRQ85" s="6"/>
      <c r="FRR85" s="6"/>
      <c r="FRS85" s="6"/>
      <c r="FRT85" s="6"/>
      <c r="FRU85" s="6"/>
      <c r="FRV85" s="6"/>
      <c r="FRW85" s="6"/>
      <c r="FRX85" s="6"/>
      <c r="FRY85" s="6"/>
      <c r="FRZ85" s="6"/>
      <c r="FSA85" s="6"/>
      <c r="FSB85" s="6"/>
      <c r="FSC85" s="6"/>
      <c r="FSD85" s="6"/>
      <c r="FSE85" s="6"/>
      <c r="FSF85" s="6"/>
      <c r="FSG85" s="6"/>
      <c r="FSH85" s="6"/>
      <c r="FSI85" s="6"/>
      <c r="FSJ85" s="6"/>
      <c r="FSK85" s="6"/>
      <c r="FSL85" s="6"/>
      <c r="FSM85" s="6"/>
      <c r="FSN85" s="6"/>
      <c r="FSO85" s="6"/>
      <c r="FSP85" s="6"/>
      <c r="FSQ85" s="6"/>
      <c r="FSR85" s="6"/>
      <c r="FSS85" s="6"/>
      <c r="FST85" s="6"/>
      <c r="FSU85" s="6"/>
      <c r="FSV85" s="6"/>
      <c r="FSW85" s="6"/>
      <c r="FSX85" s="6"/>
      <c r="FSY85" s="6"/>
      <c r="FSZ85" s="6"/>
      <c r="FTA85" s="6"/>
      <c r="FTB85" s="6"/>
      <c r="FTC85" s="6"/>
      <c r="FTD85" s="6"/>
      <c r="FTE85" s="6"/>
      <c r="FTF85" s="6"/>
      <c r="FTG85" s="6"/>
      <c r="FTH85" s="6"/>
      <c r="FTI85" s="6"/>
      <c r="FTJ85" s="6"/>
      <c r="FTK85" s="6"/>
      <c r="FTL85" s="6"/>
      <c r="FTM85" s="6"/>
      <c r="FTN85" s="6"/>
      <c r="FTO85" s="6"/>
      <c r="FTP85" s="6"/>
      <c r="FTQ85" s="6"/>
      <c r="FTR85" s="6"/>
      <c r="FTS85" s="6"/>
      <c r="FTT85" s="6"/>
      <c r="FTU85" s="6"/>
      <c r="FTV85" s="6"/>
      <c r="FTW85" s="6"/>
      <c r="FTX85" s="6"/>
      <c r="FTY85" s="6"/>
      <c r="FTZ85" s="6"/>
      <c r="FUA85" s="6"/>
      <c r="FUB85" s="6"/>
      <c r="FUC85" s="6"/>
      <c r="FUD85" s="6"/>
      <c r="FUE85" s="6"/>
      <c r="FUF85" s="6"/>
      <c r="FUG85" s="6"/>
      <c r="FUH85" s="6"/>
      <c r="FUI85" s="6"/>
      <c r="FUJ85" s="6"/>
      <c r="FUK85" s="6"/>
      <c r="FUL85" s="6"/>
      <c r="FUM85" s="6"/>
      <c r="FUN85" s="6"/>
      <c r="FUO85" s="6"/>
      <c r="FUP85" s="6"/>
      <c r="FUQ85" s="6"/>
      <c r="FUR85" s="6"/>
      <c r="FUS85" s="6"/>
      <c r="FUT85" s="6"/>
      <c r="FUU85" s="6"/>
      <c r="FUV85" s="6"/>
      <c r="FUW85" s="6"/>
      <c r="FUX85" s="6"/>
      <c r="FUY85" s="6"/>
      <c r="FUZ85" s="6"/>
      <c r="FVA85" s="6"/>
      <c r="FVB85" s="6"/>
      <c r="FVC85" s="6"/>
      <c r="FVD85" s="6"/>
      <c r="FVE85" s="6"/>
      <c r="FVF85" s="6"/>
      <c r="FVG85" s="6"/>
      <c r="FVH85" s="6"/>
      <c r="FVI85" s="6"/>
      <c r="FVJ85" s="6"/>
      <c r="FVK85" s="6"/>
      <c r="FVL85" s="6"/>
      <c r="FVM85" s="6"/>
      <c r="FVN85" s="6"/>
      <c r="FVO85" s="6"/>
      <c r="FVP85" s="6"/>
      <c r="FVQ85" s="6"/>
      <c r="FVR85" s="6"/>
      <c r="FVS85" s="6"/>
      <c r="FVT85" s="6"/>
      <c r="FVU85" s="6"/>
      <c r="FVV85" s="6"/>
      <c r="FVW85" s="6"/>
      <c r="FVX85" s="6"/>
      <c r="FVY85" s="6"/>
      <c r="FVZ85" s="6"/>
      <c r="FWA85" s="6"/>
      <c r="FWB85" s="6"/>
      <c r="FWC85" s="6"/>
      <c r="FWD85" s="6"/>
      <c r="FWE85" s="6"/>
      <c r="FWF85" s="6"/>
      <c r="FWG85" s="6"/>
      <c r="FWH85" s="6"/>
      <c r="FWI85" s="6"/>
      <c r="FWJ85" s="6"/>
      <c r="FWK85" s="6"/>
      <c r="FWL85" s="6"/>
      <c r="FWM85" s="6"/>
      <c r="FWN85" s="6"/>
      <c r="FWO85" s="6"/>
      <c r="FWP85" s="6"/>
      <c r="FWQ85" s="6"/>
      <c r="FWR85" s="6"/>
      <c r="FWS85" s="6"/>
      <c r="FWT85" s="6"/>
      <c r="FWU85" s="6"/>
      <c r="FWV85" s="6"/>
      <c r="FWW85" s="6"/>
      <c r="FWX85" s="6"/>
      <c r="FWY85" s="6"/>
      <c r="FWZ85" s="6"/>
      <c r="FXA85" s="6"/>
      <c r="FXB85" s="6"/>
      <c r="FXC85" s="6"/>
      <c r="FXD85" s="6"/>
      <c r="FXE85" s="6"/>
      <c r="FXF85" s="6"/>
      <c r="FXG85" s="6"/>
      <c r="FXH85" s="6"/>
      <c r="FXI85" s="6"/>
      <c r="FXJ85" s="6"/>
      <c r="FXK85" s="6"/>
      <c r="FXL85" s="6"/>
      <c r="FXM85" s="6"/>
      <c r="FXN85" s="6"/>
      <c r="FXO85" s="6"/>
      <c r="FXP85" s="6"/>
      <c r="FXQ85" s="6"/>
      <c r="FXR85" s="6"/>
      <c r="FXS85" s="6"/>
      <c r="FXT85" s="6"/>
      <c r="FXU85" s="6"/>
      <c r="FXV85" s="6"/>
      <c r="FXW85" s="6"/>
      <c r="FXX85" s="6"/>
      <c r="FXY85" s="6"/>
      <c r="FXZ85" s="6"/>
      <c r="FYA85" s="6"/>
      <c r="FYB85" s="6"/>
      <c r="FYC85" s="6"/>
      <c r="FYD85" s="6"/>
      <c r="FYE85" s="6"/>
      <c r="FYF85" s="6"/>
      <c r="FYG85" s="6"/>
      <c r="FYH85" s="6"/>
      <c r="FYI85" s="6"/>
      <c r="FYJ85" s="6"/>
      <c r="FYK85" s="6"/>
      <c r="FYL85" s="6"/>
      <c r="FYM85" s="6"/>
      <c r="FYN85" s="6"/>
      <c r="FYO85" s="6"/>
      <c r="FYP85" s="6"/>
      <c r="FYQ85" s="6"/>
      <c r="FYR85" s="6"/>
      <c r="FYS85" s="6"/>
      <c r="FYT85" s="6"/>
      <c r="FYU85" s="6"/>
      <c r="FYV85" s="6"/>
      <c r="FYW85" s="6"/>
      <c r="FYX85" s="6"/>
      <c r="FYY85" s="6"/>
      <c r="FYZ85" s="6"/>
      <c r="FZA85" s="6"/>
      <c r="FZB85" s="6"/>
      <c r="FZC85" s="6"/>
      <c r="FZD85" s="6"/>
      <c r="FZE85" s="6"/>
      <c r="FZF85" s="6"/>
      <c r="FZG85" s="6"/>
      <c r="FZH85" s="6"/>
      <c r="FZI85" s="6"/>
      <c r="FZJ85" s="6"/>
      <c r="FZK85" s="6"/>
      <c r="FZL85" s="6"/>
      <c r="FZM85" s="6"/>
      <c r="FZN85" s="6"/>
      <c r="FZO85" s="6"/>
      <c r="FZP85" s="6"/>
      <c r="FZQ85" s="6"/>
      <c r="FZR85" s="6"/>
      <c r="FZS85" s="6"/>
      <c r="FZT85" s="6"/>
      <c r="FZU85" s="6"/>
      <c r="FZV85" s="6"/>
      <c r="FZW85" s="6"/>
      <c r="FZX85" s="6"/>
      <c r="FZY85" s="6"/>
      <c r="FZZ85" s="6"/>
      <c r="GAA85" s="6"/>
      <c r="GAB85" s="6"/>
      <c r="GAC85" s="6"/>
      <c r="GAD85" s="6"/>
      <c r="GAE85" s="6"/>
      <c r="GAF85" s="6"/>
      <c r="GAG85" s="6"/>
      <c r="GAH85" s="6"/>
      <c r="GAI85" s="6"/>
      <c r="GAJ85" s="6"/>
      <c r="GAK85" s="6"/>
      <c r="GAL85" s="6"/>
      <c r="GAM85" s="6"/>
      <c r="GAN85" s="6"/>
      <c r="GAO85" s="6"/>
      <c r="GAP85" s="6"/>
      <c r="GAQ85" s="6"/>
      <c r="GAR85" s="6"/>
      <c r="GAS85" s="6"/>
      <c r="GAT85" s="6"/>
      <c r="GAU85" s="6"/>
      <c r="GAV85" s="6"/>
      <c r="GAW85" s="6"/>
      <c r="GAX85" s="6"/>
      <c r="GAY85" s="6"/>
      <c r="GAZ85" s="6"/>
      <c r="GBA85" s="6"/>
      <c r="GBB85" s="6"/>
      <c r="GBC85" s="6"/>
      <c r="GBD85" s="6"/>
      <c r="GBE85" s="6"/>
      <c r="GBF85" s="6"/>
      <c r="GBG85" s="6"/>
      <c r="GBH85" s="6"/>
      <c r="GBI85" s="6"/>
      <c r="GBJ85" s="6"/>
      <c r="GBK85" s="6"/>
      <c r="GBL85" s="6"/>
      <c r="GBM85" s="6"/>
      <c r="GBN85" s="6"/>
      <c r="GBO85" s="6"/>
      <c r="GBP85" s="6"/>
      <c r="GBQ85" s="6"/>
      <c r="GBR85" s="6"/>
      <c r="GBS85" s="6"/>
      <c r="GBT85" s="6"/>
      <c r="GBU85" s="6"/>
      <c r="GBV85" s="6"/>
      <c r="GBW85" s="6"/>
      <c r="GBX85" s="6"/>
      <c r="GBY85" s="6"/>
      <c r="GBZ85" s="6"/>
      <c r="GCA85" s="6"/>
      <c r="GCB85" s="6"/>
      <c r="GCC85" s="6"/>
      <c r="GCD85" s="6"/>
      <c r="GCE85" s="6"/>
      <c r="GCF85" s="6"/>
      <c r="GCG85" s="6"/>
      <c r="GCH85" s="6"/>
      <c r="GCI85" s="6"/>
      <c r="GCJ85" s="6"/>
      <c r="GCK85" s="6"/>
      <c r="GCL85" s="6"/>
      <c r="GCM85" s="6"/>
      <c r="GCN85" s="6"/>
      <c r="GCO85" s="6"/>
      <c r="GCP85" s="6"/>
      <c r="GCQ85" s="6"/>
      <c r="GCR85" s="6"/>
      <c r="GCS85" s="6"/>
      <c r="GCT85" s="6"/>
      <c r="GCU85" s="6"/>
      <c r="GCV85" s="6"/>
      <c r="GCW85" s="6"/>
      <c r="GCX85" s="6"/>
      <c r="GCY85" s="6"/>
      <c r="GCZ85" s="6"/>
      <c r="GDA85" s="6"/>
      <c r="GDB85" s="6"/>
      <c r="GDC85" s="6"/>
      <c r="GDD85" s="6"/>
      <c r="GDE85" s="6"/>
      <c r="GDF85" s="6"/>
      <c r="GDG85" s="6"/>
      <c r="GDH85" s="6"/>
      <c r="GDI85" s="6"/>
      <c r="GDJ85" s="6"/>
      <c r="GDK85" s="6"/>
      <c r="GDL85" s="6"/>
      <c r="GDM85" s="6"/>
      <c r="GDN85" s="6"/>
      <c r="GDO85" s="6"/>
      <c r="GDP85" s="6"/>
      <c r="GDQ85" s="6"/>
      <c r="GDR85" s="6"/>
      <c r="GDS85" s="6"/>
      <c r="GDT85" s="6"/>
      <c r="GDU85" s="6"/>
      <c r="GDV85" s="6"/>
      <c r="GDW85" s="6"/>
      <c r="GDX85" s="6"/>
      <c r="GDY85" s="6"/>
      <c r="GDZ85" s="6"/>
      <c r="GEA85" s="6"/>
      <c r="GEB85" s="6"/>
      <c r="GEC85" s="6"/>
      <c r="GED85" s="6"/>
      <c r="GEE85" s="6"/>
      <c r="GEF85" s="6"/>
      <c r="GEG85" s="6"/>
      <c r="GEH85" s="6"/>
      <c r="GEI85" s="6"/>
      <c r="GEJ85" s="6"/>
      <c r="GEK85" s="6"/>
      <c r="GEL85" s="6"/>
      <c r="GEM85" s="6"/>
      <c r="GEN85" s="6"/>
      <c r="GEO85" s="6"/>
      <c r="GEP85" s="6"/>
      <c r="GEQ85" s="6"/>
      <c r="GER85" s="6"/>
      <c r="GES85" s="6"/>
      <c r="GET85" s="6"/>
      <c r="GEU85" s="6"/>
      <c r="GEV85" s="6"/>
      <c r="GEW85" s="6"/>
      <c r="GEX85" s="6"/>
      <c r="GEY85" s="6"/>
      <c r="GEZ85" s="6"/>
      <c r="GFA85" s="6"/>
      <c r="GFB85" s="6"/>
      <c r="GFC85" s="6"/>
      <c r="GFD85" s="6"/>
      <c r="GFE85" s="6"/>
      <c r="GFF85" s="6"/>
      <c r="GFG85" s="6"/>
      <c r="GFH85" s="6"/>
      <c r="GFI85" s="6"/>
      <c r="GFJ85" s="6"/>
      <c r="GFK85" s="6"/>
      <c r="GFL85" s="6"/>
      <c r="GFM85" s="6"/>
      <c r="GFN85" s="6"/>
      <c r="GFO85" s="6"/>
      <c r="GFP85" s="6"/>
      <c r="GFQ85" s="6"/>
      <c r="GFR85" s="6"/>
      <c r="GFS85" s="6"/>
      <c r="GFT85" s="6"/>
      <c r="GFU85" s="6"/>
      <c r="GFV85" s="6"/>
      <c r="GFW85" s="6"/>
      <c r="GFX85" s="6"/>
      <c r="GFY85" s="6"/>
      <c r="GFZ85" s="6"/>
      <c r="GGA85" s="6"/>
      <c r="GGB85" s="6"/>
      <c r="GGC85" s="6"/>
      <c r="GGD85" s="6"/>
      <c r="GGE85" s="6"/>
      <c r="GGF85" s="6"/>
      <c r="GGG85" s="6"/>
      <c r="GGH85" s="6"/>
      <c r="GGI85" s="6"/>
      <c r="GGJ85" s="6"/>
      <c r="GGK85" s="6"/>
      <c r="GGL85" s="6"/>
      <c r="GGM85" s="6"/>
      <c r="GGN85" s="6"/>
      <c r="GGO85" s="6"/>
      <c r="GGP85" s="6"/>
      <c r="GGQ85" s="6"/>
      <c r="GGR85" s="6"/>
      <c r="GGS85" s="6"/>
      <c r="GGT85" s="6"/>
      <c r="GGU85" s="6"/>
      <c r="GGV85" s="6"/>
      <c r="GGW85" s="6"/>
      <c r="GGX85" s="6"/>
      <c r="GGY85" s="6"/>
      <c r="GGZ85" s="6"/>
      <c r="GHA85" s="6"/>
      <c r="GHB85" s="6"/>
      <c r="GHC85" s="6"/>
      <c r="GHD85" s="6"/>
      <c r="GHE85" s="6"/>
      <c r="GHF85" s="6"/>
      <c r="GHG85" s="6"/>
      <c r="GHH85" s="6"/>
      <c r="GHI85" s="6"/>
      <c r="GHJ85" s="6"/>
      <c r="GHK85" s="6"/>
      <c r="GHL85" s="6"/>
      <c r="GHM85" s="6"/>
      <c r="GHN85" s="6"/>
      <c r="GHO85" s="6"/>
      <c r="GHP85" s="6"/>
      <c r="GHQ85" s="6"/>
      <c r="GHR85" s="6"/>
      <c r="GHS85" s="6"/>
      <c r="GHT85" s="6"/>
      <c r="GHU85" s="6"/>
      <c r="GHV85" s="6"/>
      <c r="GHW85" s="6"/>
      <c r="GHX85" s="6"/>
      <c r="GHY85" s="6"/>
      <c r="GHZ85" s="6"/>
      <c r="GIA85" s="6"/>
      <c r="GIB85" s="6"/>
      <c r="GIC85" s="6"/>
      <c r="GID85" s="6"/>
      <c r="GIE85" s="6"/>
      <c r="GIF85" s="6"/>
      <c r="GIG85" s="6"/>
      <c r="GIH85" s="6"/>
      <c r="GII85" s="6"/>
      <c r="GIJ85" s="6"/>
      <c r="GIK85" s="6"/>
      <c r="GIL85" s="6"/>
      <c r="GIM85" s="6"/>
      <c r="GIN85" s="6"/>
      <c r="GIO85" s="6"/>
      <c r="GIP85" s="6"/>
      <c r="GIQ85" s="6"/>
      <c r="GIR85" s="6"/>
      <c r="GIS85" s="6"/>
      <c r="GIT85" s="6"/>
      <c r="GIU85" s="6"/>
      <c r="GIV85" s="6"/>
      <c r="GIW85" s="6"/>
      <c r="GIX85" s="6"/>
      <c r="GIY85" s="6"/>
      <c r="GIZ85" s="6"/>
      <c r="GJA85" s="6"/>
      <c r="GJB85" s="6"/>
      <c r="GJC85" s="6"/>
      <c r="GJD85" s="6"/>
      <c r="GJE85" s="6"/>
      <c r="GJF85" s="6"/>
      <c r="GJG85" s="6"/>
      <c r="GJH85" s="6"/>
      <c r="GJI85" s="6"/>
      <c r="GJJ85" s="6"/>
      <c r="GJK85" s="6"/>
      <c r="GJL85" s="6"/>
      <c r="GJM85" s="6"/>
      <c r="GJN85" s="6"/>
      <c r="GJO85" s="6"/>
      <c r="GJP85" s="6"/>
      <c r="GJQ85" s="6"/>
      <c r="GJR85" s="6"/>
      <c r="GJS85" s="6"/>
      <c r="GJT85" s="6"/>
      <c r="GJU85" s="6"/>
      <c r="GJV85" s="6"/>
      <c r="GJW85" s="6"/>
      <c r="GJX85" s="6"/>
      <c r="GJY85" s="6"/>
      <c r="GJZ85" s="6"/>
      <c r="GKA85" s="6"/>
      <c r="GKB85" s="6"/>
      <c r="GKC85" s="6"/>
      <c r="GKD85" s="6"/>
      <c r="GKE85" s="6"/>
      <c r="GKF85" s="6"/>
      <c r="GKG85" s="6"/>
      <c r="GKH85" s="6"/>
      <c r="GKI85" s="6"/>
      <c r="GKJ85" s="6"/>
      <c r="GKK85" s="6"/>
      <c r="GKL85" s="6"/>
      <c r="GKM85" s="6"/>
      <c r="GKN85" s="6"/>
      <c r="GKO85" s="6"/>
      <c r="GKP85" s="6"/>
      <c r="GKQ85" s="6"/>
      <c r="GKR85" s="6"/>
      <c r="GKS85" s="6"/>
      <c r="GKT85" s="6"/>
      <c r="GKU85" s="6"/>
      <c r="GKV85" s="6"/>
      <c r="GKW85" s="6"/>
      <c r="GKX85" s="6"/>
      <c r="GKY85" s="6"/>
      <c r="GKZ85" s="6"/>
      <c r="GLA85" s="6"/>
      <c r="GLB85" s="6"/>
      <c r="GLC85" s="6"/>
      <c r="GLD85" s="6"/>
      <c r="GLE85" s="6"/>
      <c r="GLF85" s="6"/>
      <c r="GLG85" s="6"/>
      <c r="GLH85" s="6"/>
      <c r="GLI85" s="6"/>
      <c r="GLJ85" s="6"/>
      <c r="GLK85" s="6"/>
      <c r="GLL85" s="6"/>
      <c r="GLM85" s="6"/>
      <c r="GLN85" s="6"/>
      <c r="GLO85" s="6"/>
      <c r="GLP85" s="6"/>
      <c r="GLQ85" s="6"/>
      <c r="GLR85" s="6"/>
      <c r="GLS85" s="6"/>
      <c r="GLT85" s="6"/>
      <c r="GLU85" s="6"/>
      <c r="GLV85" s="6"/>
      <c r="GLW85" s="6"/>
      <c r="GLX85" s="6"/>
      <c r="GLY85" s="6"/>
      <c r="GLZ85" s="6"/>
      <c r="GMA85" s="6"/>
      <c r="GMB85" s="6"/>
      <c r="GMC85" s="6"/>
      <c r="GMD85" s="6"/>
      <c r="GME85" s="6"/>
      <c r="GMF85" s="6"/>
      <c r="GMG85" s="6"/>
      <c r="GMH85" s="6"/>
      <c r="GMI85" s="6"/>
      <c r="GMJ85" s="6"/>
      <c r="GMK85" s="6"/>
      <c r="GML85" s="6"/>
      <c r="GMM85" s="6"/>
      <c r="GMN85" s="6"/>
      <c r="GMO85" s="6"/>
      <c r="GMP85" s="6"/>
      <c r="GMQ85" s="6"/>
      <c r="GMR85" s="6"/>
      <c r="GMS85" s="6"/>
      <c r="GMT85" s="6"/>
      <c r="GMU85" s="6"/>
      <c r="GMV85" s="6"/>
      <c r="GMW85" s="6"/>
      <c r="GMX85" s="6"/>
      <c r="GMY85" s="6"/>
      <c r="GMZ85" s="6"/>
      <c r="GNA85" s="6"/>
      <c r="GNB85" s="6"/>
      <c r="GNC85" s="6"/>
      <c r="GND85" s="6"/>
      <c r="GNE85" s="6"/>
      <c r="GNF85" s="6"/>
      <c r="GNG85" s="6"/>
      <c r="GNH85" s="6"/>
      <c r="GNI85" s="6"/>
      <c r="GNJ85" s="6"/>
      <c r="GNK85" s="6"/>
      <c r="GNL85" s="6"/>
      <c r="GNM85" s="6"/>
      <c r="GNN85" s="6"/>
      <c r="GNO85" s="6"/>
      <c r="GNP85" s="6"/>
      <c r="GNQ85" s="6"/>
      <c r="GNR85" s="6"/>
      <c r="GNS85" s="6"/>
      <c r="GNT85" s="6"/>
      <c r="GNU85" s="6"/>
      <c r="GNV85" s="6"/>
      <c r="GNW85" s="6"/>
      <c r="GNX85" s="6"/>
      <c r="GNY85" s="6"/>
      <c r="GNZ85" s="6"/>
      <c r="GOA85" s="6"/>
      <c r="GOB85" s="6"/>
      <c r="GOC85" s="6"/>
      <c r="GOD85" s="6"/>
      <c r="GOE85" s="6"/>
      <c r="GOF85" s="6"/>
      <c r="GOG85" s="6"/>
      <c r="GOH85" s="6"/>
      <c r="GOI85" s="6"/>
      <c r="GOJ85" s="6"/>
      <c r="GOK85" s="6"/>
      <c r="GOL85" s="6"/>
      <c r="GOM85" s="6"/>
      <c r="GON85" s="6"/>
      <c r="GOO85" s="6"/>
      <c r="GOP85" s="6"/>
      <c r="GOQ85" s="6"/>
      <c r="GOR85" s="6"/>
      <c r="GOS85" s="6"/>
      <c r="GOT85" s="6"/>
      <c r="GOU85" s="6"/>
      <c r="GOV85" s="6"/>
      <c r="GOW85" s="6"/>
      <c r="GOX85" s="6"/>
      <c r="GOY85" s="6"/>
      <c r="GOZ85" s="6"/>
      <c r="GPA85" s="6"/>
      <c r="GPB85" s="6"/>
      <c r="GPC85" s="6"/>
      <c r="GPD85" s="6"/>
      <c r="GPE85" s="6"/>
      <c r="GPF85" s="6"/>
      <c r="GPG85" s="6"/>
      <c r="GPH85" s="6"/>
      <c r="GPI85" s="6"/>
      <c r="GPJ85" s="6"/>
      <c r="GPK85" s="6"/>
      <c r="GPL85" s="6"/>
      <c r="GPM85" s="6"/>
      <c r="GPN85" s="6"/>
      <c r="GPO85" s="6"/>
      <c r="GPP85" s="6"/>
      <c r="GPQ85" s="6"/>
      <c r="GPR85" s="6"/>
      <c r="GPS85" s="6"/>
      <c r="GPT85" s="6"/>
      <c r="GPU85" s="6"/>
      <c r="GPV85" s="6"/>
      <c r="GPW85" s="6"/>
      <c r="GPX85" s="6"/>
      <c r="GPY85" s="6"/>
      <c r="GPZ85" s="6"/>
      <c r="GQA85" s="6"/>
      <c r="GQB85" s="6"/>
      <c r="GQC85" s="6"/>
      <c r="GQD85" s="6"/>
      <c r="GQE85" s="6"/>
      <c r="GQF85" s="6"/>
      <c r="GQG85" s="6"/>
      <c r="GQH85" s="6"/>
      <c r="GQI85" s="6"/>
      <c r="GQJ85" s="6"/>
      <c r="GQK85" s="6"/>
      <c r="GQL85" s="6"/>
      <c r="GQM85" s="6"/>
      <c r="GQN85" s="6"/>
      <c r="GQO85" s="6"/>
      <c r="GQP85" s="6"/>
      <c r="GQQ85" s="6"/>
      <c r="GQR85" s="6"/>
      <c r="GQS85" s="6"/>
      <c r="GQT85" s="6"/>
      <c r="GQU85" s="6"/>
      <c r="GQV85" s="6"/>
      <c r="GQW85" s="6"/>
      <c r="GQX85" s="6"/>
      <c r="GQY85" s="6"/>
      <c r="GQZ85" s="6"/>
      <c r="GRA85" s="6"/>
      <c r="GRB85" s="6"/>
      <c r="GRC85" s="6"/>
      <c r="GRD85" s="6"/>
      <c r="GRE85" s="6"/>
      <c r="GRF85" s="6"/>
      <c r="GRG85" s="6"/>
      <c r="GRH85" s="6"/>
      <c r="GRI85" s="6"/>
      <c r="GRJ85" s="6"/>
      <c r="GRK85" s="6"/>
      <c r="GRL85" s="6"/>
      <c r="GRM85" s="6"/>
      <c r="GRN85" s="6"/>
      <c r="GRO85" s="6"/>
      <c r="GRP85" s="6"/>
      <c r="GRQ85" s="6"/>
      <c r="GRR85" s="6"/>
      <c r="GRS85" s="6"/>
      <c r="GRT85" s="6"/>
      <c r="GRU85" s="6"/>
      <c r="GRV85" s="6"/>
      <c r="GRW85" s="6"/>
      <c r="GRX85" s="6"/>
      <c r="GRY85" s="6"/>
      <c r="GRZ85" s="6"/>
      <c r="GSA85" s="6"/>
      <c r="GSB85" s="6"/>
      <c r="GSC85" s="6"/>
      <c r="GSD85" s="6"/>
      <c r="GSE85" s="6"/>
      <c r="GSF85" s="6"/>
      <c r="GSG85" s="6"/>
      <c r="GSH85" s="6"/>
      <c r="GSI85" s="6"/>
      <c r="GSJ85" s="6"/>
      <c r="GSK85" s="6"/>
      <c r="GSL85" s="6"/>
      <c r="GSM85" s="6"/>
      <c r="GSN85" s="6"/>
      <c r="GSO85" s="6"/>
      <c r="GSP85" s="6"/>
      <c r="GSQ85" s="6"/>
      <c r="GSR85" s="6"/>
      <c r="GSS85" s="6"/>
      <c r="GST85" s="6"/>
      <c r="GSU85" s="6"/>
      <c r="GSV85" s="6"/>
      <c r="GSW85" s="6"/>
      <c r="GSX85" s="6"/>
      <c r="GSY85" s="6"/>
      <c r="GSZ85" s="6"/>
      <c r="GTA85" s="6"/>
      <c r="GTB85" s="6"/>
      <c r="GTC85" s="6"/>
      <c r="GTD85" s="6"/>
      <c r="GTE85" s="6"/>
      <c r="GTF85" s="6"/>
      <c r="GTG85" s="6"/>
      <c r="GTH85" s="6"/>
      <c r="GTI85" s="6"/>
      <c r="GTJ85" s="6"/>
      <c r="GTK85" s="6"/>
      <c r="GTL85" s="6"/>
      <c r="GTM85" s="6"/>
      <c r="GTN85" s="6"/>
      <c r="GTO85" s="6"/>
      <c r="GTP85" s="6"/>
      <c r="GTQ85" s="6"/>
      <c r="GTR85" s="6"/>
      <c r="GTS85" s="6"/>
      <c r="GTT85" s="6"/>
      <c r="GTU85" s="6"/>
      <c r="GTV85" s="6"/>
      <c r="GTW85" s="6"/>
      <c r="GTX85" s="6"/>
      <c r="GTY85" s="6"/>
      <c r="GTZ85" s="6"/>
      <c r="GUA85" s="6"/>
      <c r="GUB85" s="6"/>
      <c r="GUC85" s="6"/>
      <c r="GUD85" s="6"/>
      <c r="GUE85" s="6"/>
      <c r="GUF85" s="6"/>
      <c r="GUG85" s="6"/>
      <c r="GUH85" s="6"/>
      <c r="GUI85" s="6"/>
      <c r="GUJ85" s="6"/>
      <c r="GUK85" s="6"/>
      <c r="GUL85" s="6"/>
      <c r="GUM85" s="6"/>
      <c r="GUN85" s="6"/>
      <c r="GUO85" s="6"/>
      <c r="GUP85" s="6"/>
      <c r="GUQ85" s="6"/>
      <c r="GUR85" s="6"/>
      <c r="GUS85" s="6"/>
      <c r="GUT85" s="6"/>
      <c r="GUU85" s="6"/>
      <c r="GUV85" s="6"/>
      <c r="GUW85" s="6"/>
      <c r="GUX85" s="6"/>
      <c r="GUY85" s="6"/>
      <c r="GUZ85" s="6"/>
      <c r="GVA85" s="6"/>
      <c r="GVB85" s="6"/>
      <c r="GVC85" s="6"/>
      <c r="GVD85" s="6"/>
      <c r="GVE85" s="6"/>
      <c r="GVF85" s="6"/>
      <c r="GVG85" s="6"/>
      <c r="GVH85" s="6"/>
      <c r="GVI85" s="6"/>
      <c r="GVJ85" s="6"/>
      <c r="GVK85" s="6"/>
      <c r="GVL85" s="6"/>
      <c r="GVM85" s="6"/>
      <c r="GVN85" s="6"/>
      <c r="GVO85" s="6"/>
      <c r="GVP85" s="6"/>
      <c r="GVQ85" s="6"/>
      <c r="GVR85" s="6"/>
      <c r="GVS85" s="6"/>
      <c r="GVT85" s="6"/>
      <c r="GVU85" s="6"/>
      <c r="GVV85" s="6"/>
      <c r="GVW85" s="6"/>
      <c r="GVX85" s="6"/>
      <c r="GVY85" s="6"/>
      <c r="GVZ85" s="6"/>
      <c r="GWA85" s="6"/>
      <c r="GWB85" s="6"/>
      <c r="GWC85" s="6"/>
      <c r="GWD85" s="6"/>
      <c r="GWE85" s="6"/>
      <c r="GWF85" s="6"/>
      <c r="GWG85" s="6"/>
      <c r="GWH85" s="6"/>
      <c r="GWI85" s="6"/>
      <c r="GWJ85" s="6"/>
      <c r="GWK85" s="6"/>
      <c r="GWL85" s="6"/>
      <c r="GWM85" s="6"/>
      <c r="GWN85" s="6"/>
      <c r="GWO85" s="6"/>
      <c r="GWP85" s="6"/>
      <c r="GWQ85" s="6"/>
      <c r="GWR85" s="6"/>
      <c r="GWS85" s="6"/>
      <c r="GWT85" s="6"/>
      <c r="GWU85" s="6"/>
      <c r="GWV85" s="6"/>
      <c r="GWW85" s="6"/>
      <c r="GWX85" s="6"/>
      <c r="GWY85" s="6"/>
      <c r="GWZ85" s="6"/>
      <c r="GXA85" s="6"/>
      <c r="GXB85" s="6"/>
      <c r="GXC85" s="6"/>
      <c r="GXD85" s="6"/>
      <c r="GXE85" s="6"/>
      <c r="GXF85" s="6"/>
      <c r="GXG85" s="6"/>
      <c r="GXH85" s="6"/>
      <c r="GXI85" s="6"/>
      <c r="GXJ85" s="6"/>
      <c r="GXK85" s="6"/>
      <c r="GXL85" s="6"/>
      <c r="GXM85" s="6"/>
      <c r="GXN85" s="6"/>
      <c r="GXO85" s="6"/>
      <c r="GXP85" s="6"/>
      <c r="GXQ85" s="6"/>
      <c r="GXR85" s="6"/>
      <c r="GXS85" s="6"/>
      <c r="GXT85" s="6"/>
      <c r="GXU85" s="6"/>
      <c r="GXV85" s="6"/>
      <c r="GXW85" s="6"/>
      <c r="GXX85" s="6"/>
      <c r="GXY85" s="6"/>
      <c r="GXZ85" s="6"/>
      <c r="GYA85" s="6"/>
      <c r="GYB85" s="6"/>
      <c r="GYC85" s="6"/>
      <c r="GYD85" s="6"/>
      <c r="GYE85" s="6"/>
      <c r="GYF85" s="6"/>
      <c r="GYG85" s="6"/>
      <c r="GYH85" s="6"/>
      <c r="GYI85" s="6"/>
      <c r="GYJ85" s="6"/>
      <c r="GYK85" s="6"/>
      <c r="GYL85" s="6"/>
      <c r="GYM85" s="6"/>
      <c r="GYN85" s="6"/>
      <c r="GYO85" s="6"/>
      <c r="GYP85" s="6"/>
      <c r="GYQ85" s="6"/>
      <c r="GYR85" s="6"/>
      <c r="GYS85" s="6"/>
      <c r="GYT85" s="6"/>
      <c r="GYU85" s="6"/>
      <c r="GYV85" s="6"/>
      <c r="GYW85" s="6"/>
      <c r="GYX85" s="6"/>
      <c r="GYY85" s="6"/>
      <c r="GYZ85" s="6"/>
      <c r="GZA85" s="6"/>
      <c r="GZB85" s="6"/>
      <c r="GZC85" s="6"/>
      <c r="GZD85" s="6"/>
      <c r="GZE85" s="6"/>
      <c r="GZF85" s="6"/>
      <c r="GZG85" s="6"/>
      <c r="GZH85" s="6"/>
      <c r="GZI85" s="6"/>
      <c r="GZJ85" s="6"/>
      <c r="GZK85" s="6"/>
      <c r="GZL85" s="6"/>
      <c r="GZM85" s="6"/>
      <c r="GZN85" s="6"/>
      <c r="GZO85" s="6"/>
      <c r="GZP85" s="6"/>
      <c r="GZQ85" s="6"/>
      <c r="GZR85" s="6"/>
      <c r="GZS85" s="6"/>
      <c r="GZT85" s="6"/>
      <c r="GZU85" s="6"/>
      <c r="GZV85" s="6"/>
      <c r="GZW85" s="6"/>
      <c r="GZX85" s="6"/>
      <c r="GZY85" s="6"/>
      <c r="GZZ85" s="6"/>
      <c r="HAA85" s="6"/>
      <c r="HAB85" s="6"/>
      <c r="HAC85" s="6"/>
      <c r="HAD85" s="6"/>
      <c r="HAE85" s="6"/>
      <c r="HAF85" s="6"/>
      <c r="HAG85" s="6"/>
      <c r="HAH85" s="6"/>
      <c r="HAI85" s="6"/>
      <c r="HAJ85" s="6"/>
      <c r="HAK85" s="6"/>
      <c r="HAL85" s="6"/>
      <c r="HAM85" s="6"/>
      <c r="HAN85" s="6"/>
      <c r="HAO85" s="6"/>
      <c r="HAP85" s="6"/>
      <c r="HAQ85" s="6"/>
      <c r="HAR85" s="6"/>
      <c r="HAS85" s="6"/>
      <c r="HAT85" s="6"/>
      <c r="HAU85" s="6"/>
      <c r="HAV85" s="6"/>
      <c r="HAW85" s="6"/>
      <c r="HAX85" s="6"/>
      <c r="HAY85" s="6"/>
      <c r="HAZ85" s="6"/>
      <c r="HBA85" s="6"/>
      <c r="HBB85" s="6"/>
      <c r="HBC85" s="6"/>
      <c r="HBD85" s="6"/>
      <c r="HBE85" s="6"/>
      <c r="HBF85" s="6"/>
      <c r="HBG85" s="6"/>
      <c r="HBH85" s="6"/>
      <c r="HBI85" s="6"/>
      <c r="HBJ85" s="6"/>
      <c r="HBK85" s="6"/>
      <c r="HBL85" s="6"/>
      <c r="HBM85" s="6"/>
      <c r="HBN85" s="6"/>
      <c r="HBO85" s="6"/>
      <c r="HBP85" s="6"/>
      <c r="HBQ85" s="6"/>
      <c r="HBR85" s="6"/>
      <c r="HBS85" s="6"/>
      <c r="HBT85" s="6"/>
      <c r="HBU85" s="6"/>
      <c r="HBV85" s="6"/>
      <c r="HBW85" s="6"/>
      <c r="HBX85" s="6"/>
      <c r="HBY85" s="6"/>
      <c r="HBZ85" s="6"/>
      <c r="HCA85" s="6"/>
      <c r="HCB85" s="6"/>
      <c r="HCC85" s="6"/>
      <c r="HCD85" s="6"/>
      <c r="HCE85" s="6"/>
      <c r="HCF85" s="6"/>
      <c r="HCG85" s="6"/>
      <c r="HCH85" s="6"/>
      <c r="HCI85" s="6"/>
      <c r="HCJ85" s="6"/>
      <c r="HCK85" s="6"/>
      <c r="HCL85" s="6"/>
      <c r="HCM85" s="6"/>
      <c r="HCN85" s="6"/>
      <c r="HCO85" s="6"/>
      <c r="HCP85" s="6"/>
      <c r="HCQ85" s="6"/>
      <c r="HCR85" s="6"/>
      <c r="HCS85" s="6"/>
      <c r="HCT85" s="6"/>
      <c r="HCU85" s="6"/>
      <c r="HCV85" s="6"/>
      <c r="HCW85" s="6"/>
      <c r="HCX85" s="6"/>
      <c r="HCY85" s="6"/>
      <c r="HCZ85" s="6"/>
      <c r="HDA85" s="6"/>
      <c r="HDB85" s="6"/>
      <c r="HDC85" s="6"/>
      <c r="HDD85" s="6"/>
      <c r="HDE85" s="6"/>
      <c r="HDF85" s="6"/>
      <c r="HDG85" s="6"/>
      <c r="HDH85" s="6"/>
      <c r="HDI85" s="6"/>
      <c r="HDJ85" s="6"/>
      <c r="HDK85" s="6"/>
      <c r="HDL85" s="6"/>
      <c r="HDM85" s="6"/>
      <c r="HDN85" s="6"/>
      <c r="HDO85" s="6"/>
      <c r="HDP85" s="6"/>
      <c r="HDQ85" s="6"/>
      <c r="HDR85" s="6"/>
      <c r="HDS85" s="6"/>
      <c r="HDT85" s="6"/>
      <c r="HDU85" s="6"/>
      <c r="HDV85" s="6"/>
      <c r="HDW85" s="6"/>
      <c r="HDX85" s="6"/>
      <c r="HDY85" s="6"/>
      <c r="HDZ85" s="6"/>
      <c r="HEA85" s="6"/>
      <c r="HEB85" s="6"/>
      <c r="HEC85" s="6"/>
      <c r="HED85" s="6"/>
      <c r="HEE85" s="6"/>
      <c r="HEF85" s="6"/>
      <c r="HEG85" s="6"/>
      <c r="HEH85" s="6"/>
      <c r="HEI85" s="6"/>
      <c r="HEJ85" s="6"/>
      <c r="HEK85" s="6"/>
      <c r="HEL85" s="6"/>
      <c r="HEM85" s="6"/>
      <c r="HEN85" s="6"/>
      <c r="HEO85" s="6"/>
      <c r="HEP85" s="6"/>
      <c r="HEQ85" s="6"/>
      <c r="HER85" s="6"/>
      <c r="HES85" s="6"/>
      <c r="HET85" s="6"/>
      <c r="HEU85" s="6"/>
      <c r="HEV85" s="6"/>
      <c r="HEW85" s="6"/>
      <c r="HEX85" s="6"/>
      <c r="HEY85" s="6"/>
      <c r="HEZ85" s="6"/>
      <c r="HFA85" s="6"/>
      <c r="HFB85" s="6"/>
      <c r="HFC85" s="6"/>
      <c r="HFD85" s="6"/>
      <c r="HFE85" s="6"/>
      <c r="HFF85" s="6"/>
      <c r="HFG85" s="6"/>
      <c r="HFH85" s="6"/>
      <c r="HFI85" s="6"/>
      <c r="HFJ85" s="6"/>
      <c r="HFK85" s="6"/>
      <c r="HFL85" s="6"/>
      <c r="HFM85" s="6"/>
      <c r="HFN85" s="6"/>
      <c r="HFO85" s="6"/>
      <c r="HFP85" s="6"/>
      <c r="HFQ85" s="6"/>
      <c r="HFR85" s="6"/>
      <c r="HFS85" s="6"/>
      <c r="HFT85" s="6"/>
      <c r="HFU85" s="6"/>
      <c r="HFV85" s="6"/>
      <c r="HFW85" s="6"/>
      <c r="HFX85" s="6"/>
      <c r="HFY85" s="6"/>
      <c r="HFZ85" s="6"/>
      <c r="HGA85" s="6"/>
      <c r="HGB85" s="6"/>
      <c r="HGC85" s="6"/>
      <c r="HGD85" s="6"/>
      <c r="HGE85" s="6"/>
      <c r="HGF85" s="6"/>
      <c r="HGG85" s="6"/>
      <c r="HGH85" s="6"/>
      <c r="HGI85" s="6"/>
      <c r="HGJ85" s="6"/>
      <c r="HGK85" s="6"/>
      <c r="HGL85" s="6"/>
      <c r="HGM85" s="6"/>
      <c r="HGN85" s="6"/>
      <c r="HGO85" s="6"/>
      <c r="HGP85" s="6"/>
      <c r="HGQ85" s="6"/>
      <c r="HGR85" s="6"/>
      <c r="HGS85" s="6"/>
      <c r="HGT85" s="6"/>
      <c r="HGU85" s="6"/>
      <c r="HGV85" s="6"/>
      <c r="HGW85" s="6"/>
      <c r="HGX85" s="6"/>
      <c r="HGY85" s="6"/>
      <c r="HGZ85" s="6"/>
      <c r="HHA85" s="6"/>
      <c r="HHB85" s="6"/>
      <c r="HHC85" s="6"/>
      <c r="HHD85" s="6"/>
      <c r="HHE85" s="6"/>
      <c r="HHF85" s="6"/>
      <c r="HHG85" s="6"/>
      <c r="HHH85" s="6"/>
      <c r="HHI85" s="6"/>
      <c r="HHJ85" s="6"/>
      <c r="HHK85" s="6"/>
      <c r="HHL85" s="6"/>
      <c r="HHM85" s="6"/>
      <c r="HHN85" s="6"/>
      <c r="HHO85" s="6"/>
      <c r="HHP85" s="6"/>
      <c r="HHQ85" s="6"/>
      <c r="HHR85" s="6"/>
      <c r="HHS85" s="6"/>
      <c r="HHT85" s="6"/>
      <c r="HHU85" s="6"/>
      <c r="HHV85" s="6"/>
      <c r="HHW85" s="6"/>
      <c r="HHX85" s="6"/>
      <c r="HHY85" s="6"/>
      <c r="HHZ85" s="6"/>
      <c r="HIA85" s="6"/>
      <c r="HIB85" s="6"/>
      <c r="HIC85" s="6"/>
      <c r="HID85" s="6"/>
      <c r="HIE85" s="6"/>
      <c r="HIF85" s="6"/>
      <c r="HIG85" s="6"/>
      <c r="HIH85" s="6"/>
      <c r="HII85" s="6"/>
      <c r="HIJ85" s="6"/>
      <c r="HIK85" s="6"/>
      <c r="HIL85" s="6"/>
      <c r="HIM85" s="6"/>
      <c r="HIN85" s="6"/>
      <c r="HIO85" s="6"/>
      <c r="HIP85" s="6"/>
      <c r="HIQ85" s="6"/>
      <c r="HIR85" s="6"/>
      <c r="HIS85" s="6"/>
      <c r="HIT85" s="6"/>
      <c r="HIU85" s="6"/>
      <c r="HIV85" s="6"/>
      <c r="HIW85" s="6"/>
      <c r="HIX85" s="6"/>
      <c r="HIY85" s="6"/>
      <c r="HIZ85" s="6"/>
      <c r="HJA85" s="6"/>
      <c r="HJB85" s="6"/>
      <c r="HJC85" s="6"/>
      <c r="HJD85" s="6"/>
      <c r="HJE85" s="6"/>
      <c r="HJF85" s="6"/>
      <c r="HJG85" s="6"/>
      <c r="HJH85" s="6"/>
      <c r="HJI85" s="6"/>
      <c r="HJJ85" s="6"/>
      <c r="HJK85" s="6"/>
      <c r="HJL85" s="6"/>
      <c r="HJM85" s="6"/>
      <c r="HJN85" s="6"/>
      <c r="HJO85" s="6"/>
      <c r="HJP85" s="6"/>
      <c r="HJQ85" s="6"/>
      <c r="HJR85" s="6"/>
      <c r="HJS85" s="6"/>
      <c r="HJT85" s="6"/>
      <c r="HJU85" s="6"/>
      <c r="HJV85" s="6"/>
      <c r="HJW85" s="6"/>
      <c r="HJX85" s="6"/>
      <c r="HJY85" s="6"/>
      <c r="HJZ85" s="6"/>
      <c r="HKA85" s="6"/>
      <c r="HKB85" s="6"/>
      <c r="HKC85" s="6"/>
      <c r="HKD85" s="6"/>
      <c r="HKE85" s="6"/>
      <c r="HKF85" s="6"/>
      <c r="HKG85" s="6"/>
      <c r="HKH85" s="6"/>
      <c r="HKI85" s="6"/>
      <c r="HKJ85" s="6"/>
      <c r="HKK85" s="6"/>
      <c r="HKL85" s="6"/>
      <c r="HKM85" s="6"/>
      <c r="HKN85" s="6"/>
      <c r="HKO85" s="6"/>
      <c r="HKP85" s="6"/>
      <c r="HKQ85" s="6"/>
      <c r="HKR85" s="6"/>
      <c r="HKS85" s="6"/>
      <c r="HKT85" s="6"/>
      <c r="HKU85" s="6"/>
      <c r="HKV85" s="6"/>
      <c r="HKW85" s="6"/>
      <c r="HKX85" s="6"/>
      <c r="HKY85" s="6"/>
      <c r="HKZ85" s="6"/>
      <c r="HLA85" s="6"/>
      <c r="HLB85" s="6"/>
      <c r="HLC85" s="6"/>
      <c r="HLD85" s="6"/>
      <c r="HLE85" s="6"/>
      <c r="HLF85" s="6"/>
      <c r="HLG85" s="6"/>
      <c r="HLH85" s="6"/>
      <c r="HLI85" s="6"/>
      <c r="HLJ85" s="6"/>
      <c r="HLK85" s="6"/>
      <c r="HLL85" s="6"/>
      <c r="HLM85" s="6"/>
      <c r="HLN85" s="6"/>
      <c r="HLO85" s="6"/>
      <c r="HLP85" s="6"/>
      <c r="HLQ85" s="6"/>
      <c r="HLR85" s="6"/>
      <c r="HLS85" s="6"/>
      <c r="HLT85" s="6"/>
      <c r="HLU85" s="6"/>
      <c r="HLV85" s="6"/>
      <c r="HLW85" s="6"/>
      <c r="HLX85" s="6"/>
      <c r="HLY85" s="6"/>
      <c r="HLZ85" s="6"/>
      <c r="HMA85" s="6"/>
      <c r="HMB85" s="6"/>
      <c r="HMC85" s="6"/>
      <c r="HMD85" s="6"/>
      <c r="HME85" s="6"/>
      <c r="HMF85" s="6"/>
      <c r="HMG85" s="6"/>
      <c r="HMH85" s="6"/>
      <c r="HMI85" s="6"/>
      <c r="HMJ85" s="6"/>
      <c r="HMK85" s="6"/>
      <c r="HML85" s="6"/>
      <c r="HMM85" s="6"/>
      <c r="HMN85" s="6"/>
      <c r="HMO85" s="6"/>
      <c r="HMP85" s="6"/>
      <c r="HMQ85" s="6"/>
      <c r="HMR85" s="6"/>
      <c r="HMS85" s="6"/>
      <c r="HMT85" s="6"/>
      <c r="HMU85" s="6"/>
      <c r="HMV85" s="6"/>
      <c r="HMW85" s="6"/>
      <c r="HMX85" s="6"/>
      <c r="HMY85" s="6"/>
      <c r="HMZ85" s="6"/>
      <c r="HNA85" s="6"/>
      <c r="HNB85" s="6"/>
      <c r="HNC85" s="6"/>
      <c r="HND85" s="6"/>
      <c r="HNE85" s="6"/>
      <c r="HNF85" s="6"/>
      <c r="HNG85" s="6"/>
      <c r="HNH85" s="6"/>
      <c r="HNI85" s="6"/>
      <c r="HNJ85" s="6"/>
      <c r="HNK85" s="6"/>
      <c r="HNL85" s="6"/>
      <c r="HNM85" s="6"/>
      <c r="HNN85" s="6"/>
      <c r="HNO85" s="6"/>
      <c r="HNP85" s="6"/>
      <c r="HNQ85" s="6"/>
      <c r="HNR85" s="6"/>
      <c r="HNS85" s="6"/>
      <c r="HNT85" s="6"/>
      <c r="HNU85" s="6"/>
      <c r="HNV85" s="6"/>
      <c r="HNW85" s="6"/>
      <c r="HNX85" s="6"/>
      <c r="HNY85" s="6"/>
      <c r="HNZ85" s="6"/>
      <c r="HOA85" s="6"/>
      <c r="HOB85" s="6"/>
      <c r="HOC85" s="6"/>
      <c r="HOD85" s="6"/>
      <c r="HOE85" s="6"/>
      <c r="HOF85" s="6"/>
      <c r="HOG85" s="6"/>
      <c r="HOH85" s="6"/>
      <c r="HOI85" s="6"/>
      <c r="HOJ85" s="6"/>
      <c r="HOK85" s="6"/>
      <c r="HOL85" s="6"/>
      <c r="HOM85" s="6"/>
      <c r="HON85" s="6"/>
      <c r="HOO85" s="6"/>
      <c r="HOP85" s="6"/>
      <c r="HOQ85" s="6"/>
      <c r="HOR85" s="6"/>
      <c r="HOS85" s="6"/>
      <c r="HOT85" s="6"/>
      <c r="HOU85" s="6"/>
      <c r="HOV85" s="6"/>
      <c r="HOW85" s="6"/>
      <c r="HOX85" s="6"/>
      <c r="HOY85" s="6"/>
      <c r="HOZ85" s="6"/>
      <c r="HPA85" s="6"/>
      <c r="HPB85" s="6"/>
      <c r="HPC85" s="6"/>
      <c r="HPD85" s="6"/>
      <c r="HPE85" s="6"/>
      <c r="HPF85" s="6"/>
      <c r="HPG85" s="6"/>
      <c r="HPH85" s="6"/>
      <c r="HPI85" s="6"/>
      <c r="HPJ85" s="6"/>
      <c r="HPK85" s="6"/>
      <c r="HPL85" s="6"/>
      <c r="HPM85" s="6"/>
      <c r="HPN85" s="6"/>
      <c r="HPO85" s="6"/>
      <c r="HPP85" s="6"/>
      <c r="HPQ85" s="6"/>
      <c r="HPR85" s="6"/>
      <c r="HPS85" s="6"/>
      <c r="HPT85" s="6"/>
      <c r="HPU85" s="6"/>
      <c r="HPV85" s="6"/>
      <c r="HPW85" s="6"/>
      <c r="HPX85" s="6"/>
      <c r="HPY85" s="6"/>
      <c r="HPZ85" s="6"/>
      <c r="HQA85" s="6"/>
      <c r="HQB85" s="6"/>
      <c r="HQC85" s="6"/>
      <c r="HQD85" s="6"/>
      <c r="HQE85" s="6"/>
      <c r="HQF85" s="6"/>
      <c r="HQG85" s="6"/>
      <c r="HQH85" s="6"/>
      <c r="HQI85" s="6"/>
      <c r="HQJ85" s="6"/>
      <c r="HQK85" s="6"/>
      <c r="HQL85" s="6"/>
      <c r="HQM85" s="6"/>
      <c r="HQN85" s="6"/>
      <c r="HQO85" s="6"/>
      <c r="HQP85" s="6"/>
      <c r="HQQ85" s="6"/>
      <c r="HQR85" s="6"/>
      <c r="HQS85" s="6"/>
      <c r="HQT85" s="6"/>
      <c r="HQU85" s="6"/>
      <c r="HQV85" s="6"/>
      <c r="HQW85" s="6"/>
      <c r="HQX85" s="6"/>
      <c r="HQY85" s="6"/>
      <c r="HQZ85" s="6"/>
      <c r="HRA85" s="6"/>
      <c r="HRB85" s="6"/>
      <c r="HRC85" s="6"/>
      <c r="HRD85" s="6"/>
      <c r="HRE85" s="6"/>
      <c r="HRF85" s="6"/>
      <c r="HRG85" s="6"/>
      <c r="HRH85" s="6"/>
      <c r="HRI85" s="6"/>
      <c r="HRJ85" s="6"/>
      <c r="HRK85" s="6"/>
      <c r="HRL85" s="6"/>
      <c r="HRM85" s="6"/>
      <c r="HRN85" s="6"/>
      <c r="HRO85" s="6"/>
      <c r="HRP85" s="6"/>
      <c r="HRQ85" s="6"/>
      <c r="HRR85" s="6"/>
      <c r="HRS85" s="6"/>
      <c r="HRT85" s="6"/>
      <c r="HRU85" s="6"/>
      <c r="HRV85" s="6"/>
      <c r="HRW85" s="6"/>
      <c r="HRX85" s="6"/>
      <c r="HRY85" s="6"/>
      <c r="HRZ85" s="6"/>
      <c r="HSA85" s="6"/>
      <c r="HSB85" s="6"/>
      <c r="HSC85" s="6"/>
      <c r="HSD85" s="6"/>
      <c r="HSE85" s="6"/>
      <c r="HSF85" s="6"/>
      <c r="HSG85" s="6"/>
      <c r="HSH85" s="6"/>
      <c r="HSI85" s="6"/>
      <c r="HSJ85" s="6"/>
      <c r="HSK85" s="6"/>
      <c r="HSL85" s="6"/>
      <c r="HSM85" s="6"/>
      <c r="HSN85" s="6"/>
      <c r="HSO85" s="6"/>
      <c r="HSP85" s="6"/>
      <c r="HSQ85" s="6"/>
      <c r="HSR85" s="6"/>
      <c r="HSS85" s="6"/>
      <c r="HST85" s="6"/>
      <c r="HSU85" s="6"/>
      <c r="HSV85" s="6"/>
      <c r="HSW85" s="6"/>
      <c r="HSX85" s="6"/>
      <c r="HSY85" s="6"/>
      <c r="HSZ85" s="6"/>
      <c r="HTA85" s="6"/>
      <c r="HTB85" s="6"/>
      <c r="HTC85" s="6"/>
      <c r="HTD85" s="6"/>
      <c r="HTE85" s="6"/>
      <c r="HTF85" s="6"/>
      <c r="HTG85" s="6"/>
      <c r="HTH85" s="6"/>
      <c r="HTI85" s="6"/>
      <c r="HTJ85" s="6"/>
      <c r="HTK85" s="6"/>
      <c r="HTL85" s="6"/>
      <c r="HTM85" s="6"/>
      <c r="HTN85" s="6"/>
      <c r="HTO85" s="6"/>
      <c r="HTP85" s="6"/>
      <c r="HTQ85" s="6"/>
      <c r="HTR85" s="6"/>
      <c r="HTS85" s="6"/>
      <c r="HTT85" s="6"/>
      <c r="HTU85" s="6"/>
      <c r="HTV85" s="6"/>
      <c r="HTW85" s="6"/>
      <c r="HTX85" s="6"/>
      <c r="HTY85" s="6"/>
      <c r="HTZ85" s="6"/>
      <c r="HUA85" s="6"/>
      <c r="HUB85" s="6"/>
      <c r="HUC85" s="6"/>
      <c r="HUD85" s="6"/>
      <c r="HUE85" s="6"/>
      <c r="HUF85" s="6"/>
      <c r="HUG85" s="6"/>
      <c r="HUH85" s="6"/>
      <c r="HUI85" s="6"/>
      <c r="HUJ85" s="6"/>
      <c r="HUK85" s="6"/>
      <c r="HUL85" s="6"/>
      <c r="HUM85" s="6"/>
      <c r="HUN85" s="6"/>
      <c r="HUO85" s="6"/>
      <c r="HUP85" s="6"/>
      <c r="HUQ85" s="6"/>
      <c r="HUR85" s="6"/>
      <c r="HUS85" s="6"/>
      <c r="HUT85" s="6"/>
      <c r="HUU85" s="6"/>
      <c r="HUV85" s="6"/>
      <c r="HUW85" s="6"/>
      <c r="HUX85" s="6"/>
      <c r="HUY85" s="6"/>
      <c r="HUZ85" s="6"/>
      <c r="HVA85" s="6"/>
      <c r="HVB85" s="6"/>
      <c r="HVC85" s="6"/>
      <c r="HVD85" s="6"/>
      <c r="HVE85" s="6"/>
      <c r="HVF85" s="6"/>
      <c r="HVG85" s="6"/>
      <c r="HVH85" s="6"/>
      <c r="HVI85" s="6"/>
      <c r="HVJ85" s="6"/>
      <c r="HVK85" s="6"/>
      <c r="HVL85" s="6"/>
      <c r="HVM85" s="6"/>
      <c r="HVN85" s="6"/>
      <c r="HVO85" s="6"/>
      <c r="HVP85" s="6"/>
      <c r="HVQ85" s="6"/>
      <c r="HVR85" s="6"/>
      <c r="HVS85" s="6"/>
      <c r="HVT85" s="6"/>
      <c r="HVU85" s="6"/>
      <c r="HVV85" s="6"/>
      <c r="HVW85" s="6"/>
      <c r="HVX85" s="6"/>
      <c r="HVY85" s="6"/>
      <c r="HVZ85" s="6"/>
      <c r="HWA85" s="6"/>
      <c r="HWB85" s="6"/>
      <c r="HWC85" s="6"/>
      <c r="HWD85" s="6"/>
      <c r="HWE85" s="6"/>
      <c r="HWF85" s="6"/>
      <c r="HWG85" s="6"/>
      <c r="HWH85" s="6"/>
      <c r="HWI85" s="6"/>
      <c r="HWJ85" s="6"/>
      <c r="HWK85" s="6"/>
      <c r="HWL85" s="6"/>
      <c r="HWM85" s="6"/>
      <c r="HWN85" s="6"/>
      <c r="HWO85" s="6"/>
      <c r="HWP85" s="6"/>
      <c r="HWQ85" s="6"/>
      <c r="HWR85" s="6"/>
      <c r="HWS85" s="6"/>
      <c r="HWT85" s="6"/>
      <c r="HWU85" s="6"/>
      <c r="HWV85" s="6"/>
      <c r="HWW85" s="6"/>
      <c r="HWX85" s="6"/>
      <c r="HWY85" s="6"/>
      <c r="HWZ85" s="6"/>
      <c r="HXA85" s="6"/>
      <c r="HXB85" s="6"/>
      <c r="HXC85" s="6"/>
      <c r="HXD85" s="6"/>
      <c r="HXE85" s="6"/>
      <c r="HXF85" s="6"/>
      <c r="HXG85" s="6"/>
      <c r="HXH85" s="6"/>
      <c r="HXI85" s="6"/>
      <c r="HXJ85" s="6"/>
      <c r="HXK85" s="6"/>
      <c r="HXL85" s="6"/>
      <c r="HXM85" s="6"/>
      <c r="HXN85" s="6"/>
      <c r="HXO85" s="6"/>
      <c r="HXP85" s="6"/>
      <c r="HXQ85" s="6"/>
      <c r="HXR85" s="6"/>
      <c r="HXS85" s="6"/>
      <c r="HXT85" s="6"/>
      <c r="HXU85" s="6"/>
      <c r="HXV85" s="6"/>
      <c r="HXW85" s="6"/>
      <c r="HXX85" s="6"/>
      <c r="HXY85" s="6"/>
      <c r="HXZ85" s="6"/>
      <c r="HYA85" s="6"/>
      <c r="HYB85" s="6"/>
      <c r="HYC85" s="6"/>
      <c r="HYD85" s="6"/>
      <c r="HYE85" s="6"/>
      <c r="HYF85" s="6"/>
      <c r="HYG85" s="6"/>
      <c r="HYH85" s="6"/>
      <c r="HYI85" s="6"/>
      <c r="HYJ85" s="6"/>
      <c r="HYK85" s="6"/>
      <c r="HYL85" s="6"/>
      <c r="HYM85" s="6"/>
      <c r="HYN85" s="6"/>
      <c r="HYO85" s="6"/>
      <c r="HYP85" s="6"/>
      <c r="HYQ85" s="6"/>
      <c r="HYR85" s="6"/>
      <c r="HYS85" s="6"/>
      <c r="HYT85" s="6"/>
      <c r="HYU85" s="6"/>
      <c r="HYV85" s="6"/>
      <c r="HYW85" s="6"/>
      <c r="HYX85" s="6"/>
      <c r="HYY85" s="6"/>
      <c r="HYZ85" s="6"/>
      <c r="HZA85" s="6"/>
      <c r="HZB85" s="6"/>
      <c r="HZC85" s="6"/>
      <c r="HZD85" s="6"/>
      <c r="HZE85" s="6"/>
      <c r="HZF85" s="6"/>
      <c r="HZG85" s="6"/>
      <c r="HZH85" s="6"/>
      <c r="HZI85" s="6"/>
      <c r="HZJ85" s="6"/>
      <c r="HZK85" s="6"/>
      <c r="HZL85" s="6"/>
      <c r="HZM85" s="6"/>
      <c r="HZN85" s="6"/>
      <c r="HZO85" s="6"/>
      <c r="HZP85" s="6"/>
      <c r="HZQ85" s="6"/>
      <c r="HZR85" s="6"/>
      <c r="HZS85" s="6"/>
      <c r="HZT85" s="6"/>
      <c r="HZU85" s="6"/>
      <c r="HZV85" s="6"/>
      <c r="HZW85" s="6"/>
      <c r="HZX85" s="6"/>
      <c r="HZY85" s="6"/>
      <c r="HZZ85" s="6"/>
      <c r="IAA85" s="6"/>
      <c r="IAB85" s="6"/>
      <c r="IAC85" s="6"/>
      <c r="IAD85" s="6"/>
      <c r="IAE85" s="6"/>
      <c r="IAF85" s="6"/>
      <c r="IAG85" s="6"/>
      <c r="IAH85" s="6"/>
      <c r="IAI85" s="6"/>
      <c r="IAJ85" s="6"/>
      <c r="IAK85" s="6"/>
      <c r="IAL85" s="6"/>
      <c r="IAM85" s="6"/>
      <c r="IAN85" s="6"/>
      <c r="IAO85" s="6"/>
      <c r="IAP85" s="6"/>
      <c r="IAQ85" s="6"/>
      <c r="IAR85" s="6"/>
      <c r="IAS85" s="6"/>
      <c r="IAT85" s="6"/>
      <c r="IAU85" s="6"/>
      <c r="IAV85" s="6"/>
      <c r="IAW85" s="6"/>
      <c r="IAX85" s="6"/>
      <c r="IAY85" s="6"/>
      <c r="IAZ85" s="6"/>
      <c r="IBA85" s="6"/>
      <c r="IBB85" s="6"/>
      <c r="IBC85" s="6"/>
      <c r="IBD85" s="6"/>
      <c r="IBE85" s="6"/>
      <c r="IBF85" s="6"/>
      <c r="IBG85" s="6"/>
      <c r="IBH85" s="6"/>
      <c r="IBI85" s="6"/>
      <c r="IBJ85" s="6"/>
      <c r="IBK85" s="6"/>
      <c r="IBL85" s="6"/>
      <c r="IBM85" s="6"/>
      <c r="IBN85" s="6"/>
      <c r="IBO85" s="6"/>
      <c r="IBP85" s="6"/>
      <c r="IBQ85" s="6"/>
      <c r="IBR85" s="6"/>
      <c r="IBS85" s="6"/>
      <c r="IBT85" s="6"/>
      <c r="IBU85" s="6"/>
      <c r="IBV85" s="6"/>
      <c r="IBW85" s="6"/>
      <c r="IBX85" s="6"/>
      <c r="IBY85" s="6"/>
      <c r="IBZ85" s="6"/>
      <c r="ICA85" s="6"/>
      <c r="ICB85" s="6"/>
      <c r="ICC85" s="6"/>
      <c r="ICD85" s="6"/>
      <c r="ICE85" s="6"/>
      <c r="ICF85" s="6"/>
      <c r="ICG85" s="6"/>
      <c r="ICH85" s="6"/>
      <c r="ICI85" s="6"/>
      <c r="ICJ85" s="6"/>
      <c r="ICK85" s="6"/>
      <c r="ICL85" s="6"/>
      <c r="ICM85" s="6"/>
      <c r="ICN85" s="6"/>
      <c r="ICO85" s="6"/>
      <c r="ICP85" s="6"/>
      <c r="ICQ85" s="6"/>
      <c r="ICR85" s="6"/>
      <c r="ICS85" s="6"/>
      <c r="ICT85" s="6"/>
      <c r="ICU85" s="6"/>
      <c r="ICV85" s="6"/>
      <c r="ICW85" s="6"/>
      <c r="ICX85" s="6"/>
      <c r="ICY85" s="6"/>
      <c r="ICZ85" s="6"/>
      <c r="IDA85" s="6"/>
      <c r="IDB85" s="6"/>
      <c r="IDC85" s="6"/>
      <c r="IDD85" s="6"/>
      <c r="IDE85" s="6"/>
      <c r="IDF85" s="6"/>
      <c r="IDG85" s="6"/>
      <c r="IDH85" s="6"/>
      <c r="IDI85" s="6"/>
      <c r="IDJ85" s="6"/>
      <c r="IDK85" s="6"/>
      <c r="IDL85" s="6"/>
      <c r="IDM85" s="6"/>
      <c r="IDN85" s="6"/>
      <c r="IDO85" s="6"/>
      <c r="IDP85" s="6"/>
      <c r="IDQ85" s="6"/>
      <c r="IDR85" s="6"/>
      <c r="IDS85" s="6"/>
      <c r="IDT85" s="6"/>
      <c r="IDU85" s="6"/>
      <c r="IDV85" s="6"/>
      <c r="IDW85" s="6"/>
      <c r="IDX85" s="6"/>
      <c r="IDY85" s="6"/>
      <c r="IDZ85" s="6"/>
      <c r="IEA85" s="6"/>
      <c r="IEB85" s="6"/>
      <c r="IEC85" s="6"/>
      <c r="IED85" s="6"/>
      <c r="IEE85" s="6"/>
      <c r="IEF85" s="6"/>
      <c r="IEG85" s="6"/>
      <c r="IEH85" s="6"/>
      <c r="IEI85" s="6"/>
      <c r="IEJ85" s="6"/>
      <c r="IEK85" s="6"/>
      <c r="IEL85" s="6"/>
      <c r="IEM85" s="6"/>
      <c r="IEN85" s="6"/>
      <c r="IEO85" s="6"/>
      <c r="IEP85" s="6"/>
      <c r="IEQ85" s="6"/>
      <c r="IER85" s="6"/>
      <c r="IES85" s="6"/>
      <c r="IET85" s="6"/>
      <c r="IEU85" s="6"/>
      <c r="IEV85" s="6"/>
      <c r="IEW85" s="6"/>
      <c r="IEX85" s="6"/>
      <c r="IEY85" s="6"/>
      <c r="IEZ85" s="6"/>
      <c r="IFA85" s="6"/>
      <c r="IFB85" s="6"/>
      <c r="IFC85" s="6"/>
      <c r="IFD85" s="6"/>
      <c r="IFE85" s="6"/>
      <c r="IFF85" s="6"/>
      <c r="IFG85" s="6"/>
      <c r="IFH85" s="6"/>
      <c r="IFI85" s="6"/>
      <c r="IFJ85" s="6"/>
      <c r="IFK85" s="6"/>
      <c r="IFL85" s="6"/>
      <c r="IFM85" s="6"/>
      <c r="IFN85" s="6"/>
      <c r="IFO85" s="6"/>
      <c r="IFP85" s="6"/>
      <c r="IFQ85" s="6"/>
      <c r="IFR85" s="6"/>
      <c r="IFS85" s="6"/>
      <c r="IFT85" s="6"/>
      <c r="IFU85" s="6"/>
      <c r="IFV85" s="6"/>
      <c r="IFW85" s="6"/>
      <c r="IFX85" s="6"/>
      <c r="IFY85" s="6"/>
      <c r="IFZ85" s="6"/>
      <c r="IGA85" s="6"/>
      <c r="IGB85" s="6"/>
      <c r="IGC85" s="6"/>
      <c r="IGD85" s="6"/>
      <c r="IGE85" s="6"/>
      <c r="IGF85" s="6"/>
      <c r="IGG85" s="6"/>
      <c r="IGH85" s="6"/>
      <c r="IGI85" s="6"/>
      <c r="IGJ85" s="6"/>
      <c r="IGK85" s="6"/>
      <c r="IGL85" s="6"/>
      <c r="IGM85" s="6"/>
      <c r="IGN85" s="6"/>
      <c r="IGO85" s="6"/>
      <c r="IGP85" s="6"/>
      <c r="IGQ85" s="6"/>
      <c r="IGR85" s="6"/>
      <c r="IGS85" s="6"/>
      <c r="IGT85" s="6"/>
      <c r="IGU85" s="6"/>
      <c r="IGV85" s="6"/>
      <c r="IGW85" s="6"/>
      <c r="IGX85" s="6"/>
      <c r="IGY85" s="6"/>
      <c r="IGZ85" s="6"/>
      <c r="IHA85" s="6"/>
      <c r="IHB85" s="6"/>
      <c r="IHC85" s="6"/>
      <c r="IHD85" s="6"/>
      <c r="IHE85" s="6"/>
      <c r="IHF85" s="6"/>
      <c r="IHG85" s="6"/>
      <c r="IHH85" s="6"/>
      <c r="IHI85" s="6"/>
      <c r="IHJ85" s="6"/>
      <c r="IHK85" s="6"/>
      <c r="IHL85" s="6"/>
      <c r="IHM85" s="6"/>
      <c r="IHN85" s="6"/>
      <c r="IHO85" s="6"/>
      <c r="IHP85" s="6"/>
      <c r="IHQ85" s="6"/>
      <c r="IHR85" s="6"/>
      <c r="IHS85" s="6"/>
      <c r="IHT85" s="6"/>
      <c r="IHU85" s="6"/>
      <c r="IHV85" s="6"/>
      <c r="IHW85" s="6"/>
      <c r="IHX85" s="6"/>
      <c r="IHY85" s="6"/>
      <c r="IHZ85" s="6"/>
      <c r="IIA85" s="6"/>
      <c r="IIB85" s="6"/>
      <c r="IIC85" s="6"/>
      <c r="IID85" s="6"/>
      <c r="IIE85" s="6"/>
      <c r="IIF85" s="6"/>
      <c r="IIG85" s="6"/>
      <c r="IIH85" s="6"/>
      <c r="III85" s="6"/>
      <c r="IIJ85" s="6"/>
      <c r="IIK85" s="6"/>
      <c r="IIL85" s="6"/>
      <c r="IIM85" s="6"/>
      <c r="IIN85" s="6"/>
      <c r="IIO85" s="6"/>
      <c r="IIP85" s="6"/>
      <c r="IIQ85" s="6"/>
      <c r="IIR85" s="6"/>
      <c r="IIS85" s="6"/>
      <c r="IIT85" s="6"/>
      <c r="IIU85" s="6"/>
      <c r="IIV85" s="6"/>
      <c r="IIW85" s="6"/>
      <c r="IIX85" s="6"/>
      <c r="IIY85" s="6"/>
      <c r="IIZ85" s="6"/>
      <c r="IJA85" s="6"/>
      <c r="IJB85" s="6"/>
      <c r="IJC85" s="6"/>
      <c r="IJD85" s="6"/>
      <c r="IJE85" s="6"/>
      <c r="IJF85" s="6"/>
      <c r="IJG85" s="6"/>
      <c r="IJH85" s="6"/>
      <c r="IJI85" s="6"/>
      <c r="IJJ85" s="6"/>
      <c r="IJK85" s="6"/>
      <c r="IJL85" s="6"/>
      <c r="IJM85" s="6"/>
      <c r="IJN85" s="6"/>
      <c r="IJO85" s="6"/>
      <c r="IJP85" s="6"/>
      <c r="IJQ85" s="6"/>
      <c r="IJR85" s="6"/>
      <c r="IJS85" s="6"/>
      <c r="IJT85" s="6"/>
      <c r="IJU85" s="6"/>
      <c r="IJV85" s="6"/>
      <c r="IJW85" s="6"/>
      <c r="IJX85" s="6"/>
      <c r="IJY85" s="6"/>
      <c r="IJZ85" s="6"/>
      <c r="IKA85" s="6"/>
      <c r="IKB85" s="6"/>
      <c r="IKC85" s="6"/>
      <c r="IKD85" s="6"/>
      <c r="IKE85" s="6"/>
      <c r="IKF85" s="6"/>
      <c r="IKG85" s="6"/>
      <c r="IKH85" s="6"/>
      <c r="IKI85" s="6"/>
      <c r="IKJ85" s="6"/>
      <c r="IKK85" s="6"/>
      <c r="IKL85" s="6"/>
      <c r="IKM85" s="6"/>
      <c r="IKN85" s="6"/>
      <c r="IKO85" s="6"/>
      <c r="IKP85" s="6"/>
      <c r="IKQ85" s="6"/>
      <c r="IKR85" s="6"/>
      <c r="IKS85" s="6"/>
      <c r="IKT85" s="6"/>
      <c r="IKU85" s="6"/>
      <c r="IKV85" s="6"/>
      <c r="IKW85" s="6"/>
      <c r="IKX85" s="6"/>
      <c r="IKY85" s="6"/>
      <c r="IKZ85" s="6"/>
      <c r="ILA85" s="6"/>
      <c r="ILB85" s="6"/>
      <c r="ILC85" s="6"/>
      <c r="ILD85" s="6"/>
      <c r="ILE85" s="6"/>
      <c r="ILF85" s="6"/>
      <c r="ILG85" s="6"/>
      <c r="ILH85" s="6"/>
      <c r="ILI85" s="6"/>
      <c r="ILJ85" s="6"/>
      <c r="ILK85" s="6"/>
      <c r="ILL85" s="6"/>
      <c r="ILM85" s="6"/>
      <c r="ILN85" s="6"/>
      <c r="ILO85" s="6"/>
      <c r="ILP85" s="6"/>
      <c r="ILQ85" s="6"/>
      <c r="ILR85" s="6"/>
      <c r="ILS85" s="6"/>
      <c r="ILT85" s="6"/>
      <c r="ILU85" s="6"/>
      <c r="ILV85" s="6"/>
      <c r="ILW85" s="6"/>
      <c r="ILX85" s="6"/>
      <c r="ILY85" s="6"/>
      <c r="ILZ85" s="6"/>
      <c r="IMA85" s="6"/>
      <c r="IMB85" s="6"/>
      <c r="IMC85" s="6"/>
      <c r="IMD85" s="6"/>
      <c r="IME85" s="6"/>
      <c r="IMF85" s="6"/>
      <c r="IMG85" s="6"/>
      <c r="IMH85" s="6"/>
      <c r="IMI85" s="6"/>
      <c r="IMJ85" s="6"/>
      <c r="IMK85" s="6"/>
      <c r="IML85" s="6"/>
      <c r="IMM85" s="6"/>
      <c r="IMN85" s="6"/>
      <c r="IMO85" s="6"/>
      <c r="IMP85" s="6"/>
      <c r="IMQ85" s="6"/>
      <c r="IMR85" s="6"/>
      <c r="IMS85" s="6"/>
      <c r="IMT85" s="6"/>
      <c r="IMU85" s="6"/>
      <c r="IMV85" s="6"/>
      <c r="IMW85" s="6"/>
      <c r="IMX85" s="6"/>
      <c r="IMY85" s="6"/>
      <c r="IMZ85" s="6"/>
      <c r="INA85" s="6"/>
      <c r="INB85" s="6"/>
      <c r="INC85" s="6"/>
      <c r="IND85" s="6"/>
      <c r="INE85" s="6"/>
      <c r="INF85" s="6"/>
      <c r="ING85" s="6"/>
      <c r="INH85" s="6"/>
      <c r="INI85" s="6"/>
      <c r="INJ85" s="6"/>
      <c r="INK85" s="6"/>
      <c r="INL85" s="6"/>
      <c r="INM85" s="6"/>
      <c r="INN85" s="6"/>
      <c r="INO85" s="6"/>
      <c r="INP85" s="6"/>
      <c r="INQ85" s="6"/>
      <c r="INR85" s="6"/>
      <c r="INS85" s="6"/>
      <c r="INT85" s="6"/>
      <c r="INU85" s="6"/>
      <c r="INV85" s="6"/>
      <c r="INW85" s="6"/>
      <c r="INX85" s="6"/>
      <c r="INY85" s="6"/>
      <c r="INZ85" s="6"/>
      <c r="IOA85" s="6"/>
      <c r="IOB85" s="6"/>
      <c r="IOC85" s="6"/>
      <c r="IOD85" s="6"/>
      <c r="IOE85" s="6"/>
      <c r="IOF85" s="6"/>
      <c r="IOG85" s="6"/>
      <c r="IOH85" s="6"/>
      <c r="IOI85" s="6"/>
      <c r="IOJ85" s="6"/>
      <c r="IOK85" s="6"/>
      <c r="IOL85" s="6"/>
      <c r="IOM85" s="6"/>
      <c r="ION85" s="6"/>
      <c r="IOO85" s="6"/>
      <c r="IOP85" s="6"/>
      <c r="IOQ85" s="6"/>
      <c r="IOR85" s="6"/>
      <c r="IOS85" s="6"/>
      <c r="IOT85" s="6"/>
      <c r="IOU85" s="6"/>
      <c r="IOV85" s="6"/>
      <c r="IOW85" s="6"/>
      <c r="IOX85" s="6"/>
      <c r="IOY85" s="6"/>
      <c r="IOZ85" s="6"/>
      <c r="IPA85" s="6"/>
      <c r="IPB85" s="6"/>
      <c r="IPC85" s="6"/>
      <c r="IPD85" s="6"/>
      <c r="IPE85" s="6"/>
      <c r="IPF85" s="6"/>
      <c r="IPG85" s="6"/>
      <c r="IPH85" s="6"/>
      <c r="IPI85" s="6"/>
      <c r="IPJ85" s="6"/>
      <c r="IPK85" s="6"/>
      <c r="IPL85" s="6"/>
      <c r="IPM85" s="6"/>
      <c r="IPN85" s="6"/>
      <c r="IPO85" s="6"/>
      <c r="IPP85" s="6"/>
      <c r="IPQ85" s="6"/>
      <c r="IPR85" s="6"/>
      <c r="IPS85" s="6"/>
      <c r="IPT85" s="6"/>
      <c r="IPU85" s="6"/>
      <c r="IPV85" s="6"/>
      <c r="IPW85" s="6"/>
      <c r="IPX85" s="6"/>
      <c r="IPY85" s="6"/>
      <c r="IPZ85" s="6"/>
      <c r="IQA85" s="6"/>
      <c r="IQB85" s="6"/>
      <c r="IQC85" s="6"/>
      <c r="IQD85" s="6"/>
      <c r="IQE85" s="6"/>
      <c r="IQF85" s="6"/>
      <c r="IQG85" s="6"/>
      <c r="IQH85" s="6"/>
      <c r="IQI85" s="6"/>
      <c r="IQJ85" s="6"/>
      <c r="IQK85" s="6"/>
      <c r="IQL85" s="6"/>
      <c r="IQM85" s="6"/>
      <c r="IQN85" s="6"/>
      <c r="IQO85" s="6"/>
      <c r="IQP85" s="6"/>
      <c r="IQQ85" s="6"/>
      <c r="IQR85" s="6"/>
      <c r="IQS85" s="6"/>
      <c r="IQT85" s="6"/>
      <c r="IQU85" s="6"/>
      <c r="IQV85" s="6"/>
      <c r="IQW85" s="6"/>
      <c r="IQX85" s="6"/>
      <c r="IQY85" s="6"/>
      <c r="IQZ85" s="6"/>
      <c r="IRA85" s="6"/>
      <c r="IRB85" s="6"/>
      <c r="IRC85" s="6"/>
      <c r="IRD85" s="6"/>
      <c r="IRE85" s="6"/>
      <c r="IRF85" s="6"/>
      <c r="IRG85" s="6"/>
      <c r="IRH85" s="6"/>
      <c r="IRI85" s="6"/>
      <c r="IRJ85" s="6"/>
      <c r="IRK85" s="6"/>
      <c r="IRL85" s="6"/>
      <c r="IRM85" s="6"/>
      <c r="IRN85" s="6"/>
      <c r="IRO85" s="6"/>
      <c r="IRP85" s="6"/>
      <c r="IRQ85" s="6"/>
      <c r="IRR85" s="6"/>
      <c r="IRS85" s="6"/>
      <c r="IRT85" s="6"/>
      <c r="IRU85" s="6"/>
      <c r="IRV85" s="6"/>
      <c r="IRW85" s="6"/>
      <c r="IRX85" s="6"/>
      <c r="IRY85" s="6"/>
      <c r="IRZ85" s="6"/>
      <c r="ISA85" s="6"/>
      <c r="ISB85" s="6"/>
      <c r="ISC85" s="6"/>
      <c r="ISD85" s="6"/>
      <c r="ISE85" s="6"/>
      <c r="ISF85" s="6"/>
      <c r="ISG85" s="6"/>
      <c r="ISH85" s="6"/>
      <c r="ISI85" s="6"/>
      <c r="ISJ85" s="6"/>
      <c r="ISK85" s="6"/>
      <c r="ISL85" s="6"/>
      <c r="ISM85" s="6"/>
      <c r="ISN85" s="6"/>
      <c r="ISO85" s="6"/>
      <c r="ISP85" s="6"/>
      <c r="ISQ85" s="6"/>
      <c r="ISR85" s="6"/>
      <c r="ISS85" s="6"/>
      <c r="IST85" s="6"/>
      <c r="ISU85" s="6"/>
      <c r="ISV85" s="6"/>
      <c r="ISW85" s="6"/>
      <c r="ISX85" s="6"/>
      <c r="ISY85" s="6"/>
      <c r="ISZ85" s="6"/>
      <c r="ITA85" s="6"/>
      <c r="ITB85" s="6"/>
      <c r="ITC85" s="6"/>
      <c r="ITD85" s="6"/>
      <c r="ITE85" s="6"/>
      <c r="ITF85" s="6"/>
      <c r="ITG85" s="6"/>
      <c r="ITH85" s="6"/>
      <c r="ITI85" s="6"/>
      <c r="ITJ85" s="6"/>
      <c r="ITK85" s="6"/>
      <c r="ITL85" s="6"/>
      <c r="ITM85" s="6"/>
      <c r="ITN85" s="6"/>
      <c r="ITO85" s="6"/>
      <c r="ITP85" s="6"/>
      <c r="ITQ85" s="6"/>
      <c r="ITR85" s="6"/>
      <c r="ITS85" s="6"/>
      <c r="ITT85" s="6"/>
      <c r="ITU85" s="6"/>
      <c r="ITV85" s="6"/>
      <c r="ITW85" s="6"/>
      <c r="ITX85" s="6"/>
      <c r="ITY85" s="6"/>
      <c r="ITZ85" s="6"/>
      <c r="IUA85" s="6"/>
      <c r="IUB85" s="6"/>
      <c r="IUC85" s="6"/>
      <c r="IUD85" s="6"/>
      <c r="IUE85" s="6"/>
      <c r="IUF85" s="6"/>
      <c r="IUG85" s="6"/>
      <c r="IUH85" s="6"/>
      <c r="IUI85" s="6"/>
      <c r="IUJ85" s="6"/>
      <c r="IUK85" s="6"/>
      <c r="IUL85" s="6"/>
      <c r="IUM85" s="6"/>
      <c r="IUN85" s="6"/>
      <c r="IUO85" s="6"/>
      <c r="IUP85" s="6"/>
      <c r="IUQ85" s="6"/>
      <c r="IUR85" s="6"/>
      <c r="IUS85" s="6"/>
      <c r="IUT85" s="6"/>
      <c r="IUU85" s="6"/>
      <c r="IUV85" s="6"/>
      <c r="IUW85" s="6"/>
      <c r="IUX85" s="6"/>
      <c r="IUY85" s="6"/>
      <c r="IUZ85" s="6"/>
      <c r="IVA85" s="6"/>
      <c r="IVB85" s="6"/>
      <c r="IVC85" s="6"/>
      <c r="IVD85" s="6"/>
      <c r="IVE85" s="6"/>
      <c r="IVF85" s="6"/>
      <c r="IVG85" s="6"/>
      <c r="IVH85" s="6"/>
      <c r="IVI85" s="6"/>
      <c r="IVJ85" s="6"/>
      <c r="IVK85" s="6"/>
      <c r="IVL85" s="6"/>
      <c r="IVM85" s="6"/>
      <c r="IVN85" s="6"/>
      <c r="IVO85" s="6"/>
      <c r="IVP85" s="6"/>
      <c r="IVQ85" s="6"/>
      <c r="IVR85" s="6"/>
      <c r="IVS85" s="6"/>
      <c r="IVT85" s="6"/>
      <c r="IVU85" s="6"/>
      <c r="IVV85" s="6"/>
      <c r="IVW85" s="6"/>
      <c r="IVX85" s="6"/>
      <c r="IVY85" s="6"/>
      <c r="IVZ85" s="6"/>
      <c r="IWA85" s="6"/>
      <c r="IWB85" s="6"/>
      <c r="IWC85" s="6"/>
      <c r="IWD85" s="6"/>
      <c r="IWE85" s="6"/>
      <c r="IWF85" s="6"/>
      <c r="IWG85" s="6"/>
      <c r="IWH85" s="6"/>
      <c r="IWI85" s="6"/>
      <c r="IWJ85" s="6"/>
      <c r="IWK85" s="6"/>
      <c r="IWL85" s="6"/>
      <c r="IWM85" s="6"/>
      <c r="IWN85" s="6"/>
      <c r="IWO85" s="6"/>
      <c r="IWP85" s="6"/>
      <c r="IWQ85" s="6"/>
      <c r="IWR85" s="6"/>
      <c r="IWS85" s="6"/>
      <c r="IWT85" s="6"/>
      <c r="IWU85" s="6"/>
      <c r="IWV85" s="6"/>
      <c r="IWW85" s="6"/>
      <c r="IWX85" s="6"/>
      <c r="IWY85" s="6"/>
      <c r="IWZ85" s="6"/>
      <c r="IXA85" s="6"/>
      <c r="IXB85" s="6"/>
      <c r="IXC85" s="6"/>
      <c r="IXD85" s="6"/>
      <c r="IXE85" s="6"/>
      <c r="IXF85" s="6"/>
      <c r="IXG85" s="6"/>
      <c r="IXH85" s="6"/>
      <c r="IXI85" s="6"/>
      <c r="IXJ85" s="6"/>
      <c r="IXK85" s="6"/>
      <c r="IXL85" s="6"/>
      <c r="IXM85" s="6"/>
      <c r="IXN85" s="6"/>
      <c r="IXO85" s="6"/>
      <c r="IXP85" s="6"/>
      <c r="IXQ85" s="6"/>
      <c r="IXR85" s="6"/>
      <c r="IXS85" s="6"/>
      <c r="IXT85" s="6"/>
      <c r="IXU85" s="6"/>
      <c r="IXV85" s="6"/>
      <c r="IXW85" s="6"/>
      <c r="IXX85" s="6"/>
      <c r="IXY85" s="6"/>
      <c r="IXZ85" s="6"/>
      <c r="IYA85" s="6"/>
      <c r="IYB85" s="6"/>
      <c r="IYC85" s="6"/>
      <c r="IYD85" s="6"/>
      <c r="IYE85" s="6"/>
      <c r="IYF85" s="6"/>
      <c r="IYG85" s="6"/>
      <c r="IYH85" s="6"/>
      <c r="IYI85" s="6"/>
      <c r="IYJ85" s="6"/>
      <c r="IYK85" s="6"/>
      <c r="IYL85" s="6"/>
      <c r="IYM85" s="6"/>
      <c r="IYN85" s="6"/>
      <c r="IYO85" s="6"/>
      <c r="IYP85" s="6"/>
      <c r="IYQ85" s="6"/>
      <c r="IYR85" s="6"/>
      <c r="IYS85" s="6"/>
      <c r="IYT85" s="6"/>
      <c r="IYU85" s="6"/>
      <c r="IYV85" s="6"/>
      <c r="IYW85" s="6"/>
      <c r="IYX85" s="6"/>
      <c r="IYY85" s="6"/>
      <c r="IYZ85" s="6"/>
      <c r="IZA85" s="6"/>
      <c r="IZB85" s="6"/>
      <c r="IZC85" s="6"/>
      <c r="IZD85" s="6"/>
      <c r="IZE85" s="6"/>
      <c r="IZF85" s="6"/>
      <c r="IZG85" s="6"/>
      <c r="IZH85" s="6"/>
      <c r="IZI85" s="6"/>
      <c r="IZJ85" s="6"/>
      <c r="IZK85" s="6"/>
      <c r="IZL85" s="6"/>
      <c r="IZM85" s="6"/>
      <c r="IZN85" s="6"/>
      <c r="IZO85" s="6"/>
      <c r="IZP85" s="6"/>
      <c r="IZQ85" s="6"/>
      <c r="IZR85" s="6"/>
      <c r="IZS85" s="6"/>
      <c r="IZT85" s="6"/>
      <c r="IZU85" s="6"/>
      <c r="IZV85" s="6"/>
      <c r="IZW85" s="6"/>
      <c r="IZX85" s="6"/>
      <c r="IZY85" s="6"/>
      <c r="IZZ85" s="6"/>
      <c r="JAA85" s="6"/>
      <c r="JAB85" s="6"/>
      <c r="JAC85" s="6"/>
      <c r="JAD85" s="6"/>
      <c r="JAE85" s="6"/>
      <c r="JAF85" s="6"/>
      <c r="JAG85" s="6"/>
      <c r="JAH85" s="6"/>
      <c r="JAI85" s="6"/>
      <c r="JAJ85" s="6"/>
      <c r="JAK85" s="6"/>
      <c r="JAL85" s="6"/>
      <c r="JAM85" s="6"/>
      <c r="JAN85" s="6"/>
      <c r="JAO85" s="6"/>
      <c r="JAP85" s="6"/>
      <c r="JAQ85" s="6"/>
      <c r="JAR85" s="6"/>
      <c r="JAS85" s="6"/>
      <c r="JAT85" s="6"/>
      <c r="JAU85" s="6"/>
      <c r="JAV85" s="6"/>
      <c r="JAW85" s="6"/>
      <c r="JAX85" s="6"/>
      <c r="JAY85" s="6"/>
      <c r="JAZ85" s="6"/>
      <c r="JBA85" s="6"/>
      <c r="JBB85" s="6"/>
      <c r="JBC85" s="6"/>
      <c r="JBD85" s="6"/>
      <c r="JBE85" s="6"/>
      <c r="JBF85" s="6"/>
      <c r="JBG85" s="6"/>
      <c r="JBH85" s="6"/>
      <c r="JBI85" s="6"/>
      <c r="JBJ85" s="6"/>
      <c r="JBK85" s="6"/>
      <c r="JBL85" s="6"/>
      <c r="JBM85" s="6"/>
      <c r="JBN85" s="6"/>
      <c r="JBO85" s="6"/>
      <c r="JBP85" s="6"/>
      <c r="JBQ85" s="6"/>
      <c r="JBR85" s="6"/>
      <c r="JBS85" s="6"/>
      <c r="JBT85" s="6"/>
      <c r="JBU85" s="6"/>
      <c r="JBV85" s="6"/>
      <c r="JBW85" s="6"/>
      <c r="JBX85" s="6"/>
      <c r="JBY85" s="6"/>
      <c r="JBZ85" s="6"/>
      <c r="JCA85" s="6"/>
      <c r="JCB85" s="6"/>
      <c r="JCC85" s="6"/>
      <c r="JCD85" s="6"/>
      <c r="JCE85" s="6"/>
      <c r="JCF85" s="6"/>
      <c r="JCG85" s="6"/>
      <c r="JCH85" s="6"/>
      <c r="JCI85" s="6"/>
      <c r="JCJ85" s="6"/>
      <c r="JCK85" s="6"/>
      <c r="JCL85" s="6"/>
      <c r="JCM85" s="6"/>
      <c r="JCN85" s="6"/>
      <c r="JCO85" s="6"/>
      <c r="JCP85" s="6"/>
      <c r="JCQ85" s="6"/>
      <c r="JCR85" s="6"/>
      <c r="JCS85" s="6"/>
      <c r="JCT85" s="6"/>
      <c r="JCU85" s="6"/>
      <c r="JCV85" s="6"/>
      <c r="JCW85" s="6"/>
      <c r="JCX85" s="6"/>
      <c r="JCY85" s="6"/>
      <c r="JCZ85" s="6"/>
      <c r="JDA85" s="6"/>
      <c r="JDB85" s="6"/>
      <c r="JDC85" s="6"/>
      <c r="JDD85" s="6"/>
      <c r="JDE85" s="6"/>
      <c r="JDF85" s="6"/>
      <c r="JDG85" s="6"/>
      <c r="JDH85" s="6"/>
      <c r="JDI85" s="6"/>
      <c r="JDJ85" s="6"/>
      <c r="JDK85" s="6"/>
      <c r="JDL85" s="6"/>
      <c r="JDM85" s="6"/>
      <c r="JDN85" s="6"/>
      <c r="JDO85" s="6"/>
      <c r="JDP85" s="6"/>
      <c r="JDQ85" s="6"/>
      <c r="JDR85" s="6"/>
      <c r="JDS85" s="6"/>
      <c r="JDT85" s="6"/>
      <c r="JDU85" s="6"/>
      <c r="JDV85" s="6"/>
      <c r="JDW85" s="6"/>
      <c r="JDX85" s="6"/>
      <c r="JDY85" s="6"/>
      <c r="JDZ85" s="6"/>
      <c r="JEA85" s="6"/>
      <c r="JEB85" s="6"/>
      <c r="JEC85" s="6"/>
      <c r="JED85" s="6"/>
      <c r="JEE85" s="6"/>
      <c r="JEF85" s="6"/>
      <c r="JEG85" s="6"/>
      <c r="JEH85" s="6"/>
      <c r="JEI85" s="6"/>
      <c r="JEJ85" s="6"/>
      <c r="JEK85" s="6"/>
      <c r="JEL85" s="6"/>
      <c r="JEM85" s="6"/>
      <c r="JEN85" s="6"/>
      <c r="JEO85" s="6"/>
      <c r="JEP85" s="6"/>
      <c r="JEQ85" s="6"/>
      <c r="JER85" s="6"/>
      <c r="JES85" s="6"/>
      <c r="JET85" s="6"/>
      <c r="JEU85" s="6"/>
      <c r="JEV85" s="6"/>
      <c r="JEW85" s="6"/>
      <c r="JEX85" s="6"/>
      <c r="JEY85" s="6"/>
      <c r="JEZ85" s="6"/>
      <c r="JFA85" s="6"/>
      <c r="JFB85" s="6"/>
      <c r="JFC85" s="6"/>
      <c r="JFD85" s="6"/>
      <c r="JFE85" s="6"/>
      <c r="JFF85" s="6"/>
      <c r="JFG85" s="6"/>
      <c r="JFH85" s="6"/>
      <c r="JFI85" s="6"/>
      <c r="JFJ85" s="6"/>
      <c r="JFK85" s="6"/>
      <c r="JFL85" s="6"/>
      <c r="JFM85" s="6"/>
      <c r="JFN85" s="6"/>
      <c r="JFO85" s="6"/>
      <c r="JFP85" s="6"/>
      <c r="JFQ85" s="6"/>
      <c r="JFR85" s="6"/>
      <c r="JFS85" s="6"/>
      <c r="JFT85" s="6"/>
      <c r="JFU85" s="6"/>
      <c r="JFV85" s="6"/>
      <c r="JFW85" s="6"/>
      <c r="JFX85" s="6"/>
      <c r="JFY85" s="6"/>
      <c r="JFZ85" s="6"/>
      <c r="JGA85" s="6"/>
      <c r="JGB85" s="6"/>
      <c r="JGC85" s="6"/>
      <c r="JGD85" s="6"/>
      <c r="JGE85" s="6"/>
      <c r="JGF85" s="6"/>
      <c r="JGG85" s="6"/>
      <c r="JGH85" s="6"/>
      <c r="JGI85" s="6"/>
      <c r="JGJ85" s="6"/>
      <c r="JGK85" s="6"/>
      <c r="JGL85" s="6"/>
      <c r="JGM85" s="6"/>
      <c r="JGN85" s="6"/>
      <c r="JGO85" s="6"/>
      <c r="JGP85" s="6"/>
      <c r="JGQ85" s="6"/>
      <c r="JGR85" s="6"/>
      <c r="JGS85" s="6"/>
      <c r="JGT85" s="6"/>
      <c r="JGU85" s="6"/>
      <c r="JGV85" s="6"/>
      <c r="JGW85" s="6"/>
      <c r="JGX85" s="6"/>
      <c r="JGY85" s="6"/>
      <c r="JGZ85" s="6"/>
      <c r="JHA85" s="6"/>
      <c r="JHB85" s="6"/>
      <c r="JHC85" s="6"/>
      <c r="JHD85" s="6"/>
      <c r="JHE85" s="6"/>
      <c r="JHF85" s="6"/>
      <c r="JHG85" s="6"/>
      <c r="JHH85" s="6"/>
      <c r="JHI85" s="6"/>
      <c r="JHJ85" s="6"/>
      <c r="JHK85" s="6"/>
      <c r="JHL85" s="6"/>
      <c r="JHM85" s="6"/>
      <c r="JHN85" s="6"/>
      <c r="JHO85" s="6"/>
      <c r="JHP85" s="6"/>
      <c r="JHQ85" s="6"/>
      <c r="JHR85" s="6"/>
      <c r="JHS85" s="6"/>
      <c r="JHT85" s="6"/>
      <c r="JHU85" s="6"/>
      <c r="JHV85" s="6"/>
      <c r="JHW85" s="6"/>
      <c r="JHX85" s="6"/>
      <c r="JHY85" s="6"/>
      <c r="JHZ85" s="6"/>
      <c r="JIA85" s="6"/>
      <c r="JIB85" s="6"/>
      <c r="JIC85" s="6"/>
      <c r="JID85" s="6"/>
      <c r="JIE85" s="6"/>
      <c r="JIF85" s="6"/>
      <c r="JIG85" s="6"/>
      <c r="JIH85" s="6"/>
      <c r="JII85" s="6"/>
      <c r="JIJ85" s="6"/>
      <c r="JIK85" s="6"/>
      <c r="JIL85" s="6"/>
      <c r="JIM85" s="6"/>
      <c r="JIN85" s="6"/>
      <c r="JIO85" s="6"/>
      <c r="JIP85" s="6"/>
      <c r="JIQ85" s="6"/>
      <c r="JIR85" s="6"/>
      <c r="JIS85" s="6"/>
      <c r="JIT85" s="6"/>
      <c r="JIU85" s="6"/>
      <c r="JIV85" s="6"/>
      <c r="JIW85" s="6"/>
      <c r="JIX85" s="6"/>
      <c r="JIY85" s="6"/>
      <c r="JIZ85" s="6"/>
      <c r="JJA85" s="6"/>
      <c r="JJB85" s="6"/>
      <c r="JJC85" s="6"/>
      <c r="JJD85" s="6"/>
      <c r="JJE85" s="6"/>
      <c r="JJF85" s="6"/>
      <c r="JJG85" s="6"/>
      <c r="JJH85" s="6"/>
      <c r="JJI85" s="6"/>
      <c r="JJJ85" s="6"/>
      <c r="JJK85" s="6"/>
      <c r="JJL85" s="6"/>
      <c r="JJM85" s="6"/>
      <c r="JJN85" s="6"/>
      <c r="JJO85" s="6"/>
      <c r="JJP85" s="6"/>
      <c r="JJQ85" s="6"/>
      <c r="JJR85" s="6"/>
      <c r="JJS85" s="6"/>
      <c r="JJT85" s="6"/>
      <c r="JJU85" s="6"/>
      <c r="JJV85" s="6"/>
      <c r="JJW85" s="6"/>
      <c r="JJX85" s="6"/>
      <c r="JJY85" s="6"/>
      <c r="JJZ85" s="6"/>
      <c r="JKA85" s="6"/>
      <c r="JKB85" s="6"/>
      <c r="JKC85" s="6"/>
      <c r="JKD85" s="6"/>
      <c r="JKE85" s="6"/>
      <c r="JKF85" s="6"/>
      <c r="JKG85" s="6"/>
      <c r="JKH85" s="6"/>
      <c r="JKI85" s="6"/>
      <c r="JKJ85" s="6"/>
      <c r="JKK85" s="6"/>
      <c r="JKL85" s="6"/>
      <c r="JKM85" s="6"/>
      <c r="JKN85" s="6"/>
      <c r="JKO85" s="6"/>
      <c r="JKP85" s="6"/>
      <c r="JKQ85" s="6"/>
      <c r="JKR85" s="6"/>
      <c r="JKS85" s="6"/>
      <c r="JKT85" s="6"/>
      <c r="JKU85" s="6"/>
      <c r="JKV85" s="6"/>
      <c r="JKW85" s="6"/>
      <c r="JKX85" s="6"/>
      <c r="JKY85" s="6"/>
      <c r="JKZ85" s="6"/>
      <c r="JLA85" s="6"/>
      <c r="JLB85" s="6"/>
      <c r="JLC85" s="6"/>
      <c r="JLD85" s="6"/>
      <c r="JLE85" s="6"/>
      <c r="JLF85" s="6"/>
      <c r="JLG85" s="6"/>
      <c r="JLH85" s="6"/>
      <c r="JLI85" s="6"/>
      <c r="JLJ85" s="6"/>
      <c r="JLK85" s="6"/>
      <c r="JLL85" s="6"/>
      <c r="JLM85" s="6"/>
      <c r="JLN85" s="6"/>
      <c r="JLO85" s="6"/>
      <c r="JLP85" s="6"/>
      <c r="JLQ85" s="6"/>
      <c r="JLR85" s="6"/>
      <c r="JLS85" s="6"/>
      <c r="JLT85" s="6"/>
      <c r="JLU85" s="6"/>
      <c r="JLV85" s="6"/>
      <c r="JLW85" s="6"/>
      <c r="JLX85" s="6"/>
      <c r="JLY85" s="6"/>
      <c r="JLZ85" s="6"/>
      <c r="JMA85" s="6"/>
      <c r="JMB85" s="6"/>
      <c r="JMC85" s="6"/>
      <c r="JMD85" s="6"/>
      <c r="JME85" s="6"/>
      <c r="JMF85" s="6"/>
      <c r="JMG85" s="6"/>
      <c r="JMH85" s="6"/>
      <c r="JMI85" s="6"/>
      <c r="JMJ85" s="6"/>
      <c r="JMK85" s="6"/>
      <c r="JML85" s="6"/>
      <c r="JMM85" s="6"/>
      <c r="JMN85" s="6"/>
      <c r="JMO85" s="6"/>
      <c r="JMP85" s="6"/>
      <c r="JMQ85" s="6"/>
      <c r="JMR85" s="6"/>
      <c r="JMS85" s="6"/>
      <c r="JMT85" s="6"/>
      <c r="JMU85" s="6"/>
      <c r="JMV85" s="6"/>
      <c r="JMW85" s="6"/>
      <c r="JMX85" s="6"/>
      <c r="JMY85" s="6"/>
      <c r="JMZ85" s="6"/>
      <c r="JNA85" s="6"/>
      <c r="JNB85" s="6"/>
      <c r="JNC85" s="6"/>
      <c r="JND85" s="6"/>
      <c r="JNE85" s="6"/>
      <c r="JNF85" s="6"/>
      <c r="JNG85" s="6"/>
      <c r="JNH85" s="6"/>
      <c r="JNI85" s="6"/>
      <c r="JNJ85" s="6"/>
      <c r="JNK85" s="6"/>
      <c r="JNL85" s="6"/>
      <c r="JNM85" s="6"/>
      <c r="JNN85" s="6"/>
      <c r="JNO85" s="6"/>
      <c r="JNP85" s="6"/>
      <c r="JNQ85" s="6"/>
      <c r="JNR85" s="6"/>
      <c r="JNS85" s="6"/>
      <c r="JNT85" s="6"/>
      <c r="JNU85" s="6"/>
      <c r="JNV85" s="6"/>
      <c r="JNW85" s="6"/>
      <c r="JNX85" s="6"/>
      <c r="JNY85" s="6"/>
      <c r="JNZ85" s="6"/>
      <c r="JOA85" s="6"/>
      <c r="JOB85" s="6"/>
      <c r="JOC85" s="6"/>
      <c r="JOD85" s="6"/>
      <c r="JOE85" s="6"/>
      <c r="JOF85" s="6"/>
      <c r="JOG85" s="6"/>
      <c r="JOH85" s="6"/>
      <c r="JOI85" s="6"/>
      <c r="JOJ85" s="6"/>
      <c r="JOK85" s="6"/>
      <c r="JOL85" s="6"/>
      <c r="JOM85" s="6"/>
      <c r="JON85" s="6"/>
      <c r="JOO85" s="6"/>
      <c r="JOP85" s="6"/>
      <c r="JOQ85" s="6"/>
      <c r="JOR85" s="6"/>
      <c r="JOS85" s="6"/>
      <c r="JOT85" s="6"/>
      <c r="JOU85" s="6"/>
      <c r="JOV85" s="6"/>
      <c r="JOW85" s="6"/>
      <c r="JOX85" s="6"/>
      <c r="JOY85" s="6"/>
      <c r="JOZ85" s="6"/>
      <c r="JPA85" s="6"/>
      <c r="JPB85" s="6"/>
      <c r="JPC85" s="6"/>
      <c r="JPD85" s="6"/>
      <c r="JPE85" s="6"/>
      <c r="JPF85" s="6"/>
      <c r="JPG85" s="6"/>
      <c r="JPH85" s="6"/>
      <c r="JPI85" s="6"/>
      <c r="JPJ85" s="6"/>
      <c r="JPK85" s="6"/>
      <c r="JPL85" s="6"/>
      <c r="JPM85" s="6"/>
      <c r="JPN85" s="6"/>
      <c r="JPO85" s="6"/>
      <c r="JPP85" s="6"/>
      <c r="JPQ85" s="6"/>
      <c r="JPR85" s="6"/>
      <c r="JPS85" s="6"/>
      <c r="JPT85" s="6"/>
      <c r="JPU85" s="6"/>
      <c r="JPV85" s="6"/>
      <c r="JPW85" s="6"/>
      <c r="JPX85" s="6"/>
      <c r="JPY85" s="6"/>
      <c r="JPZ85" s="6"/>
      <c r="JQA85" s="6"/>
      <c r="JQB85" s="6"/>
      <c r="JQC85" s="6"/>
      <c r="JQD85" s="6"/>
      <c r="JQE85" s="6"/>
      <c r="JQF85" s="6"/>
      <c r="JQG85" s="6"/>
      <c r="JQH85" s="6"/>
      <c r="JQI85" s="6"/>
      <c r="JQJ85" s="6"/>
      <c r="JQK85" s="6"/>
      <c r="JQL85" s="6"/>
      <c r="JQM85" s="6"/>
      <c r="JQN85" s="6"/>
      <c r="JQO85" s="6"/>
      <c r="JQP85" s="6"/>
      <c r="JQQ85" s="6"/>
      <c r="JQR85" s="6"/>
      <c r="JQS85" s="6"/>
      <c r="JQT85" s="6"/>
      <c r="JQU85" s="6"/>
      <c r="JQV85" s="6"/>
      <c r="JQW85" s="6"/>
      <c r="JQX85" s="6"/>
      <c r="JQY85" s="6"/>
      <c r="JQZ85" s="6"/>
      <c r="JRA85" s="6"/>
      <c r="JRB85" s="6"/>
      <c r="JRC85" s="6"/>
      <c r="JRD85" s="6"/>
      <c r="JRE85" s="6"/>
      <c r="JRF85" s="6"/>
      <c r="JRG85" s="6"/>
      <c r="JRH85" s="6"/>
      <c r="JRI85" s="6"/>
      <c r="JRJ85" s="6"/>
      <c r="JRK85" s="6"/>
      <c r="JRL85" s="6"/>
      <c r="JRM85" s="6"/>
      <c r="JRN85" s="6"/>
      <c r="JRO85" s="6"/>
      <c r="JRP85" s="6"/>
      <c r="JRQ85" s="6"/>
      <c r="JRR85" s="6"/>
      <c r="JRS85" s="6"/>
      <c r="JRT85" s="6"/>
      <c r="JRU85" s="6"/>
      <c r="JRV85" s="6"/>
      <c r="JRW85" s="6"/>
      <c r="JRX85" s="6"/>
      <c r="JRY85" s="6"/>
      <c r="JRZ85" s="6"/>
      <c r="JSA85" s="6"/>
      <c r="JSB85" s="6"/>
      <c r="JSC85" s="6"/>
      <c r="JSD85" s="6"/>
      <c r="JSE85" s="6"/>
      <c r="JSF85" s="6"/>
      <c r="JSG85" s="6"/>
      <c r="JSH85" s="6"/>
      <c r="JSI85" s="6"/>
      <c r="JSJ85" s="6"/>
      <c r="JSK85" s="6"/>
      <c r="JSL85" s="6"/>
      <c r="JSM85" s="6"/>
      <c r="JSN85" s="6"/>
      <c r="JSO85" s="6"/>
      <c r="JSP85" s="6"/>
      <c r="JSQ85" s="6"/>
      <c r="JSR85" s="6"/>
      <c r="JSS85" s="6"/>
      <c r="JST85" s="6"/>
      <c r="JSU85" s="6"/>
      <c r="JSV85" s="6"/>
      <c r="JSW85" s="6"/>
      <c r="JSX85" s="6"/>
      <c r="JSY85" s="6"/>
      <c r="JSZ85" s="6"/>
      <c r="JTA85" s="6"/>
      <c r="JTB85" s="6"/>
      <c r="JTC85" s="6"/>
      <c r="JTD85" s="6"/>
      <c r="JTE85" s="6"/>
      <c r="JTF85" s="6"/>
      <c r="JTG85" s="6"/>
      <c r="JTH85" s="6"/>
      <c r="JTI85" s="6"/>
      <c r="JTJ85" s="6"/>
      <c r="JTK85" s="6"/>
      <c r="JTL85" s="6"/>
      <c r="JTM85" s="6"/>
      <c r="JTN85" s="6"/>
      <c r="JTO85" s="6"/>
      <c r="JTP85" s="6"/>
      <c r="JTQ85" s="6"/>
      <c r="JTR85" s="6"/>
      <c r="JTS85" s="6"/>
      <c r="JTT85" s="6"/>
      <c r="JTU85" s="6"/>
      <c r="JTV85" s="6"/>
      <c r="JTW85" s="6"/>
      <c r="JTX85" s="6"/>
      <c r="JTY85" s="6"/>
      <c r="JTZ85" s="6"/>
      <c r="JUA85" s="6"/>
      <c r="JUB85" s="6"/>
      <c r="JUC85" s="6"/>
      <c r="JUD85" s="6"/>
      <c r="JUE85" s="6"/>
      <c r="JUF85" s="6"/>
      <c r="JUG85" s="6"/>
      <c r="JUH85" s="6"/>
      <c r="JUI85" s="6"/>
      <c r="JUJ85" s="6"/>
      <c r="JUK85" s="6"/>
      <c r="JUL85" s="6"/>
      <c r="JUM85" s="6"/>
      <c r="JUN85" s="6"/>
      <c r="JUO85" s="6"/>
      <c r="JUP85" s="6"/>
      <c r="JUQ85" s="6"/>
      <c r="JUR85" s="6"/>
      <c r="JUS85" s="6"/>
      <c r="JUT85" s="6"/>
      <c r="JUU85" s="6"/>
      <c r="JUV85" s="6"/>
      <c r="JUW85" s="6"/>
      <c r="JUX85" s="6"/>
      <c r="JUY85" s="6"/>
      <c r="JUZ85" s="6"/>
      <c r="JVA85" s="6"/>
      <c r="JVB85" s="6"/>
      <c r="JVC85" s="6"/>
      <c r="JVD85" s="6"/>
      <c r="JVE85" s="6"/>
      <c r="JVF85" s="6"/>
      <c r="JVG85" s="6"/>
      <c r="JVH85" s="6"/>
      <c r="JVI85" s="6"/>
      <c r="JVJ85" s="6"/>
      <c r="JVK85" s="6"/>
      <c r="JVL85" s="6"/>
      <c r="JVM85" s="6"/>
      <c r="JVN85" s="6"/>
      <c r="JVO85" s="6"/>
      <c r="JVP85" s="6"/>
      <c r="JVQ85" s="6"/>
      <c r="JVR85" s="6"/>
      <c r="JVS85" s="6"/>
      <c r="JVT85" s="6"/>
      <c r="JVU85" s="6"/>
      <c r="JVV85" s="6"/>
      <c r="JVW85" s="6"/>
      <c r="JVX85" s="6"/>
      <c r="JVY85" s="6"/>
      <c r="JVZ85" s="6"/>
      <c r="JWA85" s="6"/>
      <c r="JWB85" s="6"/>
      <c r="JWC85" s="6"/>
      <c r="JWD85" s="6"/>
      <c r="JWE85" s="6"/>
      <c r="JWF85" s="6"/>
      <c r="JWG85" s="6"/>
      <c r="JWH85" s="6"/>
      <c r="JWI85" s="6"/>
      <c r="JWJ85" s="6"/>
      <c r="JWK85" s="6"/>
      <c r="JWL85" s="6"/>
      <c r="JWM85" s="6"/>
      <c r="JWN85" s="6"/>
      <c r="JWO85" s="6"/>
      <c r="JWP85" s="6"/>
      <c r="JWQ85" s="6"/>
      <c r="JWR85" s="6"/>
      <c r="JWS85" s="6"/>
      <c r="JWT85" s="6"/>
      <c r="JWU85" s="6"/>
      <c r="JWV85" s="6"/>
      <c r="JWW85" s="6"/>
      <c r="JWX85" s="6"/>
      <c r="JWY85" s="6"/>
      <c r="JWZ85" s="6"/>
      <c r="JXA85" s="6"/>
      <c r="JXB85" s="6"/>
      <c r="JXC85" s="6"/>
      <c r="JXD85" s="6"/>
      <c r="JXE85" s="6"/>
      <c r="JXF85" s="6"/>
      <c r="JXG85" s="6"/>
      <c r="JXH85" s="6"/>
      <c r="JXI85" s="6"/>
      <c r="JXJ85" s="6"/>
      <c r="JXK85" s="6"/>
      <c r="JXL85" s="6"/>
      <c r="JXM85" s="6"/>
      <c r="JXN85" s="6"/>
      <c r="JXO85" s="6"/>
      <c r="JXP85" s="6"/>
      <c r="JXQ85" s="6"/>
      <c r="JXR85" s="6"/>
      <c r="JXS85" s="6"/>
      <c r="JXT85" s="6"/>
      <c r="JXU85" s="6"/>
      <c r="JXV85" s="6"/>
      <c r="JXW85" s="6"/>
      <c r="JXX85" s="6"/>
      <c r="JXY85" s="6"/>
      <c r="JXZ85" s="6"/>
      <c r="JYA85" s="6"/>
      <c r="JYB85" s="6"/>
      <c r="JYC85" s="6"/>
      <c r="JYD85" s="6"/>
      <c r="JYE85" s="6"/>
      <c r="JYF85" s="6"/>
      <c r="JYG85" s="6"/>
      <c r="JYH85" s="6"/>
      <c r="JYI85" s="6"/>
      <c r="JYJ85" s="6"/>
      <c r="JYK85" s="6"/>
      <c r="JYL85" s="6"/>
      <c r="JYM85" s="6"/>
      <c r="JYN85" s="6"/>
      <c r="JYO85" s="6"/>
      <c r="JYP85" s="6"/>
      <c r="JYQ85" s="6"/>
      <c r="JYR85" s="6"/>
      <c r="JYS85" s="6"/>
      <c r="JYT85" s="6"/>
      <c r="JYU85" s="6"/>
      <c r="JYV85" s="6"/>
      <c r="JYW85" s="6"/>
      <c r="JYX85" s="6"/>
      <c r="JYY85" s="6"/>
      <c r="JYZ85" s="6"/>
      <c r="JZA85" s="6"/>
      <c r="JZB85" s="6"/>
      <c r="JZC85" s="6"/>
      <c r="JZD85" s="6"/>
      <c r="JZE85" s="6"/>
      <c r="JZF85" s="6"/>
      <c r="JZG85" s="6"/>
      <c r="JZH85" s="6"/>
      <c r="JZI85" s="6"/>
      <c r="JZJ85" s="6"/>
      <c r="JZK85" s="6"/>
      <c r="JZL85" s="6"/>
      <c r="JZM85" s="6"/>
      <c r="JZN85" s="6"/>
      <c r="JZO85" s="6"/>
      <c r="JZP85" s="6"/>
      <c r="JZQ85" s="6"/>
      <c r="JZR85" s="6"/>
      <c r="JZS85" s="6"/>
      <c r="JZT85" s="6"/>
      <c r="JZU85" s="6"/>
      <c r="JZV85" s="6"/>
      <c r="JZW85" s="6"/>
      <c r="JZX85" s="6"/>
      <c r="JZY85" s="6"/>
      <c r="JZZ85" s="6"/>
      <c r="KAA85" s="6"/>
      <c r="KAB85" s="6"/>
      <c r="KAC85" s="6"/>
      <c r="KAD85" s="6"/>
      <c r="KAE85" s="6"/>
      <c r="KAF85" s="6"/>
      <c r="KAG85" s="6"/>
      <c r="KAH85" s="6"/>
      <c r="KAI85" s="6"/>
      <c r="KAJ85" s="6"/>
      <c r="KAK85" s="6"/>
      <c r="KAL85" s="6"/>
      <c r="KAM85" s="6"/>
      <c r="KAN85" s="6"/>
      <c r="KAO85" s="6"/>
      <c r="KAP85" s="6"/>
      <c r="KAQ85" s="6"/>
      <c r="KAR85" s="6"/>
      <c r="KAS85" s="6"/>
      <c r="KAT85" s="6"/>
      <c r="KAU85" s="6"/>
      <c r="KAV85" s="6"/>
      <c r="KAW85" s="6"/>
      <c r="KAX85" s="6"/>
      <c r="KAY85" s="6"/>
      <c r="KAZ85" s="6"/>
      <c r="KBA85" s="6"/>
      <c r="KBB85" s="6"/>
      <c r="KBC85" s="6"/>
      <c r="KBD85" s="6"/>
      <c r="KBE85" s="6"/>
      <c r="KBF85" s="6"/>
      <c r="KBG85" s="6"/>
      <c r="KBH85" s="6"/>
      <c r="KBI85" s="6"/>
      <c r="KBJ85" s="6"/>
      <c r="KBK85" s="6"/>
      <c r="KBL85" s="6"/>
      <c r="KBM85" s="6"/>
      <c r="KBN85" s="6"/>
      <c r="KBO85" s="6"/>
      <c r="KBP85" s="6"/>
      <c r="KBQ85" s="6"/>
      <c r="KBR85" s="6"/>
      <c r="KBS85" s="6"/>
      <c r="KBT85" s="6"/>
      <c r="KBU85" s="6"/>
      <c r="KBV85" s="6"/>
      <c r="KBW85" s="6"/>
      <c r="KBX85" s="6"/>
      <c r="KBY85" s="6"/>
      <c r="KBZ85" s="6"/>
      <c r="KCA85" s="6"/>
      <c r="KCB85" s="6"/>
      <c r="KCC85" s="6"/>
      <c r="KCD85" s="6"/>
      <c r="KCE85" s="6"/>
      <c r="KCF85" s="6"/>
      <c r="KCG85" s="6"/>
      <c r="KCH85" s="6"/>
      <c r="KCI85" s="6"/>
      <c r="KCJ85" s="6"/>
      <c r="KCK85" s="6"/>
      <c r="KCL85" s="6"/>
      <c r="KCM85" s="6"/>
      <c r="KCN85" s="6"/>
      <c r="KCO85" s="6"/>
      <c r="KCP85" s="6"/>
      <c r="KCQ85" s="6"/>
      <c r="KCR85" s="6"/>
      <c r="KCS85" s="6"/>
      <c r="KCT85" s="6"/>
      <c r="KCU85" s="6"/>
      <c r="KCV85" s="6"/>
      <c r="KCW85" s="6"/>
      <c r="KCX85" s="6"/>
      <c r="KCY85" s="6"/>
      <c r="KCZ85" s="6"/>
      <c r="KDA85" s="6"/>
      <c r="KDB85" s="6"/>
      <c r="KDC85" s="6"/>
      <c r="KDD85" s="6"/>
      <c r="KDE85" s="6"/>
      <c r="KDF85" s="6"/>
      <c r="KDG85" s="6"/>
      <c r="KDH85" s="6"/>
      <c r="KDI85" s="6"/>
      <c r="KDJ85" s="6"/>
      <c r="KDK85" s="6"/>
      <c r="KDL85" s="6"/>
      <c r="KDM85" s="6"/>
      <c r="KDN85" s="6"/>
      <c r="KDO85" s="6"/>
      <c r="KDP85" s="6"/>
      <c r="KDQ85" s="6"/>
      <c r="KDR85" s="6"/>
      <c r="KDS85" s="6"/>
      <c r="KDT85" s="6"/>
      <c r="KDU85" s="6"/>
      <c r="KDV85" s="6"/>
      <c r="KDW85" s="6"/>
      <c r="KDX85" s="6"/>
      <c r="KDY85" s="6"/>
      <c r="KDZ85" s="6"/>
      <c r="KEA85" s="6"/>
      <c r="KEB85" s="6"/>
      <c r="KEC85" s="6"/>
      <c r="KED85" s="6"/>
      <c r="KEE85" s="6"/>
      <c r="KEF85" s="6"/>
      <c r="KEG85" s="6"/>
      <c r="KEH85" s="6"/>
      <c r="KEI85" s="6"/>
      <c r="KEJ85" s="6"/>
      <c r="KEK85" s="6"/>
      <c r="KEL85" s="6"/>
      <c r="KEM85" s="6"/>
      <c r="KEN85" s="6"/>
      <c r="KEO85" s="6"/>
      <c r="KEP85" s="6"/>
      <c r="KEQ85" s="6"/>
      <c r="KER85" s="6"/>
      <c r="KES85" s="6"/>
      <c r="KET85" s="6"/>
      <c r="KEU85" s="6"/>
      <c r="KEV85" s="6"/>
      <c r="KEW85" s="6"/>
      <c r="KEX85" s="6"/>
      <c r="KEY85" s="6"/>
      <c r="KEZ85" s="6"/>
      <c r="KFA85" s="6"/>
      <c r="KFB85" s="6"/>
      <c r="KFC85" s="6"/>
      <c r="KFD85" s="6"/>
      <c r="KFE85" s="6"/>
      <c r="KFF85" s="6"/>
      <c r="KFG85" s="6"/>
      <c r="KFH85" s="6"/>
      <c r="KFI85" s="6"/>
      <c r="KFJ85" s="6"/>
      <c r="KFK85" s="6"/>
      <c r="KFL85" s="6"/>
      <c r="KFM85" s="6"/>
      <c r="KFN85" s="6"/>
      <c r="KFO85" s="6"/>
      <c r="KFP85" s="6"/>
      <c r="KFQ85" s="6"/>
      <c r="KFR85" s="6"/>
      <c r="KFS85" s="6"/>
      <c r="KFT85" s="6"/>
      <c r="KFU85" s="6"/>
      <c r="KFV85" s="6"/>
      <c r="KFW85" s="6"/>
      <c r="KFX85" s="6"/>
      <c r="KFY85" s="6"/>
      <c r="KFZ85" s="6"/>
      <c r="KGA85" s="6"/>
      <c r="KGB85" s="6"/>
      <c r="KGC85" s="6"/>
      <c r="KGD85" s="6"/>
      <c r="KGE85" s="6"/>
      <c r="KGF85" s="6"/>
      <c r="KGG85" s="6"/>
      <c r="KGH85" s="6"/>
      <c r="KGI85" s="6"/>
      <c r="KGJ85" s="6"/>
      <c r="KGK85" s="6"/>
      <c r="KGL85" s="6"/>
      <c r="KGM85" s="6"/>
      <c r="KGN85" s="6"/>
      <c r="KGO85" s="6"/>
      <c r="KGP85" s="6"/>
      <c r="KGQ85" s="6"/>
      <c r="KGR85" s="6"/>
      <c r="KGS85" s="6"/>
      <c r="KGT85" s="6"/>
      <c r="KGU85" s="6"/>
      <c r="KGV85" s="6"/>
      <c r="KGW85" s="6"/>
      <c r="KGX85" s="6"/>
      <c r="KGY85" s="6"/>
      <c r="KGZ85" s="6"/>
      <c r="KHA85" s="6"/>
      <c r="KHB85" s="6"/>
      <c r="KHC85" s="6"/>
      <c r="KHD85" s="6"/>
      <c r="KHE85" s="6"/>
      <c r="KHF85" s="6"/>
      <c r="KHG85" s="6"/>
      <c r="KHH85" s="6"/>
      <c r="KHI85" s="6"/>
      <c r="KHJ85" s="6"/>
      <c r="KHK85" s="6"/>
      <c r="KHL85" s="6"/>
      <c r="KHM85" s="6"/>
      <c r="KHN85" s="6"/>
      <c r="KHO85" s="6"/>
      <c r="KHP85" s="6"/>
      <c r="KHQ85" s="6"/>
      <c r="KHR85" s="6"/>
      <c r="KHS85" s="6"/>
      <c r="KHT85" s="6"/>
      <c r="KHU85" s="6"/>
      <c r="KHV85" s="6"/>
      <c r="KHW85" s="6"/>
      <c r="KHX85" s="6"/>
      <c r="KHY85" s="6"/>
      <c r="KHZ85" s="6"/>
      <c r="KIA85" s="6"/>
      <c r="KIB85" s="6"/>
      <c r="KIC85" s="6"/>
      <c r="KID85" s="6"/>
      <c r="KIE85" s="6"/>
      <c r="KIF85" s="6"/>
      <c r="KIG85" s="6"/>
      <c r="KIH85" s="6"/>
      <c r="KII85" s="6"/>
      <c r="KIJ85" s="6"/>
      <c r="KIK85" s="6"/>
      <c r="KIL85" s="6"/>
      <c r="KIM85" s="6"/>
      <c r="KIN85" s="6"/>
      <c r="KIO85" s="6"/>
      <c r="KIP85" s="6"/>
      <c r="KIQ85" s="6"/>
      <c r="KIR85" s="6"/>
      <c r="KIS85" s="6"/>
      <c r="KIT85" s="6"/>
      <c r="KIU85" s="6"/>
      <c r="KIV85" s="6"/>
      <c r="KIW85" s="6"/>
      <c r="KIX85" s="6"/>
      <c r="KIY85" s="6"/>
      <c r="KIZ85" s="6"/>
      <c r="KJA85" s="6"/>
      <c r="KJB85" s="6"/>
      <c r="KJC85" s="6"/>
      <c r="KJD85" s="6"/>
      <c r="KJE85" s="6"/>
      <c r="KJF85" s="6"/>
      <c r="KJG85" s="6"/>
      <c r="KJH85" s="6"/>
      <c r="KJI85" s="6"/>
      <c r="KJJ85" s="6"/>
      <c r="KJK85" s="6"/>
      <c r="KJL85" s="6"/>
      <c r="KJM85" s="6"/>
      <c r="KJN85" s="6"/>
      <c r="KJO85" s="6"/>
      <c r="KJP85" s="6"/>
      <c r="KJQ85" s="6"/>
      <c r="KJR85" s="6"/>
      <c r="KJS85" s="6"/>
      <c r="KJT85" s="6"/>
      <c r="KJU85" s="6"/>
      <c r="KJV85" s="6"/>
      <c r="KJW85" s="6"/>
      <c r="KJX85" s="6"/>
      <c r="KJY85" s="6"/>
      <c r="KJZ85" s="6"/>
      <c r="KKA85" s="6"/>
      <c r="KKB85" s="6"/>
      <c r="KKC85" s="6"/>
      <c r="KKD85" s="6"/>
      <c r="KKE85" s="6"/>
      <c r="KKF85" s="6"/>
      <c r="KKG85" s="6"/>
      <c r="KKH85" s="6"/>
      <c r="KKI85" s="6"/>
      <c r="KKJ85" s="6"/>
      <c r="KKK85" s="6"/>
      <c r="KKL85" s="6"/>
      <c r="KKM85" s="6"/>
      <c r="KKN85" s="6"/>
      <c r="KKO85" s="6"/>
      <c r="KKP85" s="6"/>
      <c r="KKQ85" s="6"/>
      <c r="KKR85" s="6"/>
      <c r="KKS85" s="6"/>
      <c r="KKT85" s="6"/>
      <c r="KKU85" s="6"/>
      <c r="KKV85" s="6"/>
      <c r="KKW85" s="6"/>
      <c r="KKX85" s="6"/>
      <c r="KKY85" s="6"/>
      <c r="KKZ85" s="6"/>
      <c r="KLA85" s="6"/>
      <c r="KLB85" s="6"/>
      <c r="KLC85" s="6"/>
      <c r="KLD85" s="6"/>
      <c r="KLE85" s="6"/>
      <c r="KLF85" s="6"/>
      <c r="KLG85" s="6"/>
      <c r="KLH85" s="6"/>
      <c r="KLI85" s="6"/>
      <c r="KLJ85" s="6"/>
      <c r="KLK85" s="6"/>
      <c r="KLL85" s="6"/>
      <c r="KLM85" s="6"/>
      <c r="KLN85" s="6"/>
      <c r="KLO85" s="6"/>
      <c r="KLP85" s="6"/>
      <c r="KLQ85" s="6"/>
      <c r="KLR85" s="6"/>
      <c r="KLS85" s="6"/>
      <c r="KLT85" s="6"/>
      <c r="KLU85" s="6"/>
      <c r="KLV85" s="6"/>
      <c r="KLW85" s="6"/>
      <c r="KLX85" s="6"/>
      <c r="KLY85" s="6"/>
      <c r="KLZ85" s="6"/>
      <c r="KMA85" s="6"/>
      <c r="KMB85" s="6"/>
      <c r="KMC85" s="6"/>
      <c r="KMD85" s="6"/>
      <c r="KME85" s="6"/>
      <c r="KMF85" s="6"/>
      <c r="KMG85" s="6"/>
      <c r="KMH85" s="6"/>
      <c r="KMI85" s="6"/>
      <c r="KMJ85" s="6"/>
      <c r="KMK85" s="6"/>
      <c r="KML85" s="6"/>
      <c r="KMM85" s="6"/>
      <c r="KMN85" s="6"/>
      <c r="KMO85" s="6"/>
      <c r="KMP85" s="6"/>
      <c r="KMQ85" s="6"/>
      <c r="KMR85" s="6"/>
      <c r="KMS85" s="6"/>
      <c r="KMT85" s="6"/>
      <c r="KMU85" s="6"/>
      <c r="KMV85" s="6"/>
      <c r="KMW85" s="6"/>
      <c r="KMX85" s="6"/>
      <c r="KMY85" s="6"/>
      <c r="KMZ85" s="6"/>
      <c r="KNA85" s="6"/>
      <c r="KNB85" s="6"/>
      <c r="KNC85" s="6"/>
      <c r="KND85" s="6"/>
      <c r="KNE85" s="6"/>
      <c r="KNF85" s="6"/>
      <c r="KNG85" s="6"/>
      <c r="KNH85" s="6"/>
      <c r="KNI85" s="6"/>
      <c r="KNJ85" s="6"/>
      <c r="KNK85" s="6"/>
      <c r="KNL85" s="6"/>
      <c r="KNM85" s="6"/>
      <c r="KNN85" s="6"/>
      <c r="KNO85" s="6"/>
      <c r="KNP85" s="6"/>
      <c r="KNQ85" s="6"/>
      <c r="KNR85" s="6"/>
      <c r="KNS85" s="6"/>
      <c r="KNT85" s="6"/>
      <c r="KNU85" s="6"/>
      <c r="KNV85" s="6"/>
      <c r="KNW85" s="6"/>
      <c r="KNX85" s="6"/>
      <c r="KNY85" s="6"/>
      <c r="KNZ85" s="6"/>
      <c r="KOA85" s="6"/>
      <c r="KOB85" s="6"/>
      <c r="KOC85" s="6"/>
      <c r="KOD85" s="6"/>
      <c r="KOE85" s="6"/>
      <c r="KOF85" s="6"/>
      <c r="KOG85" s="6"/>
      <c r="KOH85" s="6"/>
      <c r="KOI85" s="6"/>
      <c r="KOJ85" s="6"/>
      <c r="KOK85" s="6"/>
      <c r="KOL85" s="6"/>
      <c r="KOM85" s="6"/>
      <c r="KON85" s="6"/>
      <c r="KOO85" s="6"/>
      <c r="KOP85" s="6"/>
      <c r="KOQ85" s="6"/>
      <c r="KOR85" s="6"/>
      <c r="KOS85" s="6"/>
      <c r="KOT85" s="6"/>
      <c r="KOU85" s="6"/>
      <c r="KOV85" s="6"/>
      <c r="KOW85" s="6"/>
      <c r="KOX85" s="6"/>
      <c r="KOY85" s="6"/>
      <c r="KOZ85" s="6"/>
      <c r="KPA85" s="6"/>
      <c r="KPB85" s="6"/>
      <c r="KPC85" s="6"/>
      <c r="KPD85" s="6"/>
      <c r="KPE85" s="6"/>
      <c r="KPF85" s="6"/>
      <c r="KPG85" s="6"/>
      <c r="KPH85" s="6"/>
      <c r="KPI85" s="6"/>
      <c r="KPJ85" s="6"/>
      <c r="KPK85" s="6"/>
      <c r="KPL85" s="6"/>
      <c r="KPM85" s="6"/>
      <c r="KPN85" s="6"/>
      <c r="KPO85" s="6"/>
      <c r="KPP85" s="6"/>
      <c r="KPQ85" s="6"/>
      <c r="KPR85" s="6"/>
      <c r="KPS85" s="6"/>
      <c r="KPT85" s="6"/>
      <c r="KPU85" s="6"/>
      <c r="KPV85" s="6"/>
      <c r="KPW85" s="6"/>
      <c r="KPX85" s="6"/>
      <c r="KPY85" s="6"/>
      <c r="KPZ85" s="6"/>
      <c r="KQA85" s="6"/>
      <c r="KQB85" s="6"/>
      <c r="KQC85" s="6"/>
      <c r="KQD85" s="6"/>
      <c r="KQE85" s="6"/>
      <c r="KQF85" s="6"/>
      <c r="KQG85" s="6"/>
      <c r="KQH85" s="6"/>
      <c r="KQI85" s="6"/>
      <c r="KQJ85" s="6"/>
      <c r="KQK85" s="6"/>
      <c r="KQL85" s="6"/>
      <c r="KQM85" s="6"/>
      <c r="KQN85" s="6"/>
      <c r="KQO85" s="6"/>
      <c r="KQP85" s="6"/>
      <c r="KQQ85" s="6"/>
      <c r="KQR85" s="6"/>
      <c r="KQS85" s="6"/>
      <c r="KQT85" s="6"/>
      <c r="KQU85" s="6"/>
      <c r="KQV85" s="6"/>
      <c r="KQW85" s="6"/>
      <c r="KQX85" s="6"/>
      <c r="KQY85" s="6"/>
      <c r="KQZ85" s="6"/>
      <c r="KRA85" s="6"/>
      <c r="KRB85" s="6"/>
      <c r="KRC85" s="6"/>
      <c r="KRD85" s="6"/>
      <c r="KRE85" s="6"/>
      <c r="KRF85" s="6"/>
      <c r="KRG85" s="6"/>
      <c r="KRH85" s="6"/>
      <c r="KRI85" s="6"/>
      <c r="KRJ85" s="6"/>
      <c r="KRK85" s="6"/>
      <c r="KRL85" s="6"/>
      <c r="KRM85" s="6"/>
      <c r="KRN85" s="6"/>
      <c r="KRO85" s="6"/>
      <c r="KRP85" s="6"/>
      <c r="KRQ85" s="6"/>
      <c r="KRR85" s="6"/>
      <c r="KRS85" s="6"/>
      <c r="KRT85" s="6"/>
      <c r="KRU85" s="6"/>
      <c r="KRV85" s="6"/>
      <c r="KRW85" s="6"/>
      <c r="KRX85" s="6"/>
      <c r="KRY85" s="6"/>
      <c r="KRZ85" s="6"/>
      <c r="KSA85" s="6"/>
      <c r="KSB85" s="6"/>
      <c r="KSC85" s="6"/>
      <c r="KSD85" s="6"/>
      <c r="KSE85" s="6"/>
      <c r="KSF85" s="6"/>
      <c r="KSG85" s="6"/>
      <c r="KSH85" s="6"/>
      <c r="KSI85" s="6"/>
      <c r="KSJ85" s="6"/>
      <c r="KSK85" s="6"/>
      <c r="KSL85" s="6"/>
      <c r="KSM85" s="6"/>
      <c r="KSN85" s="6"/>
      <c r="KSO85" s="6"/>
      <c r="KSP85" s="6"/>
      <c r="KSQ85" s="6"/>
      <c r="KSR85" s="6"/>
      <c r="KSS85" s="6"/>
      <c r="KST85" s="6"/>
      <c r="KSU85" s="6"/>
      <c r="KSV85" s="6"/>
      <c r="KSW85" s="6"/>
      <c r="KSX85" s="6"/>
      <c r="KSY85" s="6"/>
      <c r="KSZ85" s="6"/>
      <c r="KTA85" s="6"/>
      <c r="KTB85" s="6"/>
      <c r="KTC85" s="6"/>
      <c r="KTD85" s="6"/>
      <c r="KTE85" s="6"/>
      <c r="KTF85" s="6"/>
      <c r="KTG85" s="6"/>
      <c r="KTH85" s="6"/>
      <c r="KTI85" s="6"/>
      <c r="KTJ85" s="6"/>
      <c r="KTK85" s="6"/>
      <c r="KTL85" s="6"/>
      <c r="KTM85" s="6"/>
      <c r="KTN85" s="6"/>
      <c r="KTO85" s="6"/>
      <c r="KTP85" s="6"/>
      <c r="KTQ85" s="6"/>
      <c r="KTR85" s="6"/>
      <c r="KTS85" s="6"/>
      <c r="KTT85" s="6"/>
      <c r="KTU85" s="6"/>
      <c r="KTV85" s="6"/>
      <c r="KTW85" s="6"/>
      <c r="KTX85" s="6"/>
      <c r="KTY85" s="6"/>
      <c r="KTZ85" s="6"/>
      <c r="KUA85" s="6"/>
      <c r="KUB85" s="6"/>
      <c r="KUC85" s="6"/>
      <c r="KUD85" s="6"/>
      <c r="KUE85" s="6"/>
      <c r="KUF85" s="6"/>
      <c r="KUG85" s="6"/>
      <c r="KUH85" s="6"/>
      <c r="KUI85" s="6"/>
      <c r="KUJ85" s="6"/>
      <c r="KUK85" s="6"/>
      <c r="KUL85" s="6"/>
      <c r="KUM85" s="6"/>
      <c r="KUN85" s="6"/>
      <c r="KUO85" s="6"/>
      <c r="KUP85" s="6"/>
      <c r="KUQ85" s="6"/>
      <c r="KUR85" s="6"/>
      <c r="KUS85" s="6"/>
      <c r="KUT85" s="6"/>
      <c r="KUU85" s="6"/>
      <c r="KUV85" s="6"/>
      <c r="KUW85" s="6"/>
      <c r="KUX85" s="6"/>
      <c r="KUY85" s="6"/>
      <c r="KUZ85" s="6"/>
      <c r="KVA85" s="6"/>
      <c r="KVB85" s="6"/>
      <c r="KVC85" s="6"/>
      <c r="KVD85" s="6"/>
      <c r="KVE85" s="6"/>
      <c r="KVF85" s="6"/>
      <c r="KVG85" s="6"/>
      <c r="KVH85" s="6"/>
      <c r="KVI85" s="6"/>
      <c r="KVJ85" s="6"/>
      <c r="KVK85" s="6"/>
      <c r="KVL85" s="6"/>
      <c r="KVM85" s="6"/>
      <c r="KVN85" s="6"/>
      <c r="KVO85" s="6"/>
      <c r="KVP85" s="6"/>
      <c r="KVQ85" s="6"/>
      <c r="KVR85" s="6"/>
      <c r="KVS85" s="6"/>
      <c r="KVT85" s="6"/>
      <c r="KVU85" s="6"/>
      <c r="KVV85" s="6"/>
      <c r="KVW85" s="6"/>
      <c r="KVX85" s="6"/>
      <c r="KVY85" s="6"/>
      <c r="KVZ85" s="6"/>
      <c r="KWA85" s="6"/>
      <c r="KWB85" s="6"/>
      <c r="KWC85" s="6"/>
      <c r="KWD85" s="6"/>
      <c r="KWE85" s="6"/>
      <c r="KWF85" s="6"/>
      <c r="KWG85" s="6"/>
      <c r="KWH85" s="6"/>
      <c r="KWI85" s="6"/>
      <c r="KWJ85" s="6"/>
      <c r="KWK85" s="6"/>
      <c r="KWL85" s="6"/>
      <c r="KWM85" s="6"/>
      <c r="KWN85" s="6"/>
      <c r="KWO85" s="6"/>
      <c r="KWP85" s="6"/>
      <c r="KWQ85" s="6"/>
      <c r="KWR85" s="6"/>
      <c r="KWS85" s="6"/>
      <c r="KWT85" s="6"/>
      <c r="KWU85" s="6"/>
      <c r="KWV85" s="6"/>
      <c r="KWW85" s="6"/>
      <c r="KWX85" s="6"/>
      <c r="KWY85" s="6"/>
      <c r="KWZ85" s="6"/>
      <c r="KXA85" s="6"/>
      <c r="KXB85" s="6"/>
      <c r="KXC85" s="6"/>
      <c r="KXD85" s="6"/>
      <c r="KXE85" s="6"/>
      <c r="KXF85" s="6"/>
      <c r="KXG85" s="6"/>
      <c r="KXH85" s="6"/>
      <c r="KXI85" s="6"/>
      <c r="KXJ85" s="6"/>
      <c r="KXK85" s="6"/>
      <c r="KXL85" s="6"/>
      <c r="KXM85" s="6"/>
      <c r="KXN85" s="6"/>
      <c r="KXO85" s="6"/>
      <c r="KXP85" s="6"/>
      <c r="KXQ85" s="6"/>
      <c r="KXR85" s="6"/>
      <c r="KXS85" s="6"/>
      <c r="KXT85" s="6"/>
      <c r="KXU85" s="6"/>
      <c r="KXV85" s="6"/>
      <c r="KXW85" s="6"/>
      <c r="KXX85" s="6"/>
      <c r="KXY85" s="6"/>
      <c r="KXZ85" s="6"/>
      <c r="KYA85" s="6"/>
      <c r="KYB85" s="6"/>
      <c r="KYC85" s="6"/>
      <c r="KYD85" s="6"/>
      <c r="KYE85" s="6"/>
      <c r="KYF85" s="6"/>
      <c r="KYG85" s="6"/>
      <c r="KYH85" s="6"/>
      <c r="KYI85" s="6"/>
      <c r="KYJ85" s="6"/>
      <c r="KYK85" s="6"/>
      <c r="KYL85" s="6"/>
      <c r="KYM85" s="6"/>
      <c r="KYN85" s="6"/>
      <c r="KYO85" s="6"/>
      <c r="KYP85" s="6"/>
      <c r="KYQ85" s="6"/>
      <c r="KYR85" s="6"/>
      <c r="KYS85" s="6"/>
      <c r="KYT85" s="6"/>
      <c r="KYU85" s="6"/>
      <c r="KYV85" s="6"/>
      <c r="KYW85" s="6"/>
      <c r="KYX85" s="6"/>
      <c r="KYY85" s="6"/>
      <c r="KYZ85" s="6"/>
      <c r="KZA85" s="6"/>
      <c r="KZB85" s="6"/>
      <c r="KZC85" s="6"/>
      <c r="KZD85" s="6"/>
      <c r="KZE85" s="6"/>
      <c r="KZF85" s="6"/>
      <c r="KZG85" s="6"/>
      <c r="KZH85" s="6"/>
      <c r="KZI85" s="6"/>
      <c r="KZJ85" s="6"/>
      <c r="KZK85" s="6"/>
      <c r="KZL85" s="6"/>
      <c r="KZM85" s="6"/>
      <c r="KZN85" s="6"/>
      <c r="KZO85" s="6"/>
      <c r="KZP85" s="6"/>
      <c r="KZQ85" s="6"/>
      <c r="KZR85" s="6"/>
      <c r="KZS85" s="6"/>
      <c r="KZT85" s="6"/>
      <c r="KZU85" s="6"/>
      <c r="KZV85" s="6"/>
      <c r="KZW85" s="6"/>
      <c r="KZX85" s="6"/>
      <c r="KZY85" s="6"/>
      <c r="KZZ85" s="6"/>
      <c r="LAA85" s="6"/>
      <c r="LAB85" s="6"/>
      <c r="LAC85" s="6"/>
      <c r="LAD85" s="6"/>
      <c r="LAE85" s="6"/>
      <c r="LAF85" s="6"/>
      <c r="LAG85" s="6"/>
      <c r="LAH85" s="6"/>
      <c r="LAI85" s="6"/>
      <c r="LAJ85" s="6"/>
      <c r="LAK85" s="6"/>
      <c r="LAL85" s="6"/>
      <c r="LAM85" s="6"/>
      <c r="LAN85" s="6"/>
      <c r="LAO85" s="6"/>
      <c r="LAP85" s="6"/>
      <c r="LAQ85" s="6"/>
      <c r="LAR85" s="6"/>
      <c r="LAS85" s="6"/>
      <c r="LAT85" s="6"/>
      <c r="LAU85" s="6"/>
      <c r="LAV85" s="6"/>
      <c r="LAW85" s="6"/>
      <c r="LAX85" s="6"/>
      <c r="LAY85" s="6"/>
      <c r="LAZ85" s="6"/>
      <c r="LBA85" s="6"/>
      <c r="LBB85" s="6"/>
      <c r="LBC85" s="6"/>
      <c r="LBD85" s="6"/>
      <c r="LBE85" s="6"/>
      <c r="LBF85" s="6"/>
      <c r="LBG85" s="6"/>
      <c r="LBH85" s="6"/>
      <c r="LBI85" s="6"/>
      <c r="LBJ85" s="6"/>
      <c r="LBK85" s="6"/>
      <c r="LBL85" s="6"/>
      <c r="LBM85" s="6"/>
      <c r="LBN85" s="6"/>
      <c r="LBO85" s="6"/>
      <c r="LBP85" s="6"/>
      <c r="LBQ85" s="6"/>
      <c r="LBR85" s="6"/>
      <c r="LBS85" s="6"/>
      <c r="LBT85" s="6"/>
      <c r="LBU85" s="6"/>
      <c r="LBV85" s="6"/>
      <c r="LBW85" s="6"/>
      <c r="LBX85" s="6"/>
      <c r="LBY85" s="6"/>
      <c r="LBZ85" s="6"/>
      <c r="LCA85" s="6"/>
      <c r="LCB85" s="6"/>
      <c r="LCC85" s="6"/>
      <c r="LCD85" s="6"/>
      <c r="LCE85" s="6"/>
      <c r="LCF85" s="6"/>
      <c r="LCG85" s="6"/>
      <c r="LCH85" s="6"/>
      <c r="LCI85" s="6"/>
      <c r="LCJ85" s="6"/>
      <c r="LCK85" s="6"/>
      <c r="LCL85" s="6"/>
      <c r="LCM85" s="6"/>
      <c r="LCN85" s="6"/>
      <c r="LCO85" s="6"/>
      <c r="LCP85" s="6"/>
      <c r="LCQ85" s="6"/>
      <c r="LCR85" s="6"/>
      <c r="LCS85" s="6"/>
      <c r="LCT85" s="6"/>
      <c r="LCU85" s="6"/>
      <c r="LCV85" s="6"/>
      <c r="LCW85" s="6"/>
      <c r="LCX85" s="6"/>
      <c r="LCY85" s="6"/>
      <c r="LCZ85" s="6"/>
      <c r="LDA85" s="6"/>
      <c r="LDB85" s="6"/>
      <c r="LDC85" s="6"/>
      <c r="LDD85" s="6"/>
      <c r="LDE85" s="6"/>
      <c r="LDF85" s="6"/>
      <c r="LDG85" s="6"/>
      <c r="LDH85" s="6"/>
      <c r="LDI85" s="6"/>
      <c r="LDJ85" s="6"/>
      <c r="LDK85" s="6"/>
      <c r="LDL85" s="6"/>
      <c r="LDM85" s="6"/>
      <c r="LDN85" s="6"/>
      <c r="LDO85" s="6"/>
      <c r="LDP85" s="6"/>
      <c r="LDQ85" s="6"/>
      <c r="LDR85" s="6"/>
      <c r="LDS85" s="6"/>
      <c r="LDT85" s="6"/>
      <c r="LDU85" s="6"/>
      <c r="LDV85" s="6"/>
      <c r="LDW85" s="6"/>
      <c r="LDX85" s="6"/>
      <c r="LDY85" s="6"/>
      <c r="LDZ85" s="6"/>
      <c r="LEA85" s="6"/>
      <c r="LEB85" s="6"/>
      <c r="LEC85" s="6"/>
      <c r="LED85" s="6"/>
      <c r="LEE85" s="6"/>
      <c r="LEF85" s="6"/>
      <c r="LEG85" s="6"/>
      <c r="LEH85" s="6"/>
      <c r="LEI85" s="6"/>
      <c r="LEJ85" s="6"/>
      <c r="LEK85" s="6"/>
      <c r="LEL85" s="6"/>
      <c r="LEM85" s="6"/>
      <c r="LEN85" s="6"/>
      <c r="LEO85" s="6"/>
      <c r="LEP85" s="6"/>
      <c r="LEQ85" s="6"/>
      <c r="LER85" s="6"/>
      <c r="LES85" s="6"/>
      <c r="LET85" s="6"/>
      <c r="LEU85" s="6"/>
      <c r="LEV85" s="6"/>
      <c r="LEW85" s="6"/>
      <c r="LEX85" s="6"/>
      <c r="LEY85" s="6"/>
      <c r="LEZ85" s="6"/>
      <c r="LFA85" s="6"/>
      <c r="LFB85" s="6"/>
      <c r="LFC85" s="6"/>
      <c r="LFD85" s="6"/>
      <c r="LFE85" s="6"/>
      <c r="LFF85" s="6"/>
      <c r="LFG85" s="6"/>
      <c r="LFH85" s="6"/>
      <c r="LFI85" s="6"/>
      <c r="LFJ85" s="6"/>
      <c r="LFK85" s="6"/>
      <c r="LFL85" s="6"/>
      <c r="LFM85" s="6"/>
      <c r="LFN85" s="6"/>
      <c r="LFO85" s="6"/>
      <c r="LFP85" s="6"/>
      <c r="LFQ85" s="6"/>
      <c r="LFR85" s="6"/>
      <c r="LFS85" s="6"/>
      <c r="LFT85" s="6"/>
      <c r="LFU85" s="6"/>
      <c r="LFV85" s="6"/>
      <c r="LFW85" s="6"/>
      <c r="LFX85" s="6"/>
      <c r="LFY85" s="6"/>
      <c r="LFZ85" s="6"/>
      <c r="LGA85" s="6"/>
      <c r="LGB85" s="6"/>
      <c r="LGC85" s="6"/>
      <c r="LGD85" s="6"/>
      <c r="LGE85" s="6"/>
      <c r="LGF85" s="6"/>
      <c r="LGG85" s="6"/>
      <c r="LGH85" s="6"/>
      <c r="LGI85" s="6"/>
      <c r="LGJ85" s="6"/>
      <c r="LGK85" s="6"/>
      <c r="LGL85" s="6"/>
      <c r="LGM85" s="6"/>
      <c r="LGN85" s="6"/>
      <c r="LGO85" s="6"/>
      <c r="LGP85" s="6"/>
      <c r="LGQ85" s="6"/>
      <c r="LGR85" s="6"/>
      <c r="LGS85" s="6"/>
      <c r="LGT85" s="6"/>
      <c r="LGU85" s="6"/>
      <c r="LGV85" s="6"/>
      <c r="LGW85" s="6"/>
      <c r="LGX85" s="6"/>
      <c r="LGY85" s="6"/>
      <c r="LGZ85" s="6"/>
      <c r="LHA85" s="6"/>
      <c r="LHB85" s="6"/>
      <c r="LHC85" s="6"/>
      <c r="LHD85" s="6"/>
      <c r="LHE85" s="6"/>
      <c r="LHF85" s="6"/>
      <c r="LHG85" s="6"/>
      <c r="LHH85" s="6"/>
      <c r="LHI85" s="6"/>
      <c r="LHJ85" s="6"/>
      <c r="LHK85" s="6"/>
      <c r="LHL85" s="6"/>
      <c r="LHM85" s="6"/>
      <c r="LHN85" s="6"/>
      <c r="LHO85" s="6"/>
      <c r="LHP85" s="6"/>
      <c r="LHQ85" s="6"/>
      <c r="LHR85" s="6"/>
      <c r="LHS85" s="6"/>
      <c r="LHT85" s="6"/>
      <c r="LHU85" s="6"/>
      <c r="LHV85" s="6"/>
      <c r="LHW85" s="6"/>
      <c r="LHX85" s="6"/>
      <c r="LHY85" s="6"/>
      <c r="LHZ85" s="6"/>
      <c r="LIA85" s="6"/>
      <c r="LIB85" s="6"/>
      <c r="LIC85" s="6"/>
      <c r="LID85" s="6"/>
      <c r="LIE85" s="6"/>
      <c r="LIF85" s="6"/>
      <c r="LIG85" s="6"/>
      <c r="LIH85" s="6"/>
      <c r="LII85" s="6"/>
      <c r="LIJ85" s="6"/>
      <c r="LIK85" s="6"/>
      <c r="LIL85" s="6"/>
      <c r="LIM85" s="6"/>
      <c r="LIN85" s="6"/>
      <c r="LIO85" s="6"/>
      <c r="LIP85" s="6"/>
      <c r="LIQ85" s="6"/>
      <c r="LIR85" s="6"/>
      <c r="LIS85" s="6"/>
      <c r="LIT85" s="6"/>
      <c r="LIU85" s="6"/>
      <c r="LIV85" s="6"/>
      <c r="LIW85" s="6"/>
      <c r="LIX85" s="6"/>
      <c r="LIY85" s="6"/>
      <c r="LIZ85" s="6"/>
      <c r="LJA85" s="6"/>
      <c r="LJB85" s="6"/>
      <c r="LJC85" s="6"/>
      <c r="LJD85" s="6"/>
      <c r="LJE85" s="6"/>
      <c r="LJF85" s="6"/>
      <c r="LJG85" s="6"/>
      <c r="LJH85" s="6"/>
      <c r="LJI85" s="6"/>
      <c r="LJJ85" s="6"/>
      <c r="LJK85" s="6"/>
      <c r="LJL85" s="6"/>
      <c r="LJM85" s="6"/>
      <c r="LJN85" s="6"/>
      <c r="LJO85" s="6"/>
      <c r="LJP85" s="6"/>
      <c r="LJQ85" s="6"/>
      <c r="LJR85" s="6"/>
      <c r="LJS85" s="6"/>
      <c r="LJT85" s="6"/>
      <c r="LJU85" s="6"/>
      <c r="LJV85" s="6"/>
      <c r="LJW85" s="6"/>
      <c r="LJX85" s="6"/>
      <c r="LJY85" s="6"/>
      <c r="LJZ85" s="6"/>
      <c r="LKA85" s="6"/>
      <c r="LKB85" s="6"/>
      <c r="LKC85" s="6"/>
      <c r="LKD85" s="6"/>
      <c r="LKE85" s="6"/>
      <c r="LKF85" s="6"/>
      <c r="LKG85" s="6"/>
      <c r="LKH85" s="6"/>
      <c r="LKI85" s="6"/>
      <c r="LKJ85" s="6"/>
      <c r="LKK85" s="6"/>
      <c r="LKL85" s="6"/>
      <c r="LKM85" s="6"/>
      <c r="LKN85" s="6"/>
      <c r="LKO85" s="6"/>
      <c r="LKP85" s="6"/>
      <c r="LKQ85" s="6"/>
      <c r="LKR85" s="6"/>
      <c r="LKS85" s="6"/>
      <c r="LKT85" s="6"/>
      <c r="LKU85" s="6"/>
      <c r="LKV85" s="6"/>
      <c r="LKW85" s="6"/>
      <c r="LKX85" s="6"/>
      <c r="LKY85" s="6"/>
      <c r="LKZ85" s="6"/>
      <c r="LLA85" s="6"/>
      <c r="LLB85" s="6"/>
      <c r="LLC85" s="6"/>
      <c r="LLD85" s="6"/>
      <c r="LLE85" s="6"/>
      <c r="LLF85" s="6"/>
      <c r="LLG85" s="6"/>
      <c r="LLH85" s="6"/>
      <c r="LLI85" s="6"/>
      <c r="LLJ85" s="6"/>
      <c r="LLK85" s="6"/>
      <c r="LLL85" s="6"/>
      <c r="LLM85" s="6"/>
      <c r="LLN85" s="6"/>
      <c r="LLO85" s="6"/>
      <c r="LLP85" s="6"/>
      <c r="LLQ85" s="6"/>
      <c r="LLR85" s="6"/>
      <c r="LLS85" s="6"/>
      <c r="LLT85" s="6"/>
      <c r="LLU85" s="6"/>
      <c r="LLV85" s="6"/>
      <c r="LLW85" s="6"/>
      <c r="LLX85" s="6"/>
      <c r="LLY85" s="6"/>
      <c r="LLZ85" s="6"/>
      <c r="LMA85" s="6"/>
      <c r="LMB85" s="6"/>
      <c r="LMC85" s="6"/>
      <c r="LMD85" s="6"/>
      <c r="LME85" s="6"/>
      <c r="LMF85" s="6"/>
      <c r="LMG85" s="6"/>
      <c r="LMH85" s="6"/>
      <c r="LMI85" s="6"/>
      <c r="LMJ85" s="6"/>
      <c r="LMK85" s="6"/>
      <c r="LML85" s="6"/>
      <c r="LMM85" s="6"/>
      <c r="LMN85" s="6"/>
      <c r="LMO85" s="6"/>
      <c r="LMP85" s="6"/>
      <c r="LMQ85" s="6"/>
      <c r="LMR85" s="6"/>
      <c r="LMS85" s="6"/>
      <c r="LMT85" s="6"/>
      <c r="LMU85" s="6"/>
      <c r="LMV85" s="6"/>
      <c r="LMW85" s="6"/>
      <c r="LMX85" s="6"/>
      <c r="LMY85" s="6"/>
      <c r="LMZ85" s="6"/>
      <c r="LNA85" s="6"/>
      <c r="LNB85" s="6"/>
      <c r="LNC85" s="6"/>
      <c r="LND85" s="6"/>
      <c r="LNE85" s="6"/>
      <c r="LNF85" s="6"/>
      <c r="LNG85" s="6"/>
      <c r="LNH85" s="6"/>
      <c r="LNI85" s="6"/>
      <c r="LNJ85" s="6"/>
      <c r="LNK85" s="6"/>
      <c r="LNL85" s="6"/>
      <c r="LNM85" s="6"/>
      <c r="LNN85" s="6"/>
      <c r="LNO85" s="6"/>
      <c r="LNP85" s="6"/>
      <c r="LNQ85" s="6"/>
      <c r="LNR85" s="6"/>
      <c r="LNS85" s="6"/>
      <c r="LNT85" s="6"/>
      <c r="LNU85" s="6"/>
      <c r="LNV85" s="6"/>
      <c r="LNW85" s="6"/>
      <c r="LNX85" s="6"/>
      <c r="LNY85" s="6"/>
      <c r="LNZ85" s="6"/>
      <c r="LOA85" s="6"/>
      <c r="LOB85" s="6"/>
      <c r="LOC85" s="6"/>
      <c r="LOD85" s="6"/>
      <c r="LOE85" s="6"/>
      <c r="LOF85" s="6"/>
      <c r="LOG85" s="6"/>
      <c r="LOH85" s="6"/>
      <c r="LOI85" s="6"/>
      <c r="LOJ85" s="6"/>
      <c r="LOK85" s="6"/>
      <c r="LOL85" s="6"/>
      <c r="LOM85" s="6"/>
      <c r="LON85" s="6"/>
      <c r="LOO85" s="6"/>
      <c r="LOP85" s="6"/>
      <c r="LOQ85" s="6"/>
      <c r="LOR85" s="6"/>
      <c r="LOS85" s="6"/>
      <c r="LOT85" s="6"/>
      <c r="LOU85" s="6"/>
      <c r="LOV85" s="6"/>
      <c r="LOW85" s="6"/>
      <c r="LOX85" s="6"/>
      <c r="LOY85" s="6"/>
      <c r="LOZ85" s="6"/>
      <c r="LPA85" s="6"/>
      <c r="LPB85" s="6"/>
      <c r="LPC85" s="6"/>
      <c r="LPD85" s="6"/>
      <c r="LPE85" s="6"/>
      <c r="LPF85" s="6"/>
      <c r="LPG85" s="6"/>
      <c r="LPH85" s="6"/>
      <c r="LPI85" s="6"/>
      <c r="LPJ85" s="6"/>
      <c r="LPK85" s="6"/>
      <c r="LPL85" s="6"/>
      <c r="LPM85" s="6"/>
      <c r="LPN85" s="6"/>
      <c r="LPO85" s="6"/>
      <c r="LPP85" s="6"/>
      <c r="LPQ85" s="6"/>
      <c r="LPR85" s="6"/>
      <c r="LPS85" s="6"/>
      <c r="LPT85" s="6"/>
      <c r="LPU85" s="6"/>
      <c r="LPV85" s="6"/>
      <c r="LPW85" s="6"/>
      <c r="LPX85" s="6"/>
      <c r="LPY85" s="6"/>
      <c r="LPZ85" s="6"/>
      <c r="LQA85" s="6"/>
      <c r="LQB85" s="6"/>
      <c r="LQC85" s="6"/>
      <c r="LQD85" s="6"/>
      <c r="LQE85" s="6"/>
      <c r="LQF85" s="6"/>
      <c r="LQG85" s="6"/>
      <c r="LQH85" s="6"/>
      <c r="LQI85" s="6"/>
      <c r="LQJ85" s="6"/>
      <c r="LQK85" s="6"/>
      <c r="LQL85" s="6"/>
      <c r="LQM85" s="6"/>
      <c r="LQN85" s="6"/>
      <c r="LQO85" s="6"/>
      <c r="LQP85" s="6"/>
      <c r="LQQ85" s="6"/>
      <c r="LQR85" s="6"/>
      <c r="LQS85" s="6"/>
      <c r="LQT85" s="6"/>
      <c r="LQU85" s="6"/>
      <c r="LQV85" s="6"/>
      <c r="LQW85" s="6"/>
      <c r="LQX85" s="6"/>
      <c r="LQY85" s="6"/>
      <c r="LQZ85" s="6"/>
      <c r="LRA85" s="6"/>
      <c r="LRB85" s="6"/>
      <c r="LRC85" s="6"/>
      <c r="LRD85" s="6"/>
      <c r="LRE85" s="6"/>
      <c r="LRF85" s="6"/>
      <c r="LRG85" s="6"/>
      <c r="LRH85" s="6"/>
      <c r="LRI85" s="6"/>
      <c r="LRJ85" s="6"/>
      <c r="LRK85" s="6"/>
      <c r="LRL85" s="6"/>
      <c r="LRM85" s="6"/>
      <c r="LRN85" s="6"/>
      <c r="LRO85" s="6"/>
      <c r="LRP85" s="6"/>
      <c r="LRQ85" s="6"/>
      <c r="LRR85" s="6"/>
      <c r="LRS85" s="6"/>
      <c r="LRT85" s="6"/>
      <c r="LRU85" s="6"/>
      <c r="LRV85" s="6"/>
      <c r="LRW85" s="6"/>
      <c r="LRX85" s="6"/>
      <c r="LRY85" s="6"/>
      <c r="LRZ85" s="6"/>
      <c r="LSA85" s="6"/>
      <c r="LSB85" s="6"/>
      <c r="LSC85" s="6"/>
      <c r="LSD85" s="6"/>
      <c r="LSE85" s="6"/>
      <c r="LSF85" s="6"/>
      <c r="LSG85" s="6"/>
      <c r="LSH85" s="6"/>
      <c r="LSI85" s="6"/>
      <c r="LSJ85" s="6"/>
      <c r="LSK85" s="6"/>
      <c r="LSL85" s="6"/>
      <c r="LSM85" s="6"/>
      <c r="LSN85" s="6"/>
      <c r="LSO85" s="6"/>
      <c r="LSP85" s="6"/>
      <c r="LSQ85" s="6"/>
      <c r="LSR85" s="6"/>
      <c r="LSS85" s="6"/>
      <c r="LST85" s="6"/>
      <c r="LSU85" s="6"/>
      <c r="LSV85" s="6"/>
      <c r="LSW85" s="6"/>
      <c r="LSX85" s="6"/>
      <c r="LSY85" s="6"/>
      <c r="LSZ85" s="6"/>
      <c r="LTA85" s="6"/>
      <c r="LTB85" s="6"/>
      <c r="LTC85" s="6"/>
      <c r="LTD85" s="6"/>
      <c r="LTE85" s="6"/>
      <c r="LTF85" s="6"/>
      <c r="LTG85" s="6"/>
      <c r="LTH85" s="6"/>
      <c r="LTI85" s="6"/>
      <c r="LTJ85" s="6"/>
      <c r="LTK85" s="6"/>
      <c r="LTL85" s="6"/>
      <c r="LTM85" s="6"/>
      <c r="LTN85" s="6"/>
      <c r="LTO85" s="6"/>
      <c r="LTP85" s="6"/>
      <c r="LTQ85" s="6"/>
      <c r="LTR85" s="6"/>
      <c r="LTS85" s="6"/>
      <c r="LTT85" s="6"/>
      <c r="LTU85" s="6"/>
      <c r="LTV85" s="6"/>
      <c r="LTW85" s="6"/>
      <c r="LTX85" s="6"/>
      <c r="LTY85" s="6"/>
      <c r="LTZ85" s="6"/>
      <c r="LUA85" s="6"/>
      <c r="LUB85" s="6"/>
      <c r="LUC85" s="6"/>
      <c r="LUD85" s="6"/>
      <c r="LUE85" s="6"/>
      <c r="LUF85" s="6"/>
      <c r="LUG85" s="6"/>
      <c r="LUH85" s="6"/>
      <c r="LUI85" s="6"/>
      <c r="LUJ85" s="6"/>
      <c r="LUK85" s="6"/>
      <c r="LUL85" s="6"/>
      <c r="LUM85" s="6"/>
      <c r="LUN85" s="6"/>
      <c r="LUO85" s="6"/>
      <c r="LUP85" s="6"/>
      <c r="LUQ85" s="6"/>
      <c r="LUR85" s="6"/>
      <c r="LUS85" s="6"/>
      <c r="LUT85" s="6"/>
      <c r="LUU85" s="6"/>
      <c r="LUV85" s="6"/>
      <c r="LUW85" s="6"/>
      <c r="LUX85" s="6"/>
      <c r="LUY85" s="6"/>
      <c r="LUZ85" s="6"/>
      <c r="LVA85" s="6"/>
      <c r="LVB85" s="6"/>
      <c r="LVC85" s="6"/>
      <c r="LVD85" s="6"/>
      <c r="LVE85" s="6"/>
      <c r="LVF85" s="6"/>
      <c r="LVG85" s="6"/>
      <c r="LVH85" s="6"/>
      <c r="LVI85" s="6"/>
      <c r="LVJ85" s="6"/>
      <c r="LVK85" s="6"/>
      <c r="LVL85" s="6"/>
      <c r="LVM85" s="6"/>
      <c r="LVN85" s="6"/>
      <c r="LVO85" s="6"/>
      <c r="LVP85" s="6"/>
      <c r="LVQ85" s="6"/>
      <c r="LVR85" s="6"/>
      <c r="LVS85" s="6"/>
      <c r="LVT85" s="6"/>
      <c r="LVU85" s="6"/>
      <c r="LVV85" s="6"/>
      <c r="LVW85" s="6"/>
      <c r="LVX85" s="6"/>
      <c r="LVY85" s="6"/>
      <c r="LVZ85" s="6"/>
      <c r="LWA85" s="6"/>
      <c r="LWB85" s="6"/>
      <c r="LWC85" s="6"/>
      <c r="LWD85" s="6"/>
      <c r="LWE85" s="6"/>
      <c r="LWF85" s="6"/>
      <c r="LWG85" s="6"/>
      <c r="LWH85" s="6"/>
      <c r="LWI85" s="6"/>
      <c r="LWJ85" s="6"/>
      <c r="LWK85" s="6"/>
      <c r="LWL85" s="6"/>
      <c r="LWM85" s="6"/>
      <c r="LWN85" s="6"/>
      <c r="LWO85" s="6"/>
      <c r="LWP85" s="6"/>
      <c r="LWQ85" s="6"/>
      <c r="LWR85" s="6"/>
      <c r="LWS85" s="6"/>
      <c r="LWT85" s="6"/>
      <c r="LWU85" s="6"/>
      <c r="LWV85" s="6"/>
      <c r="LWW85" s="6"/>
      <c r="LWX85" s="6"/>
      <c r="LWY85" s="6"/>
      <c r="LWZ85" s="6"/>
      <c r="LXA85" s="6"/>
      <c r="LXB85" s="6"/>
      <c r="LXC85" s="6"/>
      <c r="LXD85" s="6"/>
      <c r="LXE85" s="6"/>
      <c r="LXF85" s="6"/>
      <c r="LXG85" s="6"/>
      <c r="LXH85" s="6"/>
      <c r="LXI85" s="6"/>
      <c r="LXJ85" s="6"/>
      <c r="LXK85" s="6"/>
      <c r="LXL85" s="6"/>
      <c r="LXM85" s="6"/>
      <c r="LXN85" s="6"/>
      <c r="LXO85" s="6"/>
      <c r="LXP85" s="6"/>
      <c r="LXQ85" s="6"/>
      <c r="LXR85" s="6"/>
      <c r="LXS85" s="6"/>
      <c r="LXT85" s="6"/>
      <c r="LXU85" s="6"/>
      <c r="LXV85" s="6"/>
      <c r="LXW85" s="6"/>
      <c r="LXX85" s="6"/>
      <c r="LXY85" s="6"/>
      <c r="LXZ85" s="6"/>
      <c r="LYA85" s="6"/>
      <c r="LYB85" s="6"/>
      <c r="LYC85" s="6"/>
      <c r="LYD85" s="6"/>
      <c r="LYE85" s="6"/>
      <c r="LYF85" s="6"/>
      <c r="LYG85" s="6"/>
      <c r="LYH85" s="6"/>
      <c r="LYI85" s="6"/>
      <c r="LYJ85" s="6"/>
      <c r="LYK85" s="6"/>
      <c r="LYL85" s="6"/>
      <c r="LYM85" s="6"/>
      <c r="LYN85" s="6"/>
      <c r="LYO85" s="6"/>
      <c r="LYP85" s="6"/>
      <c r="LYQ85" s="6"/>
      <c r="LYR85" s="6"/>
      <c r="LYS85" s="6"/>
      <c r="LYT85" s="6"/>
      <c r="LYU85" s="6"/>
      <c r="LYV85" s="6"/>
      <c r="LYW85" s="6"/>
      <c r="LYX85" s="6"/>
      <c r="LYY85" s="6"/>
      <c r="LYZ85" s="6"/>
      <c r="LZA85" s="6"/>
      <c r="LZB85" s="6"/>
      <c r="LZC85" s="6"/>
      <c r="LZD85" s="6"/>
      <c r="LZE85" s="6"/>
      <c r="LZF85" s="6"/>
      <c r="LZG85" s="6"/>
      <c r="LZH85" s="6"/>
      <c r="LZI85" s="6"/>
      <c r="LZJ85" s="6"/>
      <c r="LZK85" s="6"/>
      <c r="LZL85" s="6"/>
      <c r="LZM85" s="6"/>
      <c r="LZN85" s="6"/>
      <c r="LZO85" s="6"/>
      <c r="LZP85" s="6"/>
      <c r="LZQ85" s="6"/>
      <c r="LZR85" s="6"/>
      <c r="LZS85" s="6"/>
      <c r="LZT85" s="6"/>
      <c r="LZU85" s="6"/>
      <c r="LZV85" s="6"/>
      <c r="LZW85" s="6"/>
      <c r="LZX85" s="6"/>
      <c r="LZY85" s="6"/>
      <c r="LZZ85" s="6"/>
      <c r="MAA85" s="6"/>
      <c r="MAB85" s="6"/>
      <c r="MAC85" s="6"/>
      <c r="MAD85" s="6"/>
      <c r="MAE85" s="6"/>
      <c r="MAF85" s="6"/>
      <c r="MAG85" s="6"/>
      <c r="MAH85" s="6"/>
      <c r="MAI85" s="6"/>
      <c r="MAJ85" s="6"/>
      <c r="MAK85" s="6"/>
      <c r="MAL85" s="6"/>
      <c r="MAM85" s="6"/>
      <c r="MAN85" s="6"/>
      <c r="MAO85" s="6"/>
      <c r="MAP85" s="6"/>
      <c r="MAQ85" s="6"/>
      <c r="MAR85" s="6"/>
      <c r="MAS85" s="6"/>
      <c r="MAT85" s="6"/>
      <c r="MAU85" s="6"/>
      <c r="MAV85" s="6"/>
      <c r="MAW85" s="6"/>
      <c r="MAX85" s="6"/>
      <c r="MAY85" s="6"/>
      <c r="MAZ85" s="6"/>
      <c r="MBA85" s="6"/>
      <c r="MBB85" s="6"/>
      <c r="MBC85" s="6"/>
      <c r="MBD85" s="6"/>
      <c r="MBE85" s="6"/>
      <c r="MBF85" s="6"/>
      <c r="MBG85" s="6"/>
      <c r="MBH85" s="6"/>
      <c r="MBI85" s="6"/>
      <c r="MBJ85" s="6"/>
      <c r="MBK85" s="6"/>
      <c r="MBL85" s="6"/>
      <c r="MBM85" s="6"/>
      <c r="MBN85" s="6"/>
      <c r="MBO85" s="6"/>
      <c r="MBP85" s="6"/>
      <c r="MBQ85" s="6"/>
      <c r="MBR85" s="6"/>
      <c r="MBS85" s="6"/>
      <c r="MBT85" s="6"/>
      <c r="MBU85" s="6"/>
      <c r="MBV85" s="6"/>
      <c r="MBW85" s="6"/>
      <c r="MBX85" s="6"/>
      <c r="MBY85" s="6"/>
      <c r="MBZ85" s="6"/>
      <c r="MCA85" s="6"/>
      <c r="MCB85" s="6"/>
      <c r="MCC85" s="6"/>
      <c r="MCD85" s="6"/>
      <c r="MCE85" s="6"/>
      <c r="MCF85" s="6"/>
      <c r="MCG85" s="6"/>
      <c r="MCH85" s="6"/>
      <c r="MCI85" s="6"/>
      <c r="MCJ85" s="6"/>
      <c r="MCK85" s="6"/>
      <c r="MCL85" s="6"/>
      <c r="MCM85" s="6"/>
      <c r="MCN85" s="6"/>
      <c r="MCO85" s="6"/>
      <c r="MCP85" s="6"/>
      <c r="MCQ85" s="6"/>
      <c r="MCR85" s="6"/>
      <c r="MCS85" s="6"/>
      <c r="MCT85" s="6"/>
      <c r="MCU85" s="6"/>
      <c r="MCV85" s="6"/>
      <c r="MCW85" s="6"/>
      <c r="MCX85" s="6"/>
      <c r="MCY85" s="6"/>
      <c r="MCZ85" s="6"/>
      <c r="MDA85" s="6"/>
      <c r="MDB85" s="6"/>
      <c r="MDC85" s="6"/>
      <c r="MDD85" s="6"/>
      <c r="MDE85" s="6"/>
      <c r="MDF85" s="6"/>
      <c r="MDG85" s="6"/>
      <c r="MDH85" s="6"/>
      <c r="MDI85" s="6"/>
      <c r="MDJ85" s="6"/>
      <c r="MDK85" s="6"/>
      <c r="MDL85" s="6"/>
      <c r="MDM85" s="6"/>
      <c r="MDN85" s="6"/>
      <c r="MDO85" s="6"/>
      <c r="MDP85" s="6"/>
      <c r="MDQ85" s="6"/>
      <c r="MDR85" s="6"/>
      <c r="MDS85" s="6"/>
      <c r="MDT85" s="6"/>
      <c r="MDU85" s="6"/>
      <c r="MDV85" s="6"/>
      <c r="MDW85" s="6"/>
      <c r="MDX85" s="6"/>
      <c r="MDY85" s="6"/>
      <c r="MDZ85" s="6"/>
      <c r="MEA85" s="6"/>
      <c r="MEB85" s="6"/>
      <c r="MEC85" s="6"/>
      <c r="MED85" s="6"/>
      <c r="MEE85" s="6"/>
      <c r="MEF85" s="6"/>
      <c r="MEG85" s="6"/>
      <c r="MEH85" s="6"/>
      <c r="MEI85" s="6"/>
      <c r="MEJ85" s="6"/>
      <c r="MEK85" s="6"/>
      <c r="MEL85" s="6"/>
      <c r="MEM85" s="6"/>
      <c r="MEN85" s="6"/>
      <c r="MEO85" s="6"/>
      <c r="MEP85" s="6"/>
      <c r="MEQ85" s="6"/>
      <c r="MER85" s="6"/>
      <c r="MES85" s="6"/>
      <c r="MET85" s="6"/>
      <c r="MEU85" s="6"/>
      <c r="MEV85" s="6"/>
      <c r="MEW85" s="6"/>
      <c r="MEX85" s="6"/>
      <c r="MEY85" s="6"/>
      <c r="MEZ85" s="6"/>
      <c r="MFA85" s="6"/>
      <c r="MFB85" s="6"/>
      <c r="MFC85" s="6"/>
      <c r="MFD85" s="6"/>
      <c r="MFE85" s="6"/>
      <c r="MFF85" s="6"/>
      <c r="MFG85" s="6"/>
      <c r="MFH85" s="6"/>
      <c r="MFI85" s="6"/>
      <c r="MFJ85" s="6"/>
      <c r="MFK85" s="6"/>
      <c r="MFL85" s="6"/>
      <c r="MFM85" s="6"/>
      <c r="MFN85" s="6"/>
      <c r="MFO85" s="6"/>
      <c r="MFP85" s="6"/>
      <c r="MFQ85" s="6"/>
      <c r="MFR85" s="6"/>
      <c r="MFS85" s="6"/>
      <c r="MFT85" s="6"/>
      <c r="MFU85" s="6"/>
      <c r="MFV85" s="6"/>
      <c r="MFW85" s="6"/>
      <c r="MFX85" s="6"/>
      <c r="MFY85" s="6"/>
      <c r="MFZ85" s="6"/>
      <c r="MGA85" s="6"/>
      <c r="MGB85" s="6"/>
      <c r="MGC85" s="6"/>
      <c r="MGD85" s="6"/>
      <c r="MGE85" s="6"/>
      <c r="MGF85" s="6"/>
      <c r="MGG85" s="6"/>
      <c r="MGH85" s="6"/>
      <c r="MGI85" s="6"/>
      <c r="MGJ85" s="6"/>
      <c r="MGK85" s="6"/>
      <c r="MGL85" s="6"/>
      <c r="MGM85" s="6"/>
      <c r="MGN85" s="6"/>
      <c r="MGO85" s="6"/>
      <c r="MGP85" s="6"/>
      <c r="MGQ85" s="6"/>
      <c r="MGR85" s="6"/>
      <c r="MGS85" s="6"/>
      <c r="MGT85" s="6"/>
      <c r="MGU85" s="6"/>
      <c r="MGV85" s="6"/>
      <c r="MGW85" s="6"/>
      <c r="MGX85" s="6"/>
      <c r="MGY85" s="6"/>
      <c r="MGZ85" s="6"/>
      <c r="MHA85" s="6"/>
      <c r="MHB85" s="6"/>
      <c r="MHC85" s="6"/>
      <c r="MHD85" s="6"/>
      <c r="MHE85" s="6"/>
      <c r="MHF85" s="6"/>
      <c r="MHG85" s="6"/>
      <c r="MHH85" s="6"/>
      <c r="MHI85" s="6"/>
      <c r="MHJ85" s="6"/>
      <c r="MHK85" s="6"/>
      <c r="MHL85" s="6"/>
      <c r="MHM85" s="6"/>
      <c r="MHN85" s="6"/>
      <c r="MHO85" s="6"/>
      <c r="MHP85" s="6"/>
      <c r="MHQ85" s="6"/>
      <c r="MHR85" s="6"/>
      <c r="MHS85" s="6"/>
      <c r="MHT85" s="6"/>
      <c r="MHU85" s="6"/>
      <c r="MHV85" s="6"/>
      <c r="MHW85" s="6"/>
      <c r="MHX85" s="6"/>
      <c r="MHY85" s="6"/>
      <c r="MHZ85" s="6"/>
      <c r="MIA85" s="6"/>
      <c r="MIB85" s="6"/>
      <c r="MIC85" s="6"/>
      <c r="MID85" s="6"/>
      <c r="MIE85" s="6"/>
      <c r="MIF85" s="6"/>
      <c r="MIG85" s="6"/>
      <c r="MIH85" s="6"/>
      <c r="MII85" s="6"/>
      <c r="MIJ85" s="6"/>
      <c r="MIK85" s="6"/>
      <c r="MIL85" s="6"/>
      <c r="MIM85" s="6"/>
      <c r="MIN85" s="6"/>
      <c r="MIO85" s="6"/>
      <c r="MIP85" s="6"/>
      <c r="MIQ85" s="6"/>
      <c r="MIR85" s="6"/>
      <c r="MIS85" s="6"/>
      <c r="MIT85" s="6"/>
      <c r="MIU85" s="6"/>
      <c r="MIV85" s="6"/>
      <c r="MIW85" s="6"/>
      <c r="MIX85" s="6"/>
      <c r="MIY85" s="6"/>
      <c r="MIZ85" s="6"/>
      <c r="MJA85" s="6"/>
      <c r="MJB85" s="6"/>
      <c r="MJC85" s="6"/>
      <c r="MJD85" s="6"/>
      <c r="MJE85" s="6"/>
      <c r="MJF85" s="6"/>
      <c r="MJG85" s="6"/>
      <c r="MJH85" s="6"/>
      <c r="MJI85" s="6"/>
      <c r="MJJ85" s="6"/>
      <c r="MJK85" s="6"/>
      <c r="MJL85" s="6"/>
      <c r="MJM85" s="6"/>
      <c r="MJN85" s="6"/>
      <c r="MJO85" s="6"/>
      <c r="MJP85" s="6"/>
      <c r="MJQ85" s="6"/>
      <c r="MJR85" s="6"/>
      <c r="MJS85" s="6"/>
      <c r="MJT85" s="6"/>
      <c r="MJU85" s="6"/>
      <c r="MJV85" s="6"/>
      <c r="MJW85" s="6"/>
      <c r="MJX85" s="6"/>
      <c r="MJY85" s="6"/>
      <c r="MJZ85" s="6"/>
      <c r="MKA85" s="6"/>
      <c r="MKB85" s="6"/>
      <c r="MKC85" s="6"/>
      <c r="MKD85" s="6"/>
      <c r="MKE85" s="6"/>
      <c r="MKF85" s="6"/>
      <c r="MKG85" s="6"/>
      <c r="MKH85" s="6"/>
      <c r="MKI85" s="6"/>
      <c r="MKJ85" s="6"/>
      <c r="MKK85" s="6"/>
      <c r="MKL85" s="6"/>
      <c r="MKM85" s="6"/>
      <c r="MKN85" s="6"/>
      <c r="MKO85" s="6"/>
      <c r="MKP85" s="6"/>
      <c r="MKQ85" s="6"/>
      <c r="MKR85" s="6"/>
      <c r="MKS85" s="6"/>
      <c r="MKT85" s="6"/>
      <c r="MKU85" s="6"/>
      <c r="MKV85" s="6"/>
      <c r="MKW85" s="6"/>
      <c r="MKX85" s="6"/>
      <c r="MKY85" s="6"/>
      <c r="MKZ85" s="6"/>
      <c r="MLA85" s="6"/>
      <c r="MLB85" s="6"/>
      <c r="MLC85" s="6"/>
      <c r="MLD85" s="6"/>
      <c r="MLE85" s="6"/>
      <c r="MLF85" s="6"/>
      <c r="MLG85" s="6"/>
      <c r="MLH85" s="6"/>
      <c r="MLI85" s="6"/>
      <c r="MLJ85" s="6"/>
      <c r="MLK85" s="6"/>
      <c r="MLL85" s="6"/>
      <c r="MLM85" s="6"/>
      <c r="MLN85" s="6"/>
      <c r="MLO85" s="6"/>
      <c r="MLP85" s="6"/>
      <c r="MLQ85" s="6"/>
      <c r="MLR85" s="6"/>
      <c r="MLS85" s="6"/>
      <c r="MLT85" s="6"/>
      <c r="MLU85" s="6"/>
      <c r="MLV85" s="6"/>
      <c r="MLW85" s="6"/>
      <c r="MLX85" s="6"/>
      <c r="MLY85" s="6"/>
      <c r="MLZ85" s="6"/>
      <c r="MMA85" s="6"/>
      <c r="MMB85" s="6"/>
      <c r="MMC85" s="6"/>
      <c r="MMD85" s="6"/>
      <c r="MME85" s="6"/>
      <c r="MMF85" s="6"/>
      <c r="MMG85" s="6"/>
      <c r="MMH85" s="6"/>
      <c r="MMI85" s="6"/>
      <c r="MMJ85" s="6"/>
      <c r="MMK85" s="6"/>
      <c r="MML85" s="6"/>
      <c r="MMM85" s="6"/>
      <c r="MMN85" s="6"/>
      <c r="MMO85" s="6"/>
      <c r="MMP85" s="6"/>
      <c r="MMQ85" s="6"/>
      <c r="MMR85" s="6"/>
      <c r="MMS85" s="6"/>
      <c r="MMT85" s="6"/>
      <c r="MMU85" s="6"/>
      <c r="MMV85" s="6"/>
      <c r="MMW85" s="6"/>
      <c r="MMX85" s="6"/>
      <c r="MMY85" s="6"/>
      <c r="MMZ85" s="6"/>
      <c r="MNA85" s="6"/>
      <c r="MNB85" s="6"/>
      <c r="MNC85" s="6"/>
      <c r="MND85" s="6"/>
      <c r="MNE85" s="6"/>
      <c r="MNF85" s="6"/>
      <c r="MNG85" s="6"/>
      <c r="MNH85" s="6"/>
      <c r="MNI85" s="6"/>
      <c r="MNJ85" s="6"/>
      <c r="MNK85" s="6"/>
      <c r="MNL85" s="6"/>
      <c r="MNM85" s="6"/>
      <c r="MNN85" s="6"/>
      <c r="MNO85" s="6"/>
      <c r="MNP85" s="6"/>
      <c r="MNQ85" s="6"/>
      <c r="MNR85" s="6"/>
      <c r="MNS85" s="6"/>
      <c r="MNT85" s="6"/>
      <c r="MNU85" s="6"/>
      <c r="MNV85" s="6"/>
      <c r="MNW85" s="6"/>
      <c r="MNX85" s="6"/>
      <c r="MNY85" s="6"/>
      <c r="MNZ85" s="6"/>
      <c r="MOA85" s="6"/>
      <c r="MOB85" s="6"/>
      <c r="MOC85" s="6"/>
      <c r="MOD85" s="6"/>
      <c r="MOE85" s="6"/>
      <c r="MOF85" s="6"/>
      <c r="MOG85" s="6"/>
      <c r="MOH85" s="6"/>
      <c r="MOI85" s="6"/>
      <c r="MOJ85" s="6"/>
      <c r="MOK85" s="6"/>
      <c r="MOL85" s="6"/>
      <c r="MOM85" s="6"/>
      <c r="MON85" s="6"/>
      <c r="MOO85" s="6"/>
      <c r="MOP85" s="6"/>
      <c r="MOQ85" s="6"/>
      <c r="MOR85" s="6"/>
      <c r="MOS85" s="6"/>
      <c r="MOT85" s="6"/>
      <c r="MOU85" s="6"/>
      <c r="MOV85" s="6"/>
      <c r="MOW85" s="6"/>
      <c r="MOX85" s="6"/>
      <c r="MOY85" s="6"/>
      <c r="MOZ85" s="6"/>
      <c r="MPA85" s="6"/>
      <c r="MPB85" s="6"/>
      <c r="MPC85" s="6"/>
      <c r="MPD85" s="6"/>
      <c r="MPE85" s="6"/>
      <c r="MPF85" s="6"/>
      <c r="MPG85" s="6"/>
      <c r="MPH85" s="6"/>
      <c r="MPI85" s="6"/>
      <c r="MPJ85" s="6"/>
      <c r="MPK85" s="6"/>
      <c r="MPL85" s="6"/>
      <c r="MPM85" s="6"/>
      <c r="MPN85" s="6"/>
      <c r="MPO85" s="6"/>
      <c r="MPP85" s="6"/>
      <c r="MPQ85" s="6"/>
      <c r="MPR85" s="6"/>
      <c r="MPS85" s="6"/>
      <c r="MPT85" s="6"/>
      <c r="MPU85" s="6"/>
      <c r="MPV85" s="6"/>
      <c r="MPW85" s="6"/>
      <c r="MPX85" s="6"/>
      <c r="MPY85" s="6"/>
      <c r="MPZ85" s="6"/>
      <c r="MQA85" s="6"/>
      <c r="MQB85" s="6"/>
      <c r="MQC85" s="6"/>
      <c r="MQD85" s="6"/>
      <c r="MQE85" s="6"/>
      <c r="MQF85" s="6"/>
      <c r="MQG85" s="6"/>
      <c r="MQH85" s="6"/>
      <c r="MQI85" s="6"/>
      <c r="MQJ85" s="6"/>
      <c r="MQK85" s="6"/>
      <c r="MQL85" s="6"/>
      <c r="MQM85" s="6"/>
      <c r="MQN85" s="6"/>
      <c r="MQO85" s="6"/>
      <c r="MQP85" s="6"/>
      <c r="MQQ85" s="6"/>
      <c r="MQR85" s="6"/>
      <c r="MQS85" s="6"/>
      <c r="MQT85" s="6"/>
      <c r="MQU85" s="6"/>
      <c r="MQV85" s="6"/>
      <c r="MQW85" s="6"/>
      <c r="MQX85" s="6"/>
      <c r="MQY85" s="6"/>
      <c r="MQZ85" s="6"/>
      <c r="MRA85" s="6"/>
      <c r="MRB85" s="6"/>
      <c r="MRC85" s="6"/>
      <c r="MRD85" s="6"/>
      <c r="MRE85" s="6"/>
      <c r="MRF85" s="6"/>
      <c r="MRG85" s="6"/>
      <c r="MRH85" s="6"/>
      <c r="MRI85" s="6"/>
      <c r="MRJ85" s="6"/>
      <c r="MRK85" s="6"/>
      <c r="MRL85" s="6"/>
      <c r="MRM85" s="6"/>
      <c r="MRN85" s="6"/>
      <c r="MRO85" s="6"/>
      <c r="MRP85" s="6"/>
      <c r="MRQ85" s="6"/>
      <c r="MRR85" s="6"/>
      <c r="MRS85" s="6"/>
      <c r="MRT85" s="6"/>
      <c r="MRU85" s="6"/>
      <c r="MRV85" s="6"/>
      <c r="MRW85" s="6"/>
      <c r="MRX85" s="6"/>
      <c r="MRY85" s="6"/>
      <c r="MRZ85" s="6"/>
      <c r="MSA85" s="6"/>
      <c r="MSB85" s="6"/>
      <c r="MSC85" s="6"/>
      <c r="MSD85" s="6"/>
      <c r="MSE85" s="6"/>
      <c r="MSF85" s="6"/>
      <c r="MSG85" s="6"/>
      <c r="MSH85" s="6"/>
      <c r="MSI85" s="6"/>
      <c r="MSJ85" s="6"/>
      <c r="MSK85" s="6"/>
      <c r="MSL85" s="6"/>
      <c r="MSM85" s="6"/>
      <c r="MSN85" s="6"/>
      <c r="MSO85" s="6"/>
      <c r="MSP85" s="6"/>
      <c r="MSQ85" s="6"/>
      <c r="MSR85" s="6"/>
      <c r="MSS85" s="6"/>
      <c r="MST85" s="6"/>
      <c r="MSU85" s="6"/>
      <c r="MSV85" s="6"/>
      <c r="MSW85" s="6"/>
      <c r="MSX85" s="6"/>
      <c r="MSY85" s="6"/>
      <c r="MSZ85" s="6"/>
      <c r="MTA85" s="6"/>
      <c r="MTB85" s="6"/>
      <c r="MTC85" s="6"/>
      <c r="MTD85" s="6"/>
      <c r="MTE85" s="6"/>
      <c r="MTF85" s="6"/>
      <c r="MTG85" s="6"/>
      <c r="MTH85" s="6"/>
      <c r="MTI85" s="6"/>
      <c r="MTJ85" s="6"/>
      <c r="MTK85" s="6"/>
      <c r="MTL85" s="6"/>
      <c r="MTM85" s="6"/>
      <c r="MTN85" s="6"/>
      <c r="MTO85" s="6"/>
      <c r="MTP85" s="6"/>
      <c r="MTQ85" s="6"/>
      <c r="MTR85" s="6"/>
      <c r="MTS85" s="6"/>
      <c r="MTT85" s="6"/>
      <c r="MTU85" s="6"/>
      <c r="MTV85" s="6"/>
      <c r="MTW85" s="6"/>
      <c r="MTX85" s="6"/>
      <c r="MTY85" s="6"/>
      <c r="MTZ85" s="6"/>
      <c r="MUA85" s="6"/>
      <c r="MUB85" s="6"/>
      <c r="MUC85" s="6"/>
      <c r="MUD85" s="6"/>
      <c r="MUE85" s="6"/>
      <c r="MUF85" s="6"/>
      <c r="MUG85" s="6"/>
      <c r="MUH85" s="6"/>
      <c r="MUI85" s="6"/>
      <c r="MUJ85" s="6"/>
      <c r="MUK85" s="6"/>
      <c r="MUL85" s="6"/>
      <c r="MUM85" s="6"/>
      <c r="MUN85" s="6"/>
      <c r="MUO85" s="6"/>
      <c r="MUP85" s="6"/>
      <c r="MUQ85" s="6"/>
      <c r="MUR85" s="6"/>
      <c r="MUS85" s="6"/>
      <c r="MUT85" s="6"/>
      <c r="MUU85" s="6"/>
      <c r="MUV85" s="6"/>
      <c r="MUW85" s="6"/>
      <c r="MUX85" s="6"/>
      <c r="MUY85" s="6"/>
      <c r="MUZ85" s="6"/>
      <c r="MVA85" s="6"/>
      <c r="MVB85" s="6"/>
      <c r="MVC85" s="6"/>
      <c r="MVD85" s="6"/>
      <c r="MVE85" s="6"/>
      <c r="MVF85" s="6"/>
      <c r="MVG85" s="6"/>
      <c r="MVH85" s="6"/>
      <c r="MVI85" s="6"/>
      <c r="MVJ85" s="6"/>
      <c r="MVK85" s="6"/>
      <c r="MVL85" s="6"/>
      <c r="MVM85" s="6"/>
      <c r="MVN85" s="6"/>
      <c r="MVO85" s="6"/>
      <c r="MVP85" s="6"/>
      <c r="MVQ85" s="6"/>
      <c r="MVR85" s="6"/>
      <c r="MVS85" s="6"/>
      <c r="MVT85" s="6"/>
      <c r="MVU85" s="6"/>
      <c r="MVV85" s="6"/>
      <c r="MVW85" s="6"/>
      <c r="MVX85" s="6"/>
      <c r="MVY85" s="6"/>
      <c r="MVZ85" s="6"/>
      <c r="MWA85" s="6"/>
      <c r="MWB85" s="6"/>
      <c r="MWC85" s="6"/>
      <c r="MWD85" s="6"/>
      <c r="MWE85" s="6"/>
      <c r="MWF85" s="6"/>
      <c r="MWG85" s="6"/>
      <c r="MWH85" s="6"/>
      <c r="MWI85" s="6"/>
      <c r="MWJ85" s="6"/>
      <c r="MWK85" s="6"/>
      <c r="MWL85" s="6"/>
      <c r="MWM85" s="6"/>
      <c r="MWN85" s="6"/>
      <c r="MWO85" s="6"/>
      <c r="MWP85" s="6"/>
      <c r="MWQ85" s="6"/>
      <c r="MWR85" s="6"/>
      <c r="MWS85" s="6"/>
      <c r="MWT85" s="6"/>
      <c r="MWU85" s="6"/>
      <c r="MWV85" s="6"/>
      <c r="MWW85" s="6"/>
      <c r="MWX85" s="6"/>
      <c r="MWY85" s="6"/>
      <c r="MWZ85" s="6"/>
      <c r="MXA85" s="6"/>
      <c r="MXB85" s="6"/>
      <c r="MXC85" s="6"/>
      <c r="MXD85" s="6"/>
      <c r="MXE85" s="6"/>
      <c r="MXF85" s="6"/>
      <c r="MXG85" s="6"/>
      <c r="MXH85" s="6"/>
      <c r="MXI85" s="6"/>
      <c r="MXJ85" s="6"/>
      <c r="MXK85" s="6"/>
      <c r="MXL85" s="6"/>
      <c r="MXM85" s="6"/>
      <c r="MXN85" s="6"/>
      <c r="MXO85" s="6"/>
      <c r="MXP85" s="6"/>
      <c r="MXQ85" s="6"/>
      <c r="MXR85" s="6"/>
      <c r="MXS85" s="6"/>
      <c r="MXT85" s="6"/>
      <c r="MXU85" s="6"/>
      <c r="MXV85" s="6"/>
      <c r="MXW85" s="6"/>
      <c r="MXX85" s="6"/>
      <c r="MXY85" s="6"/>
      <c r="MXZ85" s="6"/>
      <c r="MYA85" s="6"/>
      <c r="MYB85" s="6"/>
      <c r="MYC85" s="6"/>
      <c r="MYD85" s="6"/>
      <c r="MYE85" s="6"/>
      <c r="MYF85" s="6"/>
      <c r="MYG85" s="6"/>
      <c r="MYH85" s="6"/>
      <c r="MYI85" s="6"/>
      <c r="MYJ85" s="6"/>
      <c r="MYK85" s="6"/>
      <c r="MYL85" s="6"/>
      <c r="MYM85" s="6"/>
      <c r="MYN85" s="6"/>
      <c r="MYO85" s="6"/>
      <c r="MYP85" s="6"/>
      <c r="MYQ85" s="6"/>
      <c r="MYR85" s="6"/>
      <c r="MYS85" s="6"/>
      <c r="MYT85" s="6"/>
      <c r="MYU85" s="6"/>
      <c r="MYV85" s="6"/>
      <c r="MYW85" s="6"/>
      <c r="MYX85" s="6"/>
      <c r="MYY85" s="6"/>
      <c r="MYZ85" s="6"/>
      <c r="MZA85" s="6"/>
      <c r="MZB85" s="6"/>
      <c r="MZC85" s="6"/>
      <c r="MZD85" s="6"/>
      <c r="MZE85" s="6"/>
      <c r="MZF85" s="6"/>
      <c r="MZG85" s="6"/>
      <c r="MZH85" s="6"/>
      <c r="MZI85" s="6"/>
      <c r="MZJ85" s="6"/>
      <c r="MZK85" s="6"/>
      <c r="MZL85" s="6"/>
      <c r="MZM85" s="6"/>
      <c r="MZN85" s="6"/>
      <c r="MZO85" s="6"/>
      <c r="MZP85" s="6"/>
      <c r="MZQ85" s="6"/>
      <c r="MZR85" s="6"/>
      <c r="MZS85" s="6"/>
      <c r="MZT85" s="6"/>
      <c r="MZU85" s="6"/>
      <c r="MZV85" s="6"/>
      <c r="MZW85" s="6"/>
      <c r="MZX85" s="6"/>
      <c r="MZY85" s="6"/>
      <c r="MZZ85" s="6"/>
      <c r="NAA85" s="6"/>
      <c r="NAB85" s="6"/>
      <c r="NAC85" s="6"/>
      <c r="NAD85" s="6"/>
      <c r="NAE85" s="6"/>
      <c r="NAF85" s="6"/>
      <c r="NAG85" s="6"/>
      <c r="NAH85" s="6"/>
      <c r="NAI85" s="6"/>
      <c r="NAJ85" s="6"/>
      <c r="NAK85" s="6"/>
      <c r="NAL85" s="6"/>
      <c r="NAM85" s="6"/>
      <c r="NAN85" s="6"/>
      <c r="NAO85" s="6"/>
      <c r="NAP85" s="6"/>
      <c r="NAQ85" s="6"/>
      <c r="NAR85" s="6"/>
      <c r="NAS85" s="6"/>
      <c r="NAT85" s="6"/>
      <c r="NAU85" s="6"/>
      <c r="NAV85" s="6"/>
      <c r="NAW85" s="6"/>
      <c r="NAX85" s="6"/>
      <c r="NAY85" s="6"/>
      <c r="NAZ85" s="6"/>
      <c r="NBA85" s="6"/>
      <c r="NBB85" s="6"/>
      <c r="NBC85" s="6"/>
      <c r="NBD85" s="6"/>
      <c r="NBE85" s="6"/>
      <c r="NBF85" s="6"/>
      <c r="NBG85" s="6"/>
      <c r="NBH85" s="6"/>
      <c r="NBI85" s="6"/>
      <c r="NBJ85" s="6"/>
      <c r="NBK85" s="6"/>
      <c r="NBL85" s="6"/>
      <c r="NBM85" s="6"/>
      <c r="NBN85" s="6"/>
      <c r="NBO85" s="6"/>
      <c r="NBP85" s="6"/>
      <c r="NBQ85" s="6"/>
      <c r="NBR85" s="6"/>
      <c r="NBS85" s="6"/>
      <c r="NBT85" s="6"/>
      <c r="NBU85" s="6"/>
      <c r="NBV85" s="6"/>
      <c r="NBW85" s="6"/>
      <c r="NBX85" s="6"/>
      <c r="NBY85" s="6"/>
      <c r="NBZ85" s="6"/>
      <c r="NCA85" s="6"/>
      <c r="NCB85" s="6"/>
      <c r="NCC85" s="6"/>
      <c r="NCD85" s="6"/>
      <c r="NCE85" s="6"/>
      <c r="NCF85" s="6"/>
      <c r="NCG85" s="6"/>
      <c r="NCH85" s="6"/>
      <c r="NCI85" s="6"/>
      <c r="NCJ85" s="6"/>
      <c r="NCK85" s="6"/>
      <c r="NCL85" s="6"/>
      <c r="NCM85" s="6"/>
      <c r="NCN85" s="6"/>
      <c r="NCO85" s="6"/>
      <c r="NCP85" s="6"/>
      <c r="NCQ85" s="6"/>
      <c r="NCR85" s="6"/>
      <c r="NCS85" s="6"/>
      <c r="NCT85" s="6"/>
      <c r="NCU85" s="6"/>
      <c r="NCV85" s="6"/>
      <c r="NCW85" s="6"/>
      <c r="NCX85" s="6"/>
      <c r="NCY85" s="6"/>
      <c r="NCZ85" s="6"/>
      <c r="NDA85" s="6"/>
      <c r="NDB85" s="6"/>
      <c r="NDC85" s="6"/>
      <c r="NDD85" s="6"/>
      <c r="NDE85" s="6"/>
      <c r="NDF85" s="6"/>
      <c r="NDG85" s="6"/>
      <c r="NDH85" s="6"/>
      <c r="NDI85" s="6"/>
      <c r="NDJ85" s="6"/>
      <c r="NDK85" s="6"/>
      <c r="NDL85" s="6"/>
      <c r="NDM85" s="6"/>
      <c r="NDN85" s="6"/>
      <c r="NDO85" s="6"/>
      <c r="NDP85" s="6"/>
      <c r="NDQ85" s="6"/>
      <c r="NDR85" s="6"/>
      <c r="NDS85" s="6"/>
      <c r="NDT85" s="6"/>
      <c r="NDU85" s="6"/>
      <c r="NDV85" s="6"/>
      <c r="NDW85" s="6"/>
      <c r="NDX85" s="6"/>
      <c r="NDY85" s="6"/>
      <c r="NDZ85" s="6"/>
      <c r="NEA85" s="6"/>
      <c r="NEB85" s="6"/>
      <c r="NEC85" s="6"/>
      <c r="NED85" s="6"/>
      <c r="NEE85" s="6"/>
      <c r="NEF85" s="6"/>
      <c r="NEG85" s="6"/>
      <c r="NEH85" s="6"/>
      <c r="NEI85" s="6"/>
      <c r="NEJ85" s="6"/>
      <c r="NEK85" s="6"/>
      <c r="NEL85" s="6"/>
      <c r="NEM85" s="6"/>
      <c r="NEN85" s="6"/>
      <c r="NEO85" s="6"/>
      <c r="NEP85" s="6"/>
      <c r="NEQ85" s="6"/>
      <c r="NER85" s="6"/>
      <c r="NES85" s="6"/>
      <c r="NET85" s="6"/>
      <c r="NEU85" s="6"/>
      <c r="NEV85" s="6"/>
      <c r="NEW85" s="6"/>
      <c r="NEX85" s="6"/>
      <c r="NEY85" s="6"/>
      <c r="NEZ85" s="6"/>
      <c r="NFA85" s="6"/>
      <c r="NFB85" s="6"/>
      <c r="NFC85" s="6"/>
      <c r="NFD85" s="6"/>
      <c r="NFE85" s="6"/>
      <c r="NFF85" s="6"/>
      <c r="NFG85" s="6"/>
      <c r="NFH85" s="6"/>
      <c r="NFI85" s="6"/>
      <c r="NFJ85" s="6"/>
      <c r="NFK85" s="6"/>
      <c r="NFL85" s="6"/>
      <c r="NFM85" s="6"/>
      <c r="NFN85" s="6"/>
      <c r="NFO85" s="6"/>
      <c r="NFP85" s="6"/>
      <c r="NFQ85" s="6"/>
      <c r="NFR85" s="6"/>
      <c r="NFS85" s="6"/>
      <c r="NFT85" s="6"/>
      <c r="NFU85" s="6"/>
      <c r="NFV85" s="6"/>
      <c r="NFW85" s="6"/>
      <c r="NFX85" s="6"/>
      <c r="NFY85" s="6"/>
      <c r="NFZ85" s="6"/>
      <c r="NGA85" s="6"/>
      <c r="NGB85" s="6"/>
      <c r="NGC85" s="6"/>
      <c r="NGD85" s="6"/>
      <c r="NGE85" s="6"/>
      <c r="NGF85" s="6"/>
      <c r="NGG85" s="6"/>
      <c r="NGH85" s="6"/>
      <c r="NGI85" s="6"/>
      <c r="NGJ85" s="6"/>
      <c r="NGK85" s="6"/>
      <c r="NGL85" s="6"/>
      <c r="NGM85" s="6"/>
      <c r="NGN85" s="6"/>
      <c r="NGO85" s="6"/>
      <c r="NGP85" s="6"/>
      <c r="NGQ85" s="6"/>
      <c r="NGR85" s="6"/>
      <c r="NGS85" s="6"/>
      <c r="NGT85" s="6"/>
      <c r="NGU85" s="6"/>
      <c r="NGV85" s="6"/>
      <c r="NGW85" s="6"/>
      <c r="NGX85" s="6"/>
      <c r="NGY85" s="6"/>
      <c r="NGZ85" s="6"/>
      <c r="NHA85" s="6"/>
      <c r="NHB85" s="6"/>
      <c r="NHC85" s="6"/>
      <c r="NHD85" s="6"/>
      <c r="NHE85" s="6"/>
      <c r="NHF85" s="6"/>
      <c r="NHG85" s="6"/>
      <c r="NHH85" s="6"/>
      <c r="NHI85" s="6"/>
      <c r="NHJ85" s="6"/>
      <c r="NHK85" s="6"/>
      <c r="NHL85" s="6"/>
      <c r="NHM85" s="6"/>
      <c r="NHN85" s="6"/>
      <c r="NHO85" s="6"/>
      <c r="NHP85" s="6"/>
      <c r="NHQ85" s="6"/>
      <c r="NHR85" s="6"/>
      <c r="NHS85" s="6"/>
      <c r="NHT85" s="6"/>
      <c r="NHU85" s="6"/>
      <c r="NHV85" s="6"/>
      <c r="NHW85" s="6"/>
      <c r="NHX85" s="6"/>
      <c r="NHY85" s="6"/>
      <c r="NHZ85" s="6"/>
      <c r="NIA85" s="6"/>
      <c r="NIB85" s="6"/>
      <c r="NIC85" s="6"/>
      <c r="NID85" s="6"/>
      <c r="NIE85" s="6"/>
      <c r="NIF85" s="6"/>
      <c r="NIG85" s="6"/>
      <c r="NIH85" s="6"/>
      <c r="NII85" s="6"/>
      <c r="NIJ85" s="6"/>
      <c r="NIK85" s="6"/>
      <c r="NIL85" s="6"/>
      <c r="NIM85" s="6"/>
      <c r="NIN85" s="6"/>
      <c r="NIO85" s="6"/>
      <c r="NIP85" s="6"/>
      <c r="NIQ85" s="6"/>
      <c r="NIR85" s="6"/>
      <c r="NIS85" s="6"/>
      <c r="NIT85" s="6"/>
      <c r="NIU85" s="6"/>
      <c r="NIV85" s="6"/>
      <c r="NIW85" s="6"/>
      <c r="NIX85" s="6"/>
      <c r="NIY85" s="6"/>
      <c r="NIZ85" s="6"/>
      <c r="NJA85" s="6"/>
      <c r="NJB85" s="6"/>
      <c r="NJC85" s="6"/>
      <c r="NJD85" s="6"/>
      <c r="NJE85" s="6"/>
      <c r="NJF85" s="6"/>
      <c r="NJG85" s="6"/>
      <c r="NJH85" s="6"/>
      <c r="NJI85" s="6"/>
      <c r="NJJ85" s="6"/>
      <c r="NJK85" s="6"/>
      <c r="NJL85" s="6"/>
      <c r="NJM85" s="6"/>
      <c r="NJN85" s="6"/>
      <c r="NJO85" s="6"/>
      <c r="NJP85" s="6"/>
      <c r="NJQ85" s="6"/>
      <c r="NJR85" s="6"/>
      <c r="NJS85" s="6"/>
      <c r="NJT85" s="6"/>
      <c r="NJU85" s="6"/>
      <c r="NJV85" s="6"/>
      <c r="NJW85" s="6"/>
      <c r="NJX85" s="6"/>
      <c r="NJY85" s="6"/>
      <c r="NJZ85" s="6"/>
      <c r="NKA85" s="6"/>
      <c r="NKB85" s="6"/>
      <c r="NKC85" s="6"/>
      <c r="NKD85" s="6"/>
      <c r="NKE85" s="6"/>
      <c r="NKF85" s="6"/>
      <c r="NKG85" s="6"/>
      <c r="NKH85" s="6"/>
      <c r="NKI85" s="6"/>
      <c r="NKJ85" s="6"/>
      <c r="NKK85" s="6"/>
      <c r="NKL85" s="6"/>
      <c r="NKM85" s="6"/>
      <c r="NKN85" s="6"/>
      <c r="NKO85" s="6"/>
      <c r="NKP85" s="6"/>
      <c r="NKQ85" s="6"/>
      <c r="NKR85" s="6"/>
      <c r="NKS85" s="6"/>
      <c r="NKT85" s="6"/>
      <c r="NKU85" s="6"/>
      <c r="NKV85" s="6"/>
      <c r="NKW85" s="6"/>
      <c r="NKX85" s="6"/>
      <c r="NKY85" s="6"/>
      <c r="NKZ85" s="6"/>
      <c r="NLA85" s="6"/>
      <c r="NLB85" s="6"/>
      <c r="NLC85" s="6"/>
      <c r="NLD85" s="6"/>
      <c r="NLE85" s="6"/>
      <c r="NLF85" s="6"/>
      <c r="NLG85" s="6"/>
      <c r="NLH85" s="6"/>
      <c r="NLI85" s="6"/>
      <c r="NLJ85" s="6"/>
      <c r="NLK85" s="6"/>
      <c r="NLL85" s="6"/>
      <c r="NLM85" s="6"/>
      <c r="NLN85" s="6"/>
      <c r="NLO85" s="6"/>
      <c r="NLP85" s="6"/>
      <c r="NLQ85" s="6"/>
      <c r="NLR85" s="6"/>
      <c r="NLS85" s="6"/>
      <c r="NLT85" s="6"/>
      <c r="NLU85" s="6"/>
      <c r="NLV85" s="6"/>
      <c r="NLW85" s="6"/>
      <c r="NLX85" s="6"/>
      <c r="NLY85" s="6"/>
      <c r="NLZ85" s="6"/>
      <c r="NMA85" s="6"/>
      <c r="NMB85" s="6"/>
      <c r="NMC85" s="6"/>
      <c r="NMD85" s="6"/>
      <c r="NME85" s="6"/>
      <c r="NMF85" s="6"/>
      <c r="NMG85" s="6"/>
      <c r="NMH85" s="6"/>
      <c r="NMI85" s="6"/>
      <c r="NMJ85" s="6"/>
      <c r="NMK85" s="6"/>
      <c r="NML85" s="6"/>
      <c r="NMM85" s="6"/>
      <c r="NMN85" s="6"/>
      <c r="NMO85" s="6"/>
      <c r="NMP85" s="6"/>
      <c r="NMQ85" s="6"/>
      <c r="NMR85" s="6"/>
      <c r="NMS85" s="6"/>
      <c r="NMT85" s="6"/>
      <c r="NMU85" s="6"/>
      <c r="NMV85" s="6"/>
      <c r="NMW85" s="6"/>
      <c r="NMX85" s="6"/>
      <c r="NMY85" s="6"/>
      <c r="NMZ85" s="6"/>
      <c r="NNA85" s="6"/>
      <c r="NNB85" s="6"/>
      <c r="NNC85" s="6"/>
      <c r="NND85" s="6"/>
      <c r="NNE85" s="6"/>
      <c r="NNF85" s="6"/>
      <c r="NNG85" s="6"/>
      <c r="NNH85" s="6"/>
      <c r="NNI85" s="6"/>
      <c r="NNJ85" s="6"/>
      <c r="NNK85" s="6"/>
      <c r="NNL85" s="6"/>
      <c r="NNM85" s="6"/>
      <c r="NNN85" s="6"/>
      <c r="NNO85" s="6"/>
      <c r="NNP85" s="6"/>
      <c r="NNQ85" s="6"/>
      <c r="NNR85" s="6"/>
      <c r="NNS85" s="6"/>
      <c r="NNT85" s="6"/>
      <c r="NNU85" s="6"/>
      <c r="NNV85" s="6"/>
      <c r="NNW85" s="6"/>
      <c r="NNX85" s="6"/>
      <c r="NNY85" s="6"/>
      <c r="NNZ85" s="6"/>
      <c r="NOA85" s="6"/>
      <c r="NOB85" s="6"/>
      <c r="NOC85" s="6"/>
      <c r="NOD85" s="6"/>
      <c r="NOE85" s="6"/>
      <c r="NOF85" s="6"/>
      <c r="NOG85" s="6"/>
      <c r="NOH85" s="6"/>
      <c r="NOI85" s="6"/>
      <c r="NOJ85" s="6"/>
      <c r="NOK85" s="6"/>
      <c r="NOL85" s="6"/>
      <c r="NOM85" s="6"/>
      <c r="NON85" s="6"/>
      <c r="NOO85" s="6"/>
      <c r="NOP85" s="6"/>
      <c r="NOQ85" s="6"/>
      <c r="NOR85" s="6"/>
      <c r="NOS85" s="6"/>
      <c r="NOT85" s="6"/>
      <c r="NOU85" s="6"/>
      <c r="NOV85" s="6"/>
      <c r="NOW85" s="6"/>
      <c r="NOX85" s="6"/>
      <c r="NOY85" s="6"/>
      <c r="NOZ85" s="6"/>
      <c r="NPA85" s="6"/>
      <c r="NPB85" s="6"/>
      <c r="NPC85" s="6"/>
      <c r="NPD85" s="6"/>
      <c r="NPE85" s="6"/>
      <c r="NPF85" s="6"/>
      <c r="NPG85" s="6"/>
      <c r="NPH85" s="6"/>
      <c r="NPI85" s="6"/>
      <c r="NPJ85" s="6"/>
      <c r="NPK85" s="6"/>
      <c r="NPL85" s="6"/>
      <c r="NPM85" s="6"/>
      <c r="NPN85" s="6"/>
      <c r="NPO85" s="6"/>
      <c r="NPP85" s="6"/>
      <c r="NPQ85" s="6"/>
      <c r="NPR85" s="6"/>
      <c r="NPS85" s="6"/>
      <c r="NPT85" s="6"/>
      <c r="NPU85" s="6"/>
      <c r="NPV85" s="6"/>
      <c r="NPW85" s="6"/>
      <c r="NPX85" s="6"/>
      <c r="NPY85" s="6"/>
      <c r="NPZ85" s="6"/>
      <c r="NQA85" s="6"/>
      <c r="NQB85" s="6"/>
      <c r="NQC85" s="6"/>
      <c r="NQD85" s="6"/>
      <c r="NQE85" s="6"/>
      <c r="NQF85" s="6"/>
      <c r="NQG85" s="6"/>
      <c r="NQH85" s="6"/>
      <c r="NQI85" s="6"/>
      <c r="NQJ85" s="6"/>
      <c r="NQK85" s="6"/>
      <c r="NQL85" s="6"/>
      <c r="NQM85" s="6"/>
      <c r="NQN85" s="6"/>
      <c r="NQO85" s="6"/>
      <c r="NQP85" s="6"/>
      <c r="NQQ85" s="6"/>
      <c r="NQR85" s="6"/>
      <c r="NQS85" s="6"/>
      <c r="NQT85" s="6"/>
      <c r="NQU85" s="6"/>
      <c r="NQV85" s="6"/>
      <c r="NQW85" s="6"/>
      <c r="NQX85" s="6"/>
      <c r="NQY85" s="6"/>
      <c r="NQZ85" s="6"/>
      <c r="NRA85" s="6"/>
      <c r="NRB85" s="6"/>
      <c r="NRC85" s="6"/>
      <c r="NRD85" s="6"/>
      <c r="NRE85" s="6"/>
      <c r="NRF85" s="6"/>
      <c r="NRG85" s="6"/>
      <c r="NRH85" s="6"/>
      <c r="NRI85" s="6"/>
      <c r="NRJ85" s="6"/>
      <c r="NRK85" s="6"/>
      <c r="NRL85" s="6"/>
      <c r="NRM85" s="6"/>
      <c r="NRN85" s="6"/>
      <c r="NRO85" s="6"/>
      <c r="NRP85" s="6"/>
      <c r="NRQ85" s="6"/>
      <c r="NRR85" s="6"/>
      <c r="NRS85" s="6"/>
      <c r="NRT85" s="6"/>
      <c r="NRU85" s="6"/>
      <c r="NRV85" s="6"/>
      <c r="NRW85" s="6"/>
      <c r="NRX85" s="6"/>
      <c r="NRY85" s="6"/>
      <c r="NRZ85" s="6"/>
      <c r="NSA85" s="6"/>
      <c r="NSB85" s="6"/>
      <c r="NSC85" s="6"/>
      <c r="NSD85" s="6"/>
      <c r="NSE85" s="6"/>
      <c r="NSF85" s="6"/>
      <c r="NSG85" s="6"/>
      <c r="NSH85" s="6"/>
      <c r="NSI85" s="6"/>
      <c r="NSJ85" s="6"/>
      <c r="NSK85" s="6"/>
      <c r="NSL85" s="6"/>
      <c r="NSM85" s="6"/>
      <c r="NSN85" s="6"/>
      <c r="NSO85" s="6"/>
      <c r="NSP85" s="6"/>
      <c r="NSQ85" s="6"/>
      <c r="NSR85" s="6"/>
      <c r="NSS85" s="6"/>
      <c r="NST85" s="6"/>
      <c r="NSU85" s="6"/>
      <c r="NSV85" s="6"/>
      <c r="NSW85" s="6"/>
      <c r="NSX85" s="6"/>
      <c r="NSY85" s="6"/>
      <c r="NSZ85" s="6"/>
      <c r="NTA85" s="6"/>
      <c r="NTB85" s="6"/>
      <c r="NTC85" s="6"/>
      <c r="NTD85" s="6"/>
      <c r="NTE85" s="6"/>
      <c r="NTF85" s="6"/>
      <c r="NTG85" s="6"/>
      <c r="NTH85" s="6"/>
      <c r="NTI85" s="6"/>
      <c r="NTJ85" s="6"/>
      <c r="NTK85" s="6"/>
      <c r="NTL85" s="6"/>
      <c r="NTM85" s="6"/>
      <c r="NTN85" s="6"/>
      <c r="NTO85" s="6"/>
      <c r="NTP85" s="6"/>
      <c r="NTQ85" s="6"/>
      <c r="NTR85" s="6"/>
      <c r="NTS85" s="6"/>
      <c r="NTT85" s="6"/>
      <c r="NTU85" s="6"/>
      <c r="NTV85" s="6"/>
      <c r="NTW85" s="6"/>
      <c r="NTX85" s="6"/>
      <c r="NTY85" s="6"/>
      <c r="NTZ85" s="6"/>
      <c r="NUA85" s="6"/>
      <c r="NUB85" s="6"/>
      <c r="NUC85" s="6"/>
      <c r="NUD85" s="6"/>
      <c r="NUE85" s="6"/>
      <c r="NUF85" s="6"/>
      <c r="NUG85" s="6"/>
      <c r="NUH85" s="6"/>
      <c r="NUI85" s="6"/>
      <c r="NUJ85" s="6"/>
      <c r="NUK85" s="6"/>
      <c r="NUL85" s="6"/>
      <c r="NUM85" s="6"/>
      <c r="NUN85" s="6"/>
      <c r="NUO85" s="6"/>
      <c r="NUP85" s="6"/>
      <c r="NUQ85" s="6"/>
      <c r="NUR85" s="6"/>
      <c r="NUS85" s="6"/>
      <c r="NUT85" s="6"/>
      <c r="NUU85" s="6"/>
      <c r="NUV85" s="6"/>
      <c r="NUW85" s="6"/>
      <c r="NUX85" s="6"/>
      <c r="NUY85" s="6"/>
      <c r="NUZ85" s="6"/>
      <c r="NVA85" s="6"/>
      <c r="NVB85" s="6"/>
      <c r="NVC85" s="6"/>
      <c r="NVD85" s="6"/>
      <c r="NVE85" s="6"/>
      <c r="NVF85" s="6"/>
      <c r="NVG85" s="6"/>
      <c r="NVH85" s="6"/>
      <c r="NVI85" s="6"/>
      <c r="NVJ85" s="6"/>
      <c r="NVK85" s="6"/>
      <c r="NVL85" s="6"/>
      <c r="NVM85" s="6"/>
      <c r="NVN85" s="6"/>
      <c r="NVO85" s="6"/>
      <c r="NVP85" s="6"/>
      <c r="NVQ85" s="6"/>
      <c r="NVR85" s="6"/>
      <c r="NVS85" s="6"/>
      <c r="NVT85" s="6"/>
      <c r="NVU85" s="6"/>
      <c r="NVV85" s="6"/>
      <c r="NVW85" s="6"/>
      <c r="NVX85" s="6"/>
      <c r="NVY85" s="6"/>
      <c r="NVZ85" s="6"/>
      <c r="NWA85" s="6"/>
      <c r="NWB85" s="6"/>
      <c r="NWC85" s="6"/>
      <c r="NWD85" s="6"/>
      <c r="NWE85" s="6"/>
      <c r="NWF85" s="6"/>
      <c r="NWG85" s="6"/>
      <c r="NWH85" s="6"/>
      <c r="NWI85" s="6"/>
      <c r="NWJ85" s="6"/>
      <c r="NWK85" s="6"/>
      <c r="NWL85" s="6"/>
      <c r="NWM85" s="6"/>
      <c r="NWN85" s="6"/>
      <c r="NWO85" s="6"/>
      <c r="NWP85" s="6"/>
      <c r="NWQ85" s="6"/>
      <c r="NWR85" s="6"/>
      <c r="NWS85" s="6"/>
      <c r="NWT85" s="6"/>
      <c r="NWU85" s="6"/>
      <c r="NWV85" s="6"/>
      <c r="NWW85" s="6"/>
      <c r="NWX85" s="6"/>
      <c r="NWY85" s="6"/>
      <c r="NWZ85" s="6"/>
      <c r="NXA85" s="6"/>
      <c r="NXB85" s="6"/>
      <c r="NXC85" s="6"/>
      <c r="NXD85" s="6"/>
      <c r="NXE85" s="6"/>
      <c r="NXF85" s="6"/>
      <c r="NXG85" s="6"/>
      <c r="NXH85" s="6"/>
      <c r="NXI85" s="6"/>
      <c r="NXJ85" s="6"/>
      <c r="NXK85" s="6"/>
      <c r="NXL85" s="6"/>
      <c r="NXM85" s="6"/>
      <c r="NXN85" s="6"/>
      <c r="NXO85" s="6"/>
      <c r="NXP85" s="6"/>
      <c r="NXQ85" s="6"/>
      <c r="NXR85" s="6"/>
      <c r="NXS85" s="6"/>
      <c r="NXT85" s="6"/>
      <c r="NXU85" s="6"/>
      <c r="NXV85" s="6"/>
      <c r="NXW85" s="6"/>
      <c r="NXX85" s="6"/>
      <c r="NXY85" s="6"/>
      <c r="NXZ85" s="6"/>
      <c r="NYA85" s="6"/>
      <c r="NYB85" s="6"/>
      <c r="NYC85" s="6"/>
      <c r="NYD85" s="6"/>
      <c r="NYE85" s="6"/>
      <c r="NYF85" s="6"/>
      <c r="NYG85" s="6"/>
      <c r="NYH85" s="6"/>
      <c r="NYI85" s="6"/>
      <c r="NYJ85" s="6"/>
      <c r="NYK85" s="6"/>
      <c r="NYL85" s="6"/>
      <c r="NYM85" s="6"/>
      <c r="NYN85" s="6"/>
      <c r="NYO85" s="6"/>
      <c r="NYP85" s="6"/>
      <c r="NYQ85" s="6"/>
      <c r="NYR85" s="6"/>
      <c r="NYS85" s="6"/>
      <c r="NYT85" s="6"/>
      <c r="NYU85" s="6"/>
      <c r="NYV85" s="6"/>
      <c r="NYW85" s="6"/>
      <c r="NYX85" s="6"/>
      <c r="NYY85" s="6"/>
      <c r="NYZ85" s="6"/>
      <c r="NZA85" s="6"/>
      <c r="NZB85" s="6"/>
      <c r="NZC85" s="6"/>
      <c r="NZD85" s="6"/>
      <c r="NZE85" s="6"/>
      <c r="NZF85" s="6"/>
      <c r="NZG85" s="6"/>
      <c r="NZH85" s="6"/>
      <c r="NZI85" s="6"/>
      <c r="NZJ85" s="6"/>
      <c r="NZK85" s="6"/>
      <c r="NZL85" s="6"/>
      <c r="NZM85" s="6"/>
      <c r="NZN85" s="6"/>
      <c r="NZO85" s="6"/>
      <c r="NZP85" s="6"/>
      <c r="NZQ85" s="6"/>
      <c r="NZR85" s="6"/>
      <c r="NZS85" s="6"/>
      <c r="NZT85" s="6"/>
      <c r="NZU85" s="6"/>
      <c r="NZV85" s="6"/>
      <c r="NZW85" s="6"/>
      <c r="NZX85" s="6"/>
      <c r="NZY85" s="6"/>
      <c r="NZZ85" s="6"/>
      <c r="OAA85" s="6"/>
      <c r="OAB85" s="6"/>
      <c r="OAC85" s="6"/>
      <c r="OAD85" s="6"/>
      <c r="OAE85" s="6"/>
      <c r="OAF85" s="6"/>
      <c r="OAG85" s="6"/>
      <c r="OAH85" s="6"/>
      <c r="OAI85" s="6"/>
      <c r="OAJ85" s="6"/>
      <c r="OAK85" s="6"/>
      <c r="OAL85" s="6"/>
      <c r="OAM85" s="6"/>
      <c r="OAN85" s="6"/>
      <c r="OAO85" s="6"/>
      <c r="OAP85" s="6"/>
      <c r="OAQ85" s="6"/>
      <c r="OAR85" s="6"/>
      <c r="OAS85" s="6"/>
      <c r="OAT85" s="6"/>
      <c r="OAU85" s="6"/>
      <c r="OAV85" s="6"/>
      <c r="OAW85" s="6"/>
      <c r="OAX85" s="6"/>
      <c r="OAY85" s="6"/>
      <c r="OAZ85" s="6"/>
      <c r="OBA85" s="6"/>
      <c r="OBB85" s="6"/>
      <c r="OBC85" s="6"/>
      <c r="OBD85" s="6"/>
      <c r="OBE85" s="6"/>
      <c r="OBF85" s="6"/>
      <c r="OBG85" s="6"/>
      <c r="OBH85" s="6"/>
      <c r="OBI85" s="6"/>
      <c r="OBJ85" s="6"/>
      <c r="OBK85" s="6"/>
      <c r="OBL85" s="6"/>
      <c r="OBM85" s="6"/>
      <c r="OBN85" s="6"/>
      <c r="OBO85" s="6"/>
      <c r="OBP85" s="6"/>
      <c r="OBQ85" s="6"/>
      <c r="OBR85" s="6"/>
      <c r="OBS85" s="6"/>
      <c r="OBT85" s="6"/>
      <c r="OBU85" s="6"/>
      <c r="OBV85" s="6"/>
      <c r="OBW85" s="6"/>
      <c r="OBX85" s="6"/>
      <c r="OBY85" s="6"/>
      <c r="OBZ85" s="6"/>
      <c r="OCA85" s="6"/>
      <c r="OCB85" s="6"/>
      <c r="OCC85" s="6"/>
      <c r="OCD85" s="6"/>
      <c r="OCE85" s="6"/>
      <c r="OCF85" s="6"/>
      <c r="OCG85" s="6"/>
      <c r="OCH85" s="6"/>
      <c r="OCI85" s="6"/>
      <c r="OCJ85" s="6"/>
      <c r="OCK85" s="6"/>
      <c r="OCL85" s="6"/>
      <c r="OCM85" s="6"/>
      <c r="OCN85" s="6"/>
      <c r="OCO85" s="6"/>
      <c r="OCP85" s="6"/>
      <c r="OCQ85" s="6"/>
      <c r="OCR85" s="6"/>
      <c r="OCS85" s="6"/>
      <c r="OCT85" s="6"/>
      <c r="OCU85" s="6"/>
      <c r="OCV85" s="6"/>
      <c r="OCW85" s="6"/>
      <c r="OCX85" s="6"/>
      <c r="OCY85" s="6"/>
      <c r="OCZ85" s="6"/>
      <c r="ODA85" s="6"/>
      <c r="ODB85" s="6"/>
      <c r="ODC85" s="6"/>
      <c r="ODD85" s="6"/>
      <c r="ODE85" s="6"/>
      <c r="ODF85" s="6"/>
      <c r="ODG85" s="6"/>
      <c r="ODH85" s="6"/>
      <c r="ODI85" s="6"/>
      <c r="ODJ85" s="6"/>
      <c r="ODK85" s="6"/>
      <c r="ODL85" s="6"/>
      <c r="ODM85" s="6"/>
      <c r="ODN85" s="6"/>
      <c r="ODO85" s="6"/>
      <c r="ODP85" s="6"/>
      <c r="ODQ85" s="6"/>
      <c r="ODR85" s="6"/>
      <c r="ODS85" s="6"/>
      <c r="ODT85" s="6"/>
      <c r="ODU85" s="6"/>
      <c r="ODV85" s="6"/>
      <c r="ODW85" s="6"/>
      <c r="ODX85" s="6"/>
      <c r="ODY85" s="6"/>
      <c r="ODZ85" s="6"/>
      <c r="OEA85" s="6"/>
      <c r="OEB85" s="6"/>
      <c r="OEC85" s="6"/>
      <c r="OED85" s="6"/>
      <c r="OEE85" s="6"/>
      <c r="OEF85" s="6"/>
      <c r="OEG85" s="6"/>
      <c r="OEH85" s="6"/>
      <c r="OEI85" s="6"/>
      <c r="OEJ85" s="6"/>
      <c r="OEK85" s="6"/>
      <c r="OEL85" s="6"/>
      <c r="OEM85" s="6"/>
      <c r="OEN85" s="6"/>
      <c r="OEO85" s="6"/>
      <c r="OEP85" s="6"/>
      <c r="OEQ85" s="6"/>
      <c r="OER85" s="6"/>
      <c r="OES85" s="6"/>
      <c r="OET85" s="6"/>
      <c r="OEU85" s="6"/>
      <c r="OEV85" s="6"/>
      <c r="OEW85" s="6"/>
      <c r="OEX85" s="6"/>
      <c r="OEY85" s="6"/>
      <c r="OEZ85" s="6"/>
      <c r="OFA85" s="6"/>
      <c r="OFB85" s="6"/>
      <c r="OFC85" s="6"/>
      <c r="OFD85" s="6"/>
      <c r="OFE85" s="6"/>
      <c r="OFF85" s="6"/>
      <c r="OFG85" s="6"/>
      <c r="OFH85" s="6"/>
      <c r="OFI85" s="6"/>
      <c r="OFJ85" s="6"/>
      <c r="OFK85" s="6"/>
      <c r="OFL85" s="6"/>
      <c r="OFM85" s="6"/>
      <c r="OFN85" s="6"/>
      <c r="OFO85" s="6"/>
      <c r="OFP85" s="6"/>
      <c r="OFQ85" s="6"/>
      <c r="OFR85" s="6"/>
      <c r="OFS85" s="6"/>
      <c r="OFT85" s="6"/>
      <c r="OFU85" s="6"/>
      <c r="OFV85" s="6"/>
      <c r="OFW85" s="6"/>
      <c r="OFX85" s="6"/>
      <c r="OFY85" s="6"/>
      <c r="OFZ85" s="6"/>
      <c r="OGA85" s="6"/>
      <c r="OGB85" s="6"/>
      <c r="OGC85" s="6"/>
      <c r="OGD85" s="6"/>
      <c r="OGE85" s="6"/>
      <c r="OGF85" s="6"/>
      <c r="OGG85" s="6"/>
      <c r="OGH85" s="6"/>
      <c r="OGI85" s="6"/>
      <c r="OGJ85" s="6"/>
      <c r="OGK85" s="6"/>
      <c r="OGL85" s="6"/>
      <c r="OGM85" s="6"/>
      <c r="OGN85" s="6"/>
      <c r="OGO85" s="6"/>
      <c r="OGP85" s="6"/>
      <c r="OGQ85" s="6"/>
      <c r="OGR85" s="6"/>
      <c r="OGS85" s="6"/>
      <c r="OGT85" s="6"/>
      <c r="OGU85" s="6"/>
      <c r="OGV85" s="6"/>
      <c r="OGW85" s="6"/>
      <c r="OGX85" s="6"/>
      <c r="OGY85" s="6"/>
      <c r="OGZ85" s="6"/>
      <c r="OHA85" s="6"/>
      <c r="OHB85" s="6"/>
      <c r="OHC85" s="6"/>
      <c r="OHD85" s="6"/>
      <c r="OHE85" s="6"/>
      <c r="OHF85" s="6"/>
      <c r="OHG85" s="6"/>
      <c r="OHH85" s="6"/>
      <c r="OHI85" s="6"/>
      <c r="OHJ85" s="6"/>
      <c r="OHK85" s="6"/>
      <c r="OHL85" s="6"/>
      <c r="OHM85" s="6"/>
      <c r="OHN85" s="6"/>
      <c r="OHO85" s="6"/>
      <c r="OHP85" s="6"/>
      <c r="OHQ85" s="6"/>
      <c r="OHR85" s="6"/>
      <c r="OHS85" s="6"/>
      <c r="OHT85" s="6"/>
      <c r="OHU85" s="6"/>
      <c r="OHV85" s="6"/>
      <c r="OHW85" s="6"/>
      <c r="OHX85" s="6"/>
      <c r="OHY85" s="6"/>
      <c r="OHZ85" s="6"/>
      <c r="OIA85" s="6"/>
      <c r="OIB85" s="6"/>
      <c r="OIC85" s="6"/>
      <c r="OID85" s="6"/>
      <c r="OIE85" s="6"/>
      <c r="OIF85" s="6"/>
      <c r="OIG85" s="6"/>
      <c r="OIH85" s="6"/>
      <c r="OII85" s="6"/>
      <c r="OIJ85" s="6"/>
      <c r="OIK85" s="6"/>
      <c r="OIL85" s="6"/>
      <c r="OIM85" s="6"/>
      <c r="OIN85" s="6"/>
      <c r="OIO85" s="6"/>
      <c r="OIP85" s="6"/>
      <c r="OIQ85" s="6"/>
      <c r="OIR85" s="6"/>
      <c r="OIS85" s="6"/>
      <c r="OIT85" s="6"/>
      <c r="OIU85" s="6"/>
      <c r="OIV85" s="6"/>
      <c r="OIW85" s="6"/>
      <c r="OIX85" s="6"/>
      <c r="OIY85" s="6"/>
      <c r="OIZ85" s="6"/>
      <c r="OJA85" s="6"/>
      <c r="OJB85" s="6"/>
      <c r="OJC85" s="6"/>
      <c r="OJD85" s="6"/>
      <c r="OJE85" s="6"/>
      <c r="OJF85" s="6"/>
      <c r="OJG85" s="6"/>
      <c r="OJH85" s="6"/>
      <c r="OJI85" s="6"/>
      <c r="OJJ85" s="6"/>
      <c r="OJK85" s="6"/>
      <c r="OJL85" s="6"/>
      <c r="OJM85" s="6"/>
      <c r="OJN85" s="6"/>
      <c r="OJO85" s="6"/>
      <c r="OJP85" s="6"/>
      <c r="OJQ85" s="6"/>
      <c r="OJR85" s="6"/>
      <c r="OJS85" s="6"/>
      <c r="OJT85" s="6"/>
      <c r="OJU85" s="6"/>
      <c r="OJV85" s="6"/>
      <c r="OJW85" s="6"/>
      <c r="OJX85" s="6"/>
      <c r="OJY85" s="6"/>
      <c r="OJZ85" s="6"/>
      <c r="OKA85" s="6"/>
      <c r="OKB85" s="6"/>
      <c r="OKC85" s="6"/>
      <c r="OKD85" s="6"/>
      <c r="OKE85" s="6"/>
      <c r="OKF85" s="6"/>
      <c r="OKG85" s="6"/>
      <c r="OKH85" s="6"/>
      <c r="OKI85" s="6"/>
      <c r="OKJ85" s="6"/>
      <c r="OKK85" s="6"/>
      <c r="OKL85" s="6"/>
      <c r="OKM85" s="6"/>
      <c r="OKN85" s="6"/>
      <c r="OKO85" s="6"/>
      <c r="OKP85" s="6"/>
      <c r="OKQ85" s="6"/>
      <c r="OKR85" s="6"/>
      <c r="OKS85" s="6"/>
      <c r="OKT85" s="6"/>
      <c r="OKU85" s="6"/>
      <c r="OKV85" s="6"/>
      <c r="OKW85" s="6"/>
      <c r="OKX85" s="6"/>
      <c r="OKY85" s="6"/>
      <c r="OKZ85" s="6"/>
      <c r="OLA85" s="6"/>
      <c r="OLB85" s="6"/>
      <c r="OLC85" s="6"/>
      <c r="OLD85" s="6"/>
      <c r="OLE85" s="6"/>
      <c r="OLF85" s="6"/>
      <c r="OLG85" s="6"/>
      <c r="OLH85" s="6"/>
      <c r="OLI85" s="6"/>
      <c r="OLJ85" s="6"/>
      <c r="OLK85" s="6"/>
      <c r="OLL85" s="6"/>
      <c r="OLM85" s="6"/>
      <c r="OLN85" s="6"/>
      <c r="OLO85" s="6"/>
      <c r="OLP85" s="6"/>
      <c r="OLQ85" s="6"/>
      <c r="OLR85" s="6"/>
      <c r="OLS85" s="6"/>
      <c r="OLT85" s="6"/>
      <c r="OLU85" s="6"/>
      <c r="OLV85" s="6"/>
      <c r="OLW85" s="6"/>
      <c r="OLX85" s="6"/>
      <c r="OLY85" s="6"/>
      <c r="OLZ85" s="6"/>
      <c r="OMA85" s="6"/>
      <c r="OMB85" s="6"/>
      <c r="OMC85" s="6"/>
      <c r="OMD85" s="6"/>
      <c r="OME85" s="6"/>
      <c r="OMF85" s="6"/>
      <c r="OMG85" s="6"/>
      <c r="OMH85" s="6"/>
      <c r="OMI85" s="6"/>
      <c r="OMJ85" s="6"/>
      <c r="OMK85" s="6"/>
      <c r="OML85" s="6"/>
      <c r="OMM85" s="6"/>
      <c r="OMN85" s="6"/>
      <c r="OMO85" s="6"/>
      <c r="OMP85" s="6"/>
      <c r="OMQ85" s="6"/>
      <c r="OMR85" s="6"/>
      <c r="OMS85" s="6"/>
      <c r="OMT85" s="6"/>
      <c r="OMU85" s="6"/>
      <c r="OMV85" s="6"/>
      <c r="OMW85" s="6"/>
      <c r="OMX85" s="6"/>
      <c r="OMY85" s="6"/>
      <c r="OMZ85" s="6"/>
      <c r="ONA85" s="6"/>
      <c r="ONB85" s="6"/>
      <c r="ONC85" s="6"/>
      <c r="OND85" s="6"/>
      <c r="ONE85" s="6"/>
      <c r="ONF85" s="6"/>
      <c r="ONG85" s="6"/>
      <c r="ONH85" s="6"/>
      <c r="ONI85" s="6"/>
      <c r="ONJ85" s="6"/>
      <c r="ONK85" s="6"/>
      <c r="ONL85" s="6"/>
      <c r="ONM85" s="6"/>
      <c r="ONN85" s="6"/>
      <c r="ONO85" s="6"/>
      <c r="ONP85" s="6"/>
      <c r="ONQ85" s="6"/>
      <c r="ONR85" s="6"/>
      <c r="ONS85" s="6"/>
      <c r="ONT85" s="6"/>
      <c r="ONU85" s="6"/>
      <c r="ONV85" s="6"/>
      <c r="ONW85" s="6"/>
      <c r="ONX85" s="6"/>
      <c r="ONY85" s="6"/>
      <c r="ONZ85" s="6"/>
      <c r="OOA85" s="6"/>
      <c r="OOB85" s="6"/>
      <c r="OOC85" s="6"/>
      <c r="OOD85" s="6"/>
      <c r="OOE85" s="6"/>
      <c r="OOF85" s="6"/>
      <c r="OOG85" s="6"/>
      <c r="OOH85" s="6"/>
      <c r="OOI85" s="6"/>
      <c r="OOJ85" s="6"/>
      <c r="OOK85" s="6"/>
      <c r="OOL85" s="6"/>
      <c r="OOM85" s="6"/>
      <c r="OON85" s="6"/>
      <c r="OOO85" s="6"/>
      <c r="OOP85" s="6"/>
      <c r="OOQ85" s="6"/>
      <c r="OOR85" s="6"/>
      <c r="OOS85" s="6"/>
      <c r="OOT85" s="6"/>
      <c r="OOU85" s="6"/>
      <c r="OOV85" s="6"/>
      <c r="OOW85" s="6"/>
      <c r="OOX85" s="6"/>
      <c r="OOY85" s="6"/>
      <c r="OOZ85" s="6"/>
      <c r="OPA85" s="6"/>
      <c r="OPB85" s="6"/>
      <c r="OPC85" s="6"/>
      <c r="OPD85" s="6"/>
      <c r="OPE85" s="6"/>
      <c r="OPF85" s="6"/>
      <c r="OPG85" s="6"/>
      <c r="OPH85" s="6"/>
      <c r="OPI85" s="6"/>
      <c r="OPJ85" s="6"/>
      <c r="OPK85" s="6"/>
      <c r="OPL85" s="6"/>
      <c r="OPM85" s="6"/>
      <c r="OPN85" s="6"/>
      <c r="OPO85" s="6"/>
      <c r="OPP85" s="6"/>
      <c r="OPQ85" s="6"/>
      <c r="OPR85" s="6"/>
      <c r="OPS85" s="6"/>
      <c r="OPT85" s="6"/>
      <c r="OPU85" s="6"/>
      <c r="OPV85" s="6"/>
      <c r="OPW85" s="6"/>
      <c r="OPX85" s="6"/>
      <c r="OPY85" s="6"/>
      <c r="OPZ85" s="6"/>
      <c r="OQA85" s="6"/>
      <c r="OQB85" s="6"/>
      <c r="OQC85" s="6"/>
      <c r="OQD85" s="6"/>
      <c r="OQE85" s="6"/>
      <c r="OQF85" s="6"/>
      <c r="OQG85" s="6"/>
      <c r="OQH85" s="6"/>
      <c r="OQI85" s="6"/>
      <c r="OQJ85" s="6"/>
      <c r="OQK85" s="6"/>
      <c r="OQL85" s="6"/>
      <c r="OQM85" s="6"/>
      <c r="OQN85" s="6"/>
      <c r="OQO85" s="6"/>
      <c r="OQP85" s="6"/>
      <c r="OQQ85" s="6"/>
      <c r="OQR85" s="6"/>
      <c r="OQS85" s="6"/>
      <c r="OQT85" s="6"/>
      <c r="OQU85" s="6"/>
      <c r="OQV85" s="6"/>
      <c r="OQW85" s="6"/>
      <c r="OQX85" s="6"/>
      <c r="OQY85" s="6"/>
      <c r="OQZ85" s="6"/>
      <c r="ORA85" s="6"/>
      <c r="ORB85" s="6"/>
      <c r="ORC85" s="6"/>
      <c r="ORD85" s="6"/>
      <c r="ORE85" s="6"/>
      <c r="ORF85" s="6"/>
      <c r="ORG85" s="6"/>
      <c r="ORH85" s="6"/>
      <c r="ORI85" s="6"/>
      <c r="ORJ85" s="6"/>
      <c r="ORK85" s="6"/>
      <c r="ORL85" s="6"/>
      <c r="ORM85" s="6"/>
      <c r="ORN85" s="6"/>
      <c r="ORO85" s="6"/>
      <c r="ORP85" s="6"/>
      <c r="ORQ85" s="6"/>
      <c r="ORR85" s="6"/>
      <c r="ORS85" s="6"/>
      <c r="ORT85" s="6"/>
      <c r="ORU85" s="6"/>
      <c r="ORV85" s="6"/>
      <c r="ORW85" s="6"/>
      <c r="ORX85" s="6"/>
      <c r="ORY85" s="6"/>
      <c r="ORZ85" s="6"/>
      <c r="OSA85" s="6"/>
      <c r="OSB85" s="6"/>
      <c r="OSC85" s="6"/>
      <c r="OSD85" s="6"/>
      <c r="OSE85" s="6"/>
      <c r="OSF85" s="6"/>
      <c r="OSG85" s="6"/>
      <c r="OSH85" s="6"/>
      <c r="OSI85" s="6"/>
      <c r="OSJ85" s="6"/>
      <c r="OSK85" s="6"/>
      <c r="OSL85" s="6"/>
      <c r="OSM85" s="6"/>
      <c r="OSN85" s="6"/>
      <c r="OSO85" s="6"/>
      <c r="OSP85" s="6"/>
      <c r="OSQ85" s="6"/>
      <c r="OSR85" s="6"/>
      <c r="OSS85" s="6"/>
      <c r="OST85" s="6"/>
      <c r="OSU85" s="6"/>
      <c r="OSV85" s="6"/>
      <c r="OSW85" s="6"/>
      <c r="OSX85" s="6"/>
      <c r="OSY85" s="6"/>
      <c r="OSZ85" s="6"/>
      <c r="OTA85" s="6"/>
      <c r="OTB85" s="6"/>
      <c r="OTC85" s="6"/>
      <c r="OTD85" s="6"/>
      <c r="OTE85" s="6"/>
      <c r="OTF85" s="6"/>
      <c r="OTG85" s="6"/>
      <c r="OTH85" s="6"/>
      <c r="OTI85" s="6"/>
      <c r="OTJ85" s="6"/>
      <c r="OTK85" s="6"/>
      <c r="OTL85" s="6"/>
      <c r="OTM85" s="6"/>
      <c r="OTN85" s="6"/>
      <c r="OTO85" s="6"/>
      <c r="OTP85" s="6"/>
      <c r="OTQ85" s="6"/>
      <c r="OTR85" s="6"/>
      <c r="OTS85" s="6"/>
      <c r="OTT85" s="6"/>
      <c r="OTU85" s="6"/>
      <c r="OTV85" s="6"/>
      <c r="OTW85" s="6"/>
      <c r="OTX85" s="6"/>
      <c r="OTY85" s="6"/>
      <c r="OTZ85" s="6"/>
      <c r="OUA85" s="6"/>
      <c r="OUB85" s="6"/>
      <c r="OUC85" s="6"/>
      <c r="OUD85" s="6"/>
      <c r="OUE85" s="6"/>
      <c r="OUF85" s="6"/>
      <c r="OUG85" s="6"/>
      <c r="OUH85" s="6"/>
      <c r="OUI85" s="6"/>
      <c r="OUJ85" s="6"/>
      <c r="OUK85" s="6"/>
      <c r="OUL85" s="6"/>
      <c r="OUM85" s="6"/>
      <c r="OUN85" s="6"/>
      <c r="OUO85" s="6"/>
      <c r="OUP85" s="6"/>
      <c r="OUQ85" s="6"/>
      <c r="OUR85" s="6"/>
      <c r="OUS85" s="6"/>
      <c r="OUT85" s="6"/>
      <c r="OUU85" s="6"/>
      <c r="OUV85" s="6"/>
      <c r="OUW85" s="6"/>
      <c r="OUX85" s="6"/>
      <c r="OUY85" s="6"/>
      <c r="OUZ85" s="6"/>
      <c r="OVA85" s="6"/>
      <c r="OVB85" s="6"/>
      <c r="OVC85" s="6"/>
      <c r="OVD85" s="6"/>
      <c r="OVE85" s="6"/>
      <c r="OVF85" s="6"/>
      <c r="OVG85" s="6"/>
      <c r="OVH85" s="6"/>
      <c r="OVI85" s="6"/>
      <c r="OVJ85" s="6"/>
      <c r="OVK85" s="6"/>
      <c r="OVL85" s="6"/>
      <c r="OVM85" s="6"/>
      <c r="OVN85" s="6"/>
      <c r="OVO85" s="6"/>
      <c r="OVP85" s="6"/>
      <c r="OVQ85" s="6"/>
      <c r="OVR85" s="6"/>
      <c r="OVS85" s="6"/>
      <c r="OVT85" s="6"/>
      <c r="OVU85" s="6"/>
      <c r="OVV85" s="6"/>
      <c r="OVW85" s="6"/>
      <c r="OVX85" s="6"/>
      <c r="OVY85" s="6"/>
      <c r="OVZ85" s="6"/>
      <c r="OWA85" s="6"/>
      <c r="OWB85" s="6"/>
      <c r="OWC85" s="6"/>
      <c r="OWD85" s="6"/>
      <c r="OWE85" s="6"/>
      <c r="OWF85" s="6"/>
      <c r="OWG85" s="6"/>
      <c r="OWH85" s="6"/>
      <c r="OWI85" s="6"/>
      <c r="OWJ85" s="6"/>
      <c r="OWK85" s="6"/>
      <c r="OWL85" s="6"/>
      <c r="OWM85" s="6"/>
      <c r="OWN85" s="6"/>
      <c r="OWO85" s="6"/>
      <c r="OWP85" s="6"/>
      <c r="OWQ85" s="6"/>
      <c r="OWR85" s="6"/>
      <c r="OWS85" s="6"/>
      <c r="OWT85" s="6"/>
      <c r="OWU85" s="6"/>
      <c r="OWV85" s="6"/>
      <c r="OWW85" s="6"/>
      <c r="OWX85" s="6"/>
      <c r="OWY85" s="6"/>
      <c r="OWZ85" s="6"/>
      <c r="OXA85" s="6"/>
      <c r="OXB85" s="6"/>
      <c r="OXC85" s="6"/>
      <c r="OXD85" s="6"/>
      <c r="OXE85" s="6"/>
      <c r="OXF85" s="6"/>
      <c r="OXG85" s="6"/>
      <c r="OXH85" s="6"/>
      <c r="OXI85" s="6"/>
      <c r="OXJ85" s="6"/>
      <c r="OXK85" s="6"/>
      <c r="OXL85" s="6"/>
      <c r="OXM85" s="6"/>
      <c r="OXN85" s="6"/>
      <c r="OXO85" s="6"/>
      <c r="OXP85" s="6"/>
      <c r="OXQ85" s="6"/>
      <c r="OXR85" s="6"/>
      <c r="OXS85" s="6"/>
      <c r="OXT85" s="6"/>
      <c r="OXU85" s="6"/>
      <c r="OXV85" s="6"/>
      <c r="OXW85" s="6"/>
      <c r="OXX85" s="6"/>
      <c r="OXY85" s="6"/>
      <c r="OXZ85" s="6"/>
      <c r="OYA85" s="6"/>
      <c r="OYB85" s="6"/>
      <c r="OYC85" s="6"/>
      <c r="OYD85" s="6"/>
      <c r="OYE85" s="6"/>
      <c r="OYF85" s="6"/>
      <c r="OYG85" s="6"/>
      <c r="OYH85" s="6"/>
      <c r="OYI85" s="6"/>
      <c r="OYJ85" s="6"/>
      <c r="OYK85" s="6"/>
      <c r="OYL85" s="6"/>
      <c r="OYM85" s="6"/>
      <c r="OYN85" s="6"/>
      <c r="OYO85" s="6"/>
      <c r="OYP85" s="6"/>
      <c r="OYQ85" s="6"/>
      <c r="OYR85" s="6"/>
      <c r="OYS85" s="6"/>
      <c r="OYT85" s="6"/>
      <c r="OYU85" s="6"/>
      <c r="OYV85" s="6"/>
      <c r="OYW85" s="6"/>
      <c r="OYX85" s="6"/>
      <c r="OYY85" s="6"/>
      <c r="OYZ85" s="6"/>
      <c r="OZA85" s="6"/>
      <c r="OZB85" s="6"/>
      <c r="OZC85" s="6"/>
      <c r="OZD85" s="6"/>
      <c r="OZE85" s="6"/>
      <c r="OZF85" s="6"/>
      <c r="OZG85" s="6"/>
      <c r="OZH85" s="6"/>
      <c r="OZI85" s="6"/>
      <c r="OZJ85" s="6"/>
      <c r="OZK85" s="6"/>
      <c r="OZL85" s="6"/>
      <c r="OZM85" s="6"/>
      <c r="OZN85" s="6"/>
      <c r="OZO85" s="6"/>
      <c r="OZP85" s="6"/>
      <c r="OZQ85" s="6"/>
      <c r="OZR85" s="6"/>
      <c r="OZS85" s="6"/>
      <c r="OZT85" s="6"/>
      <c r="OZU85" s="6"/>
      <c r="OZV85" s="6"/>
      <c r="OZW85" s="6"/>
      <c r="OZX85" s="6"/>
      <c r="OZY85" s="6"/>
      <c r="OZZ85" s="6"/>
      <c r="PAA85" s="6"/>
      <c r="PAB85" s="6"/>
      <c r="PAC85" s="6"/>
      <c r="PAD85" s="6"/>
      <c r="PAE85" s="6"/>
      <c r="PAF85" s="6"/>
      <c r="PAG85" s="6"/>
      <c r="PAH85" s="6"/>
      <c r="PAI85" s="6"/>
      <c r="PAJ85" s="6"/>
      <c r="PAK85" s="6"/>
      <c r="PAL85" s="6"/>
      <c r="PAM85" s="6"/>
      <c r="PAN85" s="6"/>
      <c r="PAO85" s="6"/>
      <c r="PAP85" s="6"/>
      <c r="PAQ85" s="6"/>
      <c r="PAR85" s="6"/>
      <c r="PAS85" s="6"/>
      <c r="PAT85" s="6"/>
      <c r="PAU85" s="6"/>
      <c r="PAV85" s="6"/>
      <c r="PAW85" s="6"/>
      <c r="PAX85" s="6"/>
      <c r="PAY85" s="6"/>
      <c r="PAZ85" s="6"/>
      <c r="PBA85" s="6"/>
      <c r="PBB85" s="6"/>
      <c r="PBC85" s="6"/>
      <c r="PBD85" s="6"/>
      <c r="PBE85" s="6"/>
      <c r="PBF85" s="6"/>
      <c r="PBG85" s="6"/>
      <c r="PBH85" s="6"/>
      <c r="PBI85" s="6"/>
      <c r="PBJ85" s="6"/>
      <c r="PBK85" s="6"/>
      <c r="PBL85" s="6"/>
      <c r="PBM85" s="6"/>
      <c r="PBN85" s="6"/>
      <c r="PBO85" s="6"/>
      <c r="PBP85" s="6"/>
      <c r="PBQ85" s="6"/>
      <c r="PBR85" s="6"/>
      <c r="PBS85" s="6"/>
      <c r="PBT85" s="6"/>
      <c r="PBU85" s="6"/>
      <c r="PBV85" s="6"/>
      <c r="PBW85" s="6"/>
      <c r="PBX85" s="6"/>
      <c r="PBY85" s="6"/>
      <c r="PBZ85" s="6"/>
      <c r="PCA85" s="6"/>
      <c r="PCB85" s="6"/>
      <c r="PCC85" s="6"/>
      <c r="PCD85" s="6"/>
      <c r="PCE85" s="6"/>
      <c r="PCF85" s="6"/>
      <c r="PCG85" s="6"/>
      <c r="PCH85" s="6"/>
      <c r="PCI85" s="6"/>
      <c r="PCJ85" s="6"/>
      <c r="PCK85" s="6"/>
      <c r="PCL85" s="6"/>
      <c r="PCM85" s="6"/>
      <c r="PCN85" s="6"/>
      <c r="PCO85" s="6"/>
      <c r="PCP85" s="6"/>
      <c r="PCQ85" s="6"/>
      <c r="PCR85" s="6"/>
      <c r="PCS85" s="6"/>
      <c r="PCT85" s="6"/>
      <c r="PCU85" s="6"/>
      <c r="PCV85" s="6"/>
      <c r="PCW85" s="6"/>
      <c r="PCX85" s="6"/>
      <c r="PCY85" s="6"/>
      <c r="PCZ85" s="6"/>
      <c r="PDA85" s="6"/>
      <c r="PDB85" s="6"/>
      <c r="PDC85" s="6"/>
      <c r="PDD85" s="6"/>
      <c r="PDE85" s="6"/>
      <c r="PDF85" s="6"/>
      <c r="PDG85" s="6"/>
      <c r="PDH85" s="6"/>
      <c r="PDI85" s="6"/>
      <c r="PDJ85" s="6"/>
      <c r="PDK85" s="6"/>
      <c r="PDL85" s="6"/>
      <c r="PDM85" s="6"/>
      <c r="PDN85" s="6"/>
      <c r="PDO85" s="6"/>
      <c r="PDP85" s="6"/>
      <c r="PDQ85" s="6"/>
      <c r="PDR85" s="6"/>
      <c r="PDS85" s="6"/>
      <c r="PDT85" s="6"/>
      <c r="PDU85" s="6"/>
      <c r="PDV85" s="6"/>
      <c r="PDW85" s="6"/>
      <c r="PDX85" s="6"/>
      <c r="PDY85" s="6"/>
      <c r="PDZ85" s="6"/>
      <c r="PEA85" s="6"/>
      <c r="PEB85" s="6"/>
      <c r="PEC85" s="6"/>
      <c r="PED85" s="6"/>
      <c r="PEE85" s="6"/>
      <c r="PEF85" s="6"/>
      <c r="PEG85" s="6"/>
      <c r="PEH85" s="6"/>
      <c r="PEI85" s="6"/>
      <c r="PEJ85" s="6"/>
      <c r="PEK85" s="6"/>
      <c r="PEL85" s="6"/>
      <c r="PEM85" s="6"/>
      <c r="PEN85" s="6"/>
      <c r="PEO85" s="6"/>
      <c r="PEP85" s="6"/>
      <c r="PEQ85" s="6"/>
      <c r="PER85" s="6"/>
      <c r="PES85" s="6"/>
      <c r="PET85" s="6"/>
      <c r="PEU85" s="6"/>
      <c r="PEV85" s="6"/>
      <c r="PEW85" s="6"/>
      <c r="PEX85" s="6"/>
      <c r="PEY85" s="6"/>
      <c r="PEZ85" s="6"/>
      <c r="PFA85" s="6"/>
      <c r="PFB85" s="6"/>
      <c r="PFC85" s="6"/>
      <c r="PFD85" s="6"/>
      <c r="PFE85" s="6"/>
      <c r="PFF85" s="6"/>
      <c r="PFG85" s="6"/>
      <c r="PFH85" s="6"/>
      <c r="PFI85" s="6"/>
      <c r="PFJ85" s="6"/>
      <c r="PFK85" s="6"/>
      <c r="PFL85" s="6"/>
      <c r="PFM85" s="6"/>
      <c r="PFN85" s="6"/>
      <c r="PFO85" s="6"/>
      <c r="PFP85" s="6"/>
      <c r="PFQ85" s="6"/>
      <c r="PFR85" s="6"/>
      <c r="PFS85" s="6"/>
      <c r="PFT85" s="6"/>
      <c r="PFU85" s="6"/>
      <c r="PFV85" s="6"/>
      <c r="PFW85" s="6"/>
      <c r="PFX85" s="6"/>
      <c r="PFY85" s="6"/>
      <c r="PFZ85" s="6"/>
      <c r="PGA85" s="6"/>
      <c r="PGB85" s="6"/>
      <c r="PGC85" s="6"/>
      <c r="PGD85" s="6"/>
      <c r="PGE85" s="6"/>
      <c r="PGF85" s="6"/>
      <c r="PGG85" s="6"/>
      <c r="PGH85" s="6"/>
      <c r="PGI85" s="6"/>
      <c r="PGJ85" s="6"/>
      <c r="PGK85" s="6"/>
      <c r="PGL85" s="6"/>
      <c r="PGM85" s="6"/>
      <c r="PGN85" s="6"/>
      <c r="PGO85" s="6"/>
      <c r="PGP85" s="6"/>
      <c r="PGQ85" s="6"/>
      <c r="PGR85" s="6"/>
      <c r="PGS85" s="6"/>
      <c r="PGT85" s="6"/>
      <c r="PGU85" s="6"/>
      <c r="PGV85" s="6"/>
      <c r="PGW85" s="6"/>
      <c r="PGX85" s="6"/>
      <c r="PGY85" s="6"/>
      <c r="PGZ85" s="6"/>
      <c r="PHA85" s="6"/>
      <c r="PHB85" s="6"/>
      <c r="PHC85" s="6"/>
      <c r="PHD85" s="6"/>
      <c r="PHE85" s="6"/>
      <c r="PHF85" s="6"/>
      <c r="PHG85" s="6"/>
      <c r="PHH85" s="6"/>
      <c r="PHI85" s="6"/>
      <c r="PHJ85" s="6"/>
      <c r="PHK85" s="6"/>
      <c r="PHL85" s="6"/>
      <c r="PHM85" s="6"/>
      <c r="PHN85" s="6"/>
      <c r="PHO85" s="6"/>
      <c r="PHP85" s="6"/>
      <c r="PHQ85" s="6"/>
      <c r="PHR85" s="6"/>
      <c r="PHS85" s="6"/>
      <c r="PHT85" s="6"/>
      <c r="PHU85" s="6"/>
      <c r="PHV85" s="6"/>
      <c r="PHW85" s="6"/>
      <c r="PHX85" s="6"/>
      <c r="PHY85" s="6"/>
      <c r="PHZ85" s="6"/>
      <c r="PIA85" s="6"/>
      <c r="PIB85" s="6"/>
      <c r="PIC85" s="6"/>
      <c r="PID85" s="6"/>
      <c r="PIE85" s="6"/>
      <c r="PIF85" s="6"/>
      <c r="PIG85" s="6"/>
      <c r="PIH85" s="6"/>
      <c r="PII85" s="6"/>
      <c r="PIJ85" s="6"/>
      <c r="PIK85" s="6"/>
      <c r="PIL85" s="6"/>
      <c r="PIM85" s="6"/>
      <c r="PIN85" s="6"/>
      <c r="PIO85" s="6"/>
      <c r="PIP85" s="6"/>
      <c r="PIQ85" s="6"/>
      <c r="PIR85" s="6"/>
      <c r="PIS85" s="6"/>
      <c r="PIT85" s="6"/>
      <c r="PIU85" s="6"/>
      <c r="PIV85" s="6"/>
      <c r="PIW85" s="6"/>
      <c r="PIX85" s="6"/>
      <c r="PIY85" s="6"/>
      <c r="PIZ85" s="6"/>
      <c r="PJA85" s="6"/>
      <c r="PJB85" s="6"/>
      <c r="PJC85" s="6"/>
      <c r="PJD85" s="6"/>
      <c r="PJE85" s="6"/>
      <c r="PJF85" s="6"/>
      <c r="PJG85" s="6"/>
      <c r="PJH85" s="6"/>
      <c r="PJI85" s="6"/>
      <c r="PJJ85" s="6"/>
      <c r="PJK85" s="6"/>
      <c r="PJL85" s="6"/>
      <c r="PJM85" s="6"/>
      <c r="PJN85" s="6"/>
      <c r="PJO85" s="6"/>
      <c r="PJP85" s="6"/>
      <c r="PJQ85" s="6"/>
      <c r="PJR85" s="6"/>
      <c r="PJS85" s="6"/>
      <c r="PJT85" s="6"/>
      <c r="PJU85" s="6"/>
      <c r="PJV85" s="6"/>
      <c r="PJW85" s="6"/>
      <c r="PJX85" s="6"/>
      <c r="PJY85" s="6"/>
      <c r="PJZ85" s="6"/>
      <c r="PKA85" s="6"/>
      <c r="PKB85" s="6"/>
      <c r="PKC85" s="6"/>
      <c r="PKD85" s="6"/>
      <c r="PKE85" s="6"/>
      <c r="PKF85" s="6"/>
      <c r="PKG85" s="6"/>
      <c r="PKH85" s="6"/>
      <c r="PKI85" s="6"/>
      <c r="PKJ85" s="6"/>
      <c r="PKK85" s="6"/>
      <c r="PKL85" s="6"/>
      <c r="PKM85" s="6"/>
      <c r="PKN85" s="6"/>
      <c r="PKO85" s="6"/>
      <c r="PKP85" s="6"/>
      <c r="PKQ85" s="6"/>
      <c r="PKR85" s="6"/>
      <c r="PKS85" s="6"/>
      <c r="PKT85" s="6"/>
      <c r="PKU85" s="6"/>
      <c r="PKV85" s="6"/>
      <c r="PKW85" s="6"/>
      <c r="PKX85" s="6"/>
      <c r="PKY85" s="6"/>
      <c r="PKZ85" s="6"/>
      <c r="PLA85" s="6"/>
      <c r="PLB85" s="6"/>
      <c r="PLC85" s="6"/>
      <c r="PLD85" s="6"/>
      <c r="PLE85" s="6"/>
      <c r="PLF85" s="6"/>
      <c r="PLG85" s="6"/>
      <c r="PLH85" s="6"/>
      <c r="PLI85" s="6"/>
      <c r="PLJ85" s="6"/>
      <c r="PLK85" s="6"/>
      <c r="PLL85" s="6"/>
      <c r="PLM85" s="6"/>
      <c r="PLN85" s="6"/>
      <c r="PLO85" s="6"/>
      <c r="PLP85" s="6"/>
      <c r="PLQ85" s="6"/>
      <c r="PLR85" s="6"/>
      <c r="PLS85" s="6"/>
      <c r="PLT85" s="6"/>
      <c r="PLU85" s="6"/>
      <c r="PLV85" s="6"/>
      <c r="PLW85" s="6"/>
      <c r="PLX85" s="6"/>
      <c r="PLY85" s="6"/>
      <c r="PLZ85" s="6"/>
      <c r="PMA85" s="6"/>
      <c r="PMB85" s="6"/>
      <c r="PMC85" s="6"/>
      <c r="PMD85" s="6"/>
      <c r="PME85" s="6"/>
      <c r="PMF85" s="6"/>
      <c r="PMG85" s="6"/>
      <c r="PMH85" s="6"/>
      <c r="PMI85" s="6"/>
      <c r="PMJ85" s="6"/>
      <c r="PMK85" s="6"/>
      <c r="PML85" s="6"/>
      <c r="PMM85" s="6"/>
      <c r="PMN85" s="6"/>
      <c r="PMO85" s="6"/>
      <c r="PMP85" s="6"/>
      <c r="PMQ85" s="6"/>
      <c r="PMR85" s="6"/>
      <c r="PMS85" s="6"/>
      <c r="PMT85" s="6"/>
      <c r="PMU85" s="6"/>
      <c r="PMV85" s="6"/>
      <c r="PMW85" s="6"/>
      <c r="PMX85" s="6"/>
      <c r="PMY85" s="6"/>
      <c r="PMZ85" s="6"/>
      <c r="PNA85" s="6"/>
      <c r="PNB85" s="6"/>
      <c r="PNC85" s="6"/>
      <c r="PND85" s="6"/>
      <c r="PNE85" s="6"/>
      <c r="PNF85" s="6"/>
      <c r="PNG85" s="6"/>
      <c r="PNH85" s="6"/>
      <c r="PNI85" s="6"/>
      <c r="PNJ85" s="6"/>
      <c r="PNK85" s="6"/>
      <c r="PNL85" s="6"/>
      <c r="PNM85" s="6"/>
      <c r="PNN85" s="6"/>
      <c r="PNO85" s="6"/>
      <c r="PNP85" s="6"/>
      <c r="PNQ85" s="6"/>
      <c r="PNR85" s="6"/>
      <c r="PNS85" s="6"/>
      <c r="PNT85" s="6"/>
      <c r="PNU85" s="6"/>
      <c r="PNV85" s="6"/>
      <c r="PNW85" s="6"/>
      <c r="PNX85" s="6"/>
      <c r="PNY85" s="6"/>
      <c r="PNZ85" s="6"/>
      <c r="POA85" s="6"/>
      <c r="POB85" s="6"/>
      <c r="POC85" s="6"/>
      <c r="POD85" s="6"/>
      <c r="POE85" s="6"/>
      <c r="POF85" s="6"/>
      <c r="POG85" s="6"/>
      <c r="POH85" s="6"/>
      <c r="POI85" s="6"/>
      <c r="POJ85" s="6"/>
      <c r="POK85" s="6"/>
      <c r="POL85" s="6"/>
      <c r="POM85" s="6"/>
      <c r="PON85" s="6"/>
      <c r="POO85" s="6"/>
      <c r="POP85" s="6"/>
      <c r="POQ85" s="6"/>
      <c r="POR85" s="6"/>
      <c r="POS85" s="6"/>
      <c r="POT85" s="6"/>
      <c r="POU85" s="6"/>
      <c r="POV85" s="6"/>
      <c r="POW85" s="6"/>
      <c r="POX85" s="6"/>
      <c r="POY85" s="6"/>
      <c r="POZ85" s="6"/>
      <c r="PPA85" s="6"/>
      <c r="PPB85" s="6"/>
      <c r="PPC85" s="6"/>
      <c r="PPD85" s="6"/>
      <c r="PPE85" s="6"/>
      <c r="PPF85" s="6"/>
      <c r="PPG85" s="6"/>
      <c r="PPH85" s="6"/>
      <c r="PPI85" s="6"/>
      <c r="PPJ85" s="6"/>
      <c r="PPK85" s="6"/>
      <c r="PPL85" s="6"/>
      <c r="PPM85" s="6"/>
      <c r="PPN85" s="6"/>
      <c r="PPO85" s="6"/>
      <c r="PPP85" s="6"/>
      <c r="PPQ85" s="6"/>
      <c r="PPR85" s="6"/>
      <c r="PPS85" s="6"/>
      <c r="PPT85" s="6"/>
      <c r="PPU85" s="6"/>
      <c r="PPV85" s="6"/>
      <c r="PPW85" s="6"/>
      <c r="PPX85" s="6"/>
      <c r="PPY85" s="6"/>
      <c r="PPZ85" s="6"/>
      <c r="PQA85" s="6"/>
      <c r="PQB85" s="6"/>
      <c r="PQC85" s="6"/>
      <c r="PQD85" s="6"/>
      <c r="PQE85" s="6"/>
      <c r="PQF85" s="6"/>
      <c r="PQG85" s="6"/>
      <c r="PQH85" s="6"/>
      <c r="PQI85" s="6"/>
      <c r="PQJ85" s="6"/>
      <c r="PQK85" s="6"/>
      <c r="PQL85" s="6"/>
      <c r="PQM85" s="6"/>
      <c r="PQN85" s="6"/>
      <c r="PQO85" s="6"/>
      <c r="PQP85" s="6"/>
      <c r="PQQ85" s="6"/>
      <c r="PQR85" s="6"/>
      <c r="PQS85" s="6"/>
      <c r="PQT85" s="6"/>
      <c r="PQU85" s="6"/>
      <c r="PQV85" s="6"/>
      <c r="PQW85" s="6"/>
      <c r="PQX85" s="6"/>
      <c r="PQY85" s="6"/>
      <c r="PQZ85" s="6"/>
      <c r="PRA85" s="6"/>
      <c r="PRB85" s="6"/>
      <c r="PRC85" s="6"/>
      <c r="PRD85" s="6"/>
      <c r="PRE85" s="6"/>
      <c r="PRF85" s="6"/>
      <c r="PRG85" s="6"/>
      <c r="PRH85" s="6"/>
      <c r="PRI85" s="6"/>
      <c r="PRJ85" s="6"/>
      <c r="PRK85" s="6"/>
      <c r="PRL85" s="6"/>
      <c r="PRM85" s="6"/>
      <c r="PRN85" s="6"/>
      <c r="PRO85" s="6"/>
      <c r="PRP85" s="6"/>
      <c r="PRQ85" s="6"/>
      <c r="PRR85" s="6"/>
      <c r="PRS85" s="6"/>
      <c r="PRT85" s="6"/>
      <c r="PRU85" s="6"/>
      <c r="PRV85" s="6"/>
      <c r="PRW85" s="6"/>
      <c r="PRX85" s="6"/>
      <c r="PRY85" s="6"/>
      <c r="PRZ85" s="6"/>
      <c r="PSA85" s="6"/>
      <c r="PSB85" s="6"/>
      <c r="PSC85" s="6"/>
      <c r="PSD85" s="6"/>
      <c r="PSE85" s="6"/>
      <c r="PSF85" s="6"/>
      <c r="PSG85" s="6"/>
      <c r="PSH85" s="6"/>
      <c r="PSI85" s="6"/>
      <c r="PSJ85" s="6"/>
      <c r="PSK85" s="6"/>
      <c r="PSL85" s="6"/>
      <c r="PSM85" s="6"/>
      <c r="PSN85" s="6"/>
      <c r="PSO85" s="6"/>
      <c r="PSP85" s="6"/>
      <c r="PSQ85" s="6"/>
      <c r="PSR85" s="6"/>
      <c r="PSS85" s="6"/>
      <c r="PST85" s="6"/>
      <c r="PSU85" s="6"/>
      <c r="PSV85" s="6"/>
      <c r="PSW85" s="6"/>
      <c r="PSX85" s="6"/>
      <c r="PSY85" s="6"/>
      <c r="PSZ85" s="6"/>
      <c r="PTA85" s="6"/>
      <c r="PTB85" s="6"/>
      <c r="PTC85" s="6"/>
      <c r="PTD85" s="6"/>
      <c r="PTE85" s="6"/>
      <c r="PTF85" s="6"/>
      <c r="PTG85" s="6"/>
      <c r="PTH85" s="6"/>
      <c r="PTI85" s="6"/>
      <c r="PTJ85" s="6"/>
      <c r="PTK85" s="6"/>
      <c r="PTL85" s="6"/>
      <c r="PTM85" s="6"/>
      <c r="PTN85" s="6"/>
      <c r="PTO85" s="6"/>
      <c r="PTP85" s="6"/>
      <c r="PTQ85" s="6"/>
      <c r="PTR85" s="6"/>
      <c r="PTS85" s="6"/>
      <c r="PTT85" s="6"/>
      <c r="PTU85" s="6"/>
      <c r="PTV85" s="6"/>
      <c r="PTW85" s="6"/>
      <c r="PTX85" s="6"/>
      <c r="PTY85" s="6"/>
      <c r="PTZ85" s="6"/>
      <c r="PUA85" s="6"/>
      <c r="PUB85" s="6"/>
      <c r="PUC85" s="6"/>
      <c r="PUD85" s="6"/>
      <c r="PUE85" s="6"/>
      <c r="PUF85" s="6"/>
      <c r="PUG85" s="6"/>
      <c r="PUH85" s="6"/>
      <c r="PUI85" s="6"/>
      <c r="PUJ85" s="6"/>
      <c r="PUK85" s="6"/>
      <c r="PUL85" s="6"/>
      <c r="PUM85" s="6"/>
      <c r="PUN85" s="6"/>
      <c r="PUO85" s="6"/>
      <c r="PUP85" s="6"/>
      <c r="PUQ85" s="6"/>
      <c r="PUR85" s="6"/>
      <c r="PUS85" s="6"/>
      <c r="PUT85" s="6"/>
      <c r="PUU85" s="6"/>
      <c r="PUV85" s="6"/>
      <c r="PUW85" s="6"/>
      <c r="PUX85" s="6"/>
      <c r="PUY85" s="6"/>
      <c r="PUZ85" s="6"/>
      <c r="PVA85" s="6"/>
      <c r="PVB85" s="6"/>
      <c r="PVC85" s="6"/>
      <c r="PVD85" s="6"/>
      <c r="PVE85" s="6"/>
      <c r="PVF85" s="6"/>
      <c r="PVG85" s="6"/>
      <c r="PVH85" s="6"/>
      <c r="PVI85" s="6"/>
      <c r="PVJ85" s="6"/>
      <c r="PVK85" s="6"/>
      <c r="PVL85" s="6"/>
      <c r="PVM85" s="6"/>
      <c r="PVN85" s="6"/>
      <c r="PVO85" s="6"/>
      <c r="PVP85" s="6"/>
      <c r="PVQ85" s="6"/>
      <c r="PVR85" s="6"/>
      <c r="PVS85" s="6"/>
      <c r="PVT85" s="6"/>
      <c r="PVU85" s="6"/>
      <c r="PVV85" s="6"/>
      <c r="PVW85" s="6"/>
      <c r="PVX85" s="6"/>
      <c r="PVY85" s="6"/>
      <c r="PVZ85" s="6"/>
      <c r="PWA85" s="6"/>
      <c r="PWB85" s="6"/>
      <c r="PWC85" s="6"/>
      <c r="PWD85" s="6"/>
      <c r="PWE85" s="6"/>
      <c r="PWF85" s="6"/>
      <c r="PWG85" s="6"/>
      <c r="PWH85" s="6"/>
      <c r="PWI85" s="6"/>
      <c r="PWJ85" s="6"/>
      <c r="PWK85" s="6"/>
      <c r="PWL85" s="6"/>
      <c r="PWM85" s="6"/>
      <c r="PWN85" s="6"/>
      <c r="PWO85" s="6"/>
      <c r="PWP85" s="6"/>
      <c r="PWQ85" s="6"/>
      <c r="PWR85" s="6"/>
      <c r="PWS85" s="6"/>
      <c r="PWT85" s="6"/>
      <c r="PWU85" s="6"/>
      <c r="PWV85" s="6"/>
      <c r="PWW85" s="6"/>
      <c r="PWX85" s="6"/>
      <c r="PWY85" s="6"/>
      <c r="PWZ85" s="6"/>
      <c r="PXA85" s="6"/>
      <c r="PXB85" s="6"/>
      <c r="PXC85" s="6"/>
      <c r="PXD85" s="6"/>
      <c r="PXE85" s="6"/>
      <c r="PXF85" s="6"/>
      <c r="PXG85" s="6"/>
      <c r="PXH85" s="6"/>
      <c r="PXI85" s="6"/>
      <c r="PXJ85" s="6"/>
      <c r="PXK85" s="6"/>
      <c r="PXL85" s="6"/>
      <c r="PXM85" s="6"/>
      <c r="PXN85" s="6"/>
      <c r="PXO85" s="6"/>
      <c r="PXP85" s="6"/>
      <c r="PXQ85" s="6"/>
      <c r="PXR85" s="6"/>
      <c r="PXS85" s="6"/>
      <c r="PXT85" s="6"/>
      <c r="PXU85" s="6"/>
      <c r="PXV85" s="6"/>
      <c r="PXW85" s="6"/>
      <c r="PXX85" s="6"/>
      <c r="PXY85" s="6"/>
      <c r="PXZ85" s="6"/>
      <c r="PYA85" s="6"/>
      <c r="PYB85" s="6"/>
      <c r="PYC85" s="6"/>
      <c r="PYD85" s="6"/>
      <c r="PYE85" s="6"/>
      <c r="PYF85" s="6"/>
      <c r="PYG85" s="6"/>
      <c r="PYH85" s="6"/>
      <c r="PYI85" s="6"/>
      <c r="PYJ85" s="6"/>
      <c r="PYK85" s="6"/>
      <c r="PYL85" s="6"/>
      <c r="PYM85" s="6"/>
      <c r="PYN85" s="6"/>
      <c r="PYO85" s="6"/>
      <c r="PYP85" s="6"/>
      <c r="PYQ85" s="6"/>
      <c r="PYR85" s="6"/>
      <c r="PYS85" s="6"/>
      <c r="PYT85" s="6"/>
      <c r="PYU85" s="6"/>
      <c r="PYV85" s="6"/>
      <c r="PYW85" s="6"/>
      <c r="PYX85" s="6"/>
      <c r="PYY85" s="6"/>
      <c r="PYZ85" s="6"/>
      <c r="PZA85" s="6"/>
      <c r="PZB85" s="6"/>
      <c r="PZC85" s="6"/>
      <c r="PZD85" s="6"/>
      <c r="PZE85" s="6"/>
      <c r="PZF85" s="6"/>
      <c r="PZG85" s="6"/>
      <c r="PZH85" s="6"/>
      <c r="PZI85" s="6"/>
      <c r="PZJ85" s="6"/>
      <c r="PZK85" s="6"/>
      <c r="PZL85" s="6"/>
      <c r="PZM85" s="6"/>
      <c r="PZN85" s="6"/>
      <c r="PZO85" s="6"/>
      <c r="PZP85" s="6"/>
      <c r="PZQ85" s="6"/>
      <c r="PZR85" s="6"/>
      <c r="PZS85" s="6"/>
      <c r="PZT85" s="6"/>
      <c r="PZU85" s="6"/>
      <c r="PZV85" s="6"/>
      <c r="PZW85" s="6"/>
      <c r="PZX85" s="6"/>
      <c r="PZY85" s="6"/>
      <c r="PZZ85" s="6"/>
      <c r="QAA85" s="6"/>
      <c r="QAB85" s="6"/>
      <c r="QAC85" s="6"/>
      <c r="QAD85" s="6"/>
      <c r="QAE85" s="6"/>
      <c r="QAF85" s="6"/>
      <c r="QAG85" s="6"/>
      <c r="QAH85" s="6"/>
      <c r="QAI85" s="6"/>
      <c r="QAJ85" s="6"/>
      <c r="QAK85" s="6"/>
      <c r="QAL85" s="6"/>
      <c r="QAM85" s="6"/>
      <c r="QAN85" s="6"/>
      <c r="QAO85" s="6"/>
      <c r="QAP85" s="6"/>
      <c r="QAQ85" s="6"/>
      <c r="QAR85" s="6"/>
      <c r="QAS85" s="6"/>
      <c r="QAT85" s="6"/>
      <c r="QAU85" s="6"/>
      <c r="QAV85" s="6"/>
      <c r="QAW85" s="6"/>
      <c r="QAX85" s="6"/>
      <c r="QAY85" s="6"/>
      <c r="QAZ85" s="6"/>
      <c r="QBA85" s="6"/>
      <c r="QBB85" s="6"/>
      <c r="QBC85" s="6"/>
      <c r="QBD85" s="6"/>
      <c r="QBE85" s="6"/>
      <c r="QBF85" s="6"/>
      <c r="QBG85" s="6"/>
      <c r="QBH85" s="6"/>
      <c r="QBI85" s="6"/>
      <c r="QBJ85" s="6"/>
      <c r="QBK85" s="6"/>
      <c r="QBL85" s="6"/>
      <c r="QBM85" s="6"/>
      <c r="QBN85" s="6"/>
      <c r="QBO85" s="6"/>
      <c r="QBP85" s="6"/>
      <c r="QBQ85" s="6"/>
      <c r="QBR85" s="6"/>
      <c r="QBS85" s="6"/>
      <c r="QBT85" s="6"/>
      <c r="QBU85" s="6"/>
      <c r="QBV85" s="6"/>
      <c r="QBW85" s="6"/>
      <c r="QBX85" s="6"/>
      <c r="QBY85" s="6"/>
      <c r="QBZ85" s="6"/>
      <c r="QCA85" s="6"/>
      <c r="QCB85" s="6"/>
      <c r="QCC85" s="6"/>
      <c r="QCD85" s="6"/>
      <c r="QCE85" s="6"/>
      <c r="QCF85" s="6"/>
      <c r="QCG85" s="6"/>
      <c r="QCH85" s="6"/>
      <c r="QCI85" s="6"/>
      <c r="QCJ85" s="6"/>
      <c r="QCK85" s="6"/>
      <c r="QCL85" s="6"/>
      <c r="QCM85" s="6"/>
      <c r="QCN85" s="6"/>
      <c r="QCO85" s="6"/>
      <c r="QCP85" s="6"/>
      <c r="QCQ85" s="6"/>
      <c r="QCR85" s="6"/>
      <c r="QCS85" s="6"/>
      <c r="QCT85" s="6"/>
      <c r="QCU85" s="6"/>
      <c r="QCV85" s="6"/>
      <c r="QCW85" s="6"/>
      <c r="QCX85" s="6"/>
      <c r="QCY85" s="6"/>
      <c r="QCZ85" s="6"/>
      <c r="QDA85" s="6"/>
      <c r="QDB85" s="6"/>
      <c r="QDC85" s="6"/>
      <c r="QDD85" s="6"/>
      <c r="QDE85" s="6"/>
      <c r="QDF85" s="6"/>
      <c r="QDG85" s="6"/>
      <c r="QDH85" s="6"/>
      <c r="QDI85" s="6"/>
      <c r="QDJ85" s="6"/>
      <c r="QDK85" s="6"/>
      <c r="QDL85" s="6"/>
      <c r="QDM85" s="6"/>
      <c r="QDN85" s="6"/>
      <c r="QDO85" s="6"/>
      <c r="QDP85" s="6"/>
      <c r="QDQ85" s="6"/>
      <c r="QDR85" s="6"/>
      <c r="QDS85" s="6"/>
      <c r="QDT85" s="6"/>
      <c r="QDU85" s="6"/>
      <c r="QDV85" s="6"/>
      <c r="QDW85" s="6"/>
      <c r="QDX85" s="6"/>
      <c r="QDY85" s="6"/>
      <c r="QDZ85" s="6"/>
      <c r="QEA85" s="6"/>
      <c r="QEB85" s="6"/>
      <c r="QEC85" s="6"/>
      <c r="QED85" s="6"/>
      <c r="QEE85" s="6"/>
      <c r="QEF85" s="6"/>
      <c r="QEG85" s="6"/>
      <c r="QEH85" s="6"/>
      <c r="QEI85" s="6"/>
      <c r="QEJ85" s="6"/>
      <c r="QEK85" s="6"/>
      <c r="QEL85" s="6"/>
      <c r="QEM85" s="6"/>
      <c r="QEN85" s="6"/>
      <c r="QEO85" s="6"/>
      <c r="QEP85" s="6"/>
      <c r="QEQ85" s="6"/>
      <c r="QER85" s="6"/>
      <c r="QES85" s="6"/>
      <c r="QET85" s="6"/>
      <c r="QEU85" s="6"/>
      <c r="QEV85" s="6"/>
      <c r="QEW85" s="6"/>
      <c r="QEX85" s="6"/>
      <c r="QEY85" s="6"/>
      <c r="QEZ85" s="6"/>
      <c r="QFA85" s="6"/>
      <c r="QFB85" s="6"/>
      <c r="QFC85" s="6"/>
      <c r="QFD85" s="6"/>
      <c r="QFE85" s="6"/>
      <c r="QFF85" s="6"/>
      <c r="QFG85" s="6"/>
      <c r="QFH85" s="6"/>
      <c r="QFI85" s="6"/>
      <c r="QFJ85" s="6"/>
      <c r="QFK85" s="6"/>
      <c r="QFL85" s="6"/>
      <c r="QFM85" s="6"/>
      <c r="QFN85" s="6"/>
      <c r="QFO85" s="6"/>
      <c r="QFP85" s="6"/>
      <c r="QFQ85" s="6"/>
      <c r="QFR85" s="6"/>
      <c r="QFS85" s="6"/>
      <c r="QFT85" s="6"/>
      <c r="QFU85" s="6"/>
      <c r="QFV85" s="6"/>
      <c r="QFW85" s="6"/>
      <c r="QFX85" s="6"/>
      <c r="QFY85" s="6"/>
      <c r="QFZ85" s="6"/>
      <c r="QGA85" s="6"/>
      <c r="QGB85" s="6"/>
      <c r="QGC85" s="6"/>
      <c r="QGD85" s="6"/>
      <c r="QGE85" s="6"/>
      <c r="QGF85" s="6"/>
      <c r="QGG85" s="6"/>
      <c r="QGH85" s="6"/>
      <c r="QGI85" s="6"/>
      <c r="QGJ85" s="6"/>
      <c r="QGK85" s="6"/>
      <c r="QGL85" s="6"/>
      <c r="QGM85" s="6"/>
      <c r="QGN85" s="6"/>
      <c r="QGO85" s="6"/>
      <c r="QGP85" s="6"/>
      <c r="QGQ85" s="6"/>
      <c r="QGR85" s="6"/>
      <c r="QGS85" s="6"/>
      <c r="QGT85" s="6"/>
      <c r="QGU85" s="6"/>
      <c r="QGV85" s="6"/>
      <c r="QGW85" s="6"/>
      <c r="QGX85" s="6"/>
      <c r="QGY85" s="6"/>
      <c r="QGZ85" s="6"/>
      <c r="QHA85" s="6"/>
      <c r="QHB85" s="6"/>
      <c r="QHC85" s="6"/>
      <c r="QHD85" s="6"/>
      <c r="QHE85" s="6"/>
      <c r="QHF85" s="6"/>
      <c r="QHG85" s="6"/>
      <c r="QHH85" s="6"/>
      <c r="QHI85" s="6"/>
      <c r="QHJ85" s="6"/>
      <c r="QHK85" s="6"/>
      <c r="QHL85" s="6"/>
      <c r="QHM85" s="6"/>
      <c r="QHN85" s="6"/>
      <c r="QHO85" s="6"/>
      <c r="QHP85" s="6"/>
      <c r="QHQ85" s="6"/>
      <c r="QHR85" s="6"/>
      <c r="QHS85" s="6"/>
      <c r="QHT85" s="6"/>
      <c r="QHU85" s="6"/>
      <c r="QHV85" s="6"/>
      <c r="QHW85" s="6"/>
      <c r="QHX85" s="6"/>
      <c r="QHY85" s="6"/>
      <c r="QHZ85" s="6"/>
      <c r="QIA85" s="6"/>
      <c r="QIB85" s="6"/>
      <c r="QIC85" s="6"/>
      <c r="QID85" s="6"/>
      <c r="QIE85" s="6"/>
      <c r="QIF85" s="6"/>
      <c r="QIG85" s="6"/>
      <c r="QIH85" s="6"/>
      <c r="QII85" s="6"/>
      <c r="QIJ85" s="6"/>
      <c r="QIK85" s="6"/>
      <c r="QIL85" s="6"/>
      <c r="QIM85" s="6"/>
      <c r="QIN85" s="6"/>
      <c r="QIO85" s="6"/>
      <c r="QIP85" s="6"/>
      <c r="QIQ85" s="6"/>
      <c r="QIR85" s="6"/>
      <c r="QIS85" s="6"/>
      <c r="QIT85" s="6"/>
      <c r="QIU85" s="6"/>
      <c r="QIV85" s="6"/>
      <c r="QIW85" s="6"/>
      <c r="QIX85" s="6"/>
      <c r="QIY85" s="6"/>
      <c r="QIZ85" s="6"/>
      <c r="QJA85" s="6"/>
      <c r="QJB85" s="6"/>
      <c r="QJC85" s="6"/>
      <c r="QJD85" s="6"/>
      <c r="QJE85" s="6"/>
      <c r="QJF85" s="6"/>
      <c r="QJG85" s="6"/>
      <c r="QJH85" s="6"/>
      <c r="QJI85" s="6"/>
      <c r="QJJ85" s="6"/>
      <c r="QJK85" s="6"/>
      <c r="QJL85" s="6"/>
      <c r="QJM85" s="6"/>
      <c r="QJN85" s="6"/>
      <c r="QJO85" s="6"/>
      <c r="QJP85" s="6"/>
      <c r="QJQ85" s="6"/>
      <c r="QJR85" s="6"/>
      <c r="QJS85" s="6"/>
      <c r="QJT85" s="6"/>
      <c r="QJU85" s="6"/>
      <c r="QJV85" s="6"/>
      <c r="QJW85" s="6"/>
      <c r="QJX85" s="6"/>
      <c r="QJY85" s="6"/>
      <c r="QJZ85" s="6"/>
      <c r="QKA85" s="6"/>
      <c r="QKB85" s="6"/>
      <c r="QKC85" s="6"/>
      <c r="QKD85" s="6"/>
      <c r="QKE85" s="6"/>
      <c r="QKF85" s="6"/>
      <c r="QKG85" s="6"/>
      <c r="QKH85" s="6"/>
      <c r="QKI85" s="6"/>
      <c r="QKJ85" s="6"/>
      <c r="QKK85" s="6"/>
      <c r="QKL85" s="6"/>
      <c r="QKM85" s="6"/>
      <c r="QKN85" s="6"/>
      <c r="QKO85" s="6"/>
      <c r="QKP85" s="6"/>
      <c r="QKQ85" s="6"/>
      <c r="QKR85" s="6"/>
      <c r="QKS85" s="6"/>
      <c r="QKT85" s="6"/>
      <c r="QKU85" s="6"/>
      <c r="QKV85" s="6"/>
      <c r="QKW85" s="6"/>
      <c r="QKX85" s="6"/>
      <c r="QKY85" s="6"/>
      <c r="QKZ85" s="6"/>
      <c r="QLA85" s="6"/>
      <c r="QLB85" s="6"/>
      <c r="QLC85" s="6"/>
      <c r="QLD85" s="6"/>
      <c r="QLE85" s="6"/>
      <c r="QLF85" s="6"/>
      <c r="QLG85" s="6"/>
      <c r="QLH85" s="6"/>
      <c r="QLI85" s="6"/>
      <c r="QLJ85" s="6"/>
      <c r="QLK85" s="6"/>
      <c r="QLL85" s="6"/>
      <c r="QLM85" s="6"/>
      <c r="QLN85" s="6"/>
      <c r="QLO85" s="6"/>
      <c r="QLP85" s="6"/>
      <c r="QLQ85" s="6"/>
      <c r="QLR85" s="6"/>
      <c r="QLS85" s="6"/>
      <c r="QLT85" s="6"/>
      <c r="QLU85" s="6"/>
      <c r="QLV85" s="6"/>
      <c r="QLW85" s="6"/>
      <c r="QLX85" s="6"/>
      <c r="QLY85" s="6"/>
      <c r="QLZ85" s="6"/>
      <c r="QMA85" s="6"/>
      <c r="QMB85" s="6"/>
      <c r="QMC85" s="6"/>
      <c r="QMD85" s="6"/>
      <c r="QME85" s="6"/>
      <c r="QMF85" s="6"/>
      <c r="QMG85" s="6"/>
      <c r="QMH85" s="6"/>
      <c r="QMI85" s="6"/>
      <c r="QMJ85" s="6"/>
      <c r="QMK85" s="6"/>
      <c r="QML85" s="6"/>
      <c r="QMM85" s="6"/>
      <c r="QMN85" s="6"/>
      <c r="QMO85" s="6"/>
      <c r="QMP85" s="6"/>
      <c r="QMQ85" s="6"/>
      <c r="QMR85" s="6"/>
      <c r="QMS85" s="6"/>
      <c r="QMT85" s="6"/>
      <c r="QMU85" s="6"/>
      <c r="QMV85" s="6"/>
      <c r="QMW85" s="6"/>
      <c r="QMX85" s="6"/>
      <c r="QMY85" s="6"/>
      <c r="QMZ85" s="6"/>
      <c r="QNA85" s="6"/>
      <c r="QNB85" s="6"/>
      <c r="QNC85" s="6"/>
      <c r="QND85" s="6"/>
      <c r="QNE85" s="6"/>
      <c r="QNF85" s="6"/>
      <c r="QNG85" s="6"/>
      <c r="QNH85" s="6"/>
      <c r="QNI85" s="6"/>
      <c r="QNJ85" s="6"/>
      <c r="QNK85" s="6"/>
      <c r="QNL85" s="6"/>
      <c r="QNM85" s="6"/>
      <c r="QNN85" s="6"/>
      <c r="QNO85" s="6"/>
      <c r="QNP85" s="6"/>
      <c r="QNQ85" s="6"/>
      <c r="QNR85" s="6"/>
      <c r="QNS85" s="6"/>
      <c r="QNT85" s="6"/>
      <c r="QNU85" s="6"/>
      <c r="QNV85" s="6"/>
      <c r="QNW85" s="6"/>
      <c r="QNX85" s="6"/>
      <c r="QNY85" s="6"/>
      <c r="QNZ85" s="6"/>
      <c r="QOA85" s="6"/>
      <c r="QOB85" s="6"/>
      <c r="QOC85" s="6"/>
      <c r="QOD85" s="6"/>
      <c r="QOE85" s="6"/>
      <c r="QOF85" s="6"/>
      <c r="QOG85" s="6"/>
      <c r="QOH85" s="6"/>
      <c r="QOI85" s="6"/>
      <c r="QOJ85" s="6"/>
      <c r="QOK85" s="6"/>
      <c r="QOL85" s="6"/>
      <c r="QOM85" s="6"/>
      <c r="QON85" s="6"/>
      <c r="QOO85" s="6"/>
      <c r="QOP85" s="6"/>
      <c r="QOQ85" s="6"/>
      <c r="QOR85" s="6"/>
      <c r="QOS85" s="6"/>
      <c r="QOT85" s="6"/>
      <c r="QOU85" s="6"/>
      <c r="QOV85" s="6"/>
      <c r="QOW85" s="6"/>
      <c r="QOX85" s="6"/>
      <c r="QOY85" s="6"/>
      <c r="QOZ85" s="6"/>
      <c r="QPA85" s="6"/>
      <c r="QPB85" s="6"/>
      <c r="QPC85" s="6"/>
      <c r="QPD85" s="6"/>
      <c r="QPE85" s="6"/>
      <c r="QPF85" s="6"/>
      <c r="QPG85" s="6"/>
      <c r="QPH85" s="6"/>
      <c r="QPI85" s="6"/>
      <c r="QPJ85" s="6"/>
      <c r="QPK85" s="6"/>
      <c r="QPL85" s="6"/>
      <c r="QPM85" s="6"/>
      <c r="QPN85" s="6"/>
      <c r="QPO85" s="6"/>
      <c r="QPP85" s="6"/>
      <c r="QPQ85" s="6"/>
      <c r="QPR85" s="6"/>
      <c r="QPS85" s="6"/>
      <c r="QPT85" s="6"/>
      <c r="QPU85" s="6"/>
      <c r="QPV85" s="6"/>
      <c r="QPW85" s="6"/>
      <c r="QPX85" s="6"/>
      <c r="QPY85" s="6"/>
      <c r="QPZ85" s="6"/>
      <c r="QQA85" s="6"/>
      <c r="QQB85" s="6"/>
      <c r="QQC85" s="6"/>
      <c r="QQD85" s="6"/>
      <c r="QQE85" s="6"/>
      <c r="QQF85" s="6"/>
      <c r="QQG85" s="6"/>
      <c r="QQH85" s="6"/>
      <c r="QQI85" s="6"/>
      <c r="QQJ85" s="6"/>
      <c r="QQK85" s="6"/>
      <c r="QQL85" s="6"/>
      <c r="QQM85" s="6"/>
      <c r="QQN85" s="6"/>
      <c r="QQO85" s="6"/>
      <c r="QQP85" s="6"/>
      <c r="QQQ85" s="6"/>
      <c r="QQR85" s="6"/>
      <c r="QQS85" s="6"/>
      <c r="QQT85" s="6"/>
      <c r="QQU85" s="6"/>
      <c r="QQV85" s="6"/>
      <c r="QQW85" s="6"/>
      <c r="QQX85" s="6"/>
      <c r="QQY85" s="6"/>
      <c r="QQZ85" s="6"/>
      <c r="QRA85" s="6"/>
      <c r="QRB85" s="6"/>
      <c r="QRC85" s="6"/>
      <c r="QRD85" s="6"/>
      <c r="QRE85" s="6"/>
      <c r="QRF85" s="6"/>
      <c r="QRG85" s="6"/>
      <c r="QRH85" s="6"/>
      <c r="QRI85" s="6"/>
      <c r="QRJ85" s="6"/>
      <c r="QRK85" s="6"/>
      <c r="QRL85" s="6"/>
      <c r="QRM85" s="6"/>
      <c r="QRN85" s="6"/>
      <c r="QRO85" s="6"/>
      <c r="QRP85" s="6"/>
      <c r="QRQ85" s="6"/>
      <c r="QRR85" s="6"/>
      <c r="QRS85" s="6"/>
      <c r="QRT85" s="6"/>
      <c r="QRU85" s="6"/>
      <c r="QRV85" s="6"/>
      <c r="QRW85" s="6"/>
      <c r="QRX85" s="6"/>
      <c r="QRY85" s="6"/>
      <c r="QRZ85" s="6"/>
      <c r="QSA85" s="6"/>
      <c r="QSB85" s="6"/>
      <c r="QSC85" s="6"/>
      <c r="QSD85" s="6"/>
      <c r="QSE85" s="6"/>
      <c r="QSF85" s="6"/>
      <c r="QSG85" s="6"/>
      <c r="QSH85" s="6"/>
      <c r="QSI85" s="6"/>
      <c r="QSJ85" s="6"/>
      <c r="QSK85" s="6"/>
      <c r="QSL85" s="6"/>
      <c r="QSM85" s="6"/>
      <c r="QSN85" s="6"/>
      <c r="QSO85" s="6"/>
      <c r="QSP85" s="6"/>
      <c r="QSQ85" s="6"/>
      <c r="QSR85" s="6"/>
      <c r="QSS85" s="6"/>
      <c r="QST85" s="6"/>
      <c r="QSU85" s="6"/>
      <c r="QSV85" s="6"/>
      <c r="QSW85" s="6"/>
      <c r="QSX85" s="6"/>
      <c r="QSY85" s="6"/>
      <c r="QSZ85" s="6"/>
      <c r="QTA85" s="6"/>
      <c r="QTB85" s="6"/>
      <c r="QTC85" s="6"/>
      <c r="QTD85" s="6"/>
      <c r="QTE85" s="6"/>
      <c r="QTF85" s="6"/>
      <c r="QTG85" s="6"/>
      <c r="QTH85" s="6"/>
      <c r="QTI85" s="6"/>
      <c r="QTJ85" s="6"/>
      <c r="QTK85" s="6"/>
      <c r="QTL85" s="6"/>
      <c r="QTM85" s="6"/>
      <c r="QTN85" s="6"/>
      <c r="QTO85" s="6"/>
      <c r="QTP85" s="6"/>
      <c r="QTQ85" s="6"/>
      <c r="QTR85" s="6"/>
      <c r="QTS85" s="6"/>
      <c r="QTT85" s="6"/>
      <c r="QTU85" s="6"/>
      <c r="QTV85" s="6"/>
      <c r="QTW85" s="6"/>
      <c r="QTX85" s="6"/>
      <c r="QTY85" s="6"/>
      <c r="QTZ85" s="6"/>
      <c r="QUA85" s="6"/>
      <c r="QUB85" s="6"/>
      <c r="QUC85" s="6"/>
      <c r="QUD85" s="6"/>
      <c r="QUE85" s="6"/>
      <c r="QUF85" s="6"/>
      <c r="QUG85" s="6"/>
      <c r="QUH85" s="6"/>
      <c r="QUI85" s="6"/>
      <c r="QUJ85" s="6"/>
      <c r="QUK85" s="6"/>
      <c r="QUL85" s="6"/>
      <c r="QUM85" s="6"/>
      <c r="QUN85" s="6"/>
      <c r="QUO85" s="6"/>
      <c r="QUP85" s="6"/>
      <c r="QUQ85" s="6"/>
      <c r="QUR85" s="6"/>
      <c r="QUS85" s="6"/>
      <c r="QUT85" s="6"/>
      <c r="QUU85" s="6"/>
      <c r="QUV85" s="6"/>
      <c r="QUW85" s="6"/>
      <c r="QUX85" s="6"/>
      <c r="QUY85" s="6"/>
      <c r="QUZ85" s="6"/>
      <c r="QVA85" s="6"/>
      <c r="QVB85" s="6"/>
      <c r="QVC85" s="6"/>
      <c r="QVD85" s="6"/>
      <c r="QVE85" s="6"/>
      <c r="QVF85" s="6"/>
      <c r="QVG85" s="6"/>
      <c r="QVH85" s="6"/>
      <c r="QVI85" s="6"/>
      <c r="QVJ85" s="6"/>
      <c r="QVK85" s="6"/>
      <c r="QVL85" s="6"/>
      <c r="QVM85" s="6"/>
      <c r="QVN85" s="6"/>
      <c r="QVO85" s="6"/>
      <c r="QVP85" s="6"/>
      <c r="QVQ85" s="6"/>
      <c r="QVR85" s="6"/>
      <c r="QVS85" s="6"/>
      <c r="QVT85" s="6"/>
      <c r="QVU85" s="6"/>
      <c r="QVV85" s="6"/>
      <c r="QVW85" s="6"/>
      <c r="QVX85" s="6"/>
      <c r="QVY85" s="6"/>
      <c r="QVZ85" s="6"/>
      <c r="QWA85" s="6"/>
      <c r="QWB85" s="6"/>
      <c r="QWC85" s="6"/>
      <c r="QWD85" s="6"/>
      <c r="QWE85" s="6"/>
      <c r="QWF85" s="6"/>
      <c r="QWG85" s="6"/>
      <c r="QWH85" s="6"/>
      <c r="QWI85" s="6"/>
      <c r="QWJ85" s="6"/>
      <c r="QWK85" s="6"/>
      <c r="QWL85" s="6"/>
      <c r="QWM85" s="6"/>
      <c r="QWN85" s="6"/>
      <c r="QWO85" s="6"/>
      <c r="QWP85" s="6"/>
      <c r="QWQ85" s="6"/>
      <c r="QWR85" s="6"/>
      <c r="QWS85" s="6"/>
      <c r="QWT85" s="6"/>
      <c r="QWU85" s="6"/>
      <c r="QWV85" s="6"/>
      <c r="QWW85" s="6"/>
      <c r="QWX85" s="6"/>
      <c r="QWY85" s="6"/>
      <c r="QWZ85" s="6"/>
      <c r="QXA85" s="6"/>
      <c r="QXB85" s="6"/>
      <c r="QXC85" s="6"/>
      <c r="QXD85" s="6"/>
      <c r="QXE85" s="6"/>
      <c r="QXF85" s="6"/>
      <c r="QXG85" s="6"/>
      <c r="QXH85" s="6"/>
      <c r="QXI85" s="6"/>
      <c r="QXJ85" s="6"/>
      <c r="QXK85" s="6"/>
      <c r="QXL85" s="6"/>
      <c r="QXM85" s="6"/>
      <c r="QXN85" s="6"/>
      <c r="QXO85" s="6"/>
      <c r="QXP85" s="6"/>
      <c r="QXQ85" s="6"/>
      <c r="QXR85" s="6"/>
      <c r="QXS85" s="6"/>
      <c r="QXT85" s="6"/>
      <c r="QXU85" s="6"/>
      <c r="QXV85" s="6"/>
      <c r="QXW85" s="6"/>
      <c r="QXX85" s="6"/>
      <c r="QXY85" s="6"/>
      <c r="QXZ85" s="6"/>
      <c r="QYA85" s="6"/>
      <c r="QYB85" s="6"/>
      <c r="QYC85" s="6"/>
      <c r="QYD85" s="6"/>
      <c r="QYE85" s="6"/>
      <c r="QYF85" s="6"/>
      <c r="QYG85" s="6"/>
      <c r="QYH85" s="6"/>
      <c r="QYI85" s="6"/>
      <c r="QYJ85" s="6"/>
      <c r="QYK85" s="6"/>
      <c r="QYL85" s="6"/>
      <c r="QYM85" s="6"/>
      <c r="QYN85" s="6"/>
      <c r="QYO85" s="6"/>
      <c r="QYP85" s="6"/>
      <c r="QYQ85" s="6"/>
      <c r="QYR85" s="6"/>
      <c r="QYS85" s="6"/>
      <c r="QYT85" s="6"/>
      <c r="QYU85" s="6"/>
      <c r="QYV85" s="6"/>
      <c r="QYW85" s="6"/>
      <c r="QYX85" s="6"/>
      <c r="QYY85" s="6"/>
      <c r="QYZ85" s="6"/>
      <c r="QZA85" s="6"/>
      <c r="QZB85" s="6"/>
      <c r="QZC85" s="6"/>
      <c r="QZD85" s="6"/>
      <c r="QZE85" s="6"/>
      <c r="QZF85" s="6"/>
      <c r="QZG85" s="6"/>
      <c r="QZH85" s="6"/>
      <c r="QZI85" s="6"/>
      <c r="QZJ85" s="6"/>
      <c r="QZK85" s="6"/>
      <c r="QZL85" s="6"/>
      <c r="QZM85" s="6"/>
      <c r="QZN85" s="6"/>
      <c r="QZO85" s="6"/>
      <c r="QZP85" s="6"/>
      <c r="QZQ85" s="6"/>
      <c r="QZR85" s="6"/>
      <c r="QZS85" s="6"/>
      <c r="QZT85" s="6"/>
      <c r="QZU85" s="6"/>
      <c r="QZV85" s="6"/>
      <c r="QZW85" s="6"/>
      <c r="QZX85" s="6"/>
      <c r="QZY85" s="6"/>
      <c r="QZZ85" s="6"/>
      <c r="RAA85" s="6"/>
      <c r="RAB85" s="6"/>
      <c r="RAC85" s="6"/>
      <c r="RAD85" s="6"/>
      <c r="RAE85" s="6"/>
      <c r="RAF85" s="6"/>
      <c r="RAG85" s="6"/>
      <c r="RAH85" s="6"/>
      <c r="RAI85" s="6"/>
      <c r="RAJ85" s="6"/>
      <c r="RAK85" s="6"/>
      <c r="RAL85" s="6"/>
      <c r="RAM85" s="6"/>
      <c r="RAN85" s="6"/>
      <c r="RAO85" s="6"/>
      <c r="RAP85" s="6"/>
      <c r="RAQ85" s="6"/>
      <c r="RAR85" s="6"/>
      <c r="RAS85" s="6"/>
      <c r="RAT85" s="6"/>
      <c r="RAU85" s="6"/>
      <c r="RAV85" s="6"/>
      <c r="RAW85" s="6"/>
      <c r="RAX85" s="6"/>
      <c r="RAY85" s="6"/>
      <c r="RAZ85" s="6"/>
      <c r="RBA85" s="6"/>
      <c r="RBB85" s="6"/>
      <c r="RBC85" s="6"/>
      <c r="RBD85" s="6"/>
      <c r="RBE85" s="6"/>
      <c r="RBF85" s="6"/>
      <c r="RBG85" s="6"/>
      <c r="RBH85" s="6"/>
      <c r="RBI85" s="6"/>
      <c r="RBJ85" s="6"/>
      <c r="RBK85" s="6"/>
      <c r="RBL85" s="6"/>
      <c r="RBM85" s="6"/>
      <c r="RBN85" s="6"/>
      <c r="RBO85" s="6"/>
      <c r="RBP85" s="6"/>
      <c r="RBQ85" s="6"/>
      <c r="RBR85" s="6"/>
      <c r="RBS85" s="6"/>
      <c r="RBT85" s="6"/>
      <c r="RBU85" s="6"/>
      <c r="RBV85" s="6"/>
      <c r="RBW85" s="6"/>
      <c r="RBX85" s="6"/>
      <c r="RBY85" s="6"/>
      <c r="RBZ85" s="6"/>
      <c r="RCA85" s="6"/>
      <c r="RCB85" s="6"/>
      <c r="RCC85" s="6"/>
      <c r="RCD85" s="6"/>
      <c r="RCE85" s="6"/>
      <c r="RCF85" s="6"/>
      <c r="RCG85" s="6"/>
      <c r="RCH85" s="6"/>
      <c r="RCI85" s="6"/>
      <c r="RCJ85" s="6"/>
      <c r="RCK85" s="6"/>
      <c r="RCL85" s="6"/>
      <c r="RCM85" s="6"/>
      <c r="RCN85" s="6"/>
      <c r="RCO85" s="6"/>
      <c r="RCP85" s="6"/>
      <c r="RCQ85" s="6"/>
      <c r="RCR85" s="6"/>
      <c r="RCS85" s="6"/>
      <c r="RCT85" s="6"/>
      <c r="RCU85" s="6"/>
      <c r="RCV85" s="6"/>
      <c r="RCW85" s="6"/>
      <c r="RCX85" s="6"/>
      <c r="RCY85" s="6"/>
      <c r="RCZ85" s="6"/>
      <c r="RDA85" s="6"/>
      <c r="RDB85" s="6"/>
      <c r="RDC85" s="6"/>
      <c r="RDD85" s="6"/>
      <c r="RDE85" s="6"/>
      <c r="RDF85" s="6"/>
      <c r="RDG85" s="6"/>
      <c r="RDH85" s="6"/>
      <c r="RDI85" s="6"/>
      <c r="RDJ85" s="6"/>
      <c r="RDK85" s="6"/>
      <c r="RDL85" s="6"/>
      <c r="RDM85" s="6"/>
      <c r="RDN85" s="6"/>
      <c r="RDO85" s="6"/>
      <c r="RDP85" s="6"/>
      <c r="RDQ85" s="6"/>
      <c r="RDR85" s="6"/>
      <c r="RDS85" s="6"/>
      <c r="RDT85" s="6"/>
      <c r="RDU85" s="6"/>
      <c r="RDV85" s="6"/>
      <c r="RDW85" s="6"/>
      <c r="RDX85" s="6"/>
      <c r="RDY85" s="6"/>
      <c r="RDZ85" s="6"/>
      <c r="REA85" s="6"/>
      <c r="REB85" s="6"/>
      <c r="REC85" s="6"/>
      <c r="RED85" s="6"/>
      <c r="REE85" s="6"/>
      <c r="REF85" s="6"/>
      <c r="REG85" s="6"/>
      <c r="REH85" s="6"/>
      <c r="REI85" s="6"/>
      <c r="REJ85" s="6"/>
      <c r="REK85" s="6"/>
      <c r="REL85" s="6"/>
      <c r="REM85" s="6"/>
      <c r="REN85" s="6"/>
      <c r="REO85" s="6"/>
      <c r="REP85" s="6"/>
      <c r="REQ85" s="6"/>
      <c r="RER85" s="6"/>
      <c r="RES85" s="6"/>
      <c r="RET85" s="6"/>
      <c r="REU85" s="6"/>
      <c r="REV85" s="6"/>
      <c r="REW85" s="6"/>
      <c r="REX85" s="6"/>
      <c r="REY85" s="6"/>
      <c r="REZ85" s="6"/>
      <c r="RFA85" s="6"/>
      <c r="RFB85" s="6"/>
      <c r="RFC85" s="6"/>
      <c r="RFD85" s="6"/>
      <c r="RFE85" s="6"/>
      <c r="RFF85" s="6"/>
      <c r="RFG85" s="6"/>
      <c r="RFH85" s="6"/>
      <c r="RFI85" s="6"/>
      <c r="RFJ85" s="6"/>
      <c r="RFK85" s="6"/>
      <c r="RFL85" s="6"/>
      <c r="RFM85" s="6"/>
      <c r="RFN85" s="6"/>
      <c r="RFO85" s="6"/>
      <c r="RFP85" s="6"/>
      <c r="RFQ85" s="6"/>
      <c r="RFR85" s="6"/>
      <c r="RFS85" s="6"/>
      <c r="RFT85" s="6"/>
      <c r="RFU85" s="6"/>
      <c r="RFV85" s="6"/>
      <c r="RFW85" s="6"/>
      <c r="RFX85" s="6"/>
      <c r="RFY85" s="6"/>
      <c r="RFZ85" s="6"/>
      <c r="RGA85" s="6"/>
      <c r="RGB85" s="6"/>
      <c r="RGC85" s="6"/>
      <c r="RGD85" s="6"/>
      <c r="RGE85" s="6"/>
      <c r="RGF85" s="6"/>
      <c r="RGG85" s="6"/>
      <c r="RGH85" s="6"/>
      <c r="RGI85" s="6"/>
      <c r="RGJ85" s="6"/>
      <c r="RGK85" s="6"/>
      <c r="RGL85" s="6"/>
      <c r="RGM85" s="6"/>
      <c r="RGN85" s="6"/>
      <c r="RGO85" s="6"/>
      <c r="RGP85" s="6"/>
      <c r="RGQ85" s="6"/>
      <c r="RGR85" s="6"/>
      <c r="RGS85" s="6"/>
      <c r="RGT85" s="6"/>
      <c r="RGU85" s="6"/>
      <c r="RGV85" s="6"/>
      <c r="RGW85" s="6"/>
      <c r="RGX85" s="6"/>
      <c r="RGY85" s="6"/>
      <c r="RGZ85" s="6"/>
      <c r="RHA85" s="6"/>
      <c r="RHB85" s="6"/>
      <c r="RHC85" s="6"/>
      <c r="RHD85" s="6"/>
      <c r="RHE85" s="6"/>
      <c r="RHF85" s="6"/>
      <c r="RHG85" s="6"/>
      <c r="RHH85" s="6"/>
      <c r="RHI85" s="6"/>
      <c r="RHJ85" s="6"/>
      <c r="RHK85" s="6"/>
      <c r="RHL85" s="6"/>
      <c r="RHM85" s="6"/>
      <c r="RHN85" s="6"/>
      <c r="RHO85" s="6"/>
      <c r="RHP85" s="6"/>
      <c r="RHQ85" s="6"/>
      <c r="RHR85" s="6"/>
      <c r="RHS85" s="6"/>
      <c r="RHT85" s="6"/>
      <c r="RHU85" s="6"/>
      <c r="RHV85" s="6"/>
      <c r="RHW85" s="6"/>
      <c r="RHX85" s="6"/>
      <c r="RHY85" s="6"/>
      <c r="RHZ85" s="6"/>
      <c r="RIA85" s="6"/>
      <c r="RIB85" s="6"/>
      <c r="RIC85" s="6"/>
      <c r="RID85" s="6"/>
      <c r="RIE85" s="6"/>
      <c r="RIF85" s="6"/>
      <c r="RIG85" s="6"/>
      <c r="RIH85" s="6"/>
      <c r="RII85" s="6"/>
      <c r="RIJ85" s="6"/>
      <c r="RIK85" s="6"/>
      <c r="RIL85" s="6"/>
      <c r="RIM85" s="6"/>
      <c r="RIN85" s="6"/>
      <c r="RIO85" s="6"/>
      <c r="RIP85" s="6"/>
      <c r="RIQ85" s="6"/>
      <c r="RIR85" s="6"/>
      <c r="RIS85" s="6"/>
      <c r="RIT85" s="6"/>
      <c r="RIU85" s="6"/>
      <c r="RIV85" s="6"/>
      <c r="RIW85" s="6"/>
      <c r="RIX85" s="6"/>
      <c r="RIY85" s="6"/>
      <c r="RIZ85" s="6"/>
      <c r="RJA85" s="6"/>
      <c r="RJB85" s="6"/>
      <c r="RJC85" s="6"/>
      <c r="RJD85" s="6"/>
      <c r="RJE85" s="6"/>
      <c r="RJF85" s="6"/>
      <c r="RJG85" s="6"/>
      <c r="RJH85" s="6"/>
      <c r="RJI85" s="6"/>
      <c r="RJJ85" s="6"/>
      <c r="RJK85" s="6"/>
      <c r="RJL85" s="6"/>
      <c r="RJM85" s="6"/>
      <c r="RJN85" s="6"/>
      <c r="RJO85" s="6"/>
      <c r="RJP85" s="6"/>
      <c r="RJQ85" s="6"/>
      <c r="RJR85" s="6"/>
      <c r="RJS85" s="6"/>
      <c r="RJT85" s="6"/>
      <c r="RJU85" s="6"/>
      <c r="RJV85" s="6"/>
      <c r="RJW85" s="6"/>
      <c r="RJX85" s="6"/>
      <c r="RJY85" s="6"/>
      <c r="RJZ85" s="6"/>
      <c r="RKA85" s="6"/>
      <c r="RKB85" s="6"/>
      <c r="RKC85" s="6"/>
      <c r="RKD85" s="6"/>
      <c r="RKE85" s="6"/>
      <c r="RKF85" s="6"/>
      <c r="RKG85" s="6"/>
      <c r="RKH85" s="6"/>
      <c r="RKI85" s="6"/>
      <c r="RKJ85" s="6"/>
      <c r="RKK85" s="6"/>
      <c r="RKL85" s="6"/>
      <c r="RKM85" s="6"/>
      <c r="RKN85" s="6"/>
      <c r="RKO85" s="6"/>
      <c r="RKP85" s="6"/>
      <c r="RKQ85" s="6"/>
      <c r="RKR85" s="6"/>
      <c r="RKS85" s="6"/>
      <c r="RKT85" s="6"/>
      <c r="RKU85" s="6"/>
      <c r="RKV85" s="6"/>
      <c r="RKW85" s="6"/>
      <c r="RKX85" s="6"/>
      <c r="RKY85" s="6"/>
      <c r="RKZ85" s="6"/>
      <c r="RLA85" s="6"/>
      <c r="RLB85" s="6"/>
      <c r="RLC85" s="6"/>
      <c r="RLD85" s="6"/>
      <c r="RLE85" s="6"/>
      <c r="RLF85" s="6"/>
      <c r="RLG85" s="6"/>
      <c r="RLH85" s="6"/>
      <c r="RLI85" s="6"/>
      <c r="RLJ85" s="6"/>
      <c r="RLK85" s="6"/>
      <c r="RLL85" s="6"/>
      <c r="RLM85" s="6"/>
      <c r="RLN85" s="6"/>
      <c r="RLO85" s="6"/>
      <c r="RLP85" s="6"/>
      <c r="RLQ85" s="6"/>
      <c r="RLR85" s="6"/>
      <c r="RLS85" s="6"/>
      <c r="RLT85" s="6"/>
      <c r="RLU85" s="6"/>
      <c r="RLV85" s="6"/>
      <c r="RLW85" s="6"/>
      <c r="RLX85" s="6"/>
      <c r="RLY85" s="6"/>
      <c r="RLZ85" s="6"/>
      <c r="RMA85" s="6"/>
      <c r="RMB85" s="6"/>
      <c r="RMC85" s="6"/>
      <c r="RMD85" s="6"/>
      <c r="RME85" s="6"/>
      <c r="RMF85" s="6"/>
      <c r="RMG85" s="6"/>
      <c r="RMH85" s="6"/>
      <c r="RMI85" s="6"/>
      <c r="RMJ85" s="6"/>
      <c r="RMK85" s="6"/>
      <c r="RML85" s="6"/>
      <c r="RMM85" s="6"/>
      <c r="RMN85" s="6"/>
      <c r="RMO85" s="6"/>
      <c r="RMP85" s="6"/>
      <c r="RMQ85" s="6"/>
      <c r="RMR85" s="6"/>
      <c r="RMS85" s="6"/>
      <c r="RMT85" s="6"/>
      <c r="RMU85" s="6"/>
      <c r="RMV85" s="6"/>
      <c r="RMW85" s="6"/>
      <c r="RMX85" s="6"/>
      <c r="RMY85" s="6"/>
      <c r="RMZ85" s="6"/>
      <c r="RNA85" s="6"/>
      <c r="RNB85" s="6"/>
      <c r="RNC85" s="6"/>
      <c r="RND85" s="6"/>
      <c r="RNE85" s="6"/>
      <c r="RNF85" s="6"/>
      <c r="RNG85" s="6"/>
      <c r="RNH85" s="6"/>
      <c r="RNI85" s="6"/>
      <c r="RNJ85" s="6"/>
      <c r="RNK85" s="6"/>
      <c r="RNL85" s="6"/>
      <c r="RNM85" s="6"/>
      <c r="RNN85" s="6"/>
      <c r="RNO85" s="6"/>
      <c r="RNP85" s="6"/>
      <c r="RNQ85" s="6"/>
      <c r="RNR85" s="6"/>
      <c r="RNS85" s="6"/>
      <c r="RNT85" s="6"/>
      <c r="RNU85" s="6"/>
      <c r="RNV85" s="6"/>
      <c r="RNW85" s="6"/>
      <c r="RNX85" s="6"/>
      <c r="RNY85" s="6"/>
      <c r="RNZ85" s="6"/>
      <c r="ROA85" s="6"/>
      <c r="ROB85" s="6"/>
      <c r="ROC85" s="6"/>
      <c r="ROD85" s="6"/>
      <c r="ROE85" s="6"/>
      <c r="ROF85" s="6"/>
      <c r="ROG85" s="6"/>
      <c r="ROH85" s="6"/>
      <c r="ROI85" s="6"/>
      <c r="ROJ85" s="6"/>
      <c r="ROK85" s="6"/>
      <c r="ROL85" s="6"/>
      <c r="ROM85" s="6"/>
      <c r="RON85" s="6"/>
      <c r="ROO85" s="6"/>
      <c r="ROP85" s="6"/>
      <c r="ROQ85" s="6"/>
      <c r="ROR85" s="6"/>
      <c r="ROS85" s="6"/>
      <c r="ROT85" s="6"/>
      <c r="ROU85" s="6"/>
      <c r="ROV85" s="6"/>
      <c r="ROW85" s="6"/>
      <c r="ROX85" s="6"/>
      <c r="ROY85" s="6"/>
      <c r="ROZ85" s="6"/>
      <c r="RPA85" s="6"/>
      <c r="RPB85" s="6"/>
      <c r="RPC85" s="6"/>
      <c r="RPD85" s="6"/>
      <c r="RPE85" s="6"/>
      <c r="RPF85" s="6"/>
      <c r="RPG85" s="6"/>
      <c r="RPH85" s="6"/>
      <c r="RPI85" s="6"/>
      <c r="RPJ85" s="6"/>
      <c r="RPK85" s="6"/>
      <c r="RPL85" s="6"/>
      <c r="RPM85" s="6"/>
      <c r="RPN85" s="6"/>
      <c r="RPO85" s="6"/>
      <c r="RPP85" s="6"/>
      <c r="RPQ85" s="6"/>
      <c r="RPR85" s="6"/>
      <c r="RPS85" s="6"/>
      <c r="RPT85" s="6"/>
      <c r="RPU85" s="6"/>
      <c r="RPV85" s="6"/>
      <c r="RPW85" s="6"/>
      <c r="RPX85" s="6"/>
      <c r="RPY85" s="6"/>
      <c r="RPZ85" s="6"/>
      <c r="RQA85" s="6"/>
      <c r="RQB85" s="6"/>
      <c r="RQC85" s="6"/>
      <c r="RQD85" s="6"/>
      <c r="RQE85" s="6"/>
      <c r="RQF85" s="6"/>
      <c r="RQG85" s="6"/>
      <c r="RQH85" s="6"/>
      <c r="RQI85" s="6"/>
      <c r="RQJ85" s="6"/>
      <c r="RQK85" s="6"/>
      <c r="RQL85" s="6"/>
      <c r="RQM85" s="6"/>
      <c r="RQN85" s="6"/>
      <c r="RQO85" s="6"/>
      <c r="RQP85" s="6"/>
      <c r="RQQ85" s="6"/>
      <c r="RQR85" s="6"/>
      <c r="RQS85" s="6"/>
      <c r="RQT85" s="6"/>
      <c r="RQU85" s="6"/>
      <c r="RQV85" s="6"/>
      <c r="RQW85" s="6"/>
      <c r="RQX85" s="6"/>
      <c r="RQY85" s="6"/>
      <c r="RQZ85" s="6"/>
      <c r="RRA85" s="6"/>
      <c r="RRB85" s="6"/>
      <c r="RRC85" s="6"/>
      <c r="RRD85" s="6"/>
      <c r="RRE85" s="6"/>
      <c r="RRF85" s="6"/>
      <c r="RRG85" s="6"/>
      <c r="RRH85" s="6"/>
      <c r="RRI85" s="6"/>
      <c r="RRJ85" s="6"/>
      <c r="RRK85" s="6"/>
      <c r="RRL85" s="6"/>
      <c r="RRM85" s="6"/>
      <c r="RRN85" s="6"/>
      <c r="RRO85" s="6"/>
      <c r="RRP85" s="6"/>
      <c r="RRQ85" s="6"/>
      <c r="RRR85" s="6"/>
      <c r="RRS85" s="6"/>
      <c r="RRT85" s="6"/>
      <c r="RRU85" s="6"/>
      <c r="RRV85" s="6"/>
      <c r="RRW85" s="6"/>
      <c r="RRX85" s="6"/>
      <c r="RRY85" s="6"/>
      <c r="RRZ85" s="6"/>
      <c r="RSA85" s="6"/>
      <c r="RSB85" s="6"/>
      <c r="RSC85" s="6"/>
      <c r="RSD85" s="6"/>
      <c r="RSE85" s="6"/>
      <c r="RSF85" s="6"/>
      <c r="RSG85" s="6"/>
      <c r="RSH85" s="6"/>
      <c r="RSI85" s="6"/>
      <c r="RSJ85" s="6"/>
      <c r="RSK85" s="6"/>
      <c r="RSL85" s="6"/>
      <c r="RSM85" s="6"/>
      <c r="RSN85" s="6"/>
      <c r="RSO85" s="6"/>
      <c r="RSP85" s="6"/>
      <c r="RSQ85" s="6"/>
      <c r="RSR85" s="6"/>
      <c r="RSS85" s="6"/>
      <c r="RST85" s="6"/>
      <c r="RSU85" s="6"/>
      <c r="RSV85" s="6"/>
      <c r="RSW85" s="6"/>
      <c r="RSX85" s="6"/>
      <c r="RSY85" s="6"/>
      <c r="RSZ85" s="6"/>
      <c r="RTA85" s="6"/>
      <c r="RTB85" s="6"/>
      <c r="RTC85" s="6"/>
      <c r="RTD85" s="6"/>
      <c r="RTE85" s="6"/>
      <c r="RTF85" s="6"/>
      <c r="RTG85" s="6"/>
      <c r="RTH85" s="6"/>
      <c r="RTI85" s="6"/>
      <c r="RTJ85" s="6"/>
      <c r="RTK85" s="6"/>
      <c r="RTL85" s="6"/>
      <c r="RTM85" s="6"/>
      <c r="RTN85" s="6"/>
      <c r="RTO85" s="6"/>
      <c r="RTP85" s="6"/>
      <c r="RTQ85" s="6"/>
      <c r="RTR85" s="6"/>
      <c r="RTS85" s="6"/>
      <c r="RTT85" s="6"/>
      <c r="RTU85" s="6"/>
      <c r="RTV85" s="6"/>
      <c r="RTW85" s="6"/>
      <c r="RTX85" s="6"/>
      <c r="RTY85" s="6"/>
      <c r="RTZ85" s="6"/>
      <c r="RUA85" s="6"/>
      <c r="RUB85" s="6"/>
      <c r="RUC85" s="6"/>
      <c r="RUD85" s="6"/>
      <c r="RUE85" s="6"/>
      <c r="RUF85" s="6"/>
      <c r="RUG85" s="6"/>
      <c r="RUH85" s="6"/>
      <c r="RUI85" s="6"/>
      <c r="RUJ85" s="6"/>
      <c r="RUK85" s="6"/>
      <c r="RUL85" s="6"/>
      <c r="RUM85" s="6"/>
      <c r="RUN85" s="6"/>
      <c r="RUO85" s="6"/>
      <c r="RUP85" s="6"/>
      <c r="RUQ85" s="6"/>
      <c r="RUR85" s="6"/>
      <c r="RUS85" s="6"/>
      <c r="RUT85" s="6"/>
      <c r="RUU85" s="6"/>
      <c r="RUV85" s="6"/>
      <c r="RUW85" s="6"/>
      <c r="RUX85" s="6"/>
      <c r="RUY85" s="6"/>
      <c r="RUZ85" s="6"/>
      <c r="RVA85" s="6"/>
      <c r="RVB85" s="6"/>
      <c r="RVC85" s="6"/>
      <c r="RVD85" s="6"/>
      <c r="RVE85" s="6"/>
      <c r="RVF85" s="6"/>
      <c r="RVG85" s="6"/>
      <c r="RVH85" s="6"/>
      <c r="RVI85" s="6"/>
      <c r="RVJ85" s="6"/>
      <c r="RVK85" s="6"/>
      <c r="RVL85" s="6"/>
      <c r="RVM85" s="6"/>
      <c r="RVN85" s="6"/>
      <c r="RVO85" s="6"/>
      <c r="RVP85" s="6"/>
      <c r="RVQ85" s="6"/>
      <c r="RVR85" s="6"/>
      <c r="RVS85" s="6"/>
      <c r="RVT85" s="6"/>
      <c r="RVU85" s="6"/>
      <c r="RVV85" s="6"/>
      <c r="RVW85" s="6"/>
      <c r="RVX85" s="6"/>
      <c r="RVY85" s="6"/>
      <c r="RVZ85" s="6"/>
      <c r="RWA85" s="6"/>
      <c r="RWB85" s="6"/>
      <c r="RWC85" s="6"/>
      <c r="RWD85" s="6"/>
      <c r="RWE85" s="6"/>
      <c r="RWF85" s="6"/>
      <c r="RWG85" s="6"/>
      <c r="RWH85" s="6"/>
      <c r="RWI85" s="6"/>
      <c r="RWJ85" s="6"/>
      <c r="RWK85" s="6"/>
      <c r="RWL85" s="6"/>
      <c r="RWM85" s="6"/>
      <c r="RWN85" s="6"/>
      <c r="RWO85" s="6"/>
      <c r="RWP85" s="6"/>
      <c r="RWQ85" s="6"/>
      <c r="RWR85" s="6"/>
      <c r="RWS85" s="6"/>
      <c r="RWT85" s="6"/>
      <c r="RWU85" s="6"/>
      <c r="RWV85" s="6"/>
      <c r="RWW85" s="6"/>
      <c r="RWX85" s="6"/>
      <c r="RWY85" s="6"/>
      <c r="RWZ85" s="6"/>
      <c r="RXA85" s="6"/>
      <c r="RXB85" s="6"/>
      <c r="RXC85" s="6"/>
      <c r="RXD85" s="6"/>
      <c r="RXE85" s="6"/>
      <c r="RXF85" s="6"/>
      <c r="RXG85" s="6"/>
      <c r="RXH85" s="6"/>
      <c r="RXI85" s="6"/>
      <c r="RXJ85" s="6"/>
      <c r="RXK85" s="6"/>
      <c r="RXL85" s="6"/>
      <c r="RXM85" s="6"/>
      <c r="RXN85" s="6"/>
      <c r="RXO85" s="6"/>
      <c r="RXP85" s="6"/>
      <c r="RXQ85" s="6"/>
      <c r="RXR85" s="6"/>
      <c r="RXS85" s="6"/>
      <c r="RXT85" s="6"/>
      <c r="RXU85" s="6"/>
      <c r="RXV85" s="6"/>
      <c r="RXW85" s="6"/>
      <c r="RXX85" s="6"/>
      <c r="RXY85" s="6"/>
      <c r="RXZ85" s="6"/>
      <c r="RYA85" s="6"/>
      <c r="RYB85" s="6"/>
      <c r="RYC85" s="6"/>
      <c r="RYD85" s="6"/>
      <c r="RYE85" s="6"/>
      <c r="RYF85" s="6"/>
      <c r="RYG85" s="6"/>
      <c r="RYH85" s="6"/>
      <c r="RYI85" s="6"/>
      <c r="RYJ85" s="6"/>
      <c r="RYK85" s="6"/>
      <c r="RYL85" s="6"/>
      <c r="RYM85" s="6"/>
      <c r="RYN85" s="6"/>
      <c r="RYO85" s="6"/>
      <c r="RYP85" s="6"/>
      <c r="RYQ85" s="6"/>
      <c r="RYR85" s="6"/>
      <c r="RYS85" s="6"/>
      <c r="RYT85" s="6"/>
      <c r="RYU85" s="6"/>
      <c r="RYV85" s="6"/>
      <c r="RYW85" s="6"/>
      <c r="RYX85" s="6"/>
      <c r="RYY85" s="6"/>
      <c r="RYZ85" s="6"/>
      <c r="RZA85" s="6"/>
      <c r="RZB85" s="6"/>
      <c r="RZC85" s="6"/>
      <c r="RZD85" s="6"/>
      <c r="RZE85" s="6"/>
      <c r="RZF85" s="6"/>
      <c r="RZG85" s="6"/>
      <c r="RZH85" s="6"/>
      <c r="RZI85" s="6"/>
      <c r="RZJ85" s="6"/>
      <c r="RZK85" s="6"/>
      <c r="RZL85" s="6"/>
      <c r="RZM85" s="6"/>
      <c r="RZN85" s="6"/>
      <c r="RZO85" s="6"/>
      <c r="RZP85" s="6"/>
      <c r="RZQ85" s="6"/>
      <c r="RZR85" s="6"/>
      <c r="RZS85" s="6"/>
      <c r="RZT85" s="6"/>
      <c r="RZU85" s="6"/>
      <c r="RZV85" s="6"/>
      <c r="RZW85" s="6"/>
      <c r="RZX85" s="6"/>
      <c r="RZY85" s="6"/>
      <c r="RZZ85" s="6"/>
      <c r="SAA85" s="6"/>
      <c r="SAB85" s="6"/>
      <c r="SAC85" s="6"/>
      <c r="SAD85" s="6"/>
      <c r="SAE85" s="6"/>
      <c r="SAF85" s="6"/>
      <c r="SAG85" s="6"/>
      <c r="SAH85" s="6"/>
      <c r="SAI85" s="6"/>
      <c r="SAJ85" s="6"/>
      <c r="SAK85" s="6"/>
      <c r="SAL85" s="6"/>
      <c r="SAM85" s="6"/>
      <c r="SAN85" s="6"/>
      <c r="SAO85" s="6"/>
      <c r="SAP85" s="6"/>
      <c r="SAQ85" s="6"/>
      <c r="SAR85" s="6"/>
      <c r="SAS85" s="6"/>
      <c r="SAT85" s="6"/>
      <c r="SAU85" s="6"/>
      <c r="SAV85" s="6"/>
      <c r="SAW85" s="6"/>
      <c r="SAX85" s="6"/>
      <c r="SAY85" s="6"/>
      <c r="SAZ85" s="6"/>
      <c r="SBA85" s="6"/>
      <c r="SBB85" s="6"/>
      <c r="SBC85" s="6"/>
      <c r="SBD85" s="6"/>
      <c r="SBE85" s="6"/>
      <c r="SBF85" s="6"/>
      <c r="SBG85" s="6"/>
      <c r="SBH85" s="6"/>
      <c r="SBI85" s="6"/>
      <c r="SBJ85" s="6"/>
      <c r="SBK85" s="6"/>
      <c r="SBL85" s="6"/>
      <c r="SBM85" s="6"/>
      <c r="SBN85" s="6"/>
      <c r="SBO85" s="6"/>
      <c r="SBP85" s="6"/>
      <c r="SBQ85" s="6"/>
      <c r="SBR85" s="6"/>
      <c r="SBS85" s="6"/>
      <c r="SBT85" s="6"/>
      <c r="SBU85" s="6"/>
      <c r="SBV85" s="6"/>
      <c r="SBW85" s="6"/>
      <c r="SBX85" s="6"/>
      <c r="SBY85" s="6"/>
      <c r="SBZ85" s="6"/>
      <c r="SCA85" s="6"/>
      <c r="SCB85" s="6"/>
      <c r="SCC85" s="6"/>
      <c r="SCD85" s="6"/>
      <c r="SCE85" s="6"/>
      <c r="SCF85" s="6"/>
      <c r="SCG85" s="6"/>
      <c r="SCH85" s="6"/>
      <c r="SCI85" s="6"/>
      <c r="SCJ85" s="6"/>
      <c r="SCK85" s="6"/>
      <c r="SCL85" s="6"/>
      <c r="SCM85" s="6"/>
      <c r="SCN85" s="6"/>
      <c r="SCO85" s="6"/>
      <c r="SCP85" s="6"/>
      <c r="SCQ85" s="6"/>
      <c r="SCR85" s="6"/>
      <c r="SCS85" s="6"/>
      <c r="SCT85" s="6"/>
      <c r="SCU85" s="6"/>
      <c r="SCV85" s="6"/>
      <c r="SCW85" s="6"/>
      <c r="SCX85" s="6"/>
      <c r="SCY85" s="6"/>
      <c r="SCZ85" s="6"/>
      <c r="SDA85" s="6"/>
      <c r="SDB85" s="6"/>
      <c r="SDC85" s="6"/>
      <c r="SDD85" s="6"/>
      <c r="SDE85" s="6"/>
      <c r="SDF85" s="6"/>
      <c r="SDG85" s="6"/>
      <c r="SDH85" s="6"/>
      <c r="SDI85" s="6"/>
      <c r="SDJ85" s="6"/>
      <c r="SDK85" s="6"/>
      <c r="SDL85" s="6"/>
      <c r="SDM85" s="6"/>
      <c r="SDN85" s="6"/>
      <c r="SDO85" s="6"/>
      <c r="SDP85" s="6"/>
      <c r="SDQ85" s="6"/>
      <c r="SDR85" s="6"/>
      <c r="SDS85" s="6"/>
      <c r="SDT85" s="6"/>
      <c r="SDU85" s="6"/>
      <c r="SDV85" s="6"/>
      <c r="SDW85" s="6"/>
      <c r="SDX85" s="6"/>
      <c r="SDY85" s="6"/>
      <c r="SDZ85" s="6"/>
      <c r="SEA85" s="6"/>
      <c r="SEB85" s="6"/>
      <c r="SEC85" s="6"/>
      <c r="SED85" s="6"/>
      <c r="SEE85" s="6"/>
      <c r="SEF85" s="6"/>
      <c r="SEG85" s="6"/>
      <c r="SEH85" s="6"/>
      <c r="SEI85" s="6"/>
      <c r="SEJ85" s="6"/>
      <c r="SEK85" s="6"/>
      <c r="SEL85" s="6"/>
      <c r="SEM85" s="6"/>
      <c r="SEN85" s="6"/>
      <c r="SEO85" s="6"/>
      <c r="SEP85" s="6"/>
      <c r="SEQ85" s="6"/>
      <c r="SER85" s="6"/>
      <c r="SES85" s="6"/>
      <c r="SET85" s="6"/>
      <c r="SEU85" s="6"/>
      <c r="SEV85" s="6"/>
      <c r="SEW85" s="6"/>
      <c r="SEX85" s="6"/>
      <c r="SEY85" s="6"/>
      <c r="SEZ85" s="6"/>
      <c r="SFA85" s="6"/>
      <c r="SFB85" s="6"/>
      <c r="SFC85" s="6"/>
      <c r="SFD85" s="6"/>
      <c r="SFE85" s="6"/>
      <c r="SFF85" s="6"/>
      <c r="SFG85" s="6"/>
      <c r="SFH85" s="6"/>
      <c r="SFI85" s="6"/>
      <c r="SFJ85" s="6"/>
      <c r="SFK85" s="6"/>
      <c r="SFL85" s="6"/>
      <c r="SFM85" s="6"/>
      <c r="SFN85" s="6"/>
      <c r="SFO85" s="6"/>
      <c r="SFP85" s="6"/>
      <c r="SFQ85" s="6"/>
      <c r="SFR85" s="6"/>
      <c r="SFS85" s="6"/>
      <c r="SFT85" s="6"/>
      <c r="SFU85" s="6"/>
      <c r="SFV85" s="6"/>
      <c r="SFW85" s="6"/>
      <c r="SFX85" s="6"/>
      <c r="SFY85" s="6"/>
      <c r="SFZ85" s="6"/>
      <c r="SGA85" s="6"/>
      <c r="SGB85" s="6"/>
      <c r="SGC85" s="6"/>
      <c r="SGD85" s="6"/>
      <c r="SGE85" s="6"/>
      <c r="SGF85" s="6"/>
      <c r="SGG85" s="6"/>
      <c r="SGH85" s="6"/>
      <c r="SGI85" s="6"/>
      <c r="SGJ85" s="6"/>
      <c r="SGK85" s="6"/>
      <c r="SGL85" s="6"/>
      <c r="SGM85" s="6"/>
      <c r="SGN85" s="6"/>
      <c r="SGO85" s="6"/>
      <c r="SGP85" s="6"/>
      <c r="SGQ85" s="6"/>
      <c r="SGR85" s="6"/>
      <c r="SGS85" s="6"/>
      <c r="SGT85" s="6"/>
      <c r="SGU85" s="6"/>
      <c r="SGV85" s="6"/>
      <c r="SGW85" s="6"/>
      <c r="SGX85" s="6"/>
      <c r="SGY85" s="6"/>
      <c r="SGZ85" s="6"/>
      <c r="SHA85" s="6"/>
      <c r="SHB85" s="6"/>
      <c r="SHC85" s="6"/>
      <c r="SHD85" s="6"/>
      <c r="SHE85" s="6"/>
      <c r="SHF85" s="6"/>
      <c r="SHG85" s="6"/>
      <c r="SHH85" s="6"/>
      <c r="SHI85" s="6"/>
      <c r="SHJ85" s="6"/>
      <c r="SHK85" s="6"/>
      <c r="SHL85" s="6"/>
      <c r="SHM85" s="6"/>
      <c r="SHN85" s="6"/>
      <c r="SHO85" s="6"/>
      <c r="SHP85" s="6"/>
      <c r="SHQ85" s="6"/>
      <c r="SHR85" s="6"/>
      <c r="SHS85" s="6"/>
      <c r="SHT85" s="6"/>
      <c r="SHU85" s="6"/>
      <c r="SHV85" s="6"/>
      <c r="SHW85" s="6"/>
      <c r="SHX85" s="6"/>
      <c r="SHY85" s="6"/>
      <c r="SHZ85" s="6"/>
      <c r="SIA85" s="6"/>
      <c r="SIB85" s="6"/>
      <c r="SIC85" s="6"/>
      <c r="SID85" s="6"/>
      <c r="SIE85" s="6"/>
      <c r="SIF85" s="6"/>
      <c r="SIG85" s="6"/>
      <c r="SIH85" s="6"/>
      <c r="SII85" s="6"/>
      <c r="SIJ85" s="6"/>
      <c r="SIK85" s="6"/>
      <c r="SIL85" s="6"/>
      <c r="SIM85" s="6"/>
      <c r="SIN85" s="6"/>
      <c r="SIO85" s="6"/>
      <c r="SIP85" s="6"/>
      <c r="SIQ85" s="6"/>
      <c r="SIR85" s="6"/>
      <c r="SIS85" s="6"/>
      <c r="SIT85" s="6"/>
      <c r="SIU85" s="6"/>
      <c r="SIV85" s="6"/>
      <c r="SIW85" s="6"/>
      <c r="SIX85" s="6"/>
      <c r="SIY85" s="6"/>
      <c r="SIZ85" s="6"/>
      <c r="SJA85" s="6"/>
      <c r="SJB85" s="6"/>
      <c r="SJC85" s="6"/>
      <c r="SJD85" s="6"/>
      <c r="SJE85" s="6"/>
      <c r="SJF85" s="6"/>
      <c r="SJG85" s="6"/>
      <c r="SJH85" s="6"/>
      <c r="SJI85" s="6"/>
      <c r="SJJ85" s="6"/>
      <c r="SJK85" s="6"/>
      <c r="SJL85" s="6"/>
      <c r="SJM85" s="6"/>
      <c r="SJN85" s="6"/>
      <c r="SJO85" s="6"/>
      <c r="SJP85" s="6"/>
      <c r="SJQ85" s="6"/>
      <c r="SJR85" s="6"/>
      <c r="SJS85" s="6"/>
      <c r="SJT85" s="6"/>
      <c r="SJU85" s="6"/>
      <c r="SJV85" s="6"/>
      <c r="SJW85" s="6"/>
      <c r="SJX85" s="6"/>
      <c r="SJY85" s="6"/>
      <c r="SJZ85" s="6"/>
      <c r="SKA85" s="6"/>
      <c r="SKB85" s="6"/>
      <c r="SKC85" s="6"/>
      <c r="SKD85" s="6"/>
      <c r="SKE85" s="6"/>
      <c r="SKF85" s="6"/>
      <c r="SKG85" s="6"/>
      <c r="SKH85" s="6"/>
      <c r="SKI85" s="6"/>
      <c r="SKJ85" s="6"/>
      <c r="SKK85" s="6"/>
      <c r="SKL85" s="6"/>
      <c r="SKM85" s="6"/>
      <c r="SKN85" s="6"/>
      <c r="SKO85" s="6"/>
      <c r="SKP85" s="6"/>
      <c r="SKQ85" s="6"/>
      <c r="SKR85" s="6"/>
      <c r="SKS85" s="6"/>
      <c r="SKT85" s="6"/>
      <c r="SKU85" s="6"/>
      <c r="SKV85" s="6"/>
      <c r="SKW85" s="6"/>
      <c r="SKX85" s="6"/>
      <c r="SKY85" s="6"/>
      <c r="SKZ85" s="6"/>
      <c r="SLA85" s="6"/>
      <c r="SLB85" s="6"/>
      <c r="SLC85" s="6"/>
      <c r="SLD85" s="6"/>
      <c r="SLE85" s="6"/>
      <c r="SLF85" s="6"/>
      <c r="SLG85" s="6"/>
      <c r="SLH85" s="6"/>
      <c r="SLI85" s="6"/>
      <c r="SLJ85" s="6"/>
      <c r="SLK85" s="6"/>
      <c r="SLL85" s="6"/>
      <c r="SLM85" s="6"/>
      <c r="SLN85" s="6"/>
      <c r="SLO85" s="6"/>
      <c r="SLP85" s="6"/>
      <c r="SLQ85" s="6"/>
      <c r="SLR85" s="6"/>
      <c r="SLS85" s="6"/>
      <c r="SLT85" s="6"/>
      <c r="SLU85" s="6"/>
      <c r="SLV85" s="6"/>
      <c r="SLW85" s="6"/>
      <c r="SLX85" s="6"/>
      <c r="SLY85" s="6"/>
      <c r="SLZ85" s="6"/>
      <c r="SMA85" s="6"/>
      <c r="SMB85" s="6"/>
      <c r="SMC85" s="6"/>
      <c r="SMD85" s="6"/>
      <c r="SME85" s="6"/>
      <c r="SMF85" s="6"/>
      <c r="SMG85" s="6"/>
      <c r="SMH85" s="6"/>
      <c r="SMI85" s="6"/>
      <c r="SMJ85" s="6"/>
      <c r="SMK85" s="6"/>
      <c r="SML85" s="6"/>
      <c r="SMM85" s="6"/>
      <c r="SMN85" s="6"/>
      <c r="SMO85" s="6"/>
      <c r="SMP85" s="6"/>
      <c r="SMQ85" s="6"/>
      <c r="SMR85" s="6"/>
      <c r="SMS85" s="6"/>
      <c r="SMT85" s="6"/>
      <c r="SMU85" s="6"/>
      <c r="SMV85" s="6"/>
      <c r="SMW85" s="6"/>
      <c r="SMX85" s="6"/>
      <c r="SMY85" s="6"/>
      <c r="SMZ85" s="6"/>
      <c r="SNA85" s="6"/>
      <c r="SNB85" s="6"/>
      <c r="SNC85" s="6"/>
      <c r="SND85" s="6"/>
      <c r="SNE85" s="6"/>
      <c r="SNF85" s="6"/>
      <c r="SNG85" s="6"/>
      <c r="SNH85" s="6"/>
      <c r="SNI85" s="6"/>
      <c r="SNJ85" s="6"/>
      <c r="SNK85" s="6"/>
      <c r="SNL85" s="6"/>
      <c r="SNM85" s="6"/>
      <c r="SNN85" s="6"/>
      <c r="SNO85" s="6"/>
      <c r="SNP85" s="6"/>
      <c r="SNQ85" s="6"/>
      <c r="SNR85" s="6"/>
      <c r="SNS85" s="6"/>
      <c r="SNT85" s="6"/>
      <c r="SNU85" s="6"/>
      <c r="SNV85" s="6"/>
      <c r="SNW85" s="6"/>
      <c r="SNX85" s="6"/>
      <c r="SNY85" s="6"/>
      <c r="SNZ85" s="6"/>
      <c r="SOA85" s="6"/>
      <c r="SOB85" s="6"/>
      <c r="SOC85" s="6"/>
      <c r="SOD85" s="6"/>
      <c r="SOE85" s="6"/>
      <c r="SOF85" s="6"/>
      <c r="SOG85" s="6"/>
      <c r="SOH85" s="6"/>
      <c r="SOI85" s="6"/>
      <c r="SOJ85" s="6"/>
      <c r="SOK85" s="6"/>
      <c r="SOL85" s="6"/>
      <c r="SOM85" s="6"/>
      <c r="SON85" s="6"/>
      <c r="SOO85" s="6"/>
      <c r="SOP85" s="6"/>
      <c r="SOQ85" s="6"/>
      <c r="SOR85" s="6"/>
      <c r="SOS85" s="6"/>
      <c r="SOT85" s="6"/>
      <c r="SOU85" s="6"/>
      <c r="SOV85" s="6"/>
      <c r="SOW85" s="6"/>
      <c r="SOX85" s="6"/>
      <c r="SOY85" s="6"/>
      <c r="SOZ85" s="6"/>
      <c r="SPA85" s="6"/>
      <c r="SPB85" s="6"/>
      <c r="SPC85" s="6"/>
      <c r="SPD85" s="6"/>
      <c r="SPE85" s="6"/>
      <c r="SPF85" s="6"/>
      <c r="SPG85" s="6"/>
      <c r="SPH85" s="6"/>
      <c r="SPI85" s="6"/>
      <c r="SPJ85" s="6"/>
      <c r="SPK85" s="6"/>
      <c r="SPL85" s="6"/>
      <c r="SPM85" s="6"/>
      <c r="SPN85" s="6"/>
      <c r="SPO85" s="6"/>
      <c r="SPP85" s="6"/>
      <c r="SPQ85" s="6"/>
      <c r="SPR85" s="6"/>
      <c r="SPS85" s="6"/>
      <c r="SPT85" s="6"/>
      <c r="SPU85" s="6"/>
      <c r="SPV85" s="6"/>
      <c r="SPW85" s="6"/>
      <c r="SPX85" s="6"/>
      <c r="SPY85" s="6"/>
      <c r="SPZ85" s="6"/>
      <c r="SQA85" s="6"/>
      <c r="SQB85" s="6"/>
      <c r="SQC85" s="6"/>
      <c r="SQD85" s="6"/>
      <c r="SQE85" s="6"/>
      <c r="SQF85" s="6"/>
      <c r="SQG85" s="6"/>
      <c r="SQH85" s="6"/>
      <c r="SQI85" s="6"/>
      <c r="SQJ85" s="6"/>
      <c r="SQK85" s="6"/>
      <c r="SQL85" s="6"/>
      <c r="SQM85" s="6"/>
      <c r="SQN85" s="6"/>
      <c r="SQO85" s="6"/>
      <c r="SQP85" s="6"/>
      <c r="SQQ85" s="6"/>
      <c r="SQR85" s="6"/>
      <c r="SQS85" s="6"/>
      <c r="SQT85" s="6"/>
      <c r="SQU85" s="6"/>
      <c r="SQV85" s="6"/>
      <c r="SQW85" s="6"/>
      <c r="SQX85" s="6"/>
      <c r="SQY85" s="6"/>
      <c r="SQZ85" s="6"/>
      <c r="SRA85" s="6"/>
      <c r="SRB85" s="6"/>
      <c r="SRC85" s="6"/>
      <c r="SRD85" s="6"/>
      <c r="SRE85" s="6"/>
      <c r="SRF85" s="6"/>
      <c r="SRG85" s="6"/>
      <c r="SRH85" s="6"/>
      <c r="SRI85" s="6"/>
      <c r="SRJ85" s="6"/>
      <c r="SRK85" s="6"/>
      <c r="SRL85" s="6"/>
      <c r="SRM85" s="6"/>
      <c r="SRN85" s="6"/>
      <c r="SRO85" s="6"/>
      <c r="SRP85" s="6"/>
      <c r="SRQ85" s="6"/>
      <c r="SRR85" s="6"/>
      <c r="SRS85" s="6"/>
      <c r="SRT85" s="6"/>
      <c r="SRU85" s="6"/>
      <c r="SRV85" s="6"/>
      <c r="SRW85" s="6"/>
      <c r="SRX85" s="6"/>
      <c r="SRY85" s="6"/>
      <c r="SRZ85" s="6"/>
      <c r="SSA85" s="6"/>
      <c r="SSB85" s="6"/>
      <c r="SSC85" s="6"/>
      <c r="SSD85" s="6"/>
      <c r="SSE85" s="6"/>
      <c r="SSF85" s="6"/>
      <c r="SSG85" s="6"/>
      <c r="SSH85" s="6"/>
      <c r="SSI85" s="6"/>
      <c r="SSJ85" s="6"/>
      <c r="SSK85" s="6"/>
      <c r="SSL85" s="6"/>
      <c r="SSM85" s="6"/>
      <c r="SSN85" s="6"/>
      <c r="SSO85" s="6"/>
      <c r="SSP85" s="6"/>
      <c r="SSQ85" s="6"/>
      <c r="SSR85" s="6"/>
      <c r="SSS85" s="6"/>
      <c r="SST85" s="6"/>
      <c r="SSU85" s="6"/>
      <c r="SSV85" s="6"/>
      <c r="SSW85" s="6"/>
      <c r="SSX85" s="6"/>
      <c r="SSY85" s="6"/>
      <c r="SSZ85" s="6"/>
      <c r="STA85" s="6"/>
      <c r="STB85" s="6"/>
      <c r="STC85" s="6"/>
      <c r="STD85" s="6"/>
      <c r="STE85" s="6"/>
      <c r="STF85" s="6"/>
      <c r="STG85" s="6"/>
      <c r="STH85" s="6"/>
      <c r="STI85" s="6"/>
      <c r="STJ85" s="6"/>
      <c r="STK85" s="6"/>
      <c r="STL85" s="6"/>
      <c r="STM85" s="6"/>
      <c r="STN85" s="6"/>
      <c r="STO85" s="6"/>
      <c r="STP85" s="6"/>
      <c r="STQ85" s="6"/>
      <c r="STR85" s="6"/>
      <c r="STS85" s="6"/>
      <c r="STT85" s="6"/>
      <c r="STU85" s="6"/>
      <c r="STV85" s="6"/>
      <c r="STW85" s="6"/>
      <c r="STX85" s="6"/>
      <c r="STY85" s="6"/>
      <c r="STZ85" s="6"/>
      <c r="SUA85" s="6"/>
      <c r="SUB85" s="6"/>
      <c r="SUC85" s="6"/>
      <c r="SUD85" s="6"/>
      <c r="SUE85" s="6"/>
      <c r="SUF85" s="6"/>
      <c r="SUG85" s="6"/>
      <c r="SUH85" s="6"/>
      <c r="SUI85" s="6"/>
      <c r="SUJ85" s="6"/>
      <c r="SUK85" s="6"/>
      <c r="SUL85" s="6"/>
      <c r="SUM85" s="6"/>
      <c r="SUN85" s="6"/>
      <c r="SUO85" s="6"/>
      <c r="SUP85" s="6"/>
      <c r="SUQ85" s="6"/>
      <c r="SUR85" s="6"/>
      <c r="SUS85" s="6"/>
      <c r="SUT85" s="6"/>
      <c r="SUU85" s="6"/>
      <c r="SUV85" s="6"/>
      <c r="SUW85" s="6"/>
      <c r="SUX85" s="6"/>
      <c r="SUY85" s="6"/>
      <c r="SUZ85" s="6"/>
      <c r="SVA85" s="6"/>
      <c r="SVB85" s="6"/>
      <c r="SVC85" s="6"/>
      <c r="SVD85" s="6"/>
      <c r="SVE85" s="6"/>
      <c r="SVF85" s="6"/>
      <c r="SVG85" s="6"/>
      <c r="SVH85" s="6"/>
      <c r="SVI85" s="6"/>
      <c r="SVJ85" s="6"/>
      <c r="SVK85" s="6"/>
      <c r="SVL85" s="6"/>
      <c r="SVM85" s="6"/>
      <c r="SVN85" s="6"/>
      <c r="SVO85" s="6"/>
      <c r="SVP85" s="6"/>
      <c r="SVQ85" s="6"/>
      <c r="SVR85" s="6"/>
      <c r="SVS85" s="6"/>
      <c r="SVT85" s="6"/>
      <c r="SVU85" s="6"/>
      <c r="SVV85" s="6"/>
      <c r="SVW85" s="6"/>
      <c r="SVX85" s="6"/>
      <c r="SVY85" s="6"/>
      <c r="SVZ85" s="6"/>
      <c r="SWA85" s="6"/>
      <c r="SWB85" s="6"/>
      <c r="SWC85" s="6"/>
      <c r="SWD85" s="6"/>
      <c r="SWE85" s="6"/>
      <c r="SWF85" s="6"/>
      <c r="SWG85" s="6"/>
      <c r="SWH85" s="6"/>
      <c r="SWI85" s="6"/>
      <c r="SWJ85" s="6"/>
      <c r="SWK85" s="6"/>
      <c r="SWL85" s="6"/>
      <c r="SWM85" s="6"/>
      <c r="SWN85" s="6"/>
      <c r="SWO85" s="6"/>
      <c r="SWP85" s="6"/>
      <c r="SWQ85" s="6"/>
      <c r="SWR85" s="6"/>
      <c r="SWS85" s="6"/>
      <c r="SWT85" s="6"/>
      <c r="SWU85" s="6"/>
      <c r="SWV85" s="6"/>
      <c r="SWW85" s="6"/>
      <c r="SWX85" s="6"/>
      <c r="SWY85" s="6"/>
      <c r="SWZ85" s="6"/>
      <c r="SXA85" s="6"/>
      <c r="SXB85" s="6"/>
      <c r="SXC85" s="6"/>
      <c r="SXD85" s="6"/>
      <c r="SXE85" s="6"/>
      <c r="SXF85" s="6"/>
      <c r="SXG85" s="6"/>
      <c r="SXH85" s="6"/>
      <c r="SXI85" s="6"/>
      <c r="SXJ85" s="6"/>
      <c r="SXK85" s="6"/>
      <c r="SXL85" s="6"/>
      <c r="SXM85" s="6"/>
      <c r="SXN85" s="6"/>
      <c r="SXO85" s="6"/>
      <c r="SXP85" s="6"/>
      <c r="SXQ85" s="6"/>
      <c r="SXR85" s="6"/>
      <c r="SXS85" s="6"/>
      <c r="SXT85" s="6"/>
      <c r="SXU85" s="6"/>
      <c r="SXV85" s="6"/>
      <c r="SXW85" s="6"/>
      <c r="SXX85" s="6"/>
      <c r="SXY85" s="6"/>
      <c r="SXZ85" s="6"/>
      <c r="SYA85" s="6"/>
      <c r="SYB85" s="6"/>
      <c r="SYC85" s="6"/>
      <c r="SYD85" s="6"/>
      <c r="SYE85" s="6"/>
      <c r="SYF85" s="6"/>
      <c r="SYG85" s="6"/>
      <c r="SYH85" s="6"/>
      <c r="SYI85" s="6"/>
      <c r="SYJ85" s="6"/>
      <c r="SYK85" s="6"/>
      <c r="SYL85" s="6"/>
      <c r="SYM85" s="6"/>
      <c r="SYN85" s="6"/>
      <c r="SYO85" s="6"/>
      <c r="SYP85" s="6"/>
      <c r="SYQ85" s="6"/>
      <c r="SYR85" s="6"/>
      <c r="SYS85" s="6"/>
      <c r="SYT85" s="6"/>
      <c r="SYU85" s="6"/>
      <c r="SYV85" s="6"/>
      <c r="SYW85" s="6"/>
      <c r="SYX85" s="6"/>
      <c r="SYY85" s="6"/>
      <c r="SYZ85" s="6"/>
      <c r="SZA85" s="6"/>
      <c r="SZB85" s="6"/>
      <c r="SZC85" s="6"/>
      <c r="SZD85" s="6"/>
      <c r="SZE85" s="6"/>
      <c r="SZF85" s="6"/>
      <c r="SZG85" s="6"/>
      <c r="SZH85" s="6"/>
      <c r="SZI85" s="6"/>
      <c r="SZJ85" s="6"/>
      <c r="SZK85" s="6"/>
      <c r="SZL85" s="6"/>
      <c r="SZM85" s="6"/>
      <c r="SZN85" s="6"/>
      <c r="SZO85" s="6"/>
      <c r="SZP85" s="6"/>
      <c r="SZQ85" s="6"/>
      <c r="SZR85" s="6"/>
      <c r="SZS85" s="6"/>
      <c r="SZT85" s="6"/>
      <c r="SZU85" s="6"/>
      <c r="SZV85" s="6"/>
      <c r="SZW85" s="6"/>
      <c r="SZX85" s="6"/>
      <c r="SZY85" s="6"/>
      <c r="SZZ85" s="6"/>
      <c r="TAA85" s="6"/>
      <c r="TAB85" s="6"/>
      <c r="TAC85" s="6"/>
      <c r="TAD85" s="6"/>
      <c r="TAE85" s="6"/>
      <c r="TAF85" s="6"/>
      <c r="TAG85" s="6"/>
      <c r="TAH85" s="6"/>
      <c r="TAI85" s="6"/>
      <c r="TAJ85" s="6"/>
      <c r="TAK85" s="6"/>
      <c r="TAL85" s="6"/>
      <c r="TAM85" s="6"/>
      <c r="TAN85" s="6"/>
      <c r="TAO85" s="6"/>
      <c r="TAP85" s="6"/>
      <c r="TAQ85" s="6"/>
      <c r="TAR85" s="6"/>
      <c r="TAS85" s="6"/>
      <c r="TAT85" s="6"/>
      <c r="TAU85" s="6"/>
      <c r="TAV85" s="6"/>
      <c r="TAW85" s="6"/>
      <c r="TAX85" s="6"/>
      <c r="TAY85" s="6"/>
      <c r="TAZ85" s="6"/>
      <c r="TBA85" s="6"/>
      <c r="TBB85" s="6"/>
      <c r="TBC85" s="6"/>
      <c r="TBD85" s="6"/>
      <c r="TBE85" s="6"/>
      <c r="TBF85" s="6"/>
      <c r="TBG85" s="6"/>
      <c r="TBH85" s="6"/>
      <c r="TBI85" s="6"/>
      <c r="TBJ85" s="6"/>
      <c r="TBK85" s="6"/>
      <c r="TBL85" s="6"/>
      <c r="TBM85" s="6"/>
      <c r="TBN85" s="6"/>
      <c r="TBO85" s="6"/>
      <c r="TBP85" s="6"/>
      <c r="TBQ85" s="6"/>
      <c r="TBR85" s="6"/>
      <c r="TBS85" s="6"/>
      <c r="TBT85" s="6"/>
      <c r="TBU85" s="6"/>
      <c r="TBV85" s="6"/>
      <c r="TBW85" s="6"/>
      <c r="TBX85" s="6"/>
      <c r="TBY85" s="6"/>
      <c r="TBZ85" s="6"/>
      <c r="TCA85" s="6"/>
      <c r="TCB85" s="6"/>
      <c r="TCC85" s="6"/>
      <c r="TCD85" s="6"/>
      <c r="TCE85" s="6"/>
      <c r="TCF85" s="6"/>
      <c r="TCG85" s="6"/>
      <c r="TCH85" s="6"/>
      <c r="TCI85" s="6"/>
      <c r="TCJ85" s="6"/>
      <c r="TCK85" s="6"/>
      <c r="TCL85" s="6"/>
      <c r="TCM85" s="6"/>
      <c r="TCN85" s="6"/>
      <c r="TCO85" s="6"/>
      <c r="TCP85" s="6"/>
      <c r="TCQ85" s="6"/>
      <c r="TCR85" s="6"/>
      <c r="TCS85" s="6"/>
      <c r="TCT85" s="6"/>
      <c r="TCU85" s="6"/>
      <c r="TCV85" s="6"/>
      <c r="TCW85" s="6"/>
      <c r="TCX85" s="6"/>
      <c r="TCY85" s="6"/>
      <c r="TCZ85" s="6"/>
      <c r="TDA85" s="6"/>
      <c r="TDB85" s="6"/>
      <c r="TDC85" s="6"/>
      <c r="TDD85" s="6"/>
      <c r="TDE85" s="6"/>
      <c r="TDF85" s="6"/>
      <c r="TDG85" s="6"/>
      <c r="TDH85" s="6"/>
      <c r="TDI85" s="6"/>
      <c r="TDJ85" s="6"/>
      <c r="TDK85" s="6"/>
      <c r="TDL85" s="6"/>
      <c r="TDM85" s="6"/>
      <c r="TDN85" s="6"/>
      <c r="TDO85" s="6"/>
      <c r="TDP85" s="6"/>
      <c r="TDQ85" s="6"/>
      <c r="TDR85" s="6"/>
      <c r="TDS85" s="6"/>
      <c r="TDT85" s="6"/>
      <c r="TDU85" s="6"/>
      <c r="TDV85" s="6"/>
      <c r="TDW85" s="6"/>
      <c r="TDX85" s="6"/>
      <c r="TDY85" s="6"/>
      <c r="TDZ85" s="6"/>
      <c r="TEA85" s="6"/>
      <c r="TEB85" s="6"/>
      <c r="TEC85" s="6"/>
      <c r="TED85" s="6"/>
      <c r="TEE85" s="6"/>
      <c r="TEF85" s="6"/>
      <c r="TEG85" s="6"/>
      <c r="TEH85" s="6"/>
      <c r="TEI85" s="6"/>
      <c r="TEJ85" s="6"/>
      <c r="TEK85" s="6"/>
      <c r="TEL85" s="6"/>
      <c r="TEM85" s="6"/>
      <c r="TEN85" s="6"/>
      <c r="TEO85" s="6"/>
      <c r="TEP85" s="6"/>
      <c r="TEQ85" s="6"/>
      <c r="TER85" s="6"/>
      <c r="TES85" s="6"/>
      <c r="TET85" s="6"/>
      <c r="TEU85" s="6"/>
      <c r="TEV85" s="6"/>
      <c r="TEW85" s="6"/>
      <c r="TEX85" s="6"/>
      <c r="TEY85" s="6"/>
      <c r="TEZ85" s="6"/>
      <c r="TFA85" s="6"/>
      <c r="TFB85" s="6"/>
      <c r="TFC85" s="6"/>
      <c r="TFD85" s="6"/>
      <c r="TFE85" s="6"/>
      <c r="TFF85" s="6"/>
      <c r="TFG85" s="6"/>
      <c r="TFH85" s="6"/>
      <c r="TFI85" s="6"/>
      <c r="TFJ85" s="6"/>
      <c r="TFK85" s="6"/>
      <c r="TFL85" s="6"/>
      <c r="TFM85" s="6"/>
      <c r="TFN85" s="6"/>
      <c r="TFO85" s="6"/>
      <c r="TFP85" s="6"/>
      <c r="TFQ85" s="6"/>
      <c r="TFR85" s="6"/>
      <c r="TFS85" s="6"/>
      <c r="TFT85" s="6"/>
      <c r="TFU85" s="6"/>
      <c r="TFV85" s="6"/>
      <c r="TFW85" s="6"/>
      <c r="TFX85" s="6"/>
      <c r="TFY85" s="6"/>
      <c r="TFZ85" s="6"/>
      <c r="TGA85" s="6"/>
      <c r="TGB85" s="6"/>
      <c r="TGC85" s="6"/>
      <c r="TGD85" s="6"/>
      <c r="TGE85" s="6"/>
      <c r="TGF85" s="6"/>
      <c r="TGG85" s="6"/>
      <c r="TGH85" s="6"/>
      <c r="TGI85" s="6"/>
      <c r="TGJ85" s="6"/>
      <c r="TGK85" s="6"/>
      <c r="TGL85" s="6"/>
      <c r="TGM85" s="6"/>
      <c r="TGN85" s="6"/>
      <c r="TGO85" s="6"/>
      <c r="TGP85" s="6"/>
      <c r="TGQ85" s="6"/>
      <c r="TGR85" s="6"/>
      <c r="TGS85" s="6"/>
      <c r="TGT85" s="6"/>
      <c r="TGU85" s="6"/>
      <c r="TGV85" s="6"/>
      <c r="TGW85" s="6"/>
      <c r="TGX85" s="6"/>
      <c r="TGY85" s="6"/>
      <c r="TGZ85" s="6"/>
      <c r="THA85" s="6"/>
      <c r="THB85" s="6"/>
      <c r="THC85" s="6"/>
      <c r="THD85" s="6"/>
      <c r="THE85" s="6"/>
      <c r="THF85" s="6"/>
      <c r="THG85" s="6"/>
      <c r="THH85" s="6"/>
      <c r="THI85" s="6"/>
      <c r="THJ85" s="6"/>
      <c r="THK85" s="6"/>
      <c r="THL85" s="6"/>
      <c r="THM85" s="6"/>
      <c r="THN85" s="6"/>
      <c r="THO85" s="6"/>
      <c r="THP85" s="6"/>
      <c r="THQ85" s="6"/>
      <c r="THR85" s="6"/>
      <c r="THS85" s="6"/>
      <c r="THT85" s="6"/>
      <c r="THU85" s="6"/>
      <c r="THV85" s="6"/>
      <c r="THW85" s="6"/>
      <c r="THX85" s="6"/>
      <c r="THY85" s="6"/>
      <c r="THZ85" s="6"/>
      <c r="TIA85" s="6"/>
      <c r="TIB85" s="6"/>
      <c r="TIC85" s="6"/>
      <c r="TID85" s="6"/>
      <c r="TIE85" s="6"/>
      <c r="TIF85" s="6"/>
      <c r="TIG85" s="6"/>
      <c r="TIH85" s="6"/>
      <c r="TII85" s="6"/>
      <c r="TIJ85" s="6"/>
      <c r="TIK85" s="6"/>
      <c r="TIL85" s="6"/>
      <c r="TIM85" s="6"/>
      <c r="TIN85" s="6"/>
      <c r="TIO85" s="6"/>
      <c r="TIP85" s="6"/>
      <c r="TIQ85" s="6"/>
      <c r="TIR85" s="6"/>
      <c r="TIS85" s="6"/>
      <c r="TIT85" s="6"/>
      <c r="TIU85" s="6"/>
      <c r="TIV85" s="6"/>
      <c r="TIW85" s="6"/>
      <c r="TIX85" s="6"/>
      <c r="TIY85" s="6"/>
      <c r="TIZ85" s="6"/>
      <c r="TJA85" s="6"/>
      <c r="TJB85" s="6"/>
      <c r="TJC85" s="6"/>
      <c r="TJD85" s="6"/>
      <c r="TJE85" s="6"/>
      <c r="TJF85" s="6"/>
      <c r="TJG85" s="6"/>
      <c r="TJH85" s="6"/>
      <c r="TJI85" s="6"/>
      <c r="TJJ85" s="6"/>
      <c r="TJK85" s="6"/>
      <c r="TJL85" s="6"/>
      <c r="TJM85" s="6"/>
      <c r="TJN85" s="6"/>
      <c r="TJO85" s="6"/>
      <c r="TJP85" s="6"/>
      <c r="TJQ85" s="6"/>
      <c r="TJR85" s="6"/>
      <c r="TJS85" s="6"/>
      <c r="TJT85" s="6"/>
      <c r="TJU85" s="6"/>
      <c r="TJV85" s="6"/>
      <c r="TJW85" s="6"/>
      <c r="TJX85" s="6"/>
      <c r="TJY85" s="6"/>
      <c r="TJZ85" s="6"/>
      <c r="TKA85" s="6"/>
      <c r="TKB85" s="6"/>
      <c r="TKC85" s="6"/>
      <c r="TKD85" s="6"/>
      <c r="TKE85" s="6"/>
      <c r="TKF85" s="6"/>
      <c r="TKG85" s="6"/>
      <c r="TKH85" s="6"/>
      <c r="TKI85" s="6"/>
      <c r="TKJ85" s="6"/>
      <c r="TKK85" s="6"/>
      <c r="TKL85" s="6"/>
      <c r="TKM85" s="6"/>
      <c r="TKN85" s="6"/>
      <c r="TKO85" s="6"/>
      <c r="TKP85" s="6"/>
      <c r="TKQ85" s="6"/>
      <c r="TKR85" s="6"/>
      <c r="TKS85" s="6"/>
      <c r="TKT85" s="6"/>
      <c r="TKU85" s="6"/>
      <c r="TKV85" s="6"/>
      <c r="TKW85" s="6"/>
      <c r="TKX85" s="6"/>
      <c r="TKY85" s="6"/>
      <c r="TKZ85" s="6"/>
      <c r="TLA85" s="6"/>
      <c r="TLB85" s="6"/>
      <c r="TLC85" s="6"/>
      <c r="TLD85" s="6"/>
      <c r="TLE85" s="6"/>
      <c r="TLF85" s="6"/>
      <c r="TLG85" s="6"/>
      <c r="TLH85" s="6"/>
      <c r="TLI85" s="6"/>
      <c r="TLJ85" s="6"/>
      <c r="TLK85" s="6"/>
      <c r="TLL85" s="6"/>
      <c r="TLM85" s="6"/>
      <c r="TLN85" s="6"/>
      <c r="TLO85" s="6"/>
      <c r="TLP85" s="6"/>
      <c r="TLQ85" s="6"/>
      <c r="TLR85" s="6"/>
      <c r="TLS85" s="6"/>
      <c r="TLT85" s="6"/>
      <c r="TLU85" s="6"/>
      <c r="TLV85" s="6"/>
      <c r="TLW85" s="6"/>
      <c r="TLX85" s="6"/>
      <c r="TLY85" s="6"/>
      <c r="TLZ85" s="6"/>
      <c r="TMA85" s="6"/>
      <c r="TMB85" s="6"/>
      <c r="TMC85" s="6"/>
      <c r="TMD85" s="6"/>
      <c r="TME85" s="6"/>
      <c r="TMF85" s="6"/>
      <c r="TMG85" s="6"/>
      <c r="TMH85" s="6"/>
      <c r="TMI85" s="6"/>
      <c r="TMJ85" s="6"/>
      <c r="TMK85" s="6"/>
      <c r="TML85" s="6"/>
      <c r="TMM85" s="6"/>
      <c r="TMN85" s="6"/>
      <c r="TMO85" s="6"/>
      <c r="TMP85" s="6"/>
      <c r="TMQ85" s="6"/>
      <c r="TMR85" s="6"/>
      <c r="TMS85" s="6"/>
      <c r="TMT85" s="6"/>
      <c r="TMU85" s="6"/>
      <c r="TMV85" s="6"/>
      <c r="TMW85" s="6"/>
      <c r="TMX85" s="6"/>
      <c r="TMY85" s="6"/>
      <c r="TMZ85" s="6"/>
      <c r="TNA85" s="6"/>
      <c r="TNB85" s="6"/>
      <c r="TNC85" s="6"/>
      <c r="TND85" s="6"/>
      <c r="TNE85" s="6"/>
      <c r="TNF85" s="6"/>
      <c r="TNG85" s="6"/>
      <c r="TNH85" s="6"/>
      <c r="TNI85" s="6"/>
      <c r="TNJ85" s="6"/>
      <c r="TNK85" s="6"/>
      <c r="TNL85" s="6"/>
      <c r="TNM85" s="6"/>
      <c r="TNN85" s="6"/>
      <c r="TNO85" s="6"/>
      <c r="TNP85" s="6"/>
      <c r="TNQ85" s="6"/>
      <c r="TNR85" s="6"/>
      <c r="TNS85" s="6"/>
      <c r="TNT85" s="6"/>
      <c r="TNU85" s="6"/>
      <c r="TNV85" s="6"/>
      <c r="TNW85" s="6"/>
      <c r="TNX85" s="6"/>
      <c r="TNY85" s="6"/>
      <c r="TNZ85" s="6"/>
      <c r="TOA85" s="6"/>
      <c r="TOB85" s="6"/>
      <c r="TOC85" s="6"/>
      <c r="TOD85" s="6"/>
      <c r="TOE85" s="6"/>
      <c r="TOF85" s="6"/>
      <c r="TOG85" s="6"/>
      <c r="TOH85" s="6"/>
      <c r="TOI85" s="6"/>
      <c r="TOJ85" s="6"/>
      <c r="TOK85" s="6"/>
      <c r="TOL85" s="6"/>
      <c r="TOM85" s="6"/>
      <c r="TON85" s="6"/>
      <c r="TOO85" s="6"/>
      <c r="TOP85" s="6"/>
      <c r="TOQ85" s="6"/>
      <c r="TOR85" s="6"/>
      <c r="TOS85" s="6"/>
      <c r="TOT85" s="6"/>
      <c r="TOU85" s="6"/>
      <c r="TOV85" s="6"/>
      <c r="TOW85" s="6"/>
      <c r="TOX85" s="6"/>
      <c r="TOY85" s="6"/>
      <c r="TOZ85" s="6"/>
      <c r="TPA85" s="6"/>
      <c r="TPB85" s="6"/>
      <c r="TPC85" s="6"/>
      <c r="TPD85" s="6"/>
      <c r="TPE85" s="6"/>
      <c r="TPF85" s="6"/>
      <c r="TPG85" s="6"/>
      <c r="TPH85" s="6"/>
      <c r="TPI85" s="6"/>
      <c r="TPJ85" s="6"/>
      <c r="TPK85" s="6"/>
      <c r="TPL85" s="6"/>
      <c r="TPM85" s="6"/>
      <c r="TPN85" s="6"/>
      <c r="TPO85" s="6"/>
      <c r="TPP85" s="6"/>
      <c r="TPQ85" s="6"/>
      <c r="TPR85" s="6"/>
      <c r="TPS85" s="6"/>
      <c r="TPT85" s="6"/>
      <c r="TPU85" s="6"/>
      <c r="TPV85" s="6"/>
      <c r="TPW85" s="6"/>
      <c r="TPX85" s="6"/>
      <c r="TPY85" s="6"/>
      <c r="TPZ85" s="6"/>
      <c r="TQA85" s="6"/>
      <c r="TQB85" s="6"/>
      <c r="TQC85" s="6"/>
      <c r="TQD85" s="6"/>
      <c r="TQE85" s="6"/>
      <c r="TQF85" s="6"/>
      <c r="TQG85" s="6"/>
      <c r="TQH85" s="6"/>
      <c r="TQI85" s="6"/>
      <c r="TQJ85" s="6"/>
      <c r="TQK85" s="6"/>
      <c r="TQL85" s="6"/>
      <c r="TQM85" s="6"/>
      <c r="TQN85" s="6"/>
      <c r="TQO85" s="6"/>
      <c r="TQP85" s="6"/>
      <c r="TQQ85" s="6"/>
      <c r="TQR85" s="6"/>
      <c r="TQS85" s="6"/>
      <c r="TQT85" s="6"/>
      <c r="TQU85" s="6"/>
      <c r="TQV85" s="6"/>
      <c r="TQW85" s="6"/>
      <c r="TQX85" s="6"/>
      <c r="TQY85" s="6"/>
      <c r="TQZ85" s="6"/>
      <c r="TRA85" s="6"/>
      <c r="TRB85" s="6"/>
      <c r="TRC85" s="6"/>
      <c r="TRD85" s="6"/>
      <c r="TRE85" s="6"/>
      <c r="TRF85" s="6"/>
      <c r="TRG85" s="6"/>
      <c r="TRH85" s="6"/>
      <c r="TRI85" s="6"/>
      <c r="TRJ85" s="6"/>
      <c r="TRK85" s="6"/>
      <c r="TRL85" s="6"/>
      <c r="TRM85" s="6"/>
      <c r="TRN85" s="6"/>
      <c r="TRO85" s="6"/>
      <c r="TRP85" s="6"/>
      <c r="TRQ85" s="6"/>
      <c r="TRR85" s="6"/>
      <c r="TRS85" s="6"/>
      <c r="TRT85" s="6"/>
      <c r="TRU85" s="6"/>
      <c r="TRV85" s="6"/>
      <c r="TRW85" s="6"/>
      <c r="TRX85" s="6"/>
      <c r="TRY85" s="6"/>
      <c r="TRZ85" s="6"/>
      <c r="TSA85" s="6"/>
      <c r="TSB85" s="6"/>
      <c r="TSC85" s="6"/>
      <c r="TSD85" s="6"/>
      <c r="TSE85" s="6"/>
      <c r="TSF85" s="6"/>
      <c r="TSG85" s="6"/>
      <c r="TSH85" s="6"/>
      <c r="TSI85" s="6"/>
      <c r="TSJ85" s="6"/>
      <c r="TSK85" s="6"/>
      <c r="TSL85" s="6"/>
      <c r="TSM85" s="6"/>
      <c r="TSN85" s="6"/>
      <c r="TSO85" s="6"/>
      <c r="TSP85" s="6"/>
      <c r="TSQ85" s="6"/>
      <c r="TSR85" s="6"/>
      <c r="TSS85" s="6"/>
      <c r="TST85" s="6"/>
      <c r="TSU85" s="6"/>
      <c r="TSV85" s="6"/>
      <c r="TSW85" s="6"/>
      <c r="TSX85" s="6"/>
      <c r="TSY85" s="6"/>
      <c r="TSZ85" s="6"/>
      <c r="TTA85" s="6"/>
      <c r="TTB85" s="6"/>
      <c r="TTC85" s="6"/>
      <c r="TTD85" s="6"/>
      <c r="TTE85" s="6"/>
      <c r="TTF85" s="6"/>
      <c r="TTG85" s="6"/>
      <c r="TTH85" s="6"/>
      <c r="TTI85" s="6"/>
      <c r="TTJ85" s="6"/>
      <c r="TTK85" s="6"/>
      <c r="TTL85" s="6"/>
      <c r="TTM85" s="6"/>
      <c r="TTN85" s="6"/>
      <c r="TTO85" s="6"/>
      <c r="TTP85" s="6"/>
      <c r="TTQ85" s="6"/>
      <c r="TTR85" s="6"/>
      <c r="TTS85" s="6"/>
      <c r="TTT85" s="6"/>
      <c r="TTU85" s="6"/>
      <c r="TTV85" s="6"/>
      <c r="TTW85" s="6"/>
      <c r="TTX85" s="6"/>
      <c r="TTY85" s="6"/>
      <c r="TTZ85" s="6"/>
      <c r="TUA85" s="6"/>
      <c r="TUB85" s="6"/>
      <c r="TUC85" s="6"/>
      <c r="TUD85" s="6"/>
      <c r="TUE85" s="6"/>
      <c r="TUF85" s="6"/>
      <c r="TUG85" s="6"/>
      <c r="TUH85" s="6"/>
      <c r="TUI85" s="6"/>
      <c r="TUJ85" s="6"/>
      <c r="TUK85" s="6"/>
      <c r="TUL85" s="6"/>
      <c r="TUM85" s="6"/>
      <c r="TUN85" s="6"/>
      <c r="TUO85" s="6"/>
      <c r="TUP85" s="6"/>
      <c r="TUQ85" s="6"/>
      <c r="TUR85" s="6"/>
      <c r="TUS85" s="6"/>
      <c r="TUT85" s="6"/>
      <c r="TUU85" s="6"/>
      <c r="TUV85" s="6"/>
      <c r="TUW85" s="6"/>
      <c r="TUX85" s="6"/>
      <c r="TUY85" s="6"/>
      <c r="TUZ85" s="6"/>
      <c r="TVA85" s="6"/>
      <c r="TVB85" s="6"/>
      <c r="TVC85" s="6"/>
      <c r="TVD85" s="6"/>
      <c r="TVE85" s="6"/>
      <c r="TVF85" s="6"/>
      <c r="TVG85" s="6"/>
      <c r="TVH85" s="6"/>
      <c r="TVI85" s="6"/>
      <c r="TVJ85" s="6"/>
      <c r="TVK85" s="6"/>
      <c r="TVL85" s="6"/>
      <c r="TVM85" s="6"/>
      <c r="TVN85" s="6"/>
      <c r="TVO85" s="6"/>
      <c r="TVP85" s="6"/>
      <c r="TVQ85" s="6"/>
      <c r="TVR85" s="6"/>
      <c r="TVS85" s="6"/>
      <c r="TVT85" s="6"/>
      <c r="TVU85" s="6"/>
      <c r="TVV85" s="6"/>
      <c r="TVW85" s="6"/>
      <c r="TVX85" s="6"/>
      <c r="TVY85" s="6"/>
      <c r="TVZ85" s="6"/>
      <c r="TWA85" s="6"/>
      <c r="TWB85" s="6"/>
      <c r="TWC85" s="6"/>
      <c r="TWD85" s="6"/>
      <c r="TWE85" s="6"/>
      <c r="TWF85" s="6"/>
      <c r="TWG85" s="6"/>
      <c r="TWH85" s="6"/>
      <c r="TWI85" s="6"/>
      <c r="TWJ85" s="6"/>
      <c r="TWK85" s="6"/>
      <c r="TWL85" s="6"/>
      <c r="TWM85" s="6"/>
      <c r="TWN85" s="6"/>
      <c r="TWO85" s="6"/>
      <c r="TWP85" s="6"/>
      <c r="TWQ85" s="6"/>
      <c r="TWR85" s="6"/>
      <c r="TWS85" s="6"/>
      <c r="TWT85" s="6"/>
      <c r="TWU85" s="6"/>
      <c r="TWV85" s="6"/>
      <c r="TWW85" s="6"/>
      <c r="TWX85" s="6"/>
      <c r="TWY85" s="6"/>
      <c r="TWZ85" s="6"/>
      <c r="TXA85" s="6"/>
      <c r="TXB85" s="6"/>
      <c r="TXC85" s="6"/>
      <c r="TXD85" s="6"/>
      <c r="TXE85" s="6"/>
      <c r="TXF85" s="6"/>
      <c r="TXG85" s="6"/>
      <c r="TXH85" s="6"/>
      <c r="TXI85" s="6"/>
      <c r="TXJ85" s="6"/>
      <c r="TXK85" s="6"/>
      <c r="TXL85" s="6"/>
      <c r="TXM85" s="6"/>
      <c r="TXN85" s="6"/>
      <c r="TXO85" s="6"/>
      <c r="TXP85" s="6"/>
      <c r="TXQ85" s="6"/>
      <c r="TXR85" s="6"/>
      <c r="TXS85" s="6"/>
      <c r="TXT85" s="6"/>
      <c r="TXU85" s="6"/>
      <c r="TXV85" s="6"/>
      <c r="TXW85" s="6"/>
      <c r="TXX85" s="6"/>
      <c r="TXY85" s="6"/>
      <c r="TXZ85" s="6"/>
      <c r="TYA85" s="6"/>
      <c r="TYB85" s="6"/>
      <c r="TYC85" s="6"/>
      <c r="TYD85" s="6"/>
      <c r="TYE85" s="6"/>
      <c r="TYF85" s="6"/>
      <c r="TYG85" s="6"/>
      <c r="TYH85" s="6"/>
      <c r="TYI85" s="6"/>
      <c r="TYJ85" s="6"/>
      <c r="TYK85" s="6"/>
      <c r="TYL85" s="6"/>
      <c r="TYM85" s="6"/>
      <c r="TYN85" s="6"/>
      <c r="TYO85" s="6"/>
      <c r="TYP85" s="6"/>
      <c r="TYQ85" s="6"/>
      <c r="TYR85" s="6"/>
      <c r="TYS85" s="6"/>
      <c r="TYT85" s="6"/>
      <c r="TYU85" s="6"/>
      <c r="TYV85" s="6"/>
      <c r="TYW85" s="6"/>
      <c r="TYX85" s="6"/>
      <c r="TYY85" s="6"/>
      <c r="TYZ85" s="6"/>
      <c r="TZA85" s="6"/>
      <c r="TZB85" s="6"/>
      <c r="TZC85" s="6"/>
      <c r="TZD85" s="6"/>
      <c r="TZE85" s="6"/>
      <c r="TZF85" s="6"/>
      <c r="TZG85" s="6"/>
      <c r="TZH85" s="6"/>
      <c r="TZI85" s="6"/>
      <c r="TZJ85" s="6"/>
      <c r="TZK85" s="6"/>
      <c r="TZL85" s="6"/>
      <c r="TZM85" s="6"/>
      <c r="TZN85" s="6"/>
      <c r="TZO85" s="6"/>
      <c r="TZP85" s="6"/>
      <c r="TZQ85" s="6"/>
      <c r="TZR85" s="6"/>
      <c r="TZS85" s="6"/>
      <c r="TZT85" s="6"/>
      <c r="TZU85" s="6"/>
      <c r="TZV85" s="6"/>
      <c r="TZW85" s="6"/>
      <c r="TZX85" s="6"/>
      <c r="TZY85" s="6"/>
      <c r="TZZ85" s="6"/>
      <c r="UAA85" s="6"/>
      <c r="UAB85" s="6"/>
      <c r="UAC85" s="6"/>
      <c r="UAD85" s="6"/>
      <c r="UAE85" s="6"/>
      <c r="UAF85" s="6"/>
      <c r="UAG85" s="6"/>
      <c r="UAH85" s="6"/>
      <c r="UAI85" s="6"/>
      <c r="UAJ85" s="6"/>
      <c r="UAK85" s="6"/>
      <c r="UAL85" s="6"/>
      <c r="UAM85" s="6"/>
      <c r="UAN85" s="6"/>
      <c r="UAO85" s="6"/>
      <c r="UAP85" s="6"/>
      <c r="UAQ85" s="6"/>
      <c r="UAR85" s="6"/>
      <c r="UAS85" s="6"/>
      <c r="UAT85" s="6"/>
      <c r="UAU85" s="6"/>
      <c r="UAV85" s="6"/>
      <c r="UAW85" s="6"/>
      <c r="UAX85" s="6"/>
      <c r="UAY85" s="6"/>
      <c r="UAZ85" s="6"/>
      <c r="UBA85" s="6"/>
      <c r="UBB85" s="6"/>
      <c r="UBC85" s="6"/>
      <c r="UBD85" s="6"/>
      <c r="UBE85" s="6"/>
      <c r="UBF85" s="6"/>
      <c r="UBG85" s="6"/>
      <c r="UBH85" s="6"/>
      <c r="UBI85" s="6"/>
      <c r="UBJ85" s="6"/>
      <c r="UBK85" s="6"/>
      <c r="UBL85" s="6"/>
      <c r="UBM85" s="6"/>
      <c r="UBN85" s="6"/>
      <c r="UBO85" s="6"/>
      <c r="UBP85" s="6"/>
      <c r="UBQ85" s="6"/>
      <c r="UBR85" s="6"/>
      <c r="UBS85" s="6"/>
      <c r="UBT85" s="6"/>
      <c r="UBU85" s="6"/>
      <c r="UBV85" s="6"/>
      <c r="UBW85" s="6"/>
      <c r="UBX85" s="6"/>
      <c r="UBY85" s="6"/>
      <c r="UBZ85" s="6"/>
      <c r="UCA85" s="6"/>
      <c r="UCB85" s="6"/>
      <c r="UCC85" s="6"/>
      <c r="UCD85" s="6"/>
      <c r="UCE85" s="6"/>
      <c r="UCF85" s="6"/>
      <c r="UCG85" s="6"/>
      <c r="UCH85" s="6"/>
      <c r="UCI85" s="6"/>
      <c r="UCJ85" s="6"/>
      <c r="UCK85" s="6"/>
      <c r="UCL85" s="6"/>
      <c r="UCM85" s="6"/>
      <c r="UCN85" s="6"/>
      <c r="UCO85" s="6"/>
      <c r="UCP85" s="6"/>
      <c r="UCQ85" s="6"/>
      <c r="UCR85" s="6"/>
      <c r="UCS85" s="6"/>
      <c r="UCT85" s="6"/>
      <c r="UCU85" s="6"/>
      <c r="UCV85" s="6"/>
      <c r="UCW85" s="6"/>
      <c r="UCX85" s="6"/>
      <c r="UCY85" s="6"/>
      <c r="UCZ85" s="6"/>
      <c r="UDA85" s="6"/>
      <c r="UDB85" s="6"/>
      <c r="UDC85" s="6"/>
      <c r="UDD85" s="6"/>
      <c r="UDE85" s="6"/>
      <c r="UDF85" s="6"/>
      <c r="UDG85" s="6"/>
      <c r="UDH85" s="6"/>
      <c r="UDI85" s="6"/>
      <c r="UDJ85" s="6"/>
      <c r="UDK85" s="6"/>
      <c r="UDL85" s="6"/>
      <c r="UDM85" s="6"/>
      <c r="UDN85" s="6"/>
      <c r="UDO85" s="6"/>
      <c r="UDP85" s="6"/>
      <c r="UDQ85" s="6"/>
      <c r="UDR85" s="6"/>
      <c r="UDS85" s="6"/>
      <c r="UDT85" s="6"/>
      <c r="UDU85" s="6"/>
      <c r="UDV85" s="6"/>
      <c r="UDW85" s="6"/>
      <c r="UDX85" s="6"/>
      <c r="UDY85" s="6"/>
      <c r="UDZ85" s="6"/>
      <c r="UEA85" s="6"/>
      <c r="UEB85" s="6"/>
      <c r="UEC85" s="6"/>
      <c r="UED85" s="6"/>
      <c r="UEE85" s="6"/>
      <c r="UEF85" s="6"/>
      <c r="UEG85" s="6"/>
      <c r="UEH85" s="6"/>
      <c r="UEI85" s="6"/>
      <c r="UEJ85" s="6"/>
      <c r="UEK85" s="6"/>
      <c r="UEL85" s="6"/>
      <c r="UEM85" s="6"/>
      <c r="UEN85" s="6"/>
      <c r="UEO85" s="6"/>
      <c r="UEP85" s="6"/>
      <c r="UEQ85" s="6"/>
      <c r="UER85" s="6"/>
      <c r="UES85" s="6"/>
      <c r="UET85" s="6"/>
      <c r="UEU85" s="6"/>
      <c r="UEV85" s="6"/>
      <c r="UEW85" s="6"/>
      <c r="UEX85" s="6"/>
      <c r="UEY85" s="6"/>
      <c r="UEZ85" s="6"/>
      <c r="UFA85" s="6"/>
      <c r="UFB85" s="6"/>
      <c r="UFC85" s="6"/>
      <c r="UFD85" s="6"/>
      <c r="UFE85" s="6"/>
      <c r="UFF85" s="6"/>
      <c r="UFG85" s="6"/>
      <c r="UFH85" s="6"/>
      <c r="UFI85" s="6"/>
      <c r="UFJ85" s="6"/>
      <c r="UFK85" s="6"/>
      <c r="UFL85" s="6"/>
      <c r="UFM85" s="6"/>
      <c r="UFN85" s="6"/>
      <c r="UFO85" s="6"/>
      <c r="UFP85" s="6"/>
      <c r="UFQ85" s="6"/>
      <c r="UFR85" s="6"/>
      <c r="UFS85" s="6"/>
      <c r="UFT85" s="6"/>
      <c r="UFU85" s="6"/>
      <c r="UFV85" s="6"/>
      <c r="UFW85" s="6"/>
      <c r="UFX85" s="6"/>
      <c r="UFY85" s="6"/>
      <c r="UFZ85" s="6"/>
      <c r="UGA85" s="6"/>
      <c r="UGB85" s="6"/>
      <c r="UGC85" s="6"/>
      <c r="UGD85" s="6"/>
      <c r="UGE85" s="6"/>
      <c r="UGF85" s="6"/>
      <c r="UGG85" s="6"/>
      <c r="UGH85" s="6"/>
      <c r="UGI85" s="6"/>
      <c r="UGJ85" s="6"/>
      <c r="UGK85" s="6"/>
      <c r="UGL85" s="6"/>
      <c r="UGM85" s="6"/>
      <c r="UGN85" s="6"/>
      <c r="UGO85" s="6"/>
      <c r="UGP85" s="6"/>
      <c r="UGQ85" s="6"/>
      <c r="UGR85" s="6"/>
      <c r="UGS85" s="6"/>
      <c r="UGT85" s="6"/>
      <c r="UGU85" s="6"/>
      <c r="UGV85" s="6"/>
      <c r="UGW85" s="6"/>
      <c r="UGX85" s="6"/>
      <c r="UGY85" s="6"/>
      <c r="UGZ85" s="6"/>
      <c r="UHA85" s="6"/>
      <c r="UHB85" s="6"/>
      <c r="UHC85" s="6"/>
      <c r="UHD85" s="6"/>
      <c r="UHE85" s="6"/>
      <c r="UHF85" s="6"/>
      <c r="UHG85" s="6"/>
      <c r="UHH85" s="6"/>
      <c r="UHI85" s="6"/>
      <c r="UHJ85" s="6"/>
      <c r="UHK85" s="6"/>
      <c r="UHL85" s="6"/>
      <c r="UHM85" s="6"/>
      <c r="UHN85" s="6"/>
      <c r="UHO85" s="6"/>
      <c r="UHP85" s="6"/>
      <c r="UHQ85" s="6"/>
      <c r="UHR85" s="6"/>
      <c r="UHS85" s="6"/>
      <c r="UHT85" s="6"/>
      <c r="UHU85" s="6"/>
      <c r="UHV85" s="6"/>
      <c r="UHW85" s="6"/>
      <c r="UHX85" s="6"/>
      <c r="UHY85" s="6"/>
      <c r="UHZ85" s="6"/>
      <c r="UIA85" s="6"/>
      <c r="UIB85" s="6"/>
      <c r="UIC85" s="6"/>
      <c r="UID85" s="6"/>
      <c r="UIE85" s="6"/>
      <c r="UIF85" s="6"/>
      <c r="UIG85" s="6"/>
      <c r="UIH85" s="6"/>
      <c r="UII85" s="6"/>
      <c r="UIJ85" s="6"/>
      <c r="UIK85" s="6"/>
      <c r="UIL85" s="6"/>
      <c r="UIM85" s="6"/>
      <c r="UIN85" s="6"/>
      <c r="UIO85" s="6"/>
      <c r="UIP85" s="6"/>
      <c r="UIQ85" s="6"/>
      <c r="UIR85" s="6"/>
      <c r="UIS85" s="6"/>
      <c r="UIT85" s="6"/>
      <c r="UIU85" s="6"/>
      <c r="UIV85" s="6"/>
      <c r="UIW85" s="6"/>
      <c r="UIX85" s="6"/>
      <c r="UIY85" s="6"/>
      <c r="UIZ85" s="6"/>
      <c r="UJA85" s="6"/>
      <c r="UJB85" s="6"/>
      <c r="UJC85" s="6"/>
      <c r="UJD85" s="6"/>
      <c r="UJE85" s="6"/>
      <c r="UJF85" s="6"/>
      <c r="UJG85" s="6"/>
      <c r="UJH85" s="6"/>
      <c r="UJI85" s="6"/>
      <c r="UJJ85" s="6"/>
      <c r="UJK85" s="6"/>
      <c r="UJL85" s="6"/>
      <c r="UJM85" s="6"/>
      <c r="UJN85" s="6"/>
      <c r="UJO85" s="6"/>
      <c r="UJP85" s="6"/>
      <c r="UJQ85" s="6"/>
      <c r="UJR85" s="6"/>
      <c r="UJS85" s="6"/>
      <c r="UJT85" s="6"/>
      <c r="UJU85" s="6"/>
      <c r="UJV85" s="6"/>
      <c r="UJW85" s="6"/>
      <c r="UJX85" s="6"/>
      <c r="UJY85" s="6"/>
      <c r="UJZ85" s="6"/>
      <c r="UKA85" s="6"/>
      <c r="UKB85" s="6"/>
      <c r="UKC85" s="6"/>
      <c r="UKD85" s="6"/>
      <c r="UKE85" s="6"/>
      <c r="UKF85" s="6"/>
      <c r="UKG85" s="6"/>
      <c r="UKH85" s="6"/>
      <c r="UKI85" s="6"/>
      <c r="UKJ85" s="6"/>
      <c r="UKK85" s="6"/>
      <c r="UKL85" s="6"/>
      <c r="UKM85" s="6"/>
      <c r="UKN85" s="6"/>
      <c r="UKO85" s="6"/>
      <c r="UKP85" s="6"/>
      <c r="UKQ85" s="6"/>
      <c r="UKR85" s="6"/>
      <c r="UKS85" s="6"/>
      <c r="UKT85" s="6"/>
      <c r="UKU85" s="6"/>
      <c r="UKV85" s="6"/>
      <c r="UKW85" s="6"/>
      <c r="UKX85" s="6"/>
      <c r="UKY85" s="6"/>
      <c r="UKZ85" s="6"/>
      <c r="ULA85" s="6"/>
      <c r="ULB85" s="6"/>
      <c r="ULC85" s="6"/>
      <c r="ULD85" s="6"/>
      <c r="ULE85" s="6"/>
      <c r="ULF85" s="6"/>
      <c r="ULG85" s="6"/>
      <c r="ULH85" s="6"/>
      <c r="ULI85" s="6"/>
      <c r="ULJ85" s="6"/>
      <c r="ULK85" s="6"/>
      <c r="ULL85" s="6"/>
      <c r="ULM85" s="6"/>
      <c r="ULN85" s="6"/>
      <c r="ULO85" s="6"/>
      <c r="ULP85" s="6"/>
      <c r="ULQ85" s="6"/>
      <c r="ULR85" s="6"/>
      <c r="ULS85" s="6"/>
      <c r="ULT85" s="6"/>
      <c r="ULU85" s="6"/>
      <c r="ULV85" s="6"/>
      <c r="ULW85" s="6"/>
      <c r="ULX85" s="6"/>
      <c r="ULY85" s="6"/>
      <c r="ULZ85" s="6"/>
      <c r="UMA85" s="6"/>
      <c r="UMB85" s="6"/>
      <c r="UMC85" s="6"/>
      <c r="UMD85" s="6"/>
      <c r="UME85" s="6"/>
      <c r="UMF85" s="6"/>
      <c r="UMG85" s="6"/>
      <c r="UMH85" s="6"/>
      <c r="UMI85" s="6"/>
      <c r="UMJ85" s="6"/>
      <c r="UMK85" s="6"/>
      <c r="UML85" s="6"/>
      <c r="UMM85" s="6"/>
      <c r="UMN85" s="6"/>
      <c r="UMO85" s="6"/>
      <c r="UMP85" s="6"/>
      <c r="UMQ85" s="6"/>
      <c r="UMR85" s="6"/>
      <c r="UMS85" s="6"/>
      <c r="UMT85" s="6"/>
      <c r="UMU85" s="6"/>
      <c r="UMV85" s="6"/>
      <c r="UMW85" s="6"/>
      <c r="UMX85" s="6"/>
      <c r="UMY85" s="6"/>
      <c r="UMZ85" s="6"/>
      <c r="UNA85" s="6"/>
      <c r="UNB85" s="6"/>
      <c r="UNC85" s="6"/>
      <c r="UND85" s="6"/>
      <c r="UNE85" s="6"/>
      <c r="UNF85" s="6"/>
      <c r="UNG85" s="6"/>
      <c r="UNH85" s="6"/>
      <c r="UNI85" s="6"/>
      <c r="UNJ85" s="6"/>
      <c r="UNK85" s="6"/>
      <c r="UNL85" s="6"/>
      <c r="UNM85" s="6"/>
      <c r="UNN85" s="6"/>
      <c r="UNO85" s="6"/>
      <c r="UNP85" s="6"/>
      <c r="UNQ85" s="6"/>
      <c r="UNR85" s="6"/>
      <c r="UNS85" s="6"/>
      <c r="UNT85" s="6"/>
      <c r="UNU85" s="6"/>
      <c r="UNV85" s="6"/>
      <c r="UNW85" s="6"/>
      <c r="UNX85" s="6"/>
      <c r="UNY85" s="6"/>
      <c r="UNZ85" s="6"/>
      <c r="UOA85" s="6"/>
      <c r="UOB85" s="6"/>
      <c r="UOC85" s="6"/>
      <c r="UOD85" s="6"/>
      <c r="UOE85" s="6"/>
      <c r="UOF85" s="6"/>
      <c r="UOG85" s="6"/>
      <c r="UOH85" s="6"/>
      <c r="UOI85" s="6"/>
      <c r="UOJ85" s="6"/>
      <c r="UOK85" s="6"/>
      <c r="UOL85" s="6"/>
      <c r="UOM85" s="6"/>
      <c r="UON85" s="6"/>
      <c r="UOO85" s="6"/>
      <c r="UOP85" s="6"/>
      <c r="UOQ85" s="6"/>
      <c r="UOR85" s="6"/>
      <c r="UOS85" s="6"/>
      <c r="UOT85" s="6"/>
      <c r="UOU85" s="6"/>
      <c r="UOV85" s="6"/>
      <c r="UOW85" s="6"/>
      <c r="UOX85" s="6"/>
      <c r="UOY85" s="6"/>
      <c r="UOZ85" s="6"/>
      <c r="UPA85" s="6"/>
      <c r="UPB85" s="6"/>
      <c r="UPC85" s="6"/>
      <c r="UPD85" s="6"/>
      <c r="UPE85" s="6"/>
      <c r="UPF85" s="6"/>
      <c r="UPG85" s="6"/>
      <c r="UPH85" s="6"/>
      <c r="UPI85" s="6"/>
      <c r="UPJ85" s="6"/>
      <c r="UPK85" s="6"/>
      <c r="UPL85" s="6"/>
      <c r="UPM85" s="6"/>
      <c r="UPN85" s="6"/>
      <c r="UPO85" s="6"/>
      <c r="UPP85" s="6"/>
      <c r="UPQ85" s="6"/>
      <c r="UPR85" s="6"/>
      <c r="UPS85" s="6"/>
      <c r="UPT85" s="6"/>
      <c r="UPU85" s="6"/>
      <c r="UPV85" s="6"/>
      <c r="UPW85" s="6"/>
      <c r="UPX85" s="6"/>
      <c r="UPY85" s="6"/>
      <c r="UPZ85" s="6"/>
      <c r="UQA85" s="6"/>
      <c r="UQB85" s="6"/>
      <c r="UQC85" s="6"/>
      <c r="UQD85" s="6"/>
      <c r="UQE85" s="6"/>
      <c r="UQF85" s="6"/>
      <c r="UQG85" s="6"/>
      <c r="UQH85" s="6"/>
      <c r="UQI85" s="6"/>
      <c r="UQJ85" s="6"/>
      <c r="UQK85" s="6"/>
      <c r="UQL85" s="6"/>
      <c r="UQM85" s="6"/>
      <c r="UQN85" s="6"/>
      <c r="UQO85" s="6"/>
      <c r="UQP85" s="6"/>
      <c r="UQQ85" s="6"/>
      <c r="UQR85" s="6"/>
      <c r="UQS85" s="6"/>
      <c r="UQT85" s="6"/>
      <c r="UQU85" s="6"/>
      <c r="UQV85" s="6"/>
      <c r="UQW85" s="6"/>
      <c r="UQX85" s="6"/>
      <c r="UQY85" s="6"/>
      <c r="UQZ85" s="6"/>
      <c r="URA85" s="6"/>
      <c r="URB85" s="6"/>
      <c r="URC85" s="6"/>
      <c r="URD85" s="6"/>
      <c r="URE85" s="6"/>
      <c r="URF85" s="6"/>
      <c r="URG85" s="6"/>
      <c r="URH85" s="6"/>
      <c r="URI85" s="6"/>
      <c r="URJ85" s="6"/>
      <c r="URK85" s="6"/>
      <c r="URL85" s="6"/>
      <c r="URM85" s="6"/>
      <c r="URN85" s="6"/>
      <c r="URO85" s="6"/>
      <c r="URP85" s="6"/>
      <c r="URQ85" s="6"/>
      <c r="URR85" s="6"/>
      <c r="URS85" s="6"/>
      <c r="URT85" s="6"/>
      <c r="URU85" s="6"/>
      <c r="URV85" s="6"/>
      <c r="URW85" s="6"/>
      <c r="URX85" s="6"/>
      <c r="URY85" s="6"/>
      <c r="URZ85" s="6"/>
      <c r="USA85" s="6"/>
      <c r="USB85" s="6"/>
      <c r="USC85" s="6"/>
      <c r="USD85" s="6"/>
      <c r="USE85" s="6"/>
      <c r="USF85" s="6"/>
      <c r="USG85" s="6"/>
      <c r="USH85" s="6"/>
      <c r="USI85" s="6"/>
      <c r="USJ85" s="6"/>
      <c r="USK85" s="6"/>
      <c r="USL85" s="6"/>
      <c r="USM85" s="6"/>
      <c r="USN85" s="6"/>
      <c r="USO85" s="6"/>
      <c r="USP85" s="6"/>
      <c r="USQ85" s="6"/>
      <c r="USR85" s="6"/>
      <c r="USS85" s="6"/>
      <c r="UST85" s="6"/>
      <c r="USU85" s="6"/>
      <c r="USV85" s="6"/>
      <c r="USW85" s="6"/>
      <c r="USX85" s="6"/>
      <c r="USY85" s="6"/>
      <c r="USZ85" s="6"/>
      <c r="UTA85" s="6"/>
      <c r="UTB85" s="6"/>
      <c r="UTC85" s="6"/>
      <c r="UTD85" s="6"/>
      <c r="UTE85" s="6"/>
      <c r="UTF85" s="6"/>
      <c r="UTG85" s="6"/>
      <c r="UTH85" s="6"/>
      <c r="UTI85" s="6"/>
      <c r="UTJ85" s="6"/>
      <c r="UTK85" s="6"/>
      <c r="UTL85" s="6"/>
      <c r="UTM85" s="6"/>
      <c r="UTN85" s="6"/>
      <c r="UTO85" s="6"/>
      <c r="UTP85" s="6"/>
      <c r="UTQ85" s="6"/>
      <c r="UTR85" s="6"/>
      <c r="UTS85" s="6"/>
      <c r="UTT85" s="6"/>
      <c r="UTU85" s="6"/>
      <c r="UTV85" s="6"/>
      <c r="UTW85" s="6"/>
      <c r="UTX85" s="6"/>
      <c r="UTY85" s="6"/>
      <c r="UTZ85" s="6"/>
      <c r="UUA85" s="6"/>
      <c r="UUB85" s="6"/>
      <c r="UUC85" s="6"/>
      <c r="UUD85" s="6"/>
      <c r="UUE85" s="6"/>
      <c r="UUF85" s="6"/>
      <c r="UUG85" s="6"/>
      <c r="UUH85" s="6"/>
      <c r="UUI85" s="6"/>
      <c r="UUJ85" s="6"/>
      <c r="UUK85" s="6"/>
      <c r="UUL85" s="6"/>
      <c r="UUM85" s="6"/>
      <c r="UUN85" s="6"/>
      <c r="UUO85" s="6"/>
      <c r="UUP85" s="6"/>
      <c r="UUQ85" s="6"/>
      <c r="UUR85" s="6"/>
      <c r="UUS85" s="6"/>
      <c r="UUT85" s="6"/>
      <c r="UUU85" s="6"/>
      <c r="UUV85" s="6"/>
      <c r="UUW85" s="6"/>
      <c r="UUX85" s="6"/>
      <c r="UUY85" s="6"/>
      <c r="UUZ85" s="6"/>
      <c r="UVA85" s="6"/>
      <c r="UVB85" s="6"/>
      <c r="UVC85" s="6"/>
      <c r="UVD85" s="6"/>
      <c r="UVE85" s="6"/>
      <c r="UVF85" s="6"/>
      <c r="UVG85" s="6"/>
      <c r="UVH85" s="6"/>
      <c r="UVI85" s="6"/>
      <c r="UVJ85" s="6"/>
      <c r="UVK85" s="6"/>
      <c r="UVL85" s="6"/>
      <c r="UVM85" s="6"/>
      <c r="UVN85" s="6"/>
      <c r="UVO85" s="6"/>
      <c r="UVP85" s="6"/>
      <c r="UVQ85" s="6"/>
      <c r="UVR85" s="6"/>
      <c r="UVS85" s="6"/>
      <c r="UVT85" s="6"/>
      <c r="UVU85" s="6"/>
      <c r="UVV85" s="6"/>
      <c r="UVW85" s="6"/>
      <c r="UVX85" s="6"/>
      <c r="UVY85" s="6"/>
      <c r="UVZ85" s="6"/>
      <c r="UWA85" s="6"/>
      <c r="UWB85" s="6"/>
      <c r="UWC85" s="6"/>
      <c r="UWD85" s="6"/>
      <c r="UWE85" s="6"/>
      <c r="UWF85" s="6"/>
      <c r="UWG85" s="6"/>
      <c r="UWH85" s="6"/>
      <c r="UWI85" s="6"/>
      <c r="UWJ85" s="6"/>
      <c r="UWK85" s="6"/>
      <c r="UWL85" s="6"/>
      <c r="UWM85" s="6"/>
      <c r="UWN85" s="6"/>
      <c r="UWO85" s="6"/>
      <c r="UWP85" s="6"/>
      <c r="UWQ85" s="6"/>
      <c r="UWR85" s="6"/>
      <c r="UWS85" s="6"/>
      <c r="UWT85" s="6"/>
      <c r="UWU85" s="6"/>
      <c r="UWV85" s="6"/>
      <c r="UWW85" s="6"/>
      <c r="UWX85" s="6"/>
      <c r="UWY85" s="6"/>
      <c r="UWZ85" s="6"/>
      <c r="UXA85" s="6"/>
      <c r="UXB85" s="6"/>
      <c r="UXC85" s="6"/>
      <c r="UXD85" s="6"/>
      <c r="UXE85" s="6"/>
      <c r="UXF85" s="6"/>
      <c r="UXG85" s="6"/>
      <c r="UXH85" s="6"/>
      <c r="UXI85" s="6"/>
      <c r="UXJ85" s="6"/>
      <c r="UXK85" s="6"/>
      <c r="UXL85" s="6"/>
      <c r="UXM85" s="6"/>
      <c r="UXN85" s="6"/>
      <c r="UXO85" s="6"/>
      <c r="UXP85" s="6"/>
      <c r="UXQ85" s="6"/>
      <c r="UXR85" s="6"/>
      <c r="UXS85" s="6"/>
      <c r="UXT85" s="6"/>
      <c r="UXU85" s="6"/>
      <c r="UXV85" s="6"/>
      <c r="UXW85" s="6"/>
      <c r="UXX85" s="6"/>
      <c r="UXY85" s="6"/>
      <c r="UXZ85" s="6"/>
      <c r="UYA85" s="6"/>
      <c r="UYB85" s="6"/>
      <c r="UYC85" s="6"/>
      <c r="UYD85" s="6"/>
      <c r="UYE85" s="6"/>
      <c r="UYF85" s="6"/>
      <c r="UYG85" s="6"/>
      <c r="UYH85" s="6"/>
      <c r="UYI85" s="6"/>
      <c r="UYJ85" s="6"/>
      <c r="UYK85" s="6"/>
      <c r="UYL85" s="6"/>
      <c r="UYM85" s="6"/>
      <c r="UYN85" s="6"/>
      <c r="UYO85" s="6"/>
      <c r="UYP85" s="6"/>
      <c r="UYQ85" s="6"/>
      <c r="UYR85" s="6"/>
      <c r="UYS85" s="6"/>
      <c r="UYT85" s="6"/>
      <c r="UYU85" s="6"/>
      <c r="UYV85" s="6"/>
      <c r="UYW85" s="6"/>
      <c r="UYX85" s="6"/>
      <c r="UYY85" s="6"/>
      <c r="UYZ85" s="6"/>
      <c r="UZA85" s="6"/>
      <c r="UZB85" s="6"/>
      <c r="UZC85" s="6"/>
      <c r="UZD85" s="6"/>
      <c r="UZE85" s="6"/>
      <c r="UZF85" s="6"/>
      <c r="UZG85" s="6"/>
      <c r="UZH85" s="6"/>
      <c r="UZI85" s="6"/>
      <c r="UZJ85" s="6"/>
      <c r="UZK85" s="6"/>
      <c r="UZL85" s="6"/>
      <c r="UZM85" s="6"/>
      <c r="UZN85" s="6"/>
      <c r="UZO85" s="6"/>
      <c r="UZP85" s="6"/>
      <c r="UZQ85" s="6"/>
      <c r="UZR85" s="6"/>
      <c r="UZS85" s="6"/>
      <c r="UZT85" s="6"/>
      <c r="UZU85" s="6"/>
      <c r="UZV85" s="6"/>
      <c r="UZW85" s="6"/>
      <c r="UZX85" s="6"/>
      <c r="UZY85" s="6"/>
      <c r="UZZ85" s="6"/>
      <c r="VAA85" s="6"/>
      <c r="VAB85" s="6"/>
      <c r="VAC85" s="6"/>
      <c r="VAD85" s="6"/>
      <c r="VAE85" s="6"/>
      <c r="VAF85" s="6"/>
      <c r="VAG85" s="6"/>
      <c r="VAH85" s="6"/>
      <c r="VAI85" s="6"/>
      <c r="VAJ85" s="6"/>
      <c r="VAK85" s="6"/>
      <c r="VAL85" s="6"/>
      <c r="VAM85" s="6"/>
      <c r="VAN85" s="6"/>
      <c r="VAO85" s="6"/>
      <c r="VAP85" s="6"/>
      <c r="VAQ85" s="6"/>
      <c r="VAR85" s="6"/>
      <c r="VAS85" s="6"/>
      <c r="VAT85" s="6"/>
      <c r="VAU85" s="6"/>
      <c r="VAV85" s="6"/>
      <c r="VAW85" s="6"/>
      <c r="VAX85" s="6"/>
      <c r="VAY85" s="6"/>
      <c r="VAZ85" s="6"/>
      <c r="VBA85" s="6"/>
      <c r="VBB85" s="6"/>
      <c r="VBC85" s="6"/>
      <c r="VBD85" s="6"/>
      <c r="VBE85" s="6"/>
      <c r="VBF85" s="6"/>
      <c r="VBG85" s="6"/>
      <c r="VBH85" s="6"/>
      <c r="VBI85" s="6"/>
      <c r="VBJ85" s="6"/>
      <c r="VBK85" s="6"/>
      <c r="VBL85" s="6"/>
      <c r="VBM85" s="6"/>
      <c r="VBN85" s="6"/>
      <c r="VBO85" s="6"/>
      <c r="VBP85" s="6"/>
      <c r="VBQ85" s="6"/>
      <c r="VBR85" s="6"/>
      <c r="VBS85" s="6"/>
      <c r="VBT85" s="6"/>
      <c r="VBU85" s="6"/>
      <c r="VBV85" s="6"/>
      <c r="VBW85" s="6"/>
      <c r="VBX85" s="6"/>
      <c r="VBY85" s="6"/>
      <c r="VBZ85" s="6"/>
      <c r="VCA85" s="6"/>
      <c r="VCB85" s="6"/>
      <c r="VCC85" s="6"/>
      <c r="VCD85" s="6"/>
      <c r="VCE85" s="6"/>
      <c r="VCF85" s="6"/>
      <c r="VCG85" s="6"/>
      <c r="VCH85" s="6"/>
      <c r="VCI85" s="6"/>
      <c r="VCJ85" s="6"/>
      <c r="VCK85" s="6"/>
      <c r="VCL85" s="6"/>
      <c r="VCM85" s="6"/>
      <c r="VCN85" s="6"/>
      <c r="VCO85" s="6"/>
      <c r="VCP85" s="6"/>
      <c r="VCQ85" s="6"/>
      <c r="VCR85" s="6"/>
      <c r="VCS85" s="6"/>
      <c r="VCT85" s="6"/>
      <c r="VCU85" s="6"/>
      <c r="VCV85" s="6"/>
      <c r="VCW85" s="6"/>
      <c r="VCX85" s="6"/>
      <c r="VCY85" s="6"/>
      <c r="VCZ85" s="6"/>
      <c r="VDA85" s="6"/>
      <c r="VDB85" s="6"/>
      <c r="VDC85" s="6"/>
      <c r="VDD85" s="6"/>
      <c r="VDE85" s="6"/>
      <c r="VDF85" s="6"/>
      <c r="VDG85" s="6"/>
      <c r="VDH85" s="6"/>
      <c r="VDI85" s="6"/>
      <c r="VDJ85" s="6"/>
      <c r="VDK85" s="6"/>
      <c r="VDL85" s="6"/>
      <c r="VDM85" s="6"/>
      <c r="VDN85" s="6"/>
      <c r="VDO85" s="6"/>
      <c r="VDP85" s="6"/>
      <c r="VDQ85" s="6"/>
      <c r="VDR85" s="6"/>
      <c r="VDS85" s="6"/>
      <c r="VDT85" s="6"/>
      <c r="VDU85" s="6"/>
      <c r="VDV85" s="6"/>
      <c r="VDW85" s="6"/>
      <c r="VDX85" s="6"/>
      <c r="VDY85" s="6"/>
      <c r="VDZ85" s="6"/>
      <c r="VEA85" s="6"/>
      <c r="VEB85" s="6"/>
      <c r="VEC85" s="6"/>
      <c r="VED85" s="6"/>
      <c r="VEE85" s="6"/>
      <c r="VEF85" s="6"/>
      <c r="VEG85" s="6"/>
      <c r="VEH85" s="6"/>
      <c r="VEI85" s="6"/>
      <c r="VEJ85" s="6"/>
      <c r="VEK85" s="6"/>
      <c r="VEL85" s="6"/>
      <c r="VEM85" s="6"/>
      <c r="VEN85" s="6"/>
      <c r="VEO85" s="6"/>
      <c r="VEP85" s="6"/>
      <c r="VEQ85" s="6"/>
      <c r="VER85" s="6"/>
      <c r="VES85" s="6"/>
      <c r="VET85" s="6"/>
      <c r="VEU85" s="6"/>
      <c r="VEV85" s="6"/>
      <c r="VEW85" s="6"/>
      <c r="VEX85" s="6"/>
      <c r="VEY85" s="6"/>
      <c r="VEZ85" s="6"/>
      <c r="VFA85" s="6"/>
      <c r="VFB85" s="6"/>
      <c r="VFC85" s="6"/>
      <c r="VFD85" s="6"/>
      <c r="VFE85" s="6"/>
      <c r="VFF85" s="6"/>
      <c r="VFG85" s="6"/>
      <c r="VFH85" s="6"/>
      <c r="VFI85" s="6"/>
      <c r="VFJ85" s="6"/>
      <c r="VFK85" s="6"/>
      <c r="VFL85" s="6"/>
      <c r="VFM85" s="6"/>
      <c r="VFN85" s="6"/>
      <c r="VFO85" s="6"/>
      <c r="VFP85" s="6"/>
      <c r="VFQ85" s="6"/>
      <c r="VFR85" s="6"/>
      <c r="VFS85" s="6"/>
      <c r="VFT85" s="6"/>
      <c r="VFU85" s="6"/>
      <c r="VFV85" s="6"/>
      <c r="VFW85" s="6"/>
      <c r="VFX85" s="6"/>
      <c r="VFY85" s="6"/>
      <c r="VFZ85" s="6"/>
      <c r="VGA85" s="6"/>
      <c r="VGB85" s="6"/>
      <c r="VGC85" s="6"/>
      <c r="VGD85" s="6"/>
      <c r="VGE85" s="6"/>
      <c r="VGF85" s="6"/>
      <c r="VGG85" s="6"/>
      <c r="VGH85" s="6"/>
      <c r="VGI85" s="6"/>
      <c r="VGJ85" s="6"/>
      <c r="VGK85" s="6"/>
      <c r="VGL85" s="6"/>
      <c r="VGM85" s="6"/>
      <c r="VGN85" s="6"/>
      <c r="VGO85" s="6"/>
      <c r="VGP85" s="6"/>
      <c r="VGQ85" s="6"/>
      <c r="VGR85" s="6"/>
      <c r="VGS85" s="6"/>
      <c r="VGT85" s="6"/>
      <c r="VGU85" s="6"/>
      <c r="VGV85" s="6"/>
      <c r="VGW85" s="6"/>
      <c r="VGX85" s="6"/>
      <c r="VGY85" s="6"/>
      <c r="VGZ85" s="6"/>
      <c r="VHA85" s="6"/>
      <c r="VHB85" s="6"/>
      <c r="VHC85" s="6"/>
      <c r="VHD85" s="6"/>
      <c r="VHE85" s="6"/>
      <c r="VHF85" s="6"/>
      <c r="VHG85" s="6"/>
      <c r="VHH85" s="6"/>
      <c r="VHI85" s="6"/>
      <c r="VHJ85" s="6"/>
      <c r="VHK85" s="6"/>
      <c r="VHL85" s="6"/>
      <c r="VHM85" s="6"/>
      <c r="VHN85" s="6"/>
      <c r="VHO85" s="6"/>
      <c r="VHP85" s="6"/>
      <c r="VHQ85" s="6"/>
      <c r="VHR85" s="6"/>
      <c r="VHS85" s="6"/>
      <c r="VHT85" s="6"/>
      <c r="VHU85" s="6"/>
      <c r="VHV85" s="6"/>
      <c r="VHW85" s="6"/>
      <c r="VHX85" s="6"/>
      <c r="VHY85" s="6"/>
      <c r="VHZ85" s="6"/>
      <c r="VIA85" s="6"/>
      <c r="VIB85" s="6"/>
      <c r="VIC85" s="6"/>
      <c r="VID85" s="6"/>
      <c r="VIE85" s="6"/>
      <c r="VIF85" s="6"/>
      <c r="VIG85" s="6"/>
      <c r="VIH85" s="6"/>
      <c r="VII85" s="6"/>
      <c r="VIJ85" s="6"/>
      <c r="VIK85" s="6"/>
      <c r="VIL85" s="6"/>
      <c r="VIM85" s="6"/>
      <c r="VIN85" s="6"/>
      <c r="VIO85" s="6"/>
      <c r="VIP85" s="6"/>
      <c r="VIQ85" s="6"/>
      <c r="VIR85" s="6"/>
      <c r="VIS85" s="6"/>
      <c r="VIT85" s="6"/>
      <c r="VIU85" s="6"/>
      <c r="VIV85" s="6"/>
      <c r="VIW85" s="6"/>
      <c r="VIX85" s="6"/>
      <c r="VIY85" s="6"/>
      <c r="VIZ85" s="6"/>
      <c r="VJA85" s="6"/>
      <c r="VJB85" s="6"/>
      <c r="VJC85" s="6"/>
      <c r="VJD85" s="6"/>
      <c r="VJE85" s="6"/>
      <c r="VJF85" s="6"/>
      <c r="VJG85" s="6"/>
      <c r="VJH85" s="6"/>
      <c r="VJI85" s="6"/>
      <c r="VJJ85" s="6"/>
      <c r="VJK85" s="6"/>
      <c r="VJL85" s="6"/>
      <c r="VJM85" s="6"/>
      <c r="VJN85" s="6"/>
      <c r="VJO85" s="6"/>
      <c r="VJP85" s="6"/>
      <c r="VJQ85" s="6"/>
      <c r="VJR85" s="6"/>
      <c r="VJS85" s="6"/>
      <c r="VJT85" s="6"/>
      <c r="VJU85" s="6"/>
      <c r="VJV85" s="6"/>
      <c r="VJW85" s="6"/>
      <c r="VJX85" s="6"/>
      <c r="VJY85" s="6"/>
      <c r="VJZ85" s="6"/>
      <c r="VKA85" s="6"/>
      <c r="VKB85" s="6"/>
      <c r="VKC85" s="6"/>
      <c r="VKD85" s="6"/>
      <c r="VKE85" s="6"/>
      <c r="VKF85" s="6"/>
      <c r="VKG85" s="6"/>
      <c r="VKH85" s="6"/>
      <c r="VKI85" s="6"/>
      <c r="VKJ85" s="6"/>
      <c r="VKK85" s="6"/>
      <c r="VKL85" s="6"/>
      <c r="VKM85" s="6"/>
      <c r="VKN85" s="6"/>
      <c r="VKO85" s="6"/>
      <c r="VKP85" s="6"/>
      <c r="VKQ85" s="6"/>
      <c r="VKR85" s="6"/>
      <c r="VKS85" s="6"/>
      <c r="VKT85" s="6"/>
      <c r="VKU85" s="6"/>
      <c r="VKV85" s="6"/>
      <c r="VKW85" s="6"/>
      <c r="VKX85" s="6"/>
      <c r="VKY85" s="6"/>
      <c r="VKZ85" s="6"/>
      <c r="VLA85" s="6"/>
      <c r="VLB85" s="6"/>
      <c r="VLC85" s="6"/>
      <c r="VLD85" s="6"/>
      <c r="VLE85" s="6"/>
      <c r="VLF85" s="6"/>
      <c r="VLG85" s="6"/>
      <c r="VLH85" s="6"/>
      <c r="VLI85" s="6"/>
      <c r="VLJ85" s="6"/>
      <c r="VLK85" s="6"/>
      <c r="VLL85" s="6"/>
      <c r="VLM85" s="6"/>
      <c r="VLN85" s="6"/>
      <c r="VLO85" s="6"/>
      <c r="VLP85" s="6"/>
      <c r="VLQ85" s="6"/>
      <c r="VLR85" s="6"/>
      <c r="VLS85" s="6"/>
      <c r="VLT85" s="6"/>
      <c r="VLU85" s="6"/>
      <c r="VLV85" s="6"/>
      <c r="VLW85" s="6"/>
      <c r="VLX85" s="6"/>
      <c r="VLY85" s="6"/>
      <c r="VLZ85" s="6"/>
      <c r="VMA85" s="6"/>
      <c r="VMB85" s="6"/>
      <c r="VMC85" s="6"/>
      <c r="VMD85" s="6"/>
      <c r="VME85" s="6"/>
      <c r="VMF85" s="6"/>
      <c r="VMG85" s="6"/>
      <c r="VMH85" s="6"/>
      <c r="VMI85" s="6"/>
      <c r="VMJ85" s="6"/>
      <c r="VMK85" s="6"/>
      <c r="VML85" s="6"/>
      <c r="VMM85" s="6"/>
      <c r="VMN85" s="6"/>
      <c r="VMO85" s="6"/>
      <c r="VMP85" s="6"/>
      <c r="VMQ85" s="6"/>
      <c r="VMR85" s="6"/>
      <c r="VMS85" s="6"/>
      <c r="VMT85" s="6"/>
      <c r="VMU85" s="6"/>
      <c r="VMV85" s="6"/>
      <c r="VMW85" s="6"/>
      <c r="VMX85" s="6"/>
      <c r="VMY85" s="6"/>
      <c r="VMZ85" s="6"/>
      <c r="VNA85" s="6"/>
      <c r="VNB85" s="6"/>
      <c r="VNC85" s="6"/>
      <c r="VND85" s="6"/>
      <c r="VNE85" s="6"/>
      <c r="VNF85" s="6"/>
      <c r="VNG85" s="6"/>
      <c r="VNH85" s="6"/>
      <c r="VNI85" s="6"/>
      <c r="VNJ85" s="6"/>
      <c r="VNK85" s="6"/>
      <c r="VNL85" s="6"/>
      <c r="VNM85" s="6"/>
      <c r="VNN85" s="6"/>
      <c r="VNO85" s="6"/>
      <c r="VNP85" s="6"/>
      <c r="VNQ85" s="6"/>
      <c r="VNR85" s="6"/>
      <c r="VNS85" s="6"/>
      <c r="VNT85" s="6"/>
      <c r="VNU85" s="6"/>
      <c r="VNV85" s="6"/>
      <c r="VNW85" s="6"/>
      <c r="VNX85" s="6"/>
      <c r="VNY85" s="6"/>
      <c r="VNZ85" s="6"/>
      <c r="VOA85" s="6"/>
      <c r="VOB85" s="6"/>
      <c r="VOC85" s="6"/>
      <c r="VOD85" s="6"/>
      <c r="VOE85" s="6"/>
      <c r="VOF85" s="6"/>
      <c r="VOG85" s="6"/>
      <c r="VOH85" s="6"/>
      <c r="VOI85" s="6"/>
      <c r="VOJ85" s="6"/>
      <c r="VOK85" s="6"/>
      <c r="VOL85" s="6"/>
      <c r="VOM85" s="6"/>
      <c r="VON85" s="6"/>
      <c r="VOO85" s="6"/>
      <c r="VOP85" s="6"/>
      <c r="VOQ85" s="6"/>
      <c r="VOR85" s="6"/>
      <c r="VOS85" s="6"/>
      <c r="VOT85" s="6"/>
      <c r="VOU85" s="6"/>
      <c r="VOV85" s="6"/>
      <c r="VOW85" s="6"/>
      <c r="VOX85" s="6"/>
      <c r="VOY85" s="6"/>
      <c r="VOZ85" s="6"/>
      <c r="VPA85" s="6"/>
      <c r="VPB85" s="6"/>
      <c r="VPC85" s="6"/>
      <c r="VPD85" s="6"/>
      <c r="VPE85" s="6"/>
      <c r="VPF85" s="6"/>
      <c r="VPG85" s="6"/>
      <c r="VPH85" s="6"/>
      <c r="VPI85" s="6"/>
      <c r="VPJ85" s="6"/>
      <c r="VPK85" s="6"/>
      <c r="VPL85" s="6"/>
      <c r="VPM85" s="6"/>
      <c r="VPN85" s="6"/>
      <c r="VPO85" s="6"/>
      <c r="VPP85" s="6"/>
      <c r="VPQ85" s="6"/>
      <c r="VPR85" s="6"/>
      <c r="VPS85" s="6"/>
      <c r="VPT85" s="6"/>
      <c r="VPU85" s="6"/>
      <c r="VPV85" s="6"/>
      <c r="VPW85" s="6"/>
      <c r="VPX85" s="6"/>
      <c r="VPY85" s="6"/>
      <c r="VPZ85" s="6"/>
      <c r="VQA85" s="6"/>
      <c r="VQB85" s="6"/>
      <c r="VQC85" s="6"/>
      <c r="VQD85" s="6"/>
      <c r="VQE85" s="6"/>
      <c r="VQF85" s="6"/>
      <c r="VQG85" s="6"/>
      <c r="VQH85" s="6"/>
      <c r="VQI85" s="6"/>
      <c r="VQJ85" s="6"/>
      <c r="VQK85" s="6"/>
      <c r="VQL85" s="6"/>
      <c r="VQM85" s="6"/>
      <c r="VQN85" s="6"/>
      <c r="VQO85" s="6"/>
      <c r="VQP85" s="6"/>
      <c r="VQQ85" s="6"/>
      <c r="VQR85" s="6"/>
      <c r="VQS85" s="6"/>
      <c r="VQT85" s="6"/>
      <c r="VQU85" s="6"/>
      <c r="VQV85" s="6"/>
      <c r="VQW85" s="6"/>
      <c r="VQX85" s="6"/>
      <c r="VQY85" s="6"/>
      <c r="VQZ85" s="6"/>
      <c r="VRA85" s="6"/>
      <c r="VRB85" s="6"/>
      <c r="VRC85" s="6"/>
      <c r="VRD85" s="6"/>
      <c r="VRE85" s="6"/>
      <c r="VRF85" s="6"/>
      <c r="VRG85" s="6"/>
      <c r="VRH85" s="6"/>
      <c r="VRI85" s="6"/>
      <c r="VRJ85" s="6"/>
      <c r="VRK85" s="6"/>
      <c r="VRL85" s="6"/>
      <c r="VRM85" s="6"/>
      <c r="VRN85" s="6"/>
      <c r="VRO85" s="6"/>
      <c r="VRP85" s="6"/>
      <c r="VRQ85" s="6"/>
      <c r="VRR85" s="6"/>
      <c r="VRS85" s="6"/>
      <c r="VRT85" s="6"/>
      <c r="VRU85" s="6"/>
      <c r="VRV85" s="6"/>
      <c r="VRW85" s="6"/>
      <c r="VRX85" s="6"/>
      <c r="VRY85" s="6"/>
      <c r="VRZ85" s="6"/>
      <c r="VSA85" s="6"/>
      <c r="VSB85" s="6"/>
      <c r="VSC85" s="6"/>
      <c r="VSD85" s="6"/>
      <c r="VSE85" s="6"/>
      <c r="VSF85" s="6"/>
      <c r="VSG85" s="6"/>
      <c r="VSH85" s="6"/>
      <c r="VSI85" s="6"/>
      <c r="VSJ85" s="6"/>
      <c r="VSK85" s="6"/>
      <c r="VSL85" s="6"/>
      <c r="VSM85" s="6"/>
      <c r="VSN85" s="6"/>
      <c r="VSO85" s="6"/>
      <c r="VSP85" s="6"/>
      <c r="VSQ85" s="6"/>
      <c r="VSR85" s="6"/>
      <c r="VSS85" s="6"/>
      <c r="VST85" s="6"/>
      <c r="VSU85" s="6"/>
      <c r="VSV85" s="6"/>
      <c r="VSW85" s="6"/>
      <c r="VSX85" s="6"/>
      <c r="VSY85" s="6"/>
      <c r="VSZ85" s="6"/>
      <c r="VTA85" s="6"/>
      <c r="VTB85" s="6"/>
      <c r="VTC85" s="6"/>
      <c r="VTD85" s="6"/>
      <c r="VTE85" s="6"/>
      <c r="VTF85" s="6"/>
      <c r="VTG85" s="6"/>
      <c r="VTH85" s="6"/>
      <c r="VTI85" s="6"/>
      <c r="VTJ85" s="6"/>
      <c r="VTK85" s="6"/>
      <c r="VTL85" s="6"/>
      <c r="VTM85" s="6"/>
      <c r="VTN85" s="6"/>
      <c r="VTO85" s="6"/>
      <c r="VTP85" s="6"/>
      <c r="VTQ85" s="6"/>
      <c r="VTR85" s="6"/>
      <c r="VTS85" s="6"/>
      <c r="VTT85" s="6"/>
      <c r="VTU85" s="6"/>
      <c r="VTV85" s="6"/>
      <c r="VTW85" s="6"/>
      <c r="VTX85" s="6"/>
      <c r="VTY85" s="6"/>
      <c r="VTZ85" s="6"/>
      <c r="VUA85" s="6"/>
      <c r="VUB85" s="6"/>
      <c r="VUC85" s="6"/>
      <c r="VUD85" s="6"/>
      <c r="VUE85" s="6"/>
      <c r="VUF85" s="6"/>
      <c r="VUG85" s="6"/>
      <c r="VUH85" s="6"/>
      <c r="VUI85" s="6"/>
      <c r="VUJ85" s="6"/>
      <c r="VUK85" s="6"/>
      <c r="VUL85" s="6"/>
      <c r="VUM85" s="6"/>
      <c r="VUN85" s="6"/>
      <c r="VUO85" s="6"/>
      <c r="VUP85" s="6"/>
      <c r="VUQ85" s="6"/>
      <c r="VUR85" s="6"/>
      <c r="VUS85" s="6"/>
      <c r="VUT85" s="6"/>
      <c r="VUU85" s="6"/>
      <c r="VUV85" s="6"/>
      <c r="VUW85" s="6"/>
      <c r="VUX85" s="6"/>
      <c r="VUY85" s="6"/>
      <c r="VUZ85" s="6"/>
      <c r="VVA85" s="6"/>
      <c r="VVB85" s="6"/>
      <c r="VVC85" s="6"/>
      <c r="VVD85" s="6"/>
      <c r="VVE85" s="6"/>
      <c r="VVF85" s="6"/>
      <c r="VVG85" s="6"/>
      <c r="VVH85" s="6"/>
      <c r="VVI85" s="6"/>
      <c r="VVJ85" s="6"/>
      <c r="VVK85" s="6"/>
      <c r="VVL85" s="6"/>
      <c r="VVM85" s="6"/>
      <c r="VVN85" s="6"/>
      <c r="VVO85" s="6"/>
      <c r="VVP85" s="6"/>
      <c r="VVQ85" s="6"/>
      <c r="VVR85" s="6"/>
      <c r="VVS85" s="6"/>
      <c r="VVT85" s="6"/>
      <c r="VVU85" s="6"/>
      <c r="VVV85" s="6"/>
      <c r="VVW85" s="6"/>
      <c r="VVX85" s="6"/>
      <c r="VVY85" s="6"/>
      <c r="VVZ85" s="6"/>
      <c r="VWA85" s="6"/>
      <c r="VWB85" s="6"/>
      <c r="VWC85" s="6"/>
      <c r="VWD85" s="6"/>
      <c r="VWE85" s="6"/>
      <c r="VWF85" s="6"/>
      <c r="VWG85" s="6"/>
      <c r="VWH85" s="6"/>
      <c r="VWI85" s="6"/>
      <c r="VWJ85" s="6"/>
      <c r="VWK85" s="6"/>
      <c r="VWL85" s="6"/>
      <c r="VWM85" s="6"/>
      <c r="VWN85" s="6"/>
      <c r="VWO85" s="6"/>
      <c r="VWP85" s="6"/>
      <c r="VWQ85" s="6"/>
      <c r="VWR85" s="6"/>
      <c r="VWS85" s="6"/>
      <c r="VWT85" s="6"/>
      <c r="VWU85" s="6"/>
      <c r="VWV85" s="6"/>
      <c r="VWW85" s="6"/>
      <c r="VWX85" s="6"/>
      <c r="VWY85" s="6"/>
      <c r="VWZ85" s="6"/>
      <c r="VXA85" s="6"/>
      <c r="VXB85" s="6"/>
      <c r="VXC85" s="6"/>
      <c r="VXD85" s="6"/>
      <c r="VXE85" s="6"/>
      <c r="VXF85" s="6"/>
      <c r="VXG85" s="6"/>
      <c r="VXH85" s="6"/>
      <c r="VXI85" s="6"/>
      <c r="VXJ85" s="6"/>
      <c r="VXK85" s="6"/>
      <c r="VXL85" s="6"/>
      <c r="VXM85" s="6"/>
      <c r="VXN85" s="6"/>
      <c r="VXO85" s="6"/>
      <c r="VXP85" s="6"/>
      <c r="VXQ85" s="6"/>
      <c r="VXR85" s="6"/>
      <c r="VXS85" s="6"/>
      <c r="VXT85" s="6"/>
      <c r="VXU85" s="6"/>
      <c r="VXV85" s="6"/>
      <c r="VXW85" s="6"/>
      <c r="VXX85" s="6"/>
      <c r="VXY85" s="6"/>
      <c r="VXZ85" s="6"/>
      <c r="VYA85" s="6"/>
      <c r="VYB85" s="6"/>
      <c r="VYC85" s="6"/>
      <c r="VYD85" s="6"/>
      <c r="VYE85" s="6"/>
      <c r="VYF85" s="6"/>
      <c r="VYG85" s="6"/>
      <c r="VYH85" s="6"/>
      <c r="VYI85" s="6"/>
      <c r="VYJ85" s="6"/>
      <c r="VYK85" s="6"/>
      <c r="VYL85" s="6"/>
      <c r="VYM85" s="6"/>
      <c r="VYN85" s="6"/>
      <c r="VYO85" s="6"/>
      <c r="VYP85" s="6"/>
      <c r="VYQ85" s="6"/>
      <c r="VYR85" s="6"/>
      <c r="VYS85" s="6"/>
      <c r="VYT85" s="6"/>
      <c r="VYU85" s="6"/>
      <c r="VYV85" s="6"/>
      <c r="VYW85" s="6"/>
      <c r="VYX85" s="6"/>
      <c r="VYY85" s="6"/>
      <c r="VYZ85" s="6"/>
      <c r="VZA85" s="6"/>
      <c r="VZB85" s="6"/>
      <c r="VZC85" s="6"/>
      <c r="VZD85" s="6"/>
      <c r="VZE85" s="6"/>
      <c r="VZF85" s="6"/>
      <c r="VZG85" s="6"/>
      <c r="VZH85" s="6"/>
      <c r="VZI85" s="6"/>
      <c r="VZJ85" s="6"/>
      <c r="VZK85" s="6"/>
      <c r="VZL85" s="6"/>
      <c r="VZM85" s="6"/>
      <c r="VZN85" s="6"/>
      <c r="VZO85" s="6"/>
      <c r="VZP85" s="6"/>
      <c r="VZQ85" s="6"/>
      <c r="VZR85" s="6"/>
      <c r="VZS85" s="6"/>
      <c r="VZT85" s="6"/>
      <c r="VZU85" s="6"/>
      <c r="VZV85" s="6"/>
      <c r="VZW85" s="6"/>
      <c r="VZX85" s="6"/>
      <c r="VZY85" s="6"/>
      <c r="VZZ85" s="6"/>
      <c r="WAA85" s="6"/>
      <c r="WAB85" s="6"/>
      <c r="WAC85" s="6"/>
      <c r="WAD85" s="6"/>
      <c r="WAE85" s="6"/>
      <c r="WAF85" s="6"/>
      <c r="WAG85" s="6"/>
      <c r="WAH85" s="6"/>
      <c r="WAI85" s="6"/>
      <c r="WAJ85" s="6"/>
      <c r="WAK85" s="6"/>
      <c r="WAL85" s="6"/>
      <c r="WAM85" s="6"/>
      <c r="WAN85" s="6"/>
      <c r="WAO85" s="6"/>
      <c r="WAP85" s="6"/>
      <c r="WAQ85" s="6"/>
      <c r="WAR85" s="6"/>
      <c r="WAS85" s="6"/>
      <c r="WAT85" s="6"/>
      <c r="WAU85" s="6"/>
      <c r="WAV85" s="6"/>
      <c r="WAW85" s="6"/>
      <c r="WAX85" s="6"/>
      <c r="WAY85" s="6"/>
      <c r="WAZ85" s="6"/>
      <c r="WBA85" s="6"/>
      <c r="WBB85" s="6"/>
      <c r="WBC85" s="6"/>
      <c r="WBD85" s="6"/>
      <c r="WBE85" s="6"/>
      <c r="WBF85" s="6"/>
      <c r="WBG85" s="6"/>
      <c r="WBH85" s="6"/>
      <c r="WBI85" s="6"/>
      <c r="WBJ85" s="6"/>
      <c r="WBK85" s="6"/>
      <c r="WBL85" s="6"/>
      <c r="WBM85" s="6"/>
      <c r="WBN85" s="6"/>
      <c r="WBO85" s="6"/>
      <c r="WBP85" s="6"/>
      <c r="WBQ85" s="6"/>
      <c r="WBR85" s="6"/>
      <c r="WBS85" s="6"/>
      <c r="WBT85" s="6"/>
      <c r="WBU85" s="6"/>
      <c r="WBV85" s="6"/>
      <c r="WBW85" s="6"/>
      <c r="WBX85" s="6"/>
      <c r="WBY85" s="6"/>
      <c r="WBZ85" s="6"/>
      <c r="WCA85" s="6"/>
      <c r="WCB85" s="6"/>
      <c r="WCC85" s="6"/>
      <c r="WCD85" s="6"/>
      <c r="WCE85" s="6"/>
      <c r="WCF85" s="6"/>
      <c r="WCG85" s="6"/>
      <c r="WCH85" s="6"/>
      <c r="WCI85" s="6"/>
      <c r="WCJ85" s="6"/>
      <c r="WCK85" s="6"/>
      <c r="WCL85" s="6"/>
      <c r="WCM85" s="6"/>
      <c r="WCN85" s="6"/>
      <c r="WCO85" s="6"/>
      <c r="WCP85" s="6"/>
      <c r="WCQ85" s="6"/>
      <c r="WCR85" s="6"/>
      <c r="WCS85" s="6"/>
      <c r="WCT85" s="6"/>
      <c r="WCU85" s="6"/>
      <c r="WCV85" s="6"/>
      <c r="WCW85" s="6"/>
      <c r="WCX85" s="6"/>
      <c r="WCY85" s="6"/>
      <c r="WCZ85" s="6"/>
      <c r="WDA85" s="6"/>
      <c r="WDB85" s="6"/>
      <c r="WDC85" s="6"/>
      <c r="WDD85" s="6"/>
      <c r="WDE85" s="6"/>
      <c r="WDF85" s="6"/>
      <c r="WDG85" s="6"/>
      <c r="WDH85" s="6"/>
      <c r="WDI85" s="6"/>
      <c r="WDJ85" s="6"/>
      <c r="WDK85" s="6"/>
      <c r="WDL85" s="6"/>
      <c r="WDM85" s="6"/>
      <c r="WDN85" s="6"/>
      <c r="WDO85" s="6"/>
      <c r="WDP85" s="6"/>
      <c r="WDQ85" s="6"/>
      <c r="WDR85" s="6"/>
      <c r="WDS85" s="6"/>
      <c r="WDT85" s="6"/>
      <c r="WDU85" s="6"/>
      <c r="WDV85" s="6"/>
      <c r="WDW85" s="6"/>
      <c r="WDX85" s="6"/>
      <c r="WDY85" s="6"/>
      <c r="WDZ85" s="6"/>
      <c r="WEA85" s="6"/>
      <c r="WEB85" s="6"/>
      <c r="WEC85" s="6"/>
      <c r="WED85" s="6"/>
      <c r="WEE85" s="6"/>
      <c r="WEF85" s="6"/>
      <c r="WEG85" s="6"/>
      <c r="WEH85" s="6"/>
      <c r="WEI85" s="6"/>
      <c r="WEJ85" s="6"/>
      <c r="WEK85" s="6"/>
      <c r="WEL85" s="6"/>
      <c r="WEM85" s="6"/>
      <c r="WEN85" s="6"/>
      <c r="WEO85" s="6"/>
      <c r="WEP85" s="6"/>
      <c r="WEQ85" s="6"/>
      <c r="WER85" s="6"/>
      <c r="WES85" s="6"/>
      <c r="WET85" s="6"/>
      <c r="WEU85" s="6"/>
      <c r="WEV85" s="6"/>
      <c r="WEW85" s="6"/>
      <c r="WEX85" s="6"/>
      <c r="WEY85" s="6"/>
      <c r="WEZ85" s="6"/>
      <c r="WFA85" s="6"/>
      <c r="WFB85" s="6"/>
      <c r="WFC85" s="6"/>
      <c r="WFD85" s="6"/>
      <c r="WFE85" s="6"/>
      <c r="WFF85" s="6"/>
      <c r="WFG85" s="6"/>
      <c r="WFH85" s="6"/>
      <c r="WFI85" s="6"/>
      <c r="WFJ85" s="6"/>
      <c r="WFK85" s="6"/>
      <c r="WFL85" s="6"/>
      <c r="WFM85" s="6"/>
      <c r="WFN85" s="6"/>
      <c r="WFO85" s="6"/>
      <c r="WFP85" s="6"/>
      <c r="WFQ85" s="6"/>
      <c r="WFR85" s="6"/>
      <c r="WFS85" s="6"/>
      <c r="WFT85" s="6"/>
      <c r="WFU85" s="6"/>
      <c r="WFV85" s="6"/>
      <c r="WFW85" s="6"/>
      <c r="WFX85" s="6"/>
      <c r="WFY85" s="6"/>
      <c r="WFZ85" s="6"/>
      <c r="WGA85" s="6"/>
      <c r="WGB85" s="6"/>
      <c r="WGC85" s="6"/>
      <c r="WGD85" s="6"/>
      <c r="WGE85" s="6"/>
      <c r="WGF85" s="6"/>
      <c r="WGG85" s="6"/>
      <c r="WGH85" s="6"/>
      <c r="WGI85" s="6"/>
      <c r="WGJ85" s="6"/>
      <c r="WGK85" s="6"/>
      <c r="WGL85" s="6"/>
      <c r="WGM85" s="6"/>
      <c r="WGN85" s="6"/>
      <c r="WGO85" s="6"/>
      <c r="WGP85" s="6"/>
      <c r="WGQ85" s="6"/>
      <c r="WGR85" s="6"/>
      <c r="WGS85" s="6"/>
      <c r="WGT85" s="6"/>
      <c r="WGU85" s="6"/>
      <c r="WGV85" s="6"/>
      <c r="WGW85" s="6"/>
      <c r="WGX85" s="6"/>
      <c r="WGY85" s="6"/>
      <c r="WGZ85" s="6"/>
      <c r="WHA85" s="6"/>
      <c r="WHB85" s="6"/>
      <c r="WHC85" s="6"/>
      <c r="WHD85" s="6"/>
      <c r="WHE85" s="6"/>
      <c r="WHF85" s="6"/>
      <c r="WHG85" s="6"/>
      <c r="WHH85" s="6"/>
      <c r="WHI85" s="6"/>
      <c r="WHJ85" s="6"/>
      <c r="WHK85" s="6"/>
      <c r="WHL85" s="6"/>
      <c r="WHM85" s="6"/>
      <c r="WHN85" s="6"/>
      <c r="WHO85" s="6"/>
      <c r="WHP85" s="6"/>
      <c r="WHQ85" s="6"/>
      <c r="WHR85" s="6"/>
      <c r="WHS85" s="6"/>
      <c r="WHT85" s="6"/>
      <c r="WHU85" s="6"/>
      <c r="WHV85" s="6"/>
      <c r="WHW85" s="6"/>
      <c r="WHX85" s="6"/>
      <c r="WHY85" s="6"/>
      <c r="WHZ85" s="6"/>
      <c r="WIA85" s="6"/>
      <c r="WIB85" s="6"/>
      <c r="WIC85" s="6"/>
      <c r="WID85" s="6"/>
      <c r="WIE85" s="6"/>
      <c r="WIF85" s="6"/>
      <c r="WIG85" s="6"/>
      <c r="WIH85" s="6"/>
      <c r="WII85" s="6"/>
      <c r="WIJ85" s="6"/>
      <c r="WIK85" s="6"/>
      <c r="WIL85" s="6"/>
      <c r="WIM85" s="6"/>
      <c r="WIN85" s="6"/>
      <c r="WIO85" s="6"/>
      <c r="WIP85" s="6"/>
      <c r="WIQ85" s="6"/>
      <c r="WIR85" s="6"/>
      <c r="WIS85" s="6"/>
      <c r="WIT85" s="6"/>
      <c r="WIU85" s="6"/>
      <c r="WIV85" s="6"/>
      <c r="WIW85" s="6"/>
      <c r="WIX85" s="6"/>
      <c r="WIY85" s="6"/>
      <c r="WIZ85" s="6"/>
      <c r="WJA85" s="6"/>
      <c r="WJB85" s="6"/>
      <c r="WJC85" s="6"/>
      <c r="WJD85" s="6"/>
      <c r="WJE85" s="6"/>
      <c r="WJF85" s="6"/>
      <c r="WJG85" s="6"/>
      <c r="WJH85" s="6"/>
      <c r="WJI85" s="6"/>
      <c r="WJJ85" s="6"/>
      <c r="WJK85" s="6"/>
      <c r="WJL85" s="6"/>
      <c r="WJM85" s="6"/>
      <c r="WJN85" s="6"/>
      <c r="WJO85" s="6"/>
      <c r="WJP85" s="6"/>
      <c r="WJQ85" s="6"/>
      <c r="WJR85" s="6"/>
      <c r="WJS85" s="6"/>
      <c r="WJT85" s="6"/>
      <c r="WJU85" s="6"/>
      <c r="WJV85" s="6"/>
      <c r="WJW85" s="6"/>
      <c r="WJX85" s="6"/>
      <c r="WJY85" s="6"/>
      <c r="WJZ85" s="6"/>
      <c r="WKA85" s="6"/>
      <c r="WKB85" s="6"/>
      <c r="WKC85" s="6"/>
      <c r="WKD85" s="6"/>
      <c r="WKE85" s="6"/>
      <c r="WKF85" s="6"/>
      <c r="WKG85" s="6"/>
      <c r="WKH85" s="6"/>
      <c r="WKI85" s="6"/>
      <c r="WKJ85" s="6"/>
      <c r="WKK85" s="6"/>
      <c r="WKL85" s="6"/>
      <c r="WKM85" s="6"/>
      <c r="WKN85" s="6"/>
      <c r="WKO85" s="6"/>
      <c r="WKP85" s="6"/>
      <c r="WKQ85" s="6"/>
      <c r="WKR85" s="6"/>
      <c r="WKS85" s="6"/>
      <c r="WKT85" s="6"/>
      <c r="WKU85" s="6"/>
      <c r="WKV85" s="6"/>
      <c r="WKW85" s="6"/>
      <c r="WKX85" s="6"/>
      <c r="WKY85" s="6"/>
      <c r="WKZ85" s="6"/>
      <c r="WLA85" s="6"/>
      <c r="WLB85" s="6"/>
      <c r="WLC85" s="6"/>
      <c r="WLD85" s="6"/>
      <c r="WLE85" s="6"/>
      <c r="WLF85" s="6"/>
      <c r="WLG85" s="6"/>
      <c r="WLH85" s="6"/>
      <c r="WLI85" s="6"/>
      <c r="WLJ85" s="6"/>
      <c r="WLK85" s="6"/>
      <c r="WLL85" s="6"/>
      <c r="WLM85" s="6"/>
      <c r="WLN85" s="6"/>
      <c r="WLO85" s="6"/>
      <c r="WLP85" s="6"/>
      <c r="WLQ85" s="6"/>
      <c r="WLR85" s="6"/>
      <c r="WLS85" s="6"/>
      <c r="WLT85" s="6"/>
      <c r="WLU85" s="6"/>
      <c r="WLV85" s="6"/>
      <c r="WLW85" s="6"/>
      <c r="WLX85" s="6"/>
      <c r="WLY85" s="6"/>
      <c r="WLZ85" s="6"/>
      <c r="WMA85" s="6"/>
      <c r="WMB85" s="6"/>
      <c r="WMC85" s="6"/>
      <c r="WMD85" s="6"/>
      <c r="WME85" s="6"/>
      <c r="WMF85" s="6"/>
      <c r="WMG85" s="6"/>
      <c r="WMH85" s="6"/>
      <c r="WMI85" s="6"/>
      <c r="WMJ85" s="6"/>
      <c r="WMK85" s="6"/>
      <c r="WML85" s="6"/>
      <c r="WMM85" s="6"/>
      <c r="WMN85" s="6"/>
      <c r="WMO85" s="6"/>
      <c r="WMP85" s="6"/>
      <c r="WMQ85" s="6"/>
      <c r="WMR85" s="6"/>
      <c r="WMS85" s="6"/>
      <c r="WMT85" s="6"/>
      <c r="WMU85" s="6"/>
      <c r="WMV85" s="6"/>
      <c r="WMW85" s="6"/>
      <c r="WMX85" s="6"/>
      <c r="WMY85" s="6"/>
      <c r="WMZ85" s="6"/>
      <c r="WNA85" s="6"/>
      <c r="WNB85" s="6"/>
      <c r="WNC85" s="6"/>
      <c r="WND85" s="6"/>
      <c r="WNE85" s="6"/>
      <c r="WNF85" s="6"/>
      <c r="WNG85" s="6"/>
      <c r="WNH85" s="6"/>
      <c r="WNI85" s="6"/>
      <c r="WNJ85" s="6"/>
      <c r="WNK85" s="6"/>
      <c r="WNL85" s="6"/>
      <c r="WNM85" s="6"/>
      <c r="WNN85" s="6"/>
      <c r="WNO85" s="6"/>
      <c r="WNP85" s="6"/>
      <c r="WNQ85" s="6"/>
      <c r="WNR85" s="6"/>
      <c r="WNS85" s="6"/>
      <c r="WNT85" s="6"/>
      <c r="WNU85" s="6"/>
      <c r="WNV85" s="6"/>
      <c r="WNW85" s="6"/>
      <c r="WNX85" s="6"/>
      <c r="WNY85" s="6"/>
      <c r="WNZ85" s="6"/>
      <c r="WOA85" s="6"/>
      <c r="WOB85" s="6"/>
      <c r="WOC85" s="6"/>
      <c r="WOD85" s="6"/>
      <c r="WOE85" s="6"/>
      <c r="WOF85" s="6"/>
      <c r="WOG85" s="6"/>
      <c r="WOH85" s="6"/>
      <c r="WOI85" s="6"/>
      <c r="WOJ85" s="6"/>
      <c r="WOK85" s="6"/>
      <c r="WOL85" s="6"/>
      <c r="WOM85" s="6"/>
      <c r="WON85" s="6"/>
      <c r="WOO85" s="6"/>
      <c r="WOP85" s="6"/>
      <c r="WOQ85" s="6"/>
      <c r="WOR85" s="6"/>
      <c r="WOS85" s="6"/>
      <c r="WOT85" s="6"/>
      <c r="WOU85" s="6"/>
      <c r="WOV85" s="6"/>
      <c r="WOW85" s="6"/>
      <c r="WOX85" s="6"/>
      <c r="WOY85" s="6"/>
      <c r="WOZ85" s="6"/>
      <c r="WPA85" s="6"/>
      <c r="WPB85" s="6"/>
      <c r="WPC85" s="6"/>
      <c r="WPD85" s="6"/>
      <c r="WPE85" s="6"/>
      <c r="WPF85" s="6"/>
      <c r="WPG85" s="6"/>
      <c r="WPH85" s="6"/>
      <c r="WPI85" s="6"/>
      <c r="WPJ85" s="6"/>
      <c r="WPK85" s="6"/>
      <c r="WPL85" s="6"/>
      <c r="WPM85" s="6"/>
      <c r="WPN85" s="6"/>
      <c r="WPO85" s="6"/>
      <c r="WPP85" s="6"/>
      <c r="WPQ85" s="6"/>
      <c r="WPR85" s="6"/>
      <c r="WPS85" s="6"/>
      <c r="WPT85" s="6"/>
      <c r="WPU85" s="6"/>
      <c r="WPV85" s="6"/>
      <c r="WPW85" s="6"/>
      <c r="WPX85" s="6"/>
      <c r="WPY85" s="6"/>
      <c r="WPZ85" s="6"/>
      <c r="WQA85" s="6"/>
      <c r="WQB85" s="6"/>
      <c r="WQC85" s="6"/>
      <c r="WQD85" s="6"/>
      <c r="WQE85" s="6"/>
      <c r="WQF85" s="6"/>
      <c r="WQG85" s="6"/>
      <c r="WQH85" s="6"/>
      <c r="WQI85" s="6"/>
      <c r="WQJ85" s="6"/>
      <c r="WQK85" s="6"/>
      <c r="WQL85" s="6"/>
      <c r="WQM85" s="6"/>
      <c r="WQN85" s="6"/>
      <c r="WQO85" s="6"/>
      <c r="WQP85" s="6"/>
      <c r="WQQ85" s="6"/>
      <c r="WQR85" s="6"/>
      <c r="WQS85" s="6"/>
      <c r="WQT85" s="6"/>
      <c r="WQU85" s="6"/>
      <c r="WQV85" s="6"/>
      <c r="WQW85" s="6"/>
      <c r="WQX85" s="6"/>
      <c r="WQY85" s="6"/>
      <c r="WQZ85" s="6"/>
      <c r="WRA85" s="6"/>
      <c r="WRB85" s="6"/>
      <c r="WRC85" s="6"/>
      <c r="WRD85" s="6"/>
      <c r="WRE85" s="6"/>
      <c r="WRF85" s="6"/>
      <c r="WRG85" s="6"/>
      <c r="WRH85" s="6"/>
      <c r="WRI85" s="6"/>
      <c r="WRJ85" s="6"/>
      <c r="WRK85" s="6"/>
      <c r="WRL85" s="6"/>
      <c r="WRM85" s="6"/>
      <c r="WRN85" s="6"/>
      <c r="WRO85" s="6"/>
      <c r="WRP85" s="6"/>
      <c r="WRQ85" s="6"/>
      <c r="WRR85" s="6"/>
      <c r="WRS85" s="6"/>
      <c r="WRT85" s="6"/>
      <c r="WRU85" s="6"/>
      <c r="WRV85" s="6"/>
      <c r="WRW85" s="6"/>
      <c r="WRX85" s="6"/>
      <c r="WRY85" s="6"/>
      <c r="WRZ85" s="6"/>
      <c r="WSA85" s="6"/>
      <c r="WSB85" s="6"/>
      <c r="WSC85" s="6"/>
      <c r="WSD85" s="6"/>
      <c r="WSE85" s="6"/>
      <c r="WSF85" s="6"/>
      <c r="WSG85" s="6"/>
      <c r="WSH85" s="6"/>
      <c r="WSI85" s="6"/>
      <c r="WSJ85" s="6"/>
      <c r="WSK85" s="6"/>
      <c r="WSL85" s="6"/>
      <c r="WSM85" s="6"/>
      <c r="WSN85" s="6"/>
      <c r="WSO85" s="6"/>
      <c r="WSP85" s="6"/>
      <c r="WSQ85" s="6"/>
      <c r="WSR85" s="6"/>
      <c r="WSS85" s="6"/>
      <c r="WST85" s="6"/>
      <c r="WSU85" s="6"/>
      <c r="WSV85" s="6"/>
      <c r="WSW85" s="6"/>
      <c r="WSX85" s="6"/>
      <c r="WSY85" s="6"/>
      <c r="WSZ85" s="6"/>
      <c r="WTA85" s="6"/>
      <c r="WTB85" s="6"/>
      <c r="WTC85" s="6"/>
      <c r="WTD85" s="6"/>
      <c r="WTE85" s="6"/>
      <c r="WTF85" s="6"/>
      <c r="WTG85" s="6"/>
      <c r="WTH85" s="6"/>
      <c r="WTI85" s="6"/>
      <c r="WTJ85" s="6"/>
      <c r="WTK85" s="6"/>
      <c r="WTL85" s="6"/>
      <c r="WTM85" s="6"/>
      <c r="WTN85" s="6"/>
      <c r="WTO85" s="6"/>
      <c r="WTP85" s="6"/>
      <c r="WTQ85" s="6"/>
      <c r="WTR85" s="6"/>
      <c r="WTS85" s="6"/>
      <c r="WTT85" s="6"/>
      <c r="WTU85" s="6"/>
      <c r="WTV85" s="6"/>
      <c r="WTW85" s="6"/>
      <c r="WTX85" s="6"/>
      <c r="WTY85" s="6"/>
      <c r="WTZ85" s="6"/>
      <c r="WUA85" s="6"/>
      <c r="WUB85" s="6"/>
      <c r="WUC85" s="6"/>
      <c r="WUD85" s="6"/>
      <c r="WUE85" s="6"/>
      <c r="WUF85" s="6"/>
      <c r="WUG85" s="6"/>
      <c r="WUH85" s="6"/>
      <c r="WUI85" s="6"/>
      <c r="WUJ85" s="6"/>
      <c r="WUK85" s="6"/>
      <c r="WUL85" s="6"/>
      <c r="WUM85" s="6"/>
      <c r="WUN85" s="6"/>
      <c r="WUO85" s="6"/>
      <c r="WUP85" s="6"/>
      <c r="WUQ85" s="6"/>
      <c r="WUR85" s="6"/>
      <c r="WUS85" s="6"/>
      <c r="WUT85" s="6"/>
      <c r="WUU85" s="6"/>
      <c r="WUV85" s="6"/>
      <c r="WUW85" s="6"/>
      <c r="WUX85" s="6"/>
      <c r="WUY85" s="6"/>
      <c r="WUZ85" s="6"/>
      <c r="WVA85" s="6"/>
      <c r="WVB85" s="6"/>
      <c r="WVC85" s="6"/>
      <c r="WVD85" s="6"/>
      <c r="WVE85" s="6"/>
      <c r="WVF85" s="6"/>
      <c r="WVG85" s="6"/>
      <c r="WVH85" s="6"/>
      <c r="WVI85" s="6"/>
      <c r="WVJ85" s="6"/>
      <c r="WVK85" s="6"/>
      <c r="WVL85" s="6"/>
      <c r="WVM85" s="6"/>
      <c r="WVN85" s="6"/>
      <c r="WVO85" s="6"/>
      <c r="WVP85" s="6"/>
      <c r="WVQ85" s="6"/>
      <c r="WVR85" s="6"/>
      <c r="WVS85" s="6"/>
      <c r="WVT85" s="6"/>
      <c r="WVU85" s="6"/>
      <c r="WVV85" s="6"/>
      <c r="WVW85" s="6"/>
      <c r="WVX85" s="6"/>
      <c r="WVY85" s="6"/>
      <c r="WVZ85" s="6"/>
      <c r="WWA85" s="6"/>
      <c r="WWB85" s="6"/>
      <c r="WWC85" s="6"/>
      <c r="WWD85" s="6"/>
      <c r="WWE85" s="6"/>
      <c r="WWF85" s="6"/>
      <c r="WWG85" s="6"/>
      <c r="WWH85" s="6"/>
      <c r="WWI85" s="6"/>
      <c r="WWJ85" s="6"/>
      <c r="WWK85" s="6"/>
      <c r="WWL85" s="6"/>
      <c r="WWM85" s="6"/>
      <c r="WWN85" s="6"/>
      <c r="WWO85" s="6"/>
      <c r="WWP85" s="6"/>
      <c r="WWQ85" s="6"/>
      <c r="WWR85" s="6"/>
      <c r="WWS85" s="6"/>
      <c r="WWT85" s="6"/>
      <c r="WWU85" s="6"/>
      <c r="WWV85" s="6"/>
      <c r="WWW85" s="6"/>
      <c r="WWX85" s="6"/>
      <c r="WWY85" s="6"/>
      <c r="WWZ85" s="6"/>
      <c r="WXA85" s="6"/>
      <c r="WXB85" s="6"/>
      <c r="WXC85" s="6"/>
      <c r="WXD85" s="6"/>
      <c r="WXE85" s="6"/>
      <c r="WXF85" s="6"/>
      <c r="WXG85" s="6"/>
      <c r="WXH85" s="6"/>
      <c r="WXI85" s="6"/>
      <c r="WXJ85" s="6"/>
      <c r="WXK85" s="6"/>
      <c r="WXL85" s="6"/>
      <c r="WXM85" s="6"/>
      <c r="WXN85" s="6"/>
      <c r="WXO85" s="6"/>
      <c r="WXP85" s="6"/>
      <c r="WXQ85" s="6"/>
      <c r="WXR85" s="6"/>
      <c r="WXS85" s="6"/>
      <c r="WXT85" s="6"/>
      <c r="WXU85" s="6"/>
      <c r="WXV85" s="6"/>
      <c r="WXW85" s="6"/>
      <c r="WXX85" s="6"/>
      <c r="WXY85" s="6"/>
      <c r="WXZ85" s="6"/>
      <c r="WYA85" s="6"/>
      <c r="WYB85" s="6"/>
      <c r="WYC85" s="6"/>
      <c r="WYD85" s="6"/>
      <c r="WYE85" s="6"/>
      <c r="WYF85" s="6"/>
      <c r="WYG85" s="6"/>
      <c r="WYH85" s="6"/>
      <c r="WYI85" s="6"/>
      <c r="WYJ85" s="6"/>
      <c r="WYK85" s="6"/>
      <c r="WYL85" s="6"/>
      <c r="WYM85" s="6"/>
      <c r="WYN85" s="6"/>
      <c r="WYO85" s="6"/>
      <c r="WYP85" s="6"/>
      <c r="WYQ85" s="6"/>
      <c r="WYR85" s="6"/>
      <c r="WYS85" s="6"/>
      <c r="WYT85" s="6"/>
      <c r="WYU85" s="6"/>
      <c r="WYV85" s="6"/>
      <c r="WYW85" s="6"/>
      <c r="WYX85" s="6"/>
      <c r="WYY85" s="6"/>
      <c r="WYZ85" s="6"/>
      <c r="WZA85" s="6"/>
      <c r="WZB85" s="6"/>
      <c r="WZC85" s="6"/>
      <c r="WZD85" s="6"/>
      <c r="WZE85" s="6"/>
      <c r="WZF85" s="6"/>
      <c r="WZG85" s="6"/>
      <c r="WZH85" s="6"/>
      <c r="WZI85" s="6"/>
      <c r="WZJ85" s="6"/>
      <c r="WZK85" s="6"/>
      <c r="WZL85" s="6"/>
      <c r="WZM85" s="6"/>
      <c r="WZN85" s="6"/>
      <c r="WZO85" s="6"/>
      <c r="WZP85" s="6"/>
      <c r="WZQ85" s="6"/>
      <c r="WZR85" s="6"/>
      <c r="WZS85" s="6"/>
      <c r="WZT85" s="6"/>
      <c r="WZU85" s="6"/>
      <c r="WZV85" s="6"/>
      <c r="WZW85" s="6"/>
      <c r="WZX85" s="6"/>
      <c r="WZY85" s="6"/>
      <c r="WZZ85" s="6"/>
      <c r="XAA85" s="6"/>
      <c r="XAB85" s="6"/>
      <c r="XAC85" s="6"/>
      <c r="XAD85" s="6"/>
      <c r="XAE85" s="6"/>
      <c r="XAF85" s="6"/>
      <c r="XAG85" s="6"/>
      <c r="XAH85" s="6"/>
      <c r="XAI85" s="6"/>
      <c r="XAJ85" s="6"/>
      <c r="XAK85" s="6"/>
      <c r="XAL85" s="6"/>
      <c r="XAM85" s="6"/>
      <c r="XAN85" s="6"/>
      <c r="XAO85" s="6"/>
      <c r="XAP85" s="6"/>
      <c r="XAQ85" s="6"/>
      <c r="XAR85" s="6"/>
      <c r="XAS85" s="6"/>
      <c r="XAT85" s="6"/>
      <c r="XAU85" s="6"/>
      <c r="XAV85" s="6"/>
      <c r="XAW85" s="6"/>
      <c r="XAX85" s="6"/>
      <c r="XAY85" s="6"/>
      <c r="XAZ85" s="6"/>
      <c r="XBA85" s="6"/>
      <c r="XBB85" s="6"/>
      <c r="XBC85" s="6"/>
      <c r="XBD85" s="6"/>
      <c r="XBE85" s="6"/>
      <c r="XBF85" s="6"/>
      <c r="XBG85" s="6"/>
      <c r="XBH85" s="6"/>
      <c r="XBI85" s="6"/>
      <c r="XBJ85" s="6"/>
      <c r="XBK85" s="6"/>
      <c r="XBL85" s="6"/>
      <c r="XBM85" s="6"/>
      <c r="XBN85" s="6"/>
      <c r="XBO85" s="6"/>
      <c r="XBP85" s="6"/>
      <c r="XBQ85" s="6"/>
      <c r="XBR85" s="6"/>
      <c r="XBS85" s="6"/>
      <c r="XBT85" s="6"/>
      <c r="XBU85" s="6"/>
      <c r="XBV85" s="6"/>
      <c r="XBW85" s="6"/>
      <c r="XBX85" s="6"/>
      <c r="XBY85" s="6"/>
      <c r="XBZ85" s="6"/>
      <c r="XCA85" s="6"/>
      <c r="XCB85" s="6"/>
      <c r="XCC85" s="6"/>
      <c r="XCD85" s="6"/>
      <c r="XCE85" s="6"/>
      <c r="XCF85" s="6"/>
      <c r="XCG85" s="6"/>
      <c r="XCH85" s="6"/>
      <c r="XCI85" s="6"/>
      <c r="XCJ85" s="6"/>
      <c r="XCK85" s="6"/>
      <c r="XCL85" s="6"/>
      <c r="XCM85" s="6"/>
      <c r="XCN85" s="6"/>
      <c r="XCO85" s="6"/>
      <c r="XCP85" s="6"/>
      <c r="XCQ85" s="6"/>
      <c r="XCR85" s="6"/>
      <c r="XCS85" s="6"/>
      <c r="XCT85" s="6"/>
      <c r="XCU85" s="6"/>
      <c r="XCV85" s="6"/>
      <c r="XCW85" s="6"/>
    </row>
    <row r="86" spans="1:16325" s="153" customFormat="1" hidden="1" x14ac:dyDescent="0.15">
      <c r="A86" s="6"/>
      <c r="B86" s="70" t="s">
        <v>99</v>
      </c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160">
        <v>200</v>
      </c>
      <c r="AT86" s="160">
        <v>275</v>
      </c>
      <c r="AU86" s="161">
        <f>SUM(AQ86:AT86)</f>
        <v>475</v>
      </c>
      <c r="AV86" s="160">
        <v>290</v>
      </c>
      <c r="AW86" s="160">
        <v>300</v>
      </c>
      <c r="AX86" s="160">
        <v>310</v>
      </c>
      <c r="AY86" s="160">
        <v>310</v>
      </c>
      <c r="AZ86" s="161">
        <f>SUM(AV86:AY86)</f>
        <v>1210</v>
      </c>
      <c r="BA86" s="6"/>
      <c r="BB86" s="6"/>
      <c r="BC86" s="6"/>
      <c r="BD86" s="6"/>
      <c r="BE86" s="6" t="e">
        <f>BE85-AZ85-AZ86</f>
        <v>#REF!</v>
      </c>
      <c r="BF86" s="6"/>
      <c r="BG86" s="6"/>
      <c r="BH86" s="6"/>
      <c r="BI86" s="6"/>
      <c r="BJ86" s="6" t="s">
        <v>100</v>
      </c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  <c r="WVT86" s="6"/>
      <c r="WVU86" s="6"/>
      <c r="WVV86" s="6"/>
      <c r="WVW86" s="6"/>
      <c r="WVX86" s="6"/>
      <c r="WVY86" s="6"/>
      <c r="WVZ86" s="6"/>
      <c r="WWA86" s="6"/>
      <c r="WWB86" s="6"/>
      <c r="WWC86" s="6"/>
      <c r="WWD86" s="6"/>
      <c r="WWE86" s="6"/>
      <c r="WWF86" s="6"/>
      <c r="WWG86" s="6"/>
      <c r="WWH86" s="6"/>
      <c r="WWI86" s="6"/>
      <c r="WWJ86" s="6"/>
      <c r="WWK86" s="6"/>
      <c r="WWL86" s="6"/>
      <c r="WWM86" s="6"/>
      <c r="WWN86" s="6"/>
      <c r="WWO86" s="6"/>
      <c r="WWP86" s="6"/>
      <c r="WWQ86" s="6"/>
      <c r="WWR86" s="6"/>
      <c r="WWS86" s="6"/>
      <c r="WWT86" s="6"/>
      <c r="WWU86" s="6"/>
      <c r="WWV86" s="6"/>
      <c r="WWW86" s="6"/>
      <c r="WWX86" s="6"/>
      <c r="WWY86" s="6"/>
      <c r="WWZ86" s="6"/>
      <c r="WXA86" s="6"/>
      <c r="WXB86" s="6"/>
      <c r="WXC86" s="6"/>
      <c r="WXD86" s="6"/>
      <c r="WXE86" s="6"/>
      <c r="WXF86" s="6"/>
      <c r="WXG86" s="6"/>
      <c r="WXH86" s="6"/>
      <c r="WXI86" s="6"/>
      <c r="WXJ86" s="6"/>
      <c r="WXK86" s="6"/>
      <c r="WXL86" s="6"/>
      <c r="WXM86" s="6"/>
      <c r="WXN86" s="6"/>
      <c r="WXO86" s="6"/>
      <c r="WXP86" s="6"/>
      <c r="WXQ86" s="6"/>
      <c r="WXR86" s="6"/>
      <c r="WXS86" s="6"/>
      <c r="WXT86" s="6"/>
      <c r="WXU86" s="6"/>
      <c r="WXV86" s="6"/>
      <c r="WXW86" s="6"/>
      <c r="WXX86" s="6"/>
      <c r="WXY86" s="6"/>
      <c r="WXZ86" s="6"/>
      <c r="WYA86" s="6"/>
      <c r="WYB86" s="6"/>
      <c r="WYC86" s="6"/>
      <c r="WYD86" s="6"/>
      <c r="WYE86" s="6"/>
      <c r="WYF86" s="6"/>
      <c r="WYG86" s="6"/>
      <c r="WYH86" s="6"/>
      <c r="WYI86" s="6"/>
      <c r="WYJ86" s="6"/>
      <c r="WYK86" s="6"/>
      <c r="WYL86" s="6"/>
      <c r="WYM86" s="6"/>
      <c r="WYN86" s="6"/>
      <c r="WYO86" s="6"/>
      <c r="WYP86" s="6"/>
      <c r="WYQ86" s="6"/>
      <c r="WYR86" s="6"/>
      <c r="WYS86" s="6"/>
      <c r="WYT86" s="6"/>
      <c r="WYU86" s="6"/>
      <c r="WYV86" s="6"/>
      <c r="WYW86" s="6"/>
      <c r="WYX86" s="6"/>
      <c r="WYY86" s="6"/>
      <c r="WYZ86" s="6"/>
      <c r="WZA86" s="6"/>
      <c r="WZB86" s="6"/>
      <c r="WZC86" s="6"/>
      <c r="WZD86" s="6"/>
      <c r="WZE86" s="6"/>
      <c r="WZF86" s="6"/>
      <c r="WZG86" s="6"/>
      <c r="WZH86" s="6"/>
      <c r="WZI86" s="6"/>
      <c r="WZJ86" s="6"/>
      <c r="WZK86" s="6"/>
      <c r="WZL86" s="6"/>
      <c r="WZM86" s="6"/>
      <c r="WZN86" s="6"/>
      <c r="WZO86" s="6"/>
      <c r="WZP86" s="6"/>
      <c r="WZQ86" s="6"/>
      <c r="WZR86" s="6"/>
      <c r="WZS86" s="6"/>
      <c r="WZT86" s="6"/>
      <c r="WZU86" s="6"/>
      <c r="WZV86" s="6"/>
      <c r="WZW86" s="6"/>
      <c r="WZX86" s="6"/>
      <c r="WZY86" s="6"/>
      <c r="WZZ86" s="6"/>
      <c r="XAA86" s="6"/>
      <c r="XAB86" s="6"/>
      <c r="XAC86" s="6"/>
      <c r="XAD86" s="6"/>
      <c r="XAE86" s="6"/>
      <c r="XAF86" s="6"/>
      <c r="XAG86" s="6"/>
      <c r="XAH86" s="6"/>
      <c r="XAI86" s="6"/>
      <c r="XAJ86" s="6"/>
      <c r="XAK86" s="6"/>
      <c r="XAL86" s="6"/>
      <c r="XAM86" s="6"/>
      <c r="XAN86" s="6"/>
      <c r="XAO86" s="6"/>
      <c r="XAP86" s="6"/>
      <c r="XAQ86" s="6"/>
      <c r="XAR86" s="6"/>
      <c r="XAS86" s="6"/>
      <c r="XAT86" s="6"/>
      <c r="XAU86" s="6"/>
      <c r="XAV86" s="6"/>
      <c r="XAW86" s="6"/>
      <c r="XAX86" s="6"/>
      <c r="XAY86" s="6"/>
      <c r="XAZ86" s="6"/>
      <c r="XBA86" s="6"/>
      <c r="XBB86" s="6"/>
      <c r="XBC86" s="6"/>
      <c r="XBD86" s="6"/>
      <c r="XBE86" s="6"/>
      <c r="XBF86" s="6"/>
      <c r="XBG86" s="6"/>
      <c r="XBH86" s="6"/>
      <c r="XBI86" s="6"/>
      <c r="XBJ86" s="6"/>
      <c r="XBK86" s="6"/>
      <c r="XBL86" s="6"/>
      <c r="XBM86" s="6"/>
      <c r="XBN86" s="6"/>
      <c r="XBO86" s="6"/>
      <c r="XBP86" s="6"/>
      <c r="XBQ86" s="6"/>
      <c r="XBR86" s="6"/>
      <c r="XBS86" s="6"/>
      <c r="XBT86" s="6"/>
      <c r="XBU86" s="6"/>
      <c r="XBV86" s="6"/>
      <c r="XBW86" s="6"/>
      <c r="XBX86" s="6"/>
      <c r="XBY86" s="6"/>
      <c r="XBZ86" s="6"/>
      <c r="XCA86" s="6"/>
      <c r="XCB86" s="6"/>
      <c r="XCC86" s="6"/>
      <c r="XCD86" s="6"/>
      <c r="XCE86" s="6"/>
      <c r="XCF86" s="6"/>
      <c r="XCG86" s="6"/>
      <c r="XCH86" s="6"/>
      <c r="XCI86" s="6"/>
      <c r="XCJ86" s="6"/>
      <c r="XCK86" s="6"/>
      <c r="XCL86" s="6"/>
      <c r="XCM86" s="6"/>
      <c r="XCN86" s="6"/>
      <c r="XCO86" s="6"/>
      <c r="XCP86" s="6"/>
      <c r="XCQ86" s="6"/>
      <c r="XCR86" s="6"/>
      <c r="XCS86" s="6"/>
      <c r="XCT86" s="6"/>
      <c r="XCU86" s="6"/>
      <c r="XCV86" s="6"/>
      <c r="XCW86" s="6"/>
    </row>
    <row r="87" spans="1:16325" s="153" customFormat="1" hidden="1" x14ac:dyDescent="0.15">
      <c r="A87" s="6"/>
      <c r="B87" s="162" t="s">
        <v>93</v>
      </c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143">
        <v>0</v>
      </c>
      <c r="AT87" s="143">
        <v>5</v>
      </c>
      <c r="AU87" s="139">
        <f>SUM(AQ87:AT87)</f>
        <v>5</v>
      </c>
      <c r="AV87" s="143">
        <v>5</v>
      </c>
      <c r="AW87" s="143">
        <v>10</v>
      </c>
      <c r="AX87" s="143">
        <v>20</v>
      </c>
      <c r="AY87" s="143">
        <v>25</v>
      </c>
      <c r="AZ87" s="139">
        <f>SUM(AV87:AY87)</f>
        <v>60</v>
      </c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  <c r="WVT87" s="6"/>
      <c r="WVU87" s="6"/>
      <c r="WVV87" s="6"/>
      <c r="WVW87" s="6"/>
      <c r="WVX87" s="6"/>
      <c r="WVY87" s="6"/>
      <c r="WVZ87" s="6"/>
      <c r="WWA87" s="6"/>
      <c r="WWB87" s="6"/>
      <c r="WWC87" s="6"/>
      <c r="WWD87" s="6"/>
      <c r="WWE87" s="6"/>
      <c r="WWF87" s="6"/>
      <c r="WWG87" s="6"/>
      <c r="WWH87" s="6"/>
      <c r="WWI87" s="6"/>
      <c r="WWJ87" s="6"/>
      <c r="WWK87" s="6"/>
      <c r="WWL87" s="6"/>
      <c r="WWM87" s="6"/>
      <c r="WWN87" s="6"/>
      <c r="WWO87" s="6"/>
      <c r="WWP87" s="6"/>
      <c r="WWQ87" s="6"/>
      <c r="WWR87" s="6"/>
      <c r="WWS87" s="6"/>
      <c r="WWT87" s="6"/>
      <c r="WWU87" s="6"/>
      <c r="WWV87" s="6"/>
      <c r="WWW87" s="6"/>
      <c r="WWX87" s="6"/>
      <c r="WWY87" s="6"/>
      <c r="WWZ87" s="6"/>
      <c r="WXA87" s="6"/>
      <c r="WXB87" s="6"/>
      <c r="WXC87" s="6"/>
      <c r="WXD87" s="6"/>
      <c r="WXE87" s="6"/>
      <c r="WXF87" s="6"/>
      <c r="WXG87" s="6"/>
      <c r="WXH87" s="6"/>
      <c r="WXI87" s="6"/>
      <c r="WXJ87" s="6"/>
      <c r="WXK87" s="6"/>
      <c r="WXL87" s="6"/>
      <c r="WXM87" s="6"/>
      <c r="WXN87" s="6"/>
      <c r="WXO87" s="6"/>
      <c r="WXP87" s="6"/>
      <c r="WXQ87" s="6"/>
      <c r="WXR87" s="6"/>
      <c r="WXS87" s="6"/>
      <c r="WXT87" s="6"/>
      <c r="WXU87" s="6"/>
      <c r="WXV87" s="6"/>
      <c r="WXW87" s="6"/>
      <c r="WXX87" s="6"/>
      <c r="WXY87" s="6"/>
      <c r="WXZ87" s="6"/>
      <c r="WYA87" s="6"/>
      <c r="WYB87" s="6"/>
      <c r="WYC87" s="6"/>
      <c r="WYD87" s="6"/>
      <c r="WYE87" s="6"/>
      <c r="WYF87" s="6"/>
      <c r="WYG87" s="6"/>
      <c r="WYH87" s="6"/>
      <c r="WYI87" s="6"/>
      <c r="WYJ87" s="6"/>
      <c r="WYK87" s="6"/>
      <c r="WYL87" s="6"/>
      <c r="WYM87" s="6"/>
      <c r="WYN87" s="6"/>
      <c r="WYO87" s="6"/>
      <c r="WYP87" s="6"/>
      <c r="WYQ87" s="6"/>
      <c r="WYR87" s="6"/>
      <c r="WYS87" s="6"/>
      <c r="WYT87" s="6"/>
      <c r="WYU87" s="6"/>
      <c r="WYV87" s="6"/>
      <c r="WYW87" s="6"/>
      <c r="WYX87" s="6"/>
      <c r="WYY87" s="6"/>
      <c r="WYZ87" s="6"/>
      <c r="WZA87" s="6"/>
      <c r="WZB87" s="6"/>
      <c r="WZC87" s="6"/>
      <c r="WZD87" s="6"/>
      <c r="WZE87" s="6"/>
      <c r="WZF87" s="6"/>
      <c r="WZG87" s="6"/>
      <c r="WZH87" s="6"/>
      <c r="WZI87" s="6"/>
      <c r="WZJ87" s="6"/>
      <c r="WZK87" s="6"/>
      <c r="WZL87" s="6"/>
      <c r="WZM87" s="6"/>
      <c r="WZN87" s="6"/>
      <c r="WZO87" s="6"/>
      <c r="WZP87" s="6"/>
      <c r="WZQ87" s="6"/>
      <c r="WZR87" s="6"/>
      <c r="WZS87" s="6"/>
      <c r="WZT87" s="6"/>
      <c r="WZU87" s="6"/>
      <c r="WZV87" s="6"/>
      <c r="WZW87" s="6"/>
      <c r="WZX87" s="6"/>
      <c r="WZY87" s="6"/>
      <c r="WZZ87" s="6"/>
      <c r="XAA87" s="6"/>
      <c r="XAB87" s="6"/>
      <c r="XAC87" s="6"/>
      <c r="XAD87" s="6"/>
      <c r="XAE87" s="6"/>
      <c r="XAF87" s="6"/>
      <c r="XAG87" s="6"/>
      <c r="XAH87" s="6"/>
      <c r="XAI87" s="6"/>
      <c r="XAJ87" s="6"/>
      <c r="XAK87" s="6"/>
      <c r="XAL87" s="6"/>
      <c r="XAM87" s="6"/>
      <c r="XAN87" s="6"/>
      <c r="XAO87" s="6"/>
      <c r="XAP87" s="6"/>
      <c r="XAQ87" s="6"/>
      <c r="XAR87" s="6"/>
      <c r="XAS87" s="6"/>
      <c r="XAT87" s="6"/>
      <c r="XAU87" s="6"/>
      <c r="XAV87" s="6"/>
      <c r="XAW87" s="6"/>
      <c r="XAX87" s="6"/>
      <c r="XAY87" s="6"/>
      <c r="XAZ87" s="6"/>
      <c r="XBA87" s="6"/>
      <c r="XBB87" s="6"/>
      <c r="XBC87" s="6"/>
      <c r="XBD87" s="6"/>
      <c r="XBE87" s="6"/>
      <c r="XBF87" s="6"/>
      <c r="XBG87" s="6"/>
      <c r="XBH87" s="6"/>
      <c r="XBI87" s="6"/>
      <c r="XBJ87" s="6"/>
      <c r="XBK87" s="6"/>
      <c r="XBL87" s="6"/>
      <c r="XBM87" s="6"/>
      <c r="XBN87" s="6"/>
      <c r="XBO87" s="6"/>
      <c r="XBP87" s="6"/>
      <c r="XBQ87" s="6"/>
      <c r="XBR87" s="6"/>
      <c r="XBS87" s="6"/>
      <c r="XBT87" s="6"/>
      <c r="XBU87" s="6"/>
      <c r="XBV87" s="6"/>
      <c r="XBW87" s="6"/>
      <c r="XBX87" s="6"/>
      <c r="XBY87" s="6"/>
      <c r="XBZ87" s="6"/>
      <c r="XCA87" s="6"/>
      <c r="XCB87" s="6"/>
      <c r="XCC87" s="6"/>
      <c r="XCD87" s="6"/>
      <c r="XCE87" s="6"/>
      <c r="XCF87" s="6"/>
      <c r="XCG87" s="6"/>
      <c r="XCH87" s="6"/>
      <c r="XCI87" s="6"/>
      <c r="XCJ87" s="6"/>
      <c r="XCK87" s="6"/>
      <c r="XCL87" s="6"/>
      <c r="XCM87" s="6"/>
      <c r="XCN87" s="6"/>
      <c r="XCO87" s="6"/>
      <c r="XCP87" s="6"/>
      <c r="XCQ87" s="6"/>
      <c r="XCR87" s="6"/>
      <c r="XCS87" s="6"/>
      <c r="XCT87" s="6"/>
      <c r="XCU87" s="6"/>
      <c r="XCV87" s="6"/>
      <c r="XCW87" s="6"/>
    </row>
    <row r="88" spans="1:16325" s="164" customFormat="1" ht="15" hidden="1" x14ac:dyDescent="0.3">
      <c r="A88" s="163"/>
      <c r="B88" s="147" t="s">
        <v>94</v>
      </c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49">
        <v>40</v>
      </c>
      <c r="AT88" s="149">
        <v>80</v>
      </c>
      <c r="AU88" s="150">
        <f>SUM(AQ88:AT88)</f>
        <v>120</v>
      </c>
      <c r="AV88" s="149">
        <v>100</v>
      </c>
      <c r="AW88" s="149">
        <v>120</v>
      </c>
      <c r="AX88" s="149">
        <v>175</v>
      </c>
      <c r="AY88" s="149">
        <v>200</v>
      </c>
      <c r="AZ88" s="150">
        <f>SUM(AV88:AY88)</f>
        <v>595</v>
      </c>
      <c r="BA88" s="163"/>
      <c r="BB88" s="163"/>
      <c r="BC88" s="163"/>
      <c r="BD88" s="163"/>
      <c r="BE88" s="163"/>
      <c r="BF88" s="163"/>
      <c r="BG88" s="163"/>
      <c r="BH88" s="163"/>
      <c r="BI88" s="163"/>
      <c r="BJ88" s="163"/>
      <c r="BK88" s="163"/>
      <c r="BL88" s="163"/>
      <c r="BM88" s="163"/>
      <c r="BN88" s="163"/>
      <c r="BO88" s="163"/>
      <c r="BP88" s="163"/>
      <c r="BQ88" s="163"/>
      <c r="BR88" s="163"/>
      <c r="BS88" s="163"/>
      <c r="BT88" s="163"/>
      <c r="BU88" s="163"/>
      <c r="BV88" s="163"/>
      <c r="BW88" s="163"/>
      <c r="BX88" s="163"/>
      <c r="BY88" s="163"/>
      <c r="BZ88" s="163"/>
      <c r="CA88" s="163"/>
      <c r="CB88" s="163"/>
      <c r="CC88" s="163"/>
      <c r="CD88" s="163"/>
      <c r="CE88" s="163"/>
      <c r="CF88" s="163"/>
      <c r="CG88" s="163"/>
      <c r="CH88" s="163"/>
      <c r="CI88" s="163"/>
      <c r="CJ88" s="163"/>
      <c r="CK88" s="163"/>
      <c r="CL88" s="163"/>
      <c r="CM88" s="163"/>
      <c r="CN88" s="163"/>
      <c r="CO88" s="163"/>
      <c r="CP88" s="163"/>
      <c r="CQ88" s="163"/>
      <c r="CR88" s="163"/>
      <c r="CS88" s="163"/>
      <c r="CT88" s="163"/>
      <c r="CU88" s="163"/>
      <c r="CV88" s="163"/>
      <c r="CW88" s="163"/>
      <c r="CX88" s="163"/>
      <c r="CY88" s="163"/>
      <c r="CZ88" s="163"/>
      <c r="DA88" s="163"/>
      <c r="DB88" s="163"/>
      <c r="DC88" s="163"/>
      <c r="DD88" s="163"/>
      <c r="DE88" s="163"/>
      <c r="DF88" s="163"/>
      <c r="DG88" s="163"/>
      <c r="DH88" s="163"/>
      <c r="DI88" s="163"/>
      <c r="DJ88" s="163"/>
      <c r="DK88" s="163"/>
      <c r="DL88" s="163"/>
      <c r="DM88" s="163"/>
      <c r="DN88" s="163"/>
      <c r="DO88" s="163"/>
      <c r="DP88" s="163"/>
      <c r="DQ88" s="163"/>
      <c r="DR88" s="163"/>
      <c r="DS88" s="163"/>
      <c r="DT88" s="163"/>
      <c r="DU88" s="163"/>
      <c r="DV88" s="163"/>
      <c r="DW88" s="163"/>
      <c r="DX88" s="163"/>
      <c r="DY88" s="163"/>
      <c r="DZ88" s="163"/>
      <c r="EA88" s="163"/>
      <c r="EB88" s="163"/>
      <c r="EC88" s="163"/>
      <c r="ED88" s="163"/>
      <c r="EE88" s="163"/>
      <c r="EF88" s="163"/>
      <c r="EG88" s="163"/>
      <c r="EH88" s="163"/>
      <c r="EI88" s="163"/>
      <c r="EJ88" s="163"/>
      <c r="EK88" s="163"/>
      <c r="EL88" s="163"/>
      <c r="EM88" s="163"/>
      <c r="EN88" s="163"/>
      <c r="EO88" s="163"/>
      <c r="EP88" s="163"/>
      <c r="EQ88" s="163"/>
      <c r="ER88" s="163"/>
      <c r="ES88" s="163"/>
      <c r="ET88" s="163"/>
      <c r="EU88" s="163"/>
      <c r="EV88" s="163"/>
      <c r="EW88" s="163"/>
      <c r="EX88" s="163"/>
      <c r="EY88" s="163"/>
      <c r="EZ88" s="163"/>
      <c r="FA88" s="163"/>
      <c r="FB88" s="163"/>
      <c r="FC88" s="163"/>
      <c r="FD88" s="163"/>
      <c r="FE88" s="163"/>
      <c r="FF88" s="163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  <c r="FQ88" s="163"/>
      <c r="FR88" s="163"/>
      <c r="FS88" s="163"/>
      <c r="FT88" s="163"/>
      <c r="FU88" s="163"/>
      <c r="FV88" s="163"/>
      <c r="FW88" s="163"/>
      <c r="FX88" s="163"/>
      <c r="FY88" s="163"/>
      <c r="FZ88" s="163"/>
      <c r="GA88" s="163"/>
      <c r="GB88" s="163"/>
      <c r="GC88" s="163"/>
      <c r="GD88" s="163"/>
      <c r="GE88" s="163"/>
      <c r="GF88" s="163"/>
      <c r="GG88" s="163"/>
      <c r="GH88" s="163"/>
      <c r="GI88" s="163"/>
      <c r="GJ88" s="163"/>
      <c r="GK88" s="163"/>
      <c r="GL88" s="163"/>
      <c r="GM88" s="163"/>
      <c r="GN88" s="163"/>
      <c r="GO88" s="163"/>
      <c r="GP88" s="163"/>
      <c r="GQ88" s="163"/>
      <c r="GR88" s="163"/>
      <c r="GS88" s="163"/>
      <c r="GT88" s="163"/>
      <c r="GU88" s="163"/>
      <c r="GV88" s="163"/>
      <c r="GW88" s="163"/>
      <c r="GX88" s="163"/>
      <c r="GY88" s="163"/>
      <c r="GZ88" s="163"/>
      <c r="HA88" s="163"/>
      <c r="HB88" s="163"/>
      <c r="HC88" s="163"/>
      <c r="HD88" s="163"/>
      <c r="HE88" s="163"/>
      <c r="HF88" s="163"/>
      <c r="HG88" s="163"/>
      <c r="HH88" s="163"/>
      <c r="HI88" s="163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63"/>
      <c r="IU88" s="163"/>
      <c r="IV88" s="163"/>
      <c r="IW88" s="163"/>
      <c r="IX88" s="163"/>
      <c r="IY88" s="163"/>
      <c r="IZ88" s="163"/>
      <c r="JA88" s="163"/>
      <c r="JB88" s="163"/>
      <c r="JC88" s="163"/>
      <c r="JD88" s="163"/>
      <c r="JE88" s="163"/>
      <c r="JF88" s="163"/>
      <c r="JG88" s="163"/>
      <c r="JH88" s="163"/>
      <c r="JI88" s="163"/>
      <c r="JJ88" s="163"/>
      <c r="JK88" s="163"/>
      <c r="JL88" s="163"/>
      <c r="JM88" s="163"/>
      <c r="JN88" s="163"/>
      <c r="JO88" s="163"/>
      <c r="JP88" s="163"/>
      <c r="JQ88" s="163"/>
      <c r="JR88" s="163"/>
      <c r="JS88" s="163"/>
      <c r="JT88" s="163"/>
      <c r="JU88" s="163"/>
      <c r="JV88" s="163"/>
      <c r="JW88" s="163"/>
      <c r="JX88" s="163"/>
      <c r="JY88" s="163"/>
      <c r="JZ88" s="163"/>
      <c r="KA88" s="163"/>
      <c r="KB88" s="163"/>
      <c r="KC88" s="163"/>
      <c r="KD88" s="163"/>
      <c r="KE88" s="163"/>
      <c r="KF88" s="163"/>
      <c r="KG88" s="163"/>
      <c r="KH88" s="163"/>
      <c r="KI88" s="163"/>
      <c r="KJ88" s="163"/>
      <c r="KK88" s="163"/>
      <c r="KL88" s="163"/>
      <c r="KM88" s="163"/>
      <c r="KN88" s="163"/>
      <c r="KO88" s="163"/>
      <c r="KP88" s="163"/>
      <c r="KQ88" s="163"/>
      <c r="KR88" s="163"/>
      <c r="KS88" s="163"/>
      <c r="KT88" s="163"/>
      <c r="KU88" s="163"/>
      <c r="KV88" s="163"/>
      <c r="KW88" s="163"/>
      <c r="KX88" s="163"/>
      <c r="KY88" s="163"/>
      <c r="KZ88" s="163"/>
      <c r="LA88" s="163"/>
      <c r="LB88" s="163"/>
      <c r="LC88" s="163"/>
      <c r="LD88" s="163"/>
      <c r="LE88" s="163"/>
      <c r="LF88" s="163"/>
      <c r="LG88" s="163"/>
      <c r="LH88" s="163"/>
      <c r="LI88" s="163"/>
      <c r="LJ88" s="163"/>
      <c r="LK88" s="163"/>
      <c r="LL88" s="163"/>
      <c r="LM88" s="163"/>
      <c r="LN88" s="163"/>
      <c r="LO88" s="163"/>
      <c r="LP88" s="163"/>
      <c r="LQ88" s="163"/>
      <c r="LR88" s="163"/>
      <c r="LS88" s="163"/>
      <c r="LT88" s="163"/>
      <c r="LU88" s="163"/>
      <c r="LV88" s="163"/>
      <c r="LW88" s="163"/>
      <c r="LX88" s="163"/>
      <c r="LY88" s="163"/>
      <c r="LZ88" s="163"/>
      <c r="MA88" s="163"/>
      <c r="MB88" s="163"/>
      <c r="MC88" s="163"/>
      <c r="MD88" s="163"/>
      <c r="ME88" s="163"/>
      <c r="MF88" s="163"/>
      <c r="MG88" s="163"/>
      <c r="MH88" s="163"/>
      <c r="MI88" s="163"/>
      <c r="MJ88" s="163"/>
      <c r="MK88" s="163"/>
      <c r="ML88" s="163"/>
      <c r="MM88" s="163"/>
      <c r="MN88" s="163"/>
      <c r="MO88" s="163"/>
      <c r="MP88" s="163"/>
      <c r="MQ88" s="163"/>
      <c r="MR88" s="163"/>
      <c r="MS88" s="163"/>
      <c r="MT88" s="163"/>
      <c r="MU88" s="163"/>
      <c r="MV88" s="163"/>
      <c r="MW88" s="163"/>
      <c r="MX88" s="163"/>
      <c r="MY88" s="163"/>
      <c r="MZ88" s="163"/>
      <c r="NA88" s="163"/>
      <c r="NB88" s="163"/>
      <c r="NC88" s="163"/>
      <c r="ND88" s="163"/>
      <c r="NE88" s="163"/>
      <c r="NF88" s="163"/>
      <c r="NG88" s="163"/>
      <c r="NH88" s="163"/>
      <c r="NI88" s="163"/>
      <c r="NJ88" s="163"/>
      <c r="NK88" s="163"/>
      <c r="NL88" s="163"/>
      <c r="NM88" s="163"/>
      <c r="NN88" s="163"/>
      <c r="NO88" s="163"/>
      <c r="NP88" s="163"/>
      <c r="NQ88" s="163"/>
      <c r="NR88" s="163"/>
      <c r="NS88" s="163"/>
      <c r="NT88" s="163"/>
      <c r="NU88" s="163"/>
      <c r="NV88" s="163"/>
      <c r="NW88" s="163"/>
      <c r="NX88" s="163"/>
      <c r="NY88" s="163"/>
      <c r="NZ88" s="163"/>
      <c r="OA88" s="163"/>
      <c r="OB88" s="163"/>
      <c r="OC88" s="163"/>
      <c r="OD88" s="163"/>
      <c r="OE88" s="163"/>
      <c r="OF88" s="163"/>
      <c r="OG88" s="163"/>
      <c r="OH88" s="163"/>
      <c r="OI88" s="163"/>
      <c r="OJ88" s="163"/>
      <c r="OK88" s="163"/>
      <c r="OL88" s="163"/>
      <c r="OM88" s="163"/>
      <c r="ON88" s="163"/>
      <c r="OO88" s="163"/>
      <c r="OP88" s="163"/>
      <c r="OQ88" s="163"/>
      <c r="OR88" s="163"/>
      <c r="OS88" s="163"/>
      <c r="OT88" s="163"/>
      <c r="OU88" s="163"/>
      <c r="OV88" s="163"/>
      <c r="OW88" s="163"/>
      <c r="OX88" s="163"/>
      <c r="OY88" s="163"/>
      <c r="OZ88" s="163"/>
      <c r="PA88" s="163"/>
      <c r="PB88" s="163"/>
      <c r="PC88" s="163"/>
      <c r="PD88" s="163"/>
      <c r="PE88" s="163"/>
      <c r="PF88" s="163"/>
      <c r="PG88" s="163"/>
      <c r="PH88" s="163"/>
      <c r="PI88" s="163"/>
      <c r="PJ88" s="163"/>
      <c r="PK88" s="163"/>
      <c r="PL88" s="163"/>
      <c r="PM88" s="163"/>
      <c r="PN88" s="163"/>
      <c r="PO88" s="163"/>
      <c r="PP88" s="163"/>
      <c r="PQ88" s="163"/>
      <c r="PR88" s="163"/>
      <c r="PS88" s="163"/>
      <c r="PT88" s="163"/>
      <c r="PU88" s="163"/>
      <c r="PV88" s="163"/>
      <c r="PW88" s="163"/>
      <c r="PX88" s="163"/>
      <c r="PY88" s="163"/>
      <c r="PZ88" s="163"/>
      <c r="QA88" s="163"/>
      <c r="QB88" s="163"/>
      <c r="QC88" s="163"/>
      <c r="QD88" s="163"/>
      <c r="QE88" s="163"/>
      <c r="QF88" s="163"/>
      <c r="QG88" s="163"/>
      <c r="QH88" s="163"/>
      <c r="QI88" s="163"/>
      <c r="QJ88" s="163"/>
      <c r="QK88" s="163"/>
      <c r="QL88" s="163"/>
      <c r="QM88" s="163"/>
      <c r="QN88" s="163"/>
      <c r="QO88" s="163"/>
      <c r="QP88" s="163"/>
      <c r="QQ88" s="163"/>
      <c r="QR88" s="163"/>
      <c r="QS88" s="163"/>
      <c r="QT88" s="163"/>
      <c r="QU88" s="163"/>
      <c r="QV88" s="163"/>
      <c r="QW88" s="163"/>
      <c r="QX88" s="163"/>
      <c r="QY88" s="163"/>
      <c r="QZ88" s="163"/>
      <c r="RA88" s="163"/>
      <c r="RB88" s="163"/>
      <c r="RC88" s="163"/>
      <c r="RD88" s="163"/>
      <c r="RE88" s="163"/>
      <c r="RF88" s="163"/>
      <c r="RG88" s="163"/>
      <c r="RH88" s="163"/>
      <c r="RI88" s="163"/>
      <c r="RJ88" s="163"/>
      <c r="RK88" s="163"/>
      <c r="RL88" s="163"/>
      <c r="RM88" s="163"/>
      <c r="RN88" s="163"/>
      <c r="RO88" s="163"/>
      <c r="RP88" s="163"/>
      <c r="RQ88" s="163"/>
      <c r="RR88" s="163"/>
      <c r="RS88" s="163"/>
      <c r="RT88" s="163"/>
      <c r="RU88" s="163"/>
      <c r="RV88" s="163"/>
      <c r="RW88" s="163"/>
      <c r="RX88" s="163"/>
      <c r="RY88" s="163"/>
      <c r="RZ88" s="163"/>
      <c r="SA88" s="163"/>
      <c r="SB88" s="163"/>
      <c r="SC88" s="163"/>
      <c r="SD88" s="163"/>
      <c r="SE88" s="163"/>
      <c r="SF88" s="163"/>
      <c r="SG88" s="163"/>
      <c r="SH88" s="163"/>
      <c r="SI88" s="163"/>
      <c r="SJ88" s="163"/>
      <c r="SK88" s="163"/>
      <c r="SL88" s="163"/>
      <c r="SM88" s="163"/>
      <c r="SN88" s="163"/>
      <c r="SO88" s="163"/>
      <c r="SP88" s="163"/>
      <c r="SQ88" s="163"/>
      <c r="SR88" s="163"/>
      <c r="SS88" s="163"/>
      <c r="ST88" s="163"/>
      <c r="SU88" s="163"/>
      <c r="SV88" s="163"/>
      <c r="SW88" s="163"/>
      <c r="SX88" s="163"/>
      <c r="SY88" s="163"/>
      <c r="SZ88" s="163"/>
      <c r="TA88" s="163"/>
      <c r="TB88" s="163"/>
      <c r="TC88" s="163"/>
      <c r="TD88" s="163"/>
      <c r="TE88" s="163"/>
      <c r="TF88" s="163"/>
      <c r="TG88" s="163"/>
      <c r="TH88" s="163"/>
      <c r="TI88" s="163"/>
      <c r="TJ88" s="163"/>
      <c r="TK88" s="163"/>
      <c r="TL88" s="163"/>
      <c r="TM88" s="163"/>
      <c r="TN88" s="163"/>
      <c r="TO88" s="163"/>
      <c r="TP88" s="163"/>
      <c r="TQ88" s="163"/>
      <c r="TR88" s="163"/>
      <c r="TS88" s="163"/>
      <c r="TT88" s="163"/>
      <c r="TU88" s="163"/>
      <c r="TV88" s="163"/>
      <c r="TW88" s="163"/>
      <c r="TX88" s="163"/>
      <c r="TY88" s="163"/>
      <c r="TZ88" s="163"/>
      <c r="UA88" s="163"/>
      <c r="UB88" s="163"/>
      <c r="UC88" s="163"/>
      <c r="UD88" s="163"/>
      <c r="UE88" s="163"/>
      <c r="UF88" s="163"/>
      <c r="UG88" s="163"/>
      <c r="UH88" s="163"/>
      <c r="UI88" s="163"/>
      <c r="UJ88" s="163"/>
      <c r="UK88" s="163"/>
      <c r="UL88" s="163"/>
      <c r="UM88" s="163"/>
      <c r="UN88" s="163"/>
      <c r="UO88" s="163"/>
      <c r="UP88" s="163"/>
      <c r="UQ88" s="163"/>
      <c r="UR88" s="163"/>
      <c r="US88" s="163"/>
      <c r="UT88" s="163"/>
      <c r="UU88" s="163"/>
      <c r="UV88" s="163"/>
      <c r="UW88" s="163"/>
      <c r="UX88" s="163"/>
      <c r="UY88" s="163"/>
      <c r="UZ88" s="163"/>
      <c r="VA88" s="163"/>
      <c r="VB88" s="163"/>
      <c r="VC88" s="163"/>
      <c r="VD88" s="163"/>
      <c r="VE88" s="163"/>
      <c r="VF88" s="163"/>
      <c r="VG88" s="163"/>
      <c r="VH88" s="163"/>
      <c r="VI88" s="163"/>
      <c r="VJ88" s="163"/>
      <c r="VK88" s="163"/>
      <c r="VL88" s="163"/>
      <c r="VM88" s="163"/>
      <c r="VN88" s="163"/>
      <c r="VO88" s="163"/>
      <c r="VP88" s="163"/>
      <c r="VQ88" s="163"/>
      <c r="VR88" s="163"/>
      <c r="VS88" s="163"/>
      <c r="VT88" s="163"/>
      <c r="VU88" s="163"/>
      <c r="VV88" s="163"/>
      <c r="VW88" s="163"/>
      <c r="VX88" s="163"/>
      <c r="VY88" s="163"/>
      <c r="VZ88" s="163"/>
      <c r="WA88" s="163"/>
      <c r="WB88" s="163"/>
      <c r="WC88" s="163"/>
      <c r="WD88" s="163"/>
      <c r="WE88" s="163"/>
      <c r="WF88" s="163"/>
      <c r="WG88" s="163"/>
      <c r="WH88" s="163"/>
      <c r="WI88" s="163"/>
      <c r="WJ88" s="163"/>
      <c r="WK88" s="163"/>
      <c r="WL88" s="163"/>
      <c r="WM88" s="163"/>
      <c r="WN88" s="163"/>
      <c r="WO88" s="163"/>
      <c r="WP88" s="163"/>
      <c r="WQ88" s="163"/>
      <c r="WR88" s="163"/>
      <c r="WS88" s="163"/>
      <c r="WT88" s="163"/>
      <c r="WU88" s="163"/>
      <c r="WV88" s="163"/>
      <c r="WW88" s="163"/>
      <c r="WX88" s="163"/>
      <c r="WY88" s="163"/>
      <c r="WZ88" s="163"/>
      <c r="XA88" s="163"/>
      <c r="XB88" s="163"/>
      <c r="XC88" s="163"/>
      <c r="XD88" s="163"/>
      <c r="XE88" s="163"/>
      <c r="XF88" s="163"/>
      <c r="XG88" s="163"/>
      <c r="XH88" s="163"/>
      <c r="XI88" s="163"/>
      <c r="XJ88" s="163"/>
      <c r="XK88" s="163"/>
      <c r="XL88" s="163"/>
      <c r="XM88" s="163"/>
      <c r="XN88" s="163"/>
      <c r="XO88" s="163"/>
      <c r="XP88" s="163"/>
      <c r="XQ88" s="163"/>
      <c r="XR88" s="163"/>
      <c r="XS88" s="163"/>
      <c r="XT88" s="163"/>
      <c r="XU88" s="163"/>
      <c r="XV88" s="163"/>
      <c r="XW88" s="163"/>
      <c r="XX88" s="163"/>
      <c r="XY88" s="163"/>
      <c r="XZ88" s="163"/>
      <c r="YA88" s="163"/>
      <c r="YB88" s="163"/>
      <c r="YC88" s="163"/>
      <c r="YD88" s="163"/>
      <c r="YE88" s="163"/>
      <c r="YF88" s="163"/>
      <c r="YG88" s="163"/>
      <c r="YH88" s="163"/>
      <c r="YI88" s="163"/>
      <c r="YJ88" s="163"/>
      <c r="YK88" s="163"/>
      <c r="YL88" s="163"/>
      <c r="YM88" s="163"/>
      <c r="YN88" s="163"/>
      <c r="YO88" s="163"/>
      <c r="YP88" s="163"/>
      <c r="YQ88" s="163"/>
      <c r="YR88" s="163"/>
      <c r="YS88" s="163"/>
      <c r="YT88" s="163"/>
      <c r="YU88" s="163"/>
      <c r="YV88" s="163"/>
      <c r="YW88" s="163"/>
      <c r="YX88" s="163"/>
      <c r="YY88" s="163"/>
      <c r="YZ88" s="163"/>
      <c r="ZA88" s="163"/>
      <c r="ZB88" s="163"/>
      <c r="ZC88" s="163"/>
      <c r="ZD88" s="163"/>
      <c r="ZE88" s="163"/>
      <c r="ZF88" s="163"/>
      <c r="ZG88" s="163"/>
      <c r="ZH88" s="163"/>
      <c r="ZI88" s="163"/>
      <c r="ZJ88" s="163"/>
      <c r="ZK88" s="163"/>
      <c r="ZL88" s="163"/>
      <c r="ZM88" s="163"/>
      <c r="ZN88" s="163"/>
      <c r="ZO88" s="163"/>
      <c r="ZP88" s="163"/>
      <c r="ZQ88" s="163"/>
      <c r="ZR88" s="163"/>
      <c r="ZS88" s="163"/>
      <c r="ZT88" s="163"/>
      <c r="ZU88" s="163"/>
      <c r="ZV88" s="163"/>
      <c r="ZW88" s="163"/>
      <c r="ZX88" s="163"/>
      <c r="ZY88" s="163"/>
      <c r="ZZ88" s="163"/>
      <c r="AAA88" s="163"/>
      <c r="AAB88" s="163"/>
      <c r="AAC88" s="163"/>
      <c r="AAD88" s="163"/>
      <c r="AAE88" s="163"/>
      <c r="AAF88" s="163"/>
      <c r="AAG88" s="163"/>
      <c r="AAH88" s="163"/>
      <c r="AAI88" s="163"/>
      <c r="AAJ88" s="163"/>
      <c r="AAK88" s="163"/>
      <c r="AAL88" s="163"/>
      <c r="AAM88" s="163"/>
      <c r="AAN88" s="163"/>
      <c r="AAO88" s="163"/>
      <c r="AAP88" s="163"/>
      <c r="AAQ88" s="163"/>
      <c r="AAR88" s="163"/>
      <c r="AAS88" s="163"/>
      <c r="AAT88" s="163"/>
      <c r="AAU88" s="163"/>
      <c r="AAV88" s="163"/>
      <c r="AAW88" s="163"/>
      <c r="AAX88" s="163"/>
      <c r="AAY88" s="163"/>
      <c r="AAZ88" s="163"/>
      <c r="ABA88" s="163"/>
      <c r="ABB88" s="163"/>
      <c r="ABC88" s="163"/>
      <c r="ABD88" s="163"/>
      <c r="ABE88" s="163"/>
      <c r="ABF88" s="163"/>
      <c r="ABG88" s="163"/>
      <c r="ABH88" s="163"/>
      <c r="ABI88" s="163"/>
      <c r="ABJ88" s="163"/>
      <c r="ABK88" s="163"/>
      <c r="ABL88" s="163"/>
      <c r="ABM88" s="163"/>
      <c r="ABN88" s="163"/>
      <c r="ABO88" s="163"/>
      <c r="ABP88" s="163"/>
      <c r="ABQ88" s="163"/>
      <c r="ABR88" s="163"/>
      <c r="ABS88" s="163"/>
      <c r="ABT88" s="163"/>
      <c r="ABU88" s="163"/>
      <c r="ABV88" s="163"/>
      <c r="ABW88" s="163"/>
      <c r="ABX88" s="163"/>
      <c r="ABY88" s="163"/>
      <c r="ABZ88" s="163"/>
      <c r="ACA88" s="163"/>
      <c r="ACB88" s="163"/>
      <c r="ACC88" s="163"/>
      <c r="ACD88" s="163"/>
      <c r="ACE88" s="163"/>
      <c r="ACF88" s="163"/>
      <c r="ACG88" s="163"/>
      <c r="ACH88" s="163"/>
      <c r="ACI88" s="163"/>
      <c r="ACJ88" s="163"/>
      <c r="ACK88" s="163"/>
      <c r="ACL88" s="163"/>
      <c r="ACM88" s="163"/>
      <c r="ACN88" s="163"/>
      <c r="ACO88" s="163"/>
      <c r="ACP88" s="163"/>
      <c r="ACQ88" s="163"/>
      <c r="ACR88" s="163"/>
      <c r="ACS88" s="163"/>
      <c r="ACT88" s="163"/>
      <c r="ACU88" s="163"/>
      <c r="ACV88" s="163"/>
      <c r="ACW88" s="163"/>
      <c r="ACX88" s="163"/>
      <c r="ACY88" s="163"/>
      <c r="ACZ88" s="163"/>
      <c r="ADA88" s="163"/>
      <c r="ADB88" s="163"/>
      <c r="ADC88" s="163"/>
      <c r="ADD88" s="163"/>
      <c r="ADE88" s="163"/>
      <c r="ADF88" s="163"/>
      <c r="ADG88" s="163"/>
      <c r="ADH88" s="163"/>
      <c r="ADI88" s="163"/>
      <c r="ADJ88" s="163"/>
      <c r="ADK88" s="163"/>
      <c r="ADL88" s="163"/>
      <c r="ADM88" s="163"/>
      <c r="ADN88" s="163"/>
      <c r="ADO88" s="163"/>
      <c r="ADP88" s="163"/>
      <c r="ADQ88" s="163"/>
      <c r="ADR88" s="163"/>
      <c r="ADS88" s="163"/>
      <c r="ADT88" s="163"/>
      <c r="ADU88" s="163"/>
      <c r="ADV88" s="163"/>
      <c r="ADW88" s="163"/>
      <c r="ADX88" s="163"/>
      <c r="ADY88" s="163"/>
      <c r="ADZ88" s="163"/>
      <c r="AEA88" s="163"/>
      <c r="AEB88" s="163"/>
      <c r="AEC88" s="163"/>
      <c r="AED88" s="163"/>
      <c r="AEE88" s="163"/>
      <c r="AEF88" s="163"/>
      <c r="AEG88" s="163"/>
      <c r="AEH88" s="163"/>
      <c r="AEI88" s="163"/>
      <c r="AEJ88" s="163"/>
      <c r="AEK88" s="163"/>
      <c r="AEL88" s="163"/>
      <c r="AEM88" s="163"/>
      <c r="AEN88" s="163"/>
      <c r="AEO88" s="163"/>
      <c r="AEP88" s="163"/>
      <c r="AEQ88" s="163"/>
      <c r="AER88" s="163"/>
      <c r="AES88" s="163"/>
      <c r="AET88" s="163"/>
      <c r="AEU88" s="163"/>
      <c r="AEV88" s="163"/>
      <c r="AEW88" s="163"/>
      <c r="AEX88" s="163"/>
      <c r="AEY88" s="163"/>
      <c r="AEZ88" s="163"/>
      <c r="AFA88" s="163"/>
      <c r="AFB88" s="163"/>
      <c r="AFC88" s="163"/>
      <c r="AFD88" s="163"/>
      <c r="AFE88" s="163"/>
      <c r="AFF88" s="163"/>
      <c r="AFG88" s="163"/>
      <c r="AFH88" s="163"/>
      <c r="AFI88" s="163"/>
      <c r="AFJ88" s="163"/>
      <c r="AFK88" s="163"/>
      <c r="AFL88" s="163"/>
      <c r="AFM88" s="163"/>
      <c r="AFN88" s="163"/>
      <c r="AFO88" s="163"/>
      <c r="AFP88" s="163"/>
      <c r="AFQ88" s="163"/>
      <c r="AFR88" s="163"/>
      <c r="AFS88" s="163"/>
      <c r="AFT88" s="163"/>
      <c r="AFU88" s="163"/>
      <c r="AFV88" s="163"/>
      <c r="AFW88" s="163"/>
      <c r="AFX88" s="163"/>
      <c r="AFY88" s="163"/>
      <c r="AFZ88" s="163"/>
      <c r="AGA88" s="163"/>
      <c r="AGB88" s="163"/>
      <c r="AGC88" s="163"/>
      <c r="AGD88" s="163"/>
      <c r="AGE88" s="163"/>
      <c r="AGF88" s="163"/>
      <c r="AGG88" s="163"/>
      <c r="AGH88" s="163"/>
      <c r="AGI88" s="163"/>
      <c r="AGJ88" s="163"/>
      <c r="AGK88" s="163"/>
      <c r="AGL88" s="163"/>
      <c r="AGM88" s="163"/>
      <c r="AGN88" s="163"/>
      <c r="AGO88" s="163"/>
      <c r="AGP88" s="163"/>
      <c r="AGQ88" s="163"/>
      <c r="AGR88" s="163"/>
      <c r="AGS88" s="163"/>
      <c r="AGT88" s="163"/>
      <c r="AGU88" s="163"/>
      <c r="AGV88" s="163"/>
      <c r="AGW88" s="163"/>
      <c r="AGX88" s="163"/>
      <c r="AGY88" s="163"/>
      <c r="AGZ88" s="163"/>
      <c r="AHA88" s="163"/>
      <c r="AHB88" s="163"/>
      <c r="AHC88" s="163"/>
      <c r="AHD88" s="163"/>
      <c r="AHE88" s="163"/>
      <c r="AHF88" s="163"/>
      <c r="AHG88" s="163"/>
      <c r="AHH88" s="163"/>
      <c r="AHI88" s="163"/>
      <c r="AHJ88" s="163"/>
      <c r="AHK88" s="163"/>
      <c r="AHL88" s="163"/>
      <c r="AHM88" s="163"/>
      <c r="AHN88" s="163"/>
      <c r="AHO88" s="163"/>
      <c r="AHP88" s="163"/>
      <c r="AHQ88" s="163"/>
      <c r="AHR88" s="163"/>
      <c r="AHS88" s="163"/>
      <c r="AHT88" s="163"/>
      <c r="AHU88" s="163"/>
      <c r="AHV88" s="163"/>
      <c r="AHW88" s="163"/>
      <c r="AHX88" s="163"/>
      <c r="AHY88" s="163"/>
      <c r="AHZ88" s="163"/>
      <c r="AIA88" s="163"/>
      <c r="AIB88" s="163"/>
      <c r="AIC88" s="163"/>
      <c r="AID88" s="163"/>
      <c r="AIE88" s="163"/>
      <c r="AIF88" s="163"/>
      <c r="AIG88" s="163"/>
      <c r="AIH88" s="163"/>
      <c r="AII88" s="163"/>
      <c r="AIJ88" s="163"/>
      <c r="AIK88" s="163"/>
      <c r="AIL88" s="163"/>
      <c r="AIM88" s="163"/>
      <c r="AIN88" s="163"/>
      <c r="AIO88" s="163"/>
      <c r="AIP88" s="163"/>
      <c r="AIQ88" s="163"/>
      <c r="AIR88" s="163"/>
      <c r="AIS88" s="163"/>
      <c r="AIT88" s="163"/>
      <c r="AIU88" s="163"/>
      <c r="AIV88" s="163"/>
      <c r="AIW88" s="163"/>
      <c r="AIX88" s="163"/>
      <c r="AIY88" s="163"/>
      <c r="AIZ88" s="163"/>
      <c r="AJA88" s="163"/>
      <c r="AJB88" s="163"/>
      <c r="AJC88" s="163"/>
      <c r="AJD88" s="163"/>
      <c r="AJE88" s="163"/>
      <c r="AJF88" s="163"/>
      <c r="AJG88" s="163"/>
      <c r="AJH88" s="163"/>
      <c r="AJI88" s="163"/>
      <c r="AJJ88" s="163"/>
      <c r="AJK88" s="163"/>
      <c r="AJL88" s="163"/>
      <c r="AJM88" s="163"/>
      <c r="AJN88" s="163"/>
      <c r="AJO88" s="163"/>
      <c r="AJP88" s="163"/>
      <c r="AJQ88" s="163"/>
      <c r="AJR88" s="163"/>
      <c r="AJS88" s="163"/>
      <c r="AJT88" s="163"/>
      <c r="AJU88" s="163"/>
      <c r="AJV88" s="163"/>
      <c r="AJW88" s="163"/>
      <c r="AJX88" s="163"/>
      <c r="AJY88" s="163"/>
      <c r="AJZ88" s="163"/>
      <c r="AKA88" s="163"/>
      <c r="AKB88" s="163"/>
      <c r="AKC88" s="163"/>
      <c r="AKD88" s="163"/>
      <c r="AKE88" s="163"/>
      <c r="AKF88" s="163"/>
      <c r="AKG88" s="163"/>
      <c r="AKH88" s="163"/>
      <c r="AKI88" s="163"/>
      <c r="AKJ88" s="163"/>
      <c r="AKK88" s="163"/>
      <c r="AKL88" s="163"/>
      <c r="AKM88" s="163"/>
      <c r="AKN88" s="163"/>
      <c r="AKO88" s="163"/>
      <c r="AKP88" s="163"/>
      <c r="AKQ88" s="163"/>
      <c r="AKR88" s="163"/>
      <c r="AKS88" s="163"/>
      <c r="AKT88" s="163"/>
      <c r="AKU88" s="163"/>
      <c r="AKV88" s="163"/>
      <c r="AKW88" s="163"/>
      <c r="AKX88" s="163"/>
      <c r="AKY88" s="163"/>
      <c r="AKZ88" s="163"/>
      <c r="ALA88" s="163"/>
      <c r="ALB88" s="163"/>
      <c r="ALC88" s="163"/>
      <c r="ALD88" s="163"/>
      <c r="ALE88" s="163"/>
      <c r="ALF88" s="163"/>
      <c r="ALG88" s="163"/>
      <c r="ALH88" s="163"/>
      <c r="ALI88" s="163"/>
      <c r="ALJ88" s="163"/>
      <c r="ALK88" s="163"/>
      <c r="ALL88" s="163"/>
      <c r="ALM88" s="163"/>
      <c r="ALN88" s="163"/>
      <c r="ALO88" s="163"/>
      <c r="ALP88" s="163"/>
      <c r="ALQ88" s="163"/>
      <c r="ALR88" s="163"/>
      <c r="ALS88" s="163"/>
      <c r="ALT88" s="163"/>
      <c r="ALU88" s="163"/>
      <c r="ALV88" s="163"/>
      <c r="ALW88" s="163"/>
      <c r="ALX88" s="163"/>
      <c r="ALY88" s="163"/>
      <c r="ALZ88" s="163"/>
      <c r="AMA88" s="163"/>
      <c r="AMB88" s="163"/>
      <c r="AMC88" s="163"/>
      <c r="AMD88" s="163"/>
      <c r="AME88" s="163"/>
      <c r="AMF88" s="163"/>
      <c r="AMG88" s="163"/>
      <c r="AMH88" s="163"/>
      <c r="AMI88" s="163"/>
      <c r="AMJ88" s="163"/>
      <c r="AMK88" s="163"/>
      <c r="AML88" s="163"/>
      <c r="AMM88" s="163"/>
      <c r="AMN88" s="163"/>
      <c r="AMO88" s="163"/>
      <c r="AMP88" s="163"/>
      <c r="AMQ88" s="163"/>
      <c r="AMR88" s="163"/>
      <c r="AMS88" s="163"/>
      <c r="AMT88" s="163"/>
      <c r="AMU88" s="163"/>
      <c r="AMV88" s="163"/>
      <c r="AMW88" s="163"/>
      <c r="AMX88" s="163"/>
      <c r="AMY88" s="163"/>
      <c r="AMZ88" s="163"/>
      <c r="ANA88" s="163"/>
      <c r="ANB88" s="163"/>
      <c r="ANC88" s="163"/>
      <c r="AND88" s="163"/>
      <c r="ANE88" s="163"/>
      <c r="ANF88" s="163"/>
      <c r="ANG88" s="163"/>
      <c r="ANH88" s="163"/>
      <c r="ANI88" s="163"/>
      <c r="ANJ88" s="163"/>
      <c r="ANK88" s="163"/>
      <c r="ANL88" s="163"/>
      <c r="ANM88" s="163"/>
      <c r="ANN88" s="163"/>
      <c r="ANO88" s="163"/>
      <c r="ANP88" s="163"/>
      <c r="ANQ88" s="163"/>
      <c r="ANR88" s="163"/>
      <c r="ANS88" s="163"/>
      <c r="ANT88" s="163"/>
      <c r="ANU88" s="163"/>
      <c r="ANV88" s="163"/>
      <c r="ANW88" s="163"/>
      <c r="ANX88" s="163"/>
      <c r="ANY88" s="163"/>
      <c r="ANZ88" s="163"/>
      <c r="AOA88" s="163"/>
      <c r="AOB88" s="163"/>
      <c r="AOC88" s="163"/>
      <c r="AOD88" s="163"/>
      <c r="AOE88" s="163"/>
      <c r="AOF88" s="163"/>
      <c r="AOG88" s="163"/>
      <c r="AOH88" s="163"/>
      <c r="AOI88" s="163"/>
      <c r="AOJ88" s="163"/>
      <c r="AOK88" s="163"/>
      <c r="AOL88" s="163"/>
      <c r="AOM88" s="163"/>
      <c r="AON88" s="163"/>
      <c r="AOO88" s="163"/>
      <c r="AOP88" s="163"/>
      <c r="AOQ88" s="163"/>
      <c r="AOR88" s="163"/>
      <c r="AOS88" s="163"/>
      <c r="AOT88" s="163"/>
      <c r="AOU88" s="163"/>
      <c r="AOV88" s="163"/>
      <c r="AOW88" s="163"/>
      <c r="AOX88" s="163"/>
      <c r="AOY88" s="163"/>
      <c r="AOZ88" s="163"/>
      <c r="APA88" s="163"/>
      <c r="APB88" s="163"/>
      <c r="APC88" s="163"/>
      <c r="APD88" s="163"/>
      <c r="APE88" s="163"/>
      <c r="APF88" s="163"/>
      <c r="APG88" s="163"/>
      <c r="APH88" s="163"/>
      <c r="API88" s="163"/>
      <c r="APJ88" s="163"/>
      <c r="APK88" s="163"/>
      <c r="APL88" s="163"/>
      <c r="APM88" s="163"/>
      <c r="APN88" s="163"/>
      <c r="APO88" s="163"/>
      <c r="APP88" s="163"/>
      <c r="APQ88" s="163"/>
      <c r="APR88" s="163"/>
      <c r="APS88" s="163"/>
      <c r="APT88" s="163"/>
      <c r="APU88" s="163"/>
      <c r="APV88" s="163"/>
      <c r="APW88" s="163"/>
      <c r="APX88" s="163"/>
      <c r="APY88" s="163"/>
      <c r="APZ88" s="163"/>
      <c r="AQA88" s="163"/>
      <c r="AQB88" s="163"/>
      <c r="AQC88" s="163"/>
      <c r="AQD88" s="163"/>
      <c r="AQE88" s="163"/>
      <c r="AQF88" s="163"/>
      <c r="AQG88" s="163"/>
      <c r="AQH88" s="163"/>
      <c r="AQI88" s="163"/>
      <c r="AQJ88" s="163"/>
      <c r="AQK88" s="163"/>
      <c r="AQL88" s="163"/>
      <c r="AQM88" s="163"/>
      <c r="AQN88" s="163"/>
      <c r="AQO88" s="163"/>
      <c r="AQP88" s="163"/>
      <c r="AQQ88" s="163"/>
      <c r="AQR88" s="163"/>
      <c r="AQS88" s="163"/>
      <c r="AQT88" s="163"/>
      <c r="AQU88" s="163"/>
      <c r="AQV88" s="163"/>
      <c r="AQW88" s="163"/>
      <c r="AQX88" s="163"/>
      <c r="AQY88" s="163"/>
      <c r="AQZ88" s="163"/>
      <c r="ARA88" s="163"/>
      <c r="ARB88" s="163"/>
      <c r="ARC88" s="163"/>
      <c r="ARD88" s="163"/>
      <c r="ARE88" s="163"/>
      <c r="ARF88" s="163"/>
      <c r="ARG88" s="163"/>
      <c r="ARH88" s="163"/>
      <c r="ARI88" s="163"/>
      <c r="ARJ88" s="163"/>
      <c r="ARK88" s="163"/>
      <c r="ARL88" s="163"/>
      <c r="ARM88" s="163"/>
      <c r="ARN88" s="163"/>
      <c r="ARO88" s="163"/>
      <c r="ARP88" s="163"/>
      <c r="ARQ88" s="163"/>
      <c r="ARR88" s="163"/>
      <c r="ARS88" s="163"/>
      <c r="ART88" s="163"/>
      <c r="ARU88" s="163"/>
      <c r="ARV88" s="163"/>
      <c r="ARW88" s="163"/>
      <c r="ARX88" s="163"/>
      <c r="ARY88" s="163"/>
      <c r="ARZ88" s="163"/>
      <c r="ASA88" s="163"/>
      <c r="ASB88" s="163"/>
      <c r="ASC88" s="163"/>
      <c r="ASD88" s="163"/>
      <c r="ASE88" s="163"/>
      <c r="ASF88" s="163"/>
      <c r="ASG88" s="163"/>
      <c r="ASH88" s="163"/>
      <c r="ASI88" s="163"/>
      <c r="ASJ88" s="163"/>
      <c r="ASK88" s="163"/>
      <c r="ASL88" s="163"/>
      <c r="ASM88" s="163"/>
      <c r="ASN88" s="163"/>
      <c r="ASO88" s="163"/>
      <c r="ASP88" s="163"/>
      <c r="ASQ88" s="163"/>
      <c r="ASR88" s="163"/>
      <c r="ASS88" s="163"/>
      <c r="AST88" s="163"/>
      <c r="ASU88" s="163"/>
      <c r="ASV88" s="163"/>
      <c r="ASW88" s="163"/>
      <c r="ASX88" s="163"/>
      <c r="ASY88" s="163"/>
      <c r="ASZ88" s="163"/>
      <c r="ATA88" s="163"/>
      <c r="ATB88" s="163"/>
      <c r="ATC88" s="163"/>
      <c r="ATD88" s="163"/>
      <c r="ATE88" s="163"/>
      <c r="ATF88" s="163"/>
      <c r="ATG88" s="163"/>
      <c r="ATH88" s="163"/>
      <c r="ATI88" s="163"/>
      <c r="ATJ88" s="163"/>
      <c r="ATK88" s="163"/>
      <c r="ATL88" s="163"/>
      <c r="ATM88" s="163"/>
      <c r="ATN88" s="163"/>
      <c r="ATO88" s="163"/>
      <c r="ATP88" s="163"/>
      <c r="ATQ88" s="163"/>
      <c r="ATR88" s="163"/>
      <c r="ATS88" s="163"/>
      <c r="ATT88" s="163"/>
      <c r="ATU88" s="163"/>
      <c r="ATV88" s="163"/>
      <c r="ATW88" s="163"/>
      <c r="ATX88" s="163"/>
      <c r="ATY88" s="163"/>
      <c r="ATZ88" s="163"/>
      <c r="AUA88" s="163"/>
      <c r="AUB88" s="163"/>
      <c r="AUC88" s="163"/>
      <c r="AUD88" s="163"/>
      <c r="AUE88" s="163"/>
      <c r="AUF88" s="163"/>
      <c r="AUG88" s="163"/>
      <c r="AUH88" s="163"/>
      <c r="AUI88" s="163"/>
      <c r="AUJ88" s="163"/>
      <c r="AUK88" s="163"/>
      <c r="AUL88" s="163"/>
      <c r="AUM88" s="163"/>
      <c r="AUN88" s="163"/>
      <c r="AUO88" s="163"/>
      <c r="AUP88" s="163"/>
      <c r="AUQ88" s="163"/>
      <c r="AUR88" s="163"/>
      <c r="AUS88" s="163"/>
      <c r="AUT88" s="163"/>
      <c r="AUU88" s="163"/>
      <c r="AUV88" s="163"/>
      <c r="AUW88" s="163"/>
      <c r="AUX88" s="163"/>
      <c r="AUY88" s="163"/>
      <c r="AUZ88" s="163"/>
      <c r="AVA88" s="163"/>
      <c r="AVB88" s="163"/>
      <c r="AVC88" s="163"/>
      <c r="AVD88" s="163"/>
      <c r="AVE88" s="163"/>
      <c r="AVF88" s="163"/>
      <c r="AVG88" s="163"/>
      <c r="AVH88" s="163"/>
      <c r="AVI88" s="163"/>
      <c r="AVJ88" s="163"/>
      <c r="AVK88" s="163"/>
      <c r="AVL88" s="163"/>
      <c r="AVM88" s="163"/>
      <c r="AVN88" s="163"/>
      <c r="AVO88" s="163"/>
      <c r="AVP88" s="163"/>
      <c r="AVQ88" s="163"/>
      <c r="AVR88" s="163"/>
      <c r="AVS88" s="163"/>
      <c r="AVT88" s="163"/>
      <c r="AVU88" s="163"/>
      <c r="AVV88" s="163"/>
      <c r="AVW88" s="163"/>
      <c r="AVX88" s="163"/>
      <c r="AVY88" s="163"/>
      <c r="AVZ88" s="163"/>
      <c r="AWA88" s="163"/>
      <c r="AWB88" s="163"/>
      <c r="AWC88" s="163"/>
      <c r="AWD88" s="163"/>
      <c r="AWE88" s="163"/>
      <c r="AWF88" s="163"/>
      <c r="AWG88" s="163"/>
      <c r="AWH88" s="163"/>
      <c r="AWI88" s="163"/>
      <c r="AWJ88" s="163"/>
      <c r="AWK88" s="163"/>
      <c r="AWL88" s="163"/>
      <c r="AWM88" s="163"/>
      <c r="AWN88" s="163"/>
      <c r="AWO88" s="163"/>
      <c r="AWP88" s="163"/>
      <c r="AWQ88" s="163"/>
      <c r="AWR88" s="163"/>
      <c r="AWS88" s="163"/>
      <c r="AWT88" s="163"/>
      <c r="AWU88" s="163"/>
      <c r="AWV88" s="163"/>
      <c r="AWW88" s="163"/>
      <c r="AWX88" s="163"/>
      <c r="AWY88" s="163"/>
      <c r="AWZ88" s="163"/>
      <c r="AXA88" s="163"/>
      <c r="AXB88" s="163"/>
      <c r="AXC88" s="163"/>
      <c r="AXD88" s="163"/>
      <c r="AXE88" s="163"/>
      <c r="AXF88" s="163"/>
      <c r="AXG88" s="163"/>
      <c r="AXH88" s="163"/>
      <c r="AXI88" s="163"/>
      <c r="AXJ88" s="163"/>
      <c r="AXK88" s="163"/>
      <c r="AXL88" s="163"/>
      <c r="AXM88" s="163"/>
      <c r="AXN88" s="163"/>
      <c r="AXO88" s="163"/>
      <c r="AXP88" s="163"/>
      <c r="AXQ88" s="163"/>
      <c r="AXR88" s="163"/>
      <c r="AXS88" s="163"/>
      <c r="AXT88" s="163"/>
      <c r="AXU88" s="163"/>
      <c r="AXV88" s="163"/>
      <c r="AXW88" s="163"/>
      <c r="AXX88" s="163"/>
      <c r="AXY88" s="163"/>
      <c r="AXZ88" s="163"/>
      <c r="AYA88" s="163"/>
      <c r="AYB88" s="163"/>
      <c r="AYC88" s="163"/>
      <c r="AYD88" s="163"/>
      <c r="AYE88" s="163"/>
      <c r="AYF88" s="163"/>
      <c r="AYG88" s="163"/>
      <c r="AYH88" s="163"/>
      <c r="AYI88" s="163"/>
      <c r="AYJ88" s="163"/>
      <c r="AYK88" s="163"/>
      <c r="AYL88" s="163"/>
      <c r="AYM88" s="163"/>
      <c r="AYN88" s="163"/>
      <c r="AYO88" s="163"/>
      <c r="AYP88" s="163"/>
      <c r="AYQ88" s="163"/>
      <c r="AYR88" s="163"/>
      <c r="AYS88" s="163"/>
      <c r="AYT88" s="163"/>
      <c r="AYU88" s="163"/>
      <c r="AYV88" s="163"/>
      <c r="AYW88" s="163"/>
      <c r="AYX88" s="163"/>
      <c r="AYY88" s="163"/>
      <c r="AYZ88" s="163"/>
      <c r="AZA88" s="163"/>
      <c r="AZB88" s="163"/>
      <c r="AZC88" s="163"/>
      <c r="AZD88" s="163"/>
      <c r="AZE88" s="163"/>
      <c r="AZF88" s="163"/>
      <c r="AZG88" s="163"/>
      <c r="AZH88" s="163"/>
      <c r="AZI88" s="163"/>
      <c r="AZJ88" s="163"/>
      <c r="AZK88" s="163"/>
      <c r="AZL88" s="163"/>
      <c r="AZM88" s="163"/>
      <c r="AZN88" s="163"/>
      <c r="AZO88" s="163"/>
      <c r="AZP88" s="163"/>
      <c r="AZQ88" s="163"/>
      <c r="AZR88" s="163"/>
      <c r="AZS88" s="163"/>
      <c r="AZT88" s="163"/>
      <c r="AZU88" s="163"/>
      <c r="AZV88" s="163"/>
      <c r="AZW88" s="163"/>
      <c r="AZX88" s="163"/>
      <c r="AZY88" s="163"/>
      <c r="AZZ88" s="163"/>
      <c r="BAA88" s="163"/>
      <c r="BAB88" s="163"/>
      <c r="BAC88" s="163"/>
      <c r="BAD88" s="163"/>
      <c r="BAE88" s="163"/>
      <c r="BAF88" s="163"/>
      <c r="BAG88" s="163"/>
      <c r="BAH88" s="163"/>
      <c r="BAI88" s="163"/>
      <c r="BAJ88" s="163"/>
      <c r="BAK88" s="163"/>
      <c r="BAL88" s="163"/>
      <c r="BAM88" s="163"/>
      <c r="BAN88" s="163"/>
      <c r="BAO88" s="163"/>
      <c r="BAP88" s="163"/>
      <c r="BAQ88" s="163"/>
      <c r="BAR88" s="163"/>
      <c r="BAS88" s="163"/>
      <c r="BAT88" s="163"/>
      <c r="BAU88" s="163"/>
      <c r="BAV88" s="163"/>
      <c r="BAW88" s="163"/>
      <c r="BAX88" s="163"/>
      <c r="BAY88" s="163"/>
      <c r="BAZ88" s="163"/>
      <c r="BBA88" s="163"/>
      <c r="BBB88" s="163"/>
      <c r="BBC88" s="163"/>
      <c r="BBD88" s="163"/>
      <c r="BBE88" s="163"/>
      <c r="BBF88" s="163"/>
      <c r="BBG88" s="163"/>
      <c r="BBH88" s="163"/>
      <c r="BBI88" s="163"/>
      <c r="BBJ88" s="163"/>
      <c r="BBK88" s="163"/>
      <c r="BBL88" s="163"/>
      <c r="BBM88" s="163"/>
      <c r="BBN88" s="163"/>
      <c r="BBO88" s="163"/>
      <c r="BBP88" s="163"/>
      <c r="BBQ88" s="163"/>
      <c r="BBR88" s="163"/>
      <c r="BBS88" s="163"/>
      <c r="BBT88" s="163"/>
      <c r="BBU88" s="163"/>
      <c r="BBV88" s="163"/>
      <c r="BBW88" s="163"/>
      <c r="BBX88" s="163"/>
      <c r="BBY88" s="163"/>
      <c r="BBZ88" s="163"/>
      <c r="BCA88" s="163"/>
      <c r="BCB88" s="163"/>
      <c r="BCC88" s="163"/>
      <c r="BCD88" s="163"/>
      <c r="BCE88" s="163"/>
      <c r="BCF88" s="163"/>
      <c r="BCG88" s="163"/>
      <c r="BCH88" s="163"/>
      <c r="BCI88" s="163"/>
      <c r="BCJ88" s="163"/>
      <c r="BCK88" s="163"/>
      <c r="BCL88" s="163"/>
      <c r="BCM88" s="163"/>
      <c r="BCN88" s="163"/>
      <c r="BCO88" s="163"/>
      <c r="BCP88" s="163"/>
      <c r="BCQ88" s="163"/>
      <c r="BCR88" s="163"/>
      <c r="BCS88" s="163"/>
      <c r="BCT88" s="163"/>
      <c r="BCU88" s="163"/>
      <c r="BCV88" s="163"/>
      <c r="BCW88" s="163"/>
      <c r="BCX88" s="163"/>
      <c r="BCY88" s="163"/>
      <c r="BCZ88" s="163"/>
      <c r="BDA88" s="163"/>
      <c r="BDB88" s="163"/>
      <c r="BDC88" s="163"/>
      <c r="BDD88" s="163"/>
      <c r="BDE88" s="163"/>
      <c r="BDF88" s="163"/>
      <c r="BDG88" s="163"/>
      <c r="BDH88" s="163"/>
      <c r="BDI88" s="163"/>
      <c r="BDJ88" s="163"/>
      <c r="BDK88" s="163"/>
      <c r="BDL88" s="163"/>
      <c r="BDM88" s="163"/>
      <c r="BDN88" s="163"/>
      <c r="BDO88" s="163"/>
      <c r="BDP88" s="163"/>
      <c r="BDQ88" s="163"/>
      <c r="BDR88" s="163"/>
      <c r="BDS88" s="163"/>
      <c r="BDT88" s="163"/>
      <c r="BDU88" s="163"/>
      <c r="BDV88" s="163"/>
      <c r="BDW88" s="163"/>
      <c r="BDX88" s="163"/>
      <c r="BDY88" s="163"/>
      <c r="BDZ88" s="163"/>
      <c r="BEA88" s="163"/>
      <c r="BEB88" s="163"/>
      <c r="BEC88" s="163"/>
      <c r="BED88" s="163"/>
      <c r="BEE88" s="163"/>
      <c r="BEF88" s="163"/>
      <c r="BEG88" s="163"/>
      <c r="BEH88" s="163"/>
      <c r="BEI88" s="163"/>
      <c r="BEJ88" s="163"/>
      <c r="BEK88" s="163"/>
      <c r="BEL88" s="163"/>
      <c r="BEM88" s="163"/>
      <c r="BEN88" s="163"/>
      <c r="BEO88" s="163"/>
      <c r="BEP88" s="163"/>
      <c r="BEQ88" s="163"/>
      <c r="BER88" s="163"/>
      <c r="BES88" s="163"/>
      <c r="BET88" s="163"/>
      <c r="BEU88" s="163"/>
      <c r="BEV88" s="163"/>
      <c r="BEW88" s="163"/>
      <c r="BEX88" s="163"/>
      <c r="BEY88" s="163"/>
      <c r="BEZ88" s="163"/>
      <c r="BFA88" s="163"/>
      <c r="BFB88" s="163"/>
      <c r="BFC88" s="163"/>
      <c r="BFD88" s="163"/>
      <c r="BFE88" s="163"/>
      <c r="BFF88" s="163"/>
      <c r="BFG88" s="163"/>
      <c r="BFH88" s="163"/>
      <c r="BFI88" s="163"/>
      <c r="BFJ88" s="163"/>
      <c r="BFK88" s="163"/>
      <c r="BFL88" s="163"/>
      <c r="BFM88" s="163"/>
      <c r="BFN88" s="163"/>
      <c r="BFO88" s="163"/>
      <c r="BFP88" s="163"/>
      <c r="BFQ88" s="163"/>
      <c r="BFR88" s="163"/>
      <c r="BFS88" s="163"/>
      <c r="BFT88" s="163"/>
      <c r="BFU88" s="163"/>
      <c r="BFV88" s="163"/>
      <c r="BFW88" s="163"/>
      <c r="BFX88" s="163"/>
      <c r="BFY88" s="163"/>
      <c r="BFZ88" s="163"/>
      <c r="BGA88" s="163"/>
      <c r="BGB88" s="163"/>
      <c r="BGC88" s="163"/>
      <c r="BGD88" s="163"/>
      <c r="BGE88" s="163"/>
      <c r="BGF88" s="163"/>
      <c r="BGG88" s="163"/>
      <c r="BGH88" s="163"/>
      <c r="BGI88" s="163"/>
      <c r="BGJ88" s="163"/>
      <c r="BGK88" s="163"/>
      <c r="BGL88" s="163"/>
      <c r="BGM88" s="163"/>
      <c r="BGN88" s="163"/>
      <c r="BGO88" s="163"/>
      <c r="BGP88" s="163"/>
      <c r="BGQ88" s="163"/>
      <c r="BGR88" s="163"/>
      <c r="BGS88" s="163"/>
      <c r="BGT88" s="163"/>
      <c r="BGU88" s="163"/>
      <c r="BGV88" s="163"/>
      <c r="BGW88" s="163"/>
      <c r="BGX88" s="163"/>
      <c r="BGY88" s="163"/>
      <c r="BGZ88" s="163"/>
      <c r="BHA88" s="163"/>
      <c r="BHB88" s="163"/>
      <c r="BHC88" s="163"/>
      <c r="BHD88" s="163"/>
      <c r="BHE88" s="163"/>
      <c r="BHF88" s="163"/>
      <c r="BHG88" s="163"/>
      <c r="BHH88" s="163"/>
      <c r="BHI88" s="163"/>
      <c r="BHJ88" s="163"/>
      <c r="BHK88" s="163"/>
      <c r="BHL88" s="163"/>
      <c r="BHM88" s="163"/>
      <c r="BHN88" s="163"/>
      <c r="BHO88" s="163"/>
      <c r="BHP88" s="163"/>
      <c r="BHQ88" s="163"/>
      <c r="BHR88" s="163"/>
      <c r="BHS88" s="163"/>
      <c r="BHT88" s="163"/>
      <c r="BHU88" s="163"/>
      <c r="BHV88" s="163"/>
      <c r="BHW88" s="163"/>
      <c r="BHX88" s="163"/>
      <c r="BHY88" s="163"/>
      <c r="BHZ88" s="163"/>
      <c r="BIA88" s="163"/>
      <c r="BIB88" s="163"/>
      <c r="BIC88" s="163"/>
      <c r="BID88" s="163"/>
      <c r="BIE88" s="163"/>
      <c r="BIF88" s="163"/>
      <c r="BIG88" s="163"/>
      <c r="BIH88" s="163"/>
      <c r="BII88" s="163"/>
      <c r="BIJ88" s="163"/>
      <c r="BIK88" s="163"/>
      <c r="BIL88" s="163"/>
      <c r="BIM88" s="163"/>
      <c r="BIN88" s="163"/>
      <c r="BIO88" s="163"/>
      <c r="BIP88" s="163"/>
      <c r="BIQ88" s="163"/>
      <c r="BIR88" s="163"/>
      <c r="BIS88" s="163"/>
      <c r="BIT88" s="163"/>
      <c r="BIU88" s="163"/>
      <c r="BIV88" s="163"/>
      <c r="BIW88" s="163"/>
      <c r="BIX88" s="163"/>
      <c r="BIY88" s="163"/>
      <c r="BIZ88" s="163"/>
      <c r="BJA88" s="163"/>
      <c r="BJB88" s="163"/>
      <c r="BJC88" s="163"/>
      <c r="BJD88" s="163"/>
      <c r="BJE88" s="163"/>
      <c r="BJF88" s="163"/>
      <c r="BJG88" s="163"/>
      <c r="BJH88" s="163"/>
      <c r="BJI88" s="163"/>
      <c r="BJJ88" s="163"/>
      <c r="BJK88" s="163"/>
      <c r="BJL88" s="163"/>
      <c r="BJM88" s="163"/>
      <c r="BJN88" s="163"/>
      <c r="BJO88" s="163"/>
      <c r="BJP88" s="163"/>
      <c r="BJQ88" s="163"/>
      <c r="BJR88" s="163"/>
      <c r="BJS88" s="163"/>
      <c r="BJT88" s="163"/>
      <c r="BJU88" s="163"/>
      <c r="BJV88" s="163"/>
      <c r="BJW88" s="163"/>
      <c r="BJX88" s="163"/>
      <c r="BJY88" s="163"/>
      <c r="BJZ88" s="163"/>
      <c r="BKA88" s="163"/>
      <c r="BKB88" s="163"/>
      <c r="BKC88" s="163"/>
      <c r="BKD88" s="163"/>
      <c r="BKE88" s="163"/>
      <c r="BKF88" s="163"/>
      <c r="BKG88" s="163"/>
      <c r="BKH88" s="163"/>
      <c r="BKI88" s="163"/>
      <c r="BKJ88" s="163"/>
      <c r="BKK88" s="163"/>
      <c r="BKL88" s="163"/>
      <c r="BKM88" s="163"/>
      <c r="BKN88" s="163"/>
      <c r="BKO88" s="163"/>
      <c r="BKP88" s="163"/>
      <c r="BKQ88" s="163"/>
      <c r="BKR88" s="163"/>
      <c r="BKS88" s="163"/>
      <c r="BKT88" s="163"/>
      <c r="BKU88" s="163"/>
      <c r="BKV88" s="163"/>
      <c r="BKW88" s="163"/>
      <c r="BKX88" s="163"/>
      <c r="BKY88" s="163"/>
      <c r="BKZ88" s="163"/>
      <c r="BLA88" s="163"/>
      <c r="BLB88" s="163"/>
      <c r="BLC88" s="163"/>
      <c r="BLD88" s="163"/>
      <c r="BLE88" s="163"/>
      <c r="BLF88" s="163"/>
      <c r="BLG88" s="163"/>
      <c r="BLH88" s="163"/>
      <c r="BLI88" s="163"/>
      <c r="BLJ88" s="163"/>
      <c r="BLK88" s="163"/>
      <c r="BLL88" s="163"/>
      <c r="BLM88" s="163"/>
      <c r="BLN88" s="163"/>
      <c r="BLO88" s="163"/>
      <c r="BLP88" s="163"/>
      <c r="BLQ88" s="163"/>
      <c r="BLR88" s="163"/>
      <c r="BLS88" s="163"/>
      <c r="BLT88" s="163"/>
      <c r="BLU88" s="163"/>
      <c r="BLV88" s="163"/>
      <c r="BLW88" s="163"/>
      <c r="BLX88" s="163"/>
      <c r="BLY88" s="163"/>
      <c r="BLZ88" s="163"/>
      <c r="BMA88" s="163"/>
      <c r="BMB88" s="163"/>
      <c r="BMC88" s="163"/>
      <c r="BMD88" s="163"/>
      <c r="BME88" s="163"/>
      <c r="BMF88" s="163"/>
      <c r="BMG88" s="163"/>
      <c r="BMH88" s="163"/>
      <c r="BMI88" s="163"/>
      <c r="BMJ88" s="163"/>
      <c r="BMK88" s="163"/>
      <c r="BML88" s="163"/>
      <c r="BMM88" s="163"/>
      <c r="BMN88" s="163"/>
      <c r="BMO88" s="163"/>
      <c r="BMP88" s="163"/>
      <c r="BMQ88" s="163"/>
      <c r="BMR88" s="163"/>
      <c r="BMS88" s="163"/>
      <c r="BMT88" s="163"/>
      <c r="BMU88" s="163"/>
      <c r="BMV88" s="163"/>
      <c r="BMW88" s="163"/>
      <c r="BMX88" s="163"/>
      <c r="BMY88" s="163"/>
      <c r="BMZ88" s="163"/>
      <c r="BNA88" s="163"/>
      <c r="BNB88" s="163"/>
      <c r="BNC88" s="163"/>
      <c r="BND88" s="163"/>
      <c r="BNE88" s="163"/>
      <c r="BNF88" s="163"/>
      <c r="BNG88" s="163"/>
      <c r="BNH88" s="163"/>
      <c r="BNI88" s="163"/>
      <c r="BNJ88" s="163"/>
      <c r="BNK88" s="163"/>
      <c r="BNL88" s="163"/>
      <c r="BNM88" s="163"/>
      <c r="BNN88" s="163"/>
      <c r="BNO88" s="163"/>
      <c r="BNP88" s="163"/>
      <c r="BNQ88" s="163"/>
      <c r="BNR88" s="163"/>
      <c r="BNS88" s="163"/>
      <c r="BNT88" s="163"/>
      <c r="BNU88" s="163"/>
      <c r="BNV88" s="163"/>
      <c r="BNW88" s="163"/>
      <c r="BNX88" s="163"/>
      <c r="BNY88" s="163"/>
      <c r="BNZ88" s="163"/>
      <c r="BOA88" s="163"/>
      <c r="BOB88" s="163"/>
      <c r="BOC88" s="163"/>
      <c r="BOD88" s="163"/>
      <c r="BOE88" s="163"/>
      <c r="BOF88" s="163"/>
      <c r="BOG88" s="163"/>
      <c r="BOH88" s="163"/>
      <c r="BOI88" s="163"/>
      <c r="BOJ88" s="163"/>
      <c r="BOK88" s="163"/>
      <c r="BOL88" s="163"/>
      <c r="BOM88" s="163"/>
      <c r="BON88" s="163"/>
      <c r="BOO88" s="163"/>
      <c r="BOP88" s="163"/>
      <c r="BOQ88" s="163"/>
      <c r="BOR88" s="163"/>
      <c r="BOS88" s="163"/>
      <c r="BOT88" s="163"/>
      <c r="BOU88" s="163"/>
      <c r="BOV88" s="163"/>
      <c r="BOW88" s="163"/>
      <c r="BOX88" s="163"/>
      <c r="BOY88" s="163"/>
      <c r="BOZ88" s="163"/>
      <c r="BPA88" s="163"/>
      <c r="BPB88" s="163"/>
      <c r="BPC88" s="163"/>
      <c r="BPD88" s="163"/>
      <c r="BPE88" s="163"/>
      <c r="BPF88" s="163"/>
      <c r="BPG88" s="163"/>
      <c r="BPH88" s="163"/>
      <c r="BPI88" s="163"/>
      <c r="BPJ88" s="163"/>
      <c r="BPK88" s="163"/>
      <c r="BPL88" s="163"/>
      <c r="BPM88" s="163"/>
      <c r="BPN88" s="163"/>
      <c r="BPO88" s="163"/>
      <c r="BPP88" s="163"/>
      <c r="BPQ88" s="163"/>
      <c r="BPR88" s="163"/>
      <c r="BPS88" s="163"/>
      <c r="BPT88" s="163"/>
      <c r="BPU88" s="163"/>
      <c r="BPV88" s="163"/>
      <c r="BPW88" s="163"/>
      <c r="BPX88" s="163"/>
      <c r="BPY88" s="163"/>
      <c r="BPZ88" s="163"/>
      <c r="BQA88" s="163"/>
      <c r="BQB88" s="163"/>
      <c r="BQC88" s="163"/>
      <c r="BQD88" s="163"/>
      <c r="BQE88" s="163"/>
      <c r="BQF88" s="163"/>
      <c r="BQG88" s="163"/>
      <c r="BQH88" s="163"/>
      <c r="BQI88" s="163"/>
      <c r="BQJ88" s="163"/>
      <c r="BQK88" s="163"/>
      <c r="BQL88" s="163"/>
      <c r="BQM88" s="163"/>
      <c r="BQN88" s="163"/>
      <c r="BQO88" s="163"/>
      <c r="BQP88" s="163"/>
      <c r="BQQ88" s="163"/>
      <c r="BQR88" s="163"/>
      <c r="BQS88" s="163"/>
      <c r="BQT88" s="163"/>
      <c r="BQU88" s="163"/>
      <c r="BQV88" s="163"/>
      <c r="BQW88" s="163"/>
      <c r="BQX88" s="163"/>
      <c r="BQY88" s="163"/>
      <c r="BQZ88" s="163"/>
      <c r="BRA88" s="163"/>
      <c r="BRB88" s="163"/>
      <c r="BRC88" s="163"/>
      <c r="BRD88" s="163"/>
      <c r="BRE88" s="163"/>
      <c r="BRF88" s="163"/>
      <c r="BRG88" s="163"/>
      <c r="BRH88" s="163"/>
      <c r="BRI88" s="163"/>
      <c r="BRJ88" s="163"/>
      <c r="BRK88" s="163"/>
      <c r="BRL88" s="163"/>
      <c r="BRM88" s="163"/>
      <c r="BRN88" s="163"/>
      <c r="BRO88" s="163"/>
      <c r="BRP88" s="163"/>
      <c r="BRQ88" s="163"/>
      <c r="BRR88" s="163"/>
      <c r="BRS88" s="163"/>
      <c r="BRT88" s="163"/>
      <c r="BRU88" s="163"/>
      <c r="BRV88" s="163"/>
      <c r="BRW88" s="163"/>
      <c r="BRX88" s="163"/>
      <c r="BRY88" s="163"/>
      <c r="BRZ88" s="163"/>
      <c r="BSA88" s="163"/>
      <c r="BSB88" s="163"/>
      <c r="BSC88" s="163"/>
      <c r="BSD88" s="163"/>
      <c r="BSE88" s="163"/>
      <c r="BSF88" s="163"/>
      <c r="BSG88" s="163"/>
      <c r="BSH88" s="163"/>
      <c r="BSI88" s="163"/>
      <c r="BSJ88" s="163"/>
      <c r="BSK88" s="163"/>
      <c r="BSL88" s="163"/>
      <c r="BSM88" s="163"/>
      <c r="BSN88" s="163"/>
      <c r="BSO88" s="163"/>
      <c r="BSP88" s="163"/>
      <c r="BSQ88" s="163"/>
      <c r="BSR88" s="163"/>
      <c r="BSS88" s="163"/>
      <c r="BST88" s="163"/>
      <c r="BSU88" s="163"/>
      <c r="BSV88" s="163"/>
      <c r="BSW88" s="163"/>
      <c r="BSX88" s="163"/>
      <c r="BSY88" s="163"/>
      <c r="BSZ88" s="163"/>
      <c r="BTA88" s="163"/>
      <c r="BTB88" s="163"/>
      <c r="BTC88" s="163"/>
      <c r="BTD88" s="163"/>
      <c r="BTE88" s="163"/>
      <c r="BTF88" s="163"/>
      <c r="BTG88" s="163"/>
      <c r="BTH88" s="163"/>
      <c r="BTI88" s="163"/>
      <c r="BTJ88" s="163"/>
      <c r="BTK88" s="163"/>
      <c r="BTL88" s="163"/>
      <c r="BTM88" s="163"/>
      <c r="BTN88" s="163"/>
      <c r="BTO88" s="163"/>
      <c r="BTP88" s="163"/>
      <c r="BTQ88" s="163"/>
      <c r="BTR88" s="163"/>
      <c r="BTS88" s="163"/>
      <c r="BTT88" s="163"/>
      <c r="BTU88" s="163"/>
      <c r="BTV88" s="163"/>
      <c r="BTW88" s="163"/>
      <c r="BTX88" s="163"/>
      <c r="BTY88" s="163"/>
      <c r="BTZ88" s="163"/>
      <c r="BUA88" s="163"/>
      <c r="BUB88" s="163"/>
      <c r="BUC88" s="163"/>
      <c r="BUD88" s="163"/>
      <c r="BUE88" s="163"/>
      <c r="BUF88" s="163"/>
      <c r="BUG88" s="163"/>
      <c r="BUH88" s="163"/>
      <c r="BUI88" s="163"/>
      <c r="BUJ88" s="163"/>
      <c r="BUK88" s="163"/>
      <c r="BUL88" s="163"/>
      <c r="BUM88" s="163"/>
      <c r="BUN88" s="163"/>
      <c r="BUO88" s="163"/>
      <c r="BUP88" s="163"/>
      <c r="BUQ88" s="163"/>
      <c r="BUR88" s="163"/>
      <c r="BUS88" s="163"/>
      <c r="BUT88" s="163"/>
      <c r="BUU88" s="163"/>
      <c r="BUV88" s="163"/>
      <c r="BUW88" s="163"/>
      <c r="BUX88" s="163"/>
      <c r="BUY88" s="163"/>
      <c r="BUZ88" s="163"/>
      <c r="BVA88" s="163"/>
      <c r="BVB88" s="163"/>
      <c r="BVC88" s="163"/>
      <c r="BVD88" s="163"/>
      <c r="BVE88" s="163"/>
      <c r="BVF88" s="163"/>
      <c r="BVG88" s="163"/>
      <c r="BVH88" s="163"/>
      <c r="BVI88" s="163"/>
      <c r="BVJ88" s="163"/>
      <c r="BVK88" s="163"/>
      <c r="BVL88" s="163"/>
      <c r="BVM88" s="163"/>
      <c r="BVN88" s="163"/>
      <c r="BVO88" s="163"/>
      <c r="BVP88" s="163"/>
      <c r="BVQ88" s="163"/>
      <c r="BVR88" s="163"/>
      <c r="BVS88" s="163"/>
      <c r="BVT88" s="163"/>
      <c r="BVU88" s="163"/>
      <c r="BVV88" s="163"/>
      <c r="BVW88" s="163"/>
      <c r="BVX88" s="163"/>
      <c r="BVY88" s="163"/>
      <c r="BVZ88" s="163"/>
      <c r="BWA88" s="163"/>
      <c r="BWB88" s="163"/>
      <c r="BWC88" s="163"/>
      <c r="BWD88" s="163"/>
      <c r="BWE88" s="163"/>
      <c r="BWF88" s="163"/>
      <c r="BWG88" s="163"/>
      <c r="BWH88" s="163"/>
      <c r="BWI88" s="163"/>
      <c r="BWJ88" s="163"/>
      <c r="BWK88" s="163"/>
      <c r="BWL88" s="163"/>
      <c r="BWM88" s="163"/>
      <c r="BWN88" s="163"/>
      <c r="BWO88" s="163"/>
      <c r="BWP88" s="163"/>
      <c r="BWQ88" s="163"/>
      <c r="BWR88" s="163"/>
      <c r="BWS88" s="163"/>
      <c r="BWT88" s="163"/>
      <c r="BWU88" s="163"/>
      <c r="BWV88" s="163"/>
      <c r="BWW88" s="163"/>
      <c r="BWX88" s="163"/>
      <c r="BWY88" s="163"/>
      <c r="BWZ88" s="163"/>
      <c r="BXA88" s="163"/>
      <c r="BXB88" s="163"/>
      <c r="BXC88" s="163"/>
      <c r="BXD88" s="163"/>
      <c r="BXE88" s="163"/>
      <c r="BXF88" s="163"/>
      <c r="BXG88" s="163"/>
      <c r="BXH88" s="163"/>
      <c r="BXI88" s="163"/>
      <c r="BXJ88" s="163"/>
      <c r="BXK88" s="163"/>
      <c r="BXL88" s="163"/>
      <c r="BXM88" s="163"/>
      <c r="BXN88" s="163"/>
      <c r="BXO88" s="163"/>
      <c r="BXP88" s="163"/>
      <c r="BXQ88" s="163"/>
      <c r="BXR88" s="163"/>
      <c r="BXS88" s="163"/>
      <c r="BXT88" s="163"/>
      <c r="BXU88" s="163"/>
      <c r="BXV88" s="163"/>
      <c r="BXW88" s="163"/>
      <c r="BXX88" s="163"/>
      <c r="BXY88" s="163"/>
      <c r="BXZ88" s="163"/>
      <c r="BYA88" s="163"/>
      <c r="BYB88" s="163"/>
      <c r="BYC88" s="163"/>
      <c r="BYD88" s="163"/>
      <c r="BYE88" s="163"/>
      <c r="BYF88" s="163"/>
      <c r="BYG88" s="163"/>
      <c r="BYH88" s="163"/>
      <c r="BYI88" s="163"/>
      <c r="BYJ88" s="163"/>
      <c r="BYK88" s="163"/>
      <c r="BYL88" s="163"/>
      <c r="BYM88" s="163"/>
      <c r="BYN88" s="163"/>
      <c r="BYO88" s="163"/>
      <c r="BYP88" s="163"/>
      <c r="BYQ88" s="163"/>
      <c r="BYR88" s="163"/>
      <c r="BYS88" s="163"/>
      <c r="BYT88" s="163"/>
      <c r="BYU88" s="163"/>
      <c r="BYV88" s="163"/>
      <c r="BYW88" s="163"/>
      <c r="BYX88" s="163"/>
      <c r="BYY88" s="163"/>
      <c r="BYZ88" s="163"/>
      <c r="BZA88" s="163"/>
      <c r="BZB88" s="163"/>
      <c r="BZC88" s="163"/>
      <c r="BZD88" s="163"/>
      <c r="BZE88" s="163"/>
      <c r="BZF88" s="163"/>
      <c r="BZG88" s="163"/>
      <c r="BZH88" s="163"/>
      <c r="BZI88" s="163"/>
      <c r="BZJ88" s="163"/>
      <c r="BZK88" s="163"/>
      <c r="BZL88" s="163"/>
      <c r="BZM88" s="163"/>
      <c r="BZN88" s="163"/>
      <c r="BZO88" s="163"/>
      <c r="BZP88" s="163"/>
      <c r="BZQ88" s="163"/>
      <c r="BZR88" s="163"/>
      <c r="BZS88" s="163"/>
      <c r="BZT88" s="163"/>
      <c r="BZU88" s="163"/>
      <c r="BZV88" s="163"/>
      <c r="BZW88" s="163"/>
      <c r="BZX88" s="163"/>
      <c r="BZY88" s="163"/>
      <c r="BZZ88" s="163"/>
      <c r="CAA88" s="163"/>
      <c r="CAB88" s="163"/>
      <c r="CAC88" s="163"/>
      <c r="CAD88" s="163"/>
      <c r="CAE88" s="163"/>
      <c r="CAF88" s="163"/>
      <c r="CAG88" s="163"/>
      <c r="CAH88" s="163"/>
      <c r="CAI88" s="163"/>
      <c r="CAJ88" s="163"/>
      <c r="CAK88" s="163"/>
      <c r="CAL88" s="163"/>
      <c r="CAM88" s="163"/>
      <c r="CAN88" s="163"/>
      <c r="CAO88" s="163"/>
      <c r="CAP88" s="163"/>
      <c r="CAQ88" s="163"/>
      <c r="CAR88" s="163"/>
      <c r="CAS88" s="163"/>
      <c r="CAT88" s="163"/>
      <c r="CAU88" s="163"/>
      <c r="CAV88" s="163"/>
      <c r="CAW88" s="163"/>
      <c r="CAX88" s="163"/>
      <c r="CAY88" s="163"/>
      <c r="CAZ88" s="163"/>
      <c r="CBA88" s="163"/>
      <c r="CBB88" s="163"/>
      <c r="CBC88" s="163"/>
      <c r="CBD88" s="163"/>
      <c r="CBE88" s="163"/>
      <c r="CBF88" s="163"/>
      <c r="CBG88" s="163"/>
      <c r="CBH88" s="163"/>
      <c r="CBI88" s="163"/>
      <c r="CBJ88" s="163"/>
      <c r="CBK88" s="163"/>
      <c r="CBL88" s="163"/>
      <c r="CBM88" s="163"/>
      <c r="CBN88" s="163"/>
      <c r="CBO88" s="163"/>
      <c r="CBP88" s="163"/>
      <c r="CBQ88" s="163"/>
      <c r="CBR88" s="163"/>
      <c r="CBS88" s="163"/>
      <c r="CBT88" s="163"/>
      <c r="CBU88" s="163"/>
      <c r="CBV88" s="163"/>
      <c r="CBW88" s="163"/>
      <c r="CBX88" s="163"/>
      <c r="CBY88" s="163"/>
      <c r="CBZ88" s="163"/>
      <c r="CCA88" s="163"/>
      <c r="CCB88" s="163"/>
      <c r="CCC88" s="163"/>
      <c r="CCD88" s="163"/>
      <c r="CCE88" s="163"/>
      <c r="CCF88" s="163"/>
      <c r="CCG88" s="163"/>
      <c r="CCH88" s="163"/>
      <c r="CCI88" s="163"/>
      <c r="CCJ88" s="163"/>
      <c r="CCK88" s="163"/>
      <c r="CCL88" s="163"/>
      <c r="CCM88" s="163"/>
      <c r="CCN88" s="163"/>
      <c r="CCO88" s="163"/>
      <c r="CCP88" s="163"/>
      <c r="CCQ88" s="163"/>
      <c r="CCR88" s="163"/>
      <c r="CCS88" s="163"/>
      <c r="CCT88" s="163"/>
      <c r="CCU88" s="163"/>
      <c r="CCV88" s="163"/>
      <c r="CCW88" s="163"/>
      <c r="CCX88" s="163"/>
      <c r="CCY88" s="163"/>
      <c r="CCZ88" s="163"/>
      <c r="CDA88" s="163"/>
      <c r="CDB88" s="163"/>
      <c r="CDC88" s="163"/>
      <c r="CDD88" s="163"/>
      <c r="CDE88" s="163"/>
      <c r="CDF88" s="163"/>
      <c r="CDG88" s="163"/>
      <c r="CDH88" s="163"/>
      <c r="CDI88" s="163"/>
      <c r="CDJ88" s="163"/>
      <c r="CDK88" s="163"/>
      <c r="CDL88" s="163"/>
      <c r="CDM88" s="163"/>
      <c r="CDN88" s="163"/>
      <c r="CDO88" s="163"/>
      <c r="CDP88" s="163"/>
      <c r="CDQ88" s="163"/>
      <c r="CDR88" s="163"/>
      <c r="CDS88" s="163"/>
      <c r="CDT88" s="163"/>
      <c r="CDU88" s="163"/>
      <c r="CDV88" s="163"/>
      <c r="CDW88" s="163"/>
      <c r="CDX88" s="163"/>
      <c r="CDY88" s="163"/>
      <c r="CDZ88" s="163"/>
      <c r="CEA88" s="163"/>
      <c r="CEB88" s="163"/>
      <c r="CEC88" s="163"/>
      <c r="CED88" s="163"/>
      <c r="CEE88" s="163"/>
      <c r="CEF88" s="163"/>
      <c r="CEG88" s="163"/>
      <c r="CEH88" s="163"/>
      <c r="CEI88" s="163"/>
      <c r="CEJ88" s="163"/>
      <c r="CEK88" s="163"/>
      <c r="CEL88" s="163"/>
      <c r="CEM88" s="163"/>
      <c r="CEN88" s="163"/>
      <c r="CEO88" s="163"/>
      <c r="CEP88" s="163"/>
      <c r="CEQ88" s="163"/>
      <c r="CER88" s="163"/>
      <c r="CES88" s="163"/>
      <c r="CET88" s="163"/>
      <c r="CEU88" s="163"/>
      <c r="CEV88" s="163"/>
      <c r="CEW88" s="163"/>
      <c r="CEX88" s="163"/>
      <c r="CEY88" s="163"/>
      <c r="CEZ88" s="163"/>
      <c r="CFA88" s="163"/>
      <c r="CFB88" s="163"/>
      <c r="CFC88" s="163"/>
      <c r="CFD88" s="163"/>
      <c r="CFE88" s="163"/>
      <c r="CFF88" s="163"/>
      <c r="CFG88" s="163"/>
      <c r="CFH88" s="163"/>
      <c r="CFI88" s="163"/>
      <c r="CFJ88" s="163"/>
      <c r="CFK88" s="163"/>
      <c r="CFL88" s="163"/>
      <c r="CFM88" s="163"/>
      <c r="CFN88" s="163"/>
      <c r="CFO88" s="163"/>
      <c r="CFP88" s="163"/>
      <c r="CFQ88" s="163"/>
      <c r="CFR88" s="163"/>
      <c r="CFS88" s="163"/>
      <c r="CFT88" s="163"/>
      <c r="CFU88" s="163"/>
      <c r="CFV88" s="163"/>
      <c r="CFW88" s="163"/>
      <c r="CFX88" s="163"/>
      <c r="CFY88" s="163"/>
      <c r="CFZ88" s="163"/>
      <c r="CGA88" s="163"/>
      <c r="CGB88" s="163"/>
      <c r="CGC88" s="163"/>
      <c r="CGD88" s="163"/>
      <c r="CGE88" s="163"/>
      <c r="CGF88" s="163"/>
      <c r="CGG88" s="163"/>
      <c r="CGH88" s="163"/>
      <c r="CGI88" s="163"/>
      <c r="CGJ88" s="163"/>
      <c r="CGK88" s="163"/>
      <c r="CGL88" s="163"/>
      <c r="CGM88" s="163"/>
      <c r="CGN88" s="163"/>
      <c r="CGO88" s="163"/>
      <c r="CGP88" s="163"/>
      <c r="CGQ88" s="163"/>
      <c r="CGR88" s="163"/>
      <c r="CGS88" s="163"/>
      <c r="CGT88" s="163"/>
      <c r="CGU88" s="163"/>
      <c r="CGV88" s="163"/>
      <c r="CGW88" s="163"/>
      <c r="CGX88" s="163"/>
      <c r="CGY88" s="163"/>
      <c r="CGZ88" s="163"/>
      <c r="CHA88" s="163"/>
      <c r="CHB88" s="163"/>
      <c r="CHC88" s="163"/>
      <c r="CHD88" s="163"/>
      <c r="CHE88" s="163"/>
      <c r="CHF88" s="163"/>
      <c r="CHG88" s="163"/>
      <c r="CHH88" s="163"/>
      <c r="CHI88" s="163"/>
      <c r="CHJ88" s="163"/>
      <c r="CHK88" s="163"/>
      <c r="CHL88" s="163"/>
      <c r="CHM88" s="163"/>
      <c r="CHN88" s="163"/>
      <c r="CHO88" s="163"/>
      <c r="CHP88" s="163"/>
      <c r="CHQ88" s="163"/>
      <c r="CHR88" s="163"/>
      <c r="CHS88" s="163"/>
      <c r="CHT88" s="163"/>
      <c r="CHU88" s="163"/>
      <c r="CHV88" s="163"/>
      <c r="CHW88" s="163"/>
      <c r="CHX88" s="163"/>
      <c r="CHY88" s="163"/>
      <c r="CHZ88" s="163"/>
      <c r="CIA88" s="163"/>
      <c r="CIB88" s="163"/>
      <c r="CIC88" s="163"/>
      <c r="CID88" s="163"/>
      <c r="CIE88" s="163"/>
      <c r="CIF88" s="163"/>
      <c r="CIG88" s="163"/>
      <c r="CIH88" s="163"/>
      <c r="CII88" s="163"/>
      <c r="CIJ88" s="163"/>
      <c r="CIK88" s="163"/>
      <c r="CIL88" s="163"/>
      <c r="CIM88" s="163"/>
      <c r="CIN88" s="163"/>
      <c r="CIO88" s="163"/>
      <c r="CIP88" s="163"/>
      <c r="CIQ88" s="163"/>
      <c r="CIR88" s="163"/>
      <c r="CIS88" s="163"/>
      <c r="CIT88" s="163"/>
      <c r="CIU88" s="163"/>
      <c r="CIV88" s="163"/>
      <c r="CIW88" s="163"/>
      <c r="CIX88" s="163"/>
      <c r="CIY88" s="163"/>
      <c r="CIZ88" s="163"/>
      <c r="CJA88" s="163"/>
      <c r="CJB88" s="163"/>
      <c r="CJC88" s="163"/>
      <c r="CJD88" s="163"/>
      <c r="CJE88" s="163"/>
      <c r="CJF88" s="163"/>
      <c r="CJG88" s="163"/>
      <c r="CJH88" s="163"/>
      <c r="CJI88" s="163"/>
      <c r="CJJ88" s="163"/>
      <c r="CJK88" s="163"/>
      <c r="CJL88" s="163"/>
      <c r="CJM88" s="163"/>
      <c r="CJN88" s="163"/>
      <c r="CJO88" s="163"/>
      <c r="CJP88" s="163"/>
      <c r="CJQ88" s="163"/>
      <c r="CJR88" s="163"/>
      <c r="CJS88" s="163"/>
      <c r="CJT88" s="163"/>
      <c r="CJU88" s="163"/>
      <c r="CJV88" s="163"/>
      <c r="CJW88" s="163"/>
      <c r="CJX88" s="163"/>
      <c r="CJY88" s="163"/>
      <c r="CJZ88" s="163"/>
      <c r="CKA88" s="163"/>
      <c r="CKB88" s="163"/>
      <c r="CKC88" s="163"/>
      <c r="CKD88" s="163"/>
      <c r="CKE88" s="163"/>
      <c r="CKF88" s="163"/>
      <c r="CKG88" s="163"/>
      <c r="CKH88" s="163"/>
      <c r="CKI88" s="163"/>
      <c r="CKJ88" s="163"/>
      <c r="CKK88" s="163"/>
      <c r="CKL88" s="163"/>
      <c r="CKM88" s="163"/>
      <c r="CKN88" s="163"/>
      <c r="CKO88" s="163"/>
      <c r="CKP88" s="163"/>
      <c r="CKQ88" s="163"/>
      <c r="CKR88" s="163"/>
      <c r="CKS88" s="163"/>
      <c r="CKT88" s="163"/>
      <c r="CKU88" s="163"/>
      <c r="CKV88" s="163"/>
      <c r="CKW88" s="163"/>
      <c r="CKX88" s="163"/>
      <c r="CKY88" s="163"/>
      <c r="CKZ88" s="163"/>
      <c r="CLA88" s="163"/>
      <c r="CLB88" s="163"/>
      <c r="CLC88" s="163"/>
      <c r="CLD88" s="163"/>
      <c r="CLE88" s="163"/>
      <c r="CLF88" s="163"/>
      <c r="CLG88" s="163"/>
      <c r="CLH88" s="163"/>
      <c r="CLI88" s="163"/>
      <c r="CLJ88" s="163"/>
      <c r="CLK88" s="163"/>
      <c r="CLL88" s="163"/>
      <c r="CLM88" s="163"/>
      <c r="CLN88" s="163"/>
      <c r="CLO88" s="163"/>
      <c r="CLP88" s="163"/>
      <c r="CLQ88" s="163"/>
      <c r="CLR88" s="163"/>
      <c r="CLS88" s="163"/>
      <c r="CLT88" s="163"/>
      <c r="CLU88" s="163"/>
      <c r="CLV88" s="163"/>
      <c r="CLW88" s="163"/>
      <c r="CLX88" s="163"/>
      <c r="CLY88" s="163"/>
      <c r="CLZ88" s="163"/>
      <c r="CMA88" s="163"/>
      <c r="CMB88" s="163"/>
      <c r="CMC88" s="163"/>
      <c r="CMD88" s="163"/>
      <c r="CME88" s="163"/>
      <c r="CMF88" s="163"/>
      <c r="CMG88" s="163"/>
      <c r="CMH88" s="163"/>
      <c r="CMI88" s="163"/>
      <c r="CMJ88" s="163"/>
      <c r="CMK88" s="163"/>
      <c r="CML88" s="163"/>
      <c r="CMM88" s="163"/>
      <c r="CMN88" s="163"/>
      <c r="CMO88" s="163"/>
      <c r="CMP88" s="163"/>
      <c r="CMQ88" s="163"/>
      <c r="CMR88" s="163"/>
      <c r="CMS88" s="163"/>
      <c r="CMT88" s="163"/>
      <c r="CMU88" s="163"/>
      <c r="CMV88" s="163"/>
      <c r="CMW88" s="163"/>
      <c r="CMX88" s="163"/>
      <c r="CMY88" s="163"/>
      <c r="CMZ88" s="163"/>
      <c r="CNA88" s="163"/>
      <c r="CNB88" s="163"/>
      <c r="CNC88" s="163"/>
      <c r="CND88" s="163"/>
      <c r="CNE88" s="163"/>
      <c r="CNF88" s="163"/>
      <c r="CNG88" s="163"/>
      <c r="CNH88" s="163"/>
      <c r="CNI88" s="163"/>
      <c r="CNJ88" s="163"/>
      <c r="CNK88" s="163"/>
      <c r="CNL88" s="163"/>
      <c r="CNM88" s="163"/>
      <c r="CNN88" s="163"/>
      <c r="CNO88" s="163"/>
      <c r="CNP88" s="163"/>
      <c r="CNQ88" s="163"/>
      <c r="CNR88" s="163"/>
      <c r="CNS88" s="163"/>
      <c r="CNT88" s="163"/>
      <c r="CNU88" s="163"/>
      <c r="CNV88" s="163"/>
      <c r="CNW88" s="163"/>
      <c r="CNX88" s="163"/>
      <c r="CNY88" s="163"/>
      <c r="CNZ88" s="163"/>
      <c r="COA88" s="163"/>
      <c r="COB88" s="163"/>
      <c r="COC88" s="163"/>
      <c r="COD88" s="163"/>
      <c r="COE88" s="163"/>
      <c r="COF88" s="163"/>
      <c r="COG88" s="163"/>
      <c r="COH88" s="163"/>
      <c r="COI88" s="163"/>
      <c r="COJ88" s="163"/>
      <c r="COK88" s="163"/>
      <c r="COL88" s="163"/>
      <c r="COM88" s="163"/>
      <c r="CON88" s="163"/>
      <c r="COO88" s="163"/>
      <c r="COP88" s="163"/>
      <c r="COQ88" s="163"/>
      <c r="COR88" s="163"/>
      <c r="COS88" s="163"/>
      <c r="COT88" s="163"/>
      <c r="COU88" s="163"/>
      <c r="COV88" s="163"/>
      <c r="COW88" s="163"/>
      <c r="COX88" s="163"/>
      <c r="COY88" s="163"/>
      <c r="COZ88" s="163"/>
      <c r="CPA88" s="163"/>
      <c r="CPB88" s="163"/>
      <c r="CPC88" s="163"/>
      <c r="CPD88" s="163"/>
      <c r="CPE88" s="163"/>
      <c r="CPF88" s="163"/>
      <c r="CPG88" s="163"/>
      <c r="CPH88" s="163"/>
      <c r="CPI88" s="163"/>
      <c r="CPJ88" s="163"/>
      <c r="CPK88" s="163"/>
      <c r="CPL88" s="163"/>
      <c r="CPM88" s="163"/>
      <c r="CPN88" s="163"/>
      <c r="CPO88" s="163"/>
      <c r="CPP88" s="163"/>
      <c r="CPQ88" s="163"/>
      <c r="CPR88" s="163"/>
      <c r="CPS88" s="163"/>
      <c r="CPT88" s="163"/>
      <c r="CPU88" s="163"/>
      <c r="CPV88" s="163"/>
      <c r="CPW88" s="163"/>
      <c r="CPX88" s="163"/>
      <c r="CPY88" s="163"/>
      <c r="CPZ88" s="163"/>
      <c r="CQA88" s="163"/>
      <c r="CQB88" s="163"/>
      <c r="CQC88" s="163"/>
      <c r="CQD88" s="163"/>
      <c r="CQE88" s="163"/>
      <c r="CQF88" s="163"/>
      <c r="CQG88" s="163"/>
      <c r="CQH88" s="163"/>
      <c r="CQI88" s="163"/>
      <c r="CQJ88" s="163"/>
      <c r="CQK88" s="163"/>
      <c r="CQL88" s="163"/>
      <c r="CQM88" s="163"/>
      <c r="CQN88" s="163"/>
      <c r="CQO88" s="163"/>
      <c r="CQP88" s="163"/>
      <c r="CQQ88" s="163"/>
      <c r="CQR88" s="163"/>
      <c r="CQS88" s="163"/>
      <c r="CQT88" s="163"/>
      <c r="CQU88" s="163"/>
      <c r="CQV88" s="163"/>
      <c r="CQW88" s="163"/>
      <c r="CQX88" s="163"/>
      <c r="CQY88" s="163"/>
      <c r="CQZ88" s="163"/>
      <c r="CRA88" s="163"/>
      <c r="CRB88" s="163"/>
      <c r="CRC88" s="163"/>
      <c r="CRD88" s="163"/>
      <c r="CRE88" s="163"/>
      <c r="CRF88" s="163"/>
      <c r="CRG88" s="163"/>
      <c r="CRH88" s="163"/>
      <c r="CRI88" s="163"/>
      <c r="CRJ88" s="163"/>
      <c r="CRK88" s="163"/>
      <c r="CRL88" s="163"/>
      <c r="CRM88" s="163"/>
      <c r="CRN88" s="163"/>
      <c r="CRO88" s="163"/>
      <c r="CRP88" s="163"/>
      <c r="CRQ88" s="163"/>
      <c r="CRR88" s="163"/>
      <c r="CRS88" s="163"/>
      <c r="CRT88" s="163"/>
      <c r="CRU88" s="163"/>
      <c r="CRV88" s="163"/>
      <c r="CRW88" s="163"/>
      <c r="CRX88" s="163"/>
      <c r="CRY88" s="163"/>
      <c r="CRZ88" s="163"/>
      <c r="CSA88" s="163"/>
      <c r="CSB88" s="163"/>
      <c r="CSC88" s="163"/>
      <c r="CSD88" s="163"/>
      <c r="CSE88" s="163"/>
      <c r="CSF88" s="163"/>
      <c r="CSG88" s="163"/>
      <c r="CSH88" s="163"/>
      <c r="CSI88" s="163"/>
      <c r="CSJ88" s="163"/>
      <c r="CSK88" s="163"/>
      <c r="CSL88" s="163"/>
      <c r="CSM88" s="163"/>
      <c r="CSN88" s="163"/>
      <c r="CSO88" s="163"/>
      <c r="CSP88" s="163"/>
      <c r="CSQ88" s="163"/>
      <c r="CSR88" s="163"/>
      <c r="CSS88" s="163"/>
      <c r="CST88" s="163"/>
      <c r="CSU88" s="163"/>
      <c r="CSV88" s="163"/>
      <c r="CSW88" s="163"/>
      <c r="CSX88" s="163"/>
      <c r="CSY88" s="163"/>
      <c r="CSZ88" s="163"/>
      <c r="CTA88" s="163"/>
      <c r="CTB88" s="163"/>
      <c r="CTC88" s="163"/>
      <c r="CTD88" s="163"/>
      <c r="CTE88" s="163"/>
      <c r="CTF88" s="163"/>
      <c r="CTG88" s="163"/>
      <c r="CTH88" s="163"/>
      <c r="CTI88" s="163"/>
      <c r="CTJ88" s="163"/>
      <c r="CTK88" s="163"/>
      <c r="CTL88" s="163"/>
      <c r="CTM88" s="163"/>
      <c r="CTN88" s="163"/>
      <c r="CTO88" s="163"/>
      <c r="CTP88" s="163"/>
      <c r="CTQ88" s="163"/>
      <c r="CTR88" s="163"/>
      <c r="CTS88" s="163"/>
      <c r="CTT88" s="163"/>
      <c r="CTU88" s="163"/>
      <c r="CTV88" s="163"/>
      <c r="CTW88" s="163"/>
      <c r="CTX88" s="163"/>
      <c r="CTY88" s="163"/>
      <c r="CTZ88" s="163"/>
      <c r="CUA88" s="163"/>
      <c r="CUB88" s="163"/>
      <c r="CUC88" s="163"/>
      <c r="CUD88" s="163"/>
      <c r="CUE88" s="163"/>
      <c r="CUF88" s="163"/>
      <c r="CUG88" s="163"/>
      <c r="CUH88" s="163"/>
      <c r="CUI88" s="163"/>
      <c r="CUJ88" s="163"/>
      <c r="CUK88" s="163"/>
      <c r="CUL88" s="163"/>
      <c r="CUM88" s="163"/>
      <c r="CUN88" s="163"/>
      <c r="CUO88" s="163"/>
      <c r="CUP88" s="163"/>
      <c r="CUQ88" s="163"/>
      <c r="CUR88" s="163"/>
      <c r="CUS88" s="163"/>
      <c r="CUT88" s="163"/>
      <c r="CUU88" s="163"/>
      <c r="CUV88" s="163"/>
      <c r="CUW88" s="163"/>
      <c r="CUX88" s="163"/>
      <c r="CUY88" s="163"/>
      <c r="CUZ88" s="163"/>
      <c r="CVA88" s="163"/>
      <c r="CVB88" s="163"/>
      <c r="CVC88" s="163"/>
      <c r="CVD88" s="163"/>
      <c r="CVE88" s="163"/>
      <c r="CVF88" s="163"/>
      <c r="CVG88" s="163"/>
      <c r="CVH88" s="163"/>
      <c r="CVI88" s="163"/>
      <c r="CVJ88" s="163"/>
      <c r="CVK88" s="163"/>
      <c r="CVL88" s="163"/>
      <c r="CVM88" s="163"/>
      <c r="CVN88" s="163"/>
      <c r="CVO88" s="163"/>
      <c r="CVP88" s="163"/>
      <c r="CVQ88" s="163"/>
      <c r="CVR88" s="163"/>
      <c r="CVS88" s="163"/>
      <c r="CVT88" s="163"/>
      <c r="CVU88" s="163"/>
      <c r="CVV88" s="163"/>
      <c r="CVW88" s="163"/>
      <c r="CVX88" s="163"/>
      <c r="CVY88" s="163"/>
      <c r="CVZ88" s="163"/>
      <c r="CWA88" s="163"/>
      <c r="CWB88" s="163"/>
      <c r="CWC88" s="163"/>
      <c r="CWD88" s="163"/>
      <c r="CWE88" s="163"/>
      <c r="CWF88" s="163"/>
      <c r="CWG88" s="163"/>
      <c r="CWH88" s="163"/>
      <c r="CWI88" s="163"/>
      <c r="CWJ88" s="163"/>
      <c r="CWK88" s="163"/>
      <c r="CWL88" s="163"/>
      <c r="CWM88" s="163"/>
      <c r="CWN88" s="163"/>
      <c r="CWO88" s="163"/>
      <c r="CWP88" s="163"/>
      <c r="CWQ88" s="163"/>
      <c r="CWR88" s="163"/>
      <c r="CWS88" s="163"/>
      <c r="CWT88" s="163"/>
      <c r="CWU88" s="163"/>
      <c r="CWV88" s="163"/>
      <c r="CWW88" s="163"/>
      <c r="CWX88" s="163"/>
      <c r="CWY88" s="163"/>
      <c r="CWZ88" s="163"/>
      <c r="CXA88" s="163"/>
      <c r="CXB88" s="163"/>
      <c r="CXC88" s="163"/>
      <c r="CXD88" s="163"/>
      <c r="CXE88" s="163"/>
      <c r="CXF88" s="163"/>
      <c r="CXG88" s="163"/>
      <c r="CXH88" s="163"/>
      <c r="CXI88" s="163"/>
      <c r="CXJ88" s="163"/>
      <c r="CXK88" s="163"/>
      <c r="CXL88" s="163"/>
      <c r="CXM88" s="163"/>
      <c r="CXN88" s="163"/>
      <c r="CXO88" s="163"/>
      <c r="CXP88" s="163"/>
      <c r="CXQ88" s="163"/>
      <c r="CXR88" s="163"/>
      <c r="CXS88" s="163"/>
      <c r="CXT88" s="163"/>
      <c r="CXU88" s="163"/>
      <c r="CXV88" s="163"/>
      <c r="CXW88" s="163"/>
      <c r="CXX88" s="163"/>
      <c r="CXY88" s="163"/>
      <c r="CXZ88" s="163"/>
      <c r="CYA88" s="163"/>
      <c r="CYB88" s="163"/>
      <c r="CYC88" s="163"/>
      <c r="CYD88" s="163"/>
      <c r="CYE88" s="163"/>
      <c r="CYF88" s="163"/>
      <c r="CYG88" s="163"/>
      <c r="CYH88" s="163"/>
      <c r="CYI88" s="163"/>
      <c r="CYJ88" s="163"/>
      <c r="CYK88" s="163"/>
      <c r="CYL88" s="163"/>
      <c r="CYM88" s="163"/>
      <c r="CYN88" s="163"/>
      <c r="CYO88" s="163"/>
      <c r="CYP88" s="163"/>
      <c r="CYQ88" s="163"/>
      <c r="CYR88" s="163"/>
      <c r="CYS88" s="163"/>
      <c r="CYT88" s="163"/>
      <c r="CYU88" s="163"/>
      <c r="CYV88" s="163"/>
      <c r="CYW88" s="163"/>
      <c r="CYX88" s="163"/>
      <c r="CYY88" s="163"/>
      <c r="CYZ88" s="163"/>
      <c r="CZA88" s="163"/>
      <c r="CZB88" s="163"/>
      <c r="CZC88" s="163"/>
      <c r="CZD88" s="163"/>
      <c r="CZE88" s="163"/>
      <c r="CZF88" s="163"/>
      <c r="CZG88" s="163"/>
      <c r="CZH88" s="163"/>
      <c r="CZI88" s="163"/>
      <c r="CZJ88" s="163"/>
      <c r="CZK88" s="163"/>
      <c r="CZL88" s="163"/>
      <c r="CZM88" s="163"/>
      <c r="CZN88" s="163"/>
      <c r="CZO88" s="163"/>
      <c r="CZP88" s="163"/>
      <c r="CZQ88" s="163"/>
      <c r="CZR88" s="163"/>
      <c r="CZS88" s="163"/>
      <c r="CZT88" s="163"/>
      <c r="CZU88" s="163"/>
      <c r="CZV88" s="163"/>
      <c r="CZW88" s="163"/>
      <c r="CZX88" s="163"/>
      <c r="CZY88" s="163"/>
      <c r="CZZ88" s="163"/>
      <c r="DAA88" s="163"/>
      <c r="DAB88" s="163"/>
      <c r="DAC88" s="163"/>
      <c r="DAD88" s="163"/>
      <c r="DAE88" s="163"/>
      <c r="DAF88" s="163"/>
      <c r="DAG88" s="163"/>
      <c r="DAH88" s="163"/>
      <c r="DAI88" s="163"/>
      <c r="DAJ88" s="163"/>
      <c r="DAK88" s="163"/>
      <c r="DAL88" s="163"/>
      <c r="DAM88" s="163"/>
      <c r="DAN88" s="163"/>
      <c r="DAO88" s="163"/>
      <c r="DAP88" s="163"/>
      <c r="DAQ88" s="163"/>
      <c r="DAR88" s="163"/>
      <c r="DAS88" s="163"/>
      <c r="DAT88" s="163"/>
      <c r="DAU88" s="163"/>
      <c r="DAV88" s="163"/>
      <c r="DAW88" s="163"/>
      <c r="DAX88" s="163"/>
      <c r="DAY88" s="163"/>
      <c r="DAZ88" s="163"/>
      <c r="DBA88" s="163"/>
      <c r="DBB88" s="163"/>
      <c r="DBC88" s="163"/>
      <c r="DBD88" s="163"/>
      <c r="DBE88" s="163"/>
      <c r="DBF88" s="163"/>
      <c r="DBG88" s="163"/>
      <c r="DBH88" s="163"/>
      <c r="DBI88" s="163"/>
      <c r="DBJ88" s="163"/>
      <c r="DBK88" s="163"/>
      <c r="DBL88" s="163"/>
      <c r="DBM88" s="163"/>
      <c r="DBN88" s="163"/>
      <c r="DBO88" s="163"/>
      <c r="DBP88" s="163"/>
      <c r="DBQ88" s="163"/>
      <c r="DBR88" s="163"/>
      <c r="DBS88" s="163"/>
      <c r="DBT88" s="163"/>
      <c r="DBU88" s="163"/>
      <c r="DBV88" s="163"/>
      <c r="DBW88" s="163"/>
      <c r="DBX88" s="163"/>
      <c r="DBY88" s="163"/>
      <c r="DBZ88" s="163"/>
      <c r="DCA88" s="163"/>
      <c r="DCB88" s="163"/>
      <c r="DCC88" s="163"/>
      <c r="DCD88" s="163"/>
      <c r="DCE88" s="163"/>
      <c r="DCF88" s="163"/>
      <c r="DCG88" s="163"/>
      <c r="DCH88" s="163"/>
      <c r="DCI88" s="163"/>
      <c r="DCJ88" s="163"/>
      <c r="DCK88" s="163"/>
      <c r="DCL88" s="163"/>
      <c r="DCM88" s="163"/>
      <c r="DCN88" s="163"/>
      <c r="DCO88" s="163"/>
      <c r="DCP88" s="163"/>
      <c r="DCQ88" s="163"/>
      <c r="DCR88" s="163"/>
      <c r="DCS88" s="163"/>
      <c r="DCT88" s="163"/>
      <c r="DCU88" s="163"/>
      <c r="DCV88" s="163"/>
      <c r="DCW88" s="163"/>
      <c r="DCX88" s="163"/>
      <c r="DCY88" s="163"/>
      <c r="DCZ88" s="163"/>
      <c r="DDA88" s="163"/>
      <c r="DDB88" s="163"/>
      <c r="DDC88" s="163"/>
      <c r="DDD88" s="163"/>
      <c r="DDE88" s="163"/>
      <c r="DDF88" s="163"/>
      <c r="DDG88" s="163"/>
      <c r="DDH88" s="163"/>
      <c r="DDI88" s="163"/>
      <c r="DDJ88" s="163"/>
      <c r="DDK88" s="163"/>
      <c r="DDL88" s="163"/>
      <c r="DDM88" s="163"/>
      <c r="DDN88" s="163"/>
      <c r="DDO88" s="163"/>
      <c r="DDP88" s="163"/>
      <c r="DDQ88" s="163"/>
      <c r="DDR88" s="163"/>
      <c r="DDS88" s="163"/>
      <c r="DDT88" s="163"/>
      <c r="DDU88" s="163"/>
      <c r="DDV88" s="163"/>
      <c r="DDW88" s="163"/>
      <c r="DDX88" s="163"/>
      <c r="DDY88" s="163"/>
      <c r="DDZ88" s="163"/>
      <c r="DEA88" s="163"/>
      <c r="DEB88" s="163"/>
      <c r="DEC88" s="163"/>
      <c r="DED88" s="163"/>
      <c r="DEE88" s="163"/>
      <c r="DEF88" s="163"/>
      <c r="DEG88" s="163"/>
      <c r="DEH88" s="163"/>
      <c r="DEI88" s="163"/>
      <c r="DEJ88" s="163"/>
      <c r="DEK88" s="163"/>
      <c r="DEL88" s="163"/>
      <c r="DEM88" s="163"/>
      <c r="DEN88" s="163"/>
      <c r="DEO88" s="163"/>
      <c r="DEP88" s="163"/>
      <c r="DEQ88" s="163"/>
      <c r="DER88" s="163"/>
      <c r="DES88" s="163"/>
      <c r="DET88" s="163"/>
      <c r="DEU88" s="163"/>
      <c r="DEV88" s="163"/>
      <c r="DEW88" s="163"/>
      <c r="DEX88" s="163"/>
      <c r="DEY88" s="163"/>
      <c r="DEZ88" s="163"/>
      <c r="DFA88" s="163"/>
      <c r="DFB88" s="163"/>
      <c r="DFC88" s="163"/>
      <c r="DFD88" s="163"/>
      <c r="DFE88" s="163"/>
      <c r="DFF88" s="163"/>
      <c r="DFG88" s="163"/>
      <c r="DFH88" s="163"/>
      <c r="DFI88" s="163"/>
      <c r="DFJ88" s="163"/>
      <c r="DFK88" s="163"/>
      <c r="DFL88" s="163"/>
      <c r="DFM88" s="163"/>
      <c r="DFN88" s="163"/>
      <c r="DFO88" s="163"/>
      <c r="DFP88" s="163"/>
      <c r="DFQ88" s="163"/>
      <c r="DFR88" s="163"/>
      <c r="DFS88" s="163"/>
      <c r="DFT88" s="163"/>
      <c r="DFU88" s="163"/>
      <c r="DFV88" s="163"/>
      <c r="DFW88" s="163"/>
      <c r="DFX88" s="163"/>
      <c r="DFY88" s="163"/>
      <c r="DFZ88" s="163"/>
      <c r="DGA88" s="163"/>
      <c r="DGB88" s="163"/>
      <c r="DGC88" s="163"/>
      <c r="DGD88" s="163"/>
      <c r="DGE88" s="163"/>
      <c r="DGF88" s="163"/>
      <c r="DGG88" s="163"/>
      <c r="DGH88" s="163"/>
      <c r="DGI88" s="163"/>
      <c r="DGJ88" s="163"/>
      <c r="DGK88" s="163"/>
      <c r="DGL88" s="163"/>
      <c r="DGM88" s="163"/>
      <c r="DGN88" s="163"/>
      <c r="DGO88" s="163"/>
      <c r="DGP88" s="163"/>
      <c r="DGQ88" s="163"/>
      <c r="DGR88" s="163"/>
      <c r="DGS88" s="163"/>
      <c r="DGT88" s="163"/>
      <c r="DGU88" s="163"/>
      <c r="DGV88" s="163"/>
      <c r="DGW88" s="163"/>
      <c r="DGX88" s="163"/>
      <c r="DGY88" s="163"/>
      <c r="DGZ88" s="163"/>
      <c r="DHA88" s="163"/>
      <c r="DHB88" s="163"/>
      <c r="DHC88" s="163"/>
      <c r="DHD88" s="163"/>
      <c r="DHE88" s="163"/>
      <c r="DHF88" s="163"/>
      <c r="DHG88" s="163"/>
      <c r="DHH88" s="163"/>
      <c r="DHI88" s="163"/>
      <c r="DHJ88" s="163"/>
      <c r="DHK88" s="163"/>
      <c r="DHL88" s="163"/>
      <c r="DHM88" s="163"/>
      <c r="DHN88" s="163"/>
      <c r="DHO88" s="163"/>
      <c r="DHP88" s="163"/>
      <c r="DHQ88" s="163"/>
      <c r="DHR88" s="163"/>
      <c r="DHS88" s="163"/>
      <c r="DHT88" s="163"/>
      <c r="DHU88" s="163"/>
      <c r="DHV88" s="163"/>
      <c r="DHW88" s="163"/>
      <c r="DHX88" s="163"/>
      <c r="DHY88" s="163"/>
      <c r="DHZ88" s="163"/>
      <c r="DIA88" s="163"/>
      <c r="DIB88" s="163"/>
      <c r="DIC88" s="163"/>
      <c r="DID88" s="163"/>
      <c r="DIE88" s="163"/>
      <c r="DIF88" s="163"/>
      <c r="DIG88" s="163"/>
      <c r="DIH88" s="163"/>
      <c r="DII88" s="163"/>
      <c r="DIJ88" s="163"/>
      <c r="DIK88" s="163"/>
      <c r="DIL88" s="163"/>
      <c r="DIM88" s="163"/>
      <c r="DIN88" s="163"/>
      <c r="DIO88" s="163"/>
      <c r="DIP88" s="163"/>
      <c r="DIQ88" s="163"/>
      <c r="DIR88" s="163"/>
      <c r="DIS88" s="163"/>
      <c r="DIT88" s="163"/>
      <c r="DIU88" s="163"/>
      <c r="DIV88" s="163"/>
      <c r="DIW88" s="163"/>
      <c r="DIX88" s="163"/>
      <c r="DIY88" s="163"/>
      <c r="DIZ88" s="163"/>
      <c r="DJA88" s="163"/>
      <c r="DJB88" s="163"/>
      <c r="DJC88" s="163"/>
      <c r="DJD88" s="163"/>
      <c r="DJE88" s="163"/>
      <c r="DJF88" s="163"/>
      <c r="DJG88" s="163"/>
      <c r="DJH88" s="163"/>
      <c r="DJI88" s="163"/>
      <c r="DJJ88" s="163"/>
      <c r="DJK88" s="163"/>
      <c r="DJL88" s="163"/>
      <c r="DJM88" s="163"/>
      <c r="DJN88" s="163"/>
      <c r="DJO88" s="163"/>
      <c r="DJP88" s="163"/>
      <c r="DJQ88" s="163"/>
      <c r="DJR88" s="163"/>
      <c r="DJS88" s="163"/>
      <c r="DJT88" s="163"/>
      <c r="DJU88" s="163"/>
      <c r="DJV88" s="163"/>
      <c r="DJW88" s="163"/>
      <c r="DJX88" s="163"/>
      <c r="DJY88" s="163"/>
      <c r="DJZ88" s="163"/>
      <c r="DKA88" s="163"/>
      <c r="DKB88" s="163"/>
      <c r="DKC88" s="163"/>
      <c r="DKD88" s="163"/>
      <c r="DKE88" s="163"/>
      <c r="DKF88" s="163"/>
      <c r="DKG88" s="163"/>
      <c r="DKH88" s="163"/>
      <c r="DKI88" s="163"/>
      <c r="DKJ88" s="163"/>
      <c r="DKK88" s="163"/>
      <c r="DKL88" s="163"/>
      <c r="DKM88" s="163"/>
      <c r="DKN88" s="163"/>
      <c r="DKO88" s="163"/>
      <c r="DKP88" s="163"/>
      <c r="DKQ88" s="163"/>
      <c r="DKR88" s="163"/>
      <c r="DKS88" s="163"/>
      <c r="DKT88" s="163"/>
      <c r="DKU88" s="163"/>
      <c r="DKV88" s="163"/>
      <c r="DKW88" s="163"/>
      <c r="DKX88" s="163"/>
      <c r="DKY88" s="163"/>
      <c r="DKZ88" s="163"/>
      <c r="DLA88" s="163"/>
      <c r="DLB88" s="163"/>
      <c r="DLC88" s="163"/>
      <c r="DLD88" s="163"/>
      <c r="DLE88" s="163"/>
      <c r="DLF88" s="163"/>
      <c r="DLG88" s="163"/>
      <c r="DLH88" s="163"/>
      <c r="DLI88" s="163"/>
      <c r="DLJ88" s="163"/>
      <c r="DLK88" s="163"/>
      <c r="DLL88" s="163"/>
      <c r="DLM88" s="163"/>
      <c r="DLN88" s="163"/>
      <c r="DLO88" s="163"/>
      <c r="DLP88" s="163"/>
      <c r="DLQ88" s="163"/>
      <c r="DLR88" s="163"/>
      <c r="DLS88" s="163"/>
      <c r="DLT88" s="163"/>
      <c r="DLU88" s="163"/>
      <c r="DLV88" s="163"/>
      <c r="DLW88" s="163"/>
      <c r="DLX88" s="163"/>
      <c r="DLY88" s="163"/>
      <c r="DLZ88" s="163"/>
      <c r="DMA88" s="163"/>
      <c r="DMB88" s="163"/>
      <c r="DMC88" s="163"/>
      <c r="DMD88" s="163"/>
      <c r="DME88" s="163"/>
      <c r="DMF88" s="163"/>
      <c r="DMG88" s="163"/>
      <c r="DMH88" s="163"/>
      <c r="DMI88" s="163"/>
      <c r="DMJ88" s="163"/>
      <c r="DMK88" s="163"/>
      <c r="DML88" s="163"/>
      <c r="DMM88" s="163"/>
      <c r="DMN88" s="163"/>
      <c r="DMO88" s="163"/>
      <c r="DMP88" s="163"/>
      <c r="DMQ88" s="163"/>
      <c r="DMR88" s="163"/>
      <c r="DMS88" s="163"/>
      <c r="DMT88" s="163"/>
      <c r="DMU88" s="163"/>
      <c r="DMV88" s="163"/>
      <c r="DMW88" s="163"/>
      <c r="DMX88" s="163"/>
      <c r="DMY88" s="163"/>
      <c r="DMZ88" s="163"/>
      <c r="DNA88" s="163"/>
      <c r="DNB88" s="163"/>
      <c r="DNC88" s="163"/>
      <c r="DND88" s="163"/>
      <c r="DNE88" s="163"/>
      <c r="DNF88" s="163"/>
      <c r="DNG88" s="163"/>
      <c r="DNH88" s="163"/>
      <c r="DNI88" s="163"/>
      <c r="DNJ88" s="163"/>
      <c r="DNK88" s="163"/>
      <c r="DNL88" s="163"/>
      <c r="DNM88" s="163"/>
      <c r="DNN88" s="163"/>
      <c r="DNO88" s="163"/>
      <c r="DNP88" s="163"/>
      <c r="DNQ88" s="163"/>
      <c r="DNR88" s="163"/>
      <c r="DNS88" s="163"/>
      <c r="DNT88" s="163"/>
      <c r="DNU88" s="163"/>
      <c r="DNV88" s="163"/>
      <c r="DNW88" s="163"/>
      <c r="DNX88" s="163"/>
      <c r="DNY88" s="163"/>
      <c r="DNZ88" s="163"/>
      <c r="DOA88" s="163"/>
      <c r="DOB88" s="163"/>
      <c r="DOC88" s="163"/>
      <c r="DOD88" s="163"/>
      <c r="DOE88" s="163"/>
      <c r="DOF88" s="163"/>
      <c r="DOG88" s="163"/>
      <c r="DOH88" s="163"/>
      <c r="DOI88" s="163"/>
      <c r="DOJ88" s="163"/>
      <c r="DOK88" s="163"/>
      <c r="DOL88" s="163"/>
      <c r="DOM88" s="163"/>
      <c r="DON88" s="163"/>
      <c r="DOO88" s="163"/>
      <c r="DOP88" s="163"/>
      <c r="DOQ88" s="163"/>
      <c r="DOR88" s="163"/>
      <c r="DOS88" s="163"/>
      <c r="DOT88" s="163"/>
      <c r="DOU88" s="163"/>
      <c r="DOV88" s="163"/>
      <c r="DOW88" s="163"/>
      <c r="DOX88" s="163"/>
      <c r="DOY88" s="163"/>
      <c r="DOZ88" s="163"/>
      <c r="DPA88" s="163"/>
      <c r="DPB88" s="163"/>
      <c r="DPC88" s="163"/>
      <c r="DPD88" s="163"/>
      <c r="DPE88" s="163"/>
      <c r="DPF88" s="163"/>
      <c r="DPG88" s="163"/>
      <c r="DPH88" s="163"/>
      <c r="DPI88" s="163"/>
      <c r="DPJ88" s="163"/>
      <c r="DPK88" s="163"/>
      <c r="DPL88" s="163"/>
      <c r="DPM88" s="163"/>
      <c r="DPN88" s="163"/>
      <c r="DPO88" s="163"/>
      <c r="DPP88" s="163"/>
      <c r="DPQ88" s="163"/>
      <c r="DPR88" s="163"/>
      <c r="DPS88" s="163"/>
      <c r="DPT88" s="163"/>
      <c r="DPU88" s="163"/>
      <c r="DPV88" s="163"/>
      <c r="DPW88" s="163"/>
      <c r="DPX88" s="163"/>
      <c r="DPY88" s="163"/>
      <c r="DPZ88" s="163"/>
      <c r="DQA88" s="163"/>
      <c r="DQB88" s="163"/>
      <c r="DQC88" s="163"/>
      <c r="DQD88" s="163"/>
      <c r="DQE88" s="163"/>
      <c r="DQF88" s="163"/>
      <c r="DQG88" s="163"/>
      <c r="DQH88" s="163"/>
      <c r="DQI88" s="163"/>
      <c r="DQJ88" s="163"/>
      <c r="DQK88" s="163"/>
      <c r="DQL88" s="163"/>
      <c r="DQM88" s="163"/>
      <c r="DQN88" s="163"/>
      <c r="DQO88" s="163"/>
      <c r="DQP88" s="163"/>
      <c r="DQQ88" s="163"/>
      <c r="DQR88" s="163"/>
      <c r="DQS88" s="163"/>
      <c r="DQT88" s="163"/>
      <c r="DQU88" s="163"/>
      <c r="DQV88" s="163"/>
      <c r="DQW88" s="163"/>
      <c r="DQX88" s="163"/>
      <c r="DQY88" s="163"/>
      <c r="DQZ88" s="163"/>
      <c r="DRA88" s="163"/>
      <c r="DRB88" s="163"/>
      <c r="DRC88" s="163"/>
      <c r="DRD88" s="163"/>
      <c r="DRE88" s="163"/>
      <c r="DRF88" s="163"/>
      <c r="DRG88" s="163"/>
      <c r="DRH88" s="163"/>
      <c r="DRI88" s="163"/>
      <c r="DRJ88" s="163"/>
      <c r="DRK88" s="163"/>
      <c r="DRL88" s="163"/>
      <c r="DRM88" s="163"/>
      <c r="DRN88" s="163"/>
      <c r="DRO88" s="163"/>
      <c r="DRP88" s="163"/>
      <c r="DRQ88" s="163"/>
      <c r="DRR88" s="163"/>
      <c r="DRS88" s="163"/>
      <c r="DRT88" s="163"/>
      <c r="DRU88" s="163"/>
      <c r="DRV88" s="163"/>
      <c r="DRW88" s="163"/>
      <c r="DRX88" s="163"/>
      <c r="DRY88" s="163"/>
      <c r="DRZ88" s="163"/>
      <c r="DSA88" s="163"/>
      <c r="DSB88" s="163"/>
      <c r="DSC88" s="163"/>
      <c r="DSD88" s="163"/>
      <c r="DSE88" s="163"/>
      <c r="DSF88" s="163"/>
      <c r="DSG88" s="163"/>
      <c r="DSH88" s="163"/>
      <c r="DSI88" s="163"/>
      <c r="DSJ88" s="163"/>
      <c r="DSK88" s="163"/>
      <c r="DSL88" s="163"/>
      <c r="DSM88" s="163"/>
      <c r="DSN88" s="163"/>
      <c r="DSO88" s="163"/>
      <c r="DSP88" s="163"/>
      <c r="DSQ88" s="163"/>
      <c r="DSR88" s="163"/>
      <c r="DSS88" s="163"/>
      <c r="DST88" s="163"/>
      <c r="DSU88" s="163"/>
      <c r="DSV88" s="163"/>
      <c r="DSW88" s="163"/>
      <c r="DSX88" s="163"/>
      <c r="DSY88" s="163"/>
      <c r="DSZ88" s="163"/>
      <c r="DTA88" s="163"/>
      <c r="DTB88" s="163"/>
      <c r="DTC88" s="163"/>
      <c r="DTD88" s="163"/>
      <c r="DTE88" s="163"/>
      <c r="DTF88" s="163"/>
      <c r="DTG88" s="163"/>
      <c r="DTH88" s="163"/>
      <c r="DTI88" s="163"/>
      <c r="DTJ88" s="163"/>
      <c r="DTK88" s="163"/>
      <c r="DTL88" s="163"/>
      <c r="DTM88" s="163"/>
      <c r="DTN88" s="163"/>
      <c r="DTO88" s="163"/>
      <c r="DTP88" s="163"/>
      <c r="DTQ88" s="163"/>
      <c r="DTR88" s="163"/>
      <c r="DTS88" s="163"/>
      <c r="DTT88" s="163"/>
      <c r="DTU88" s="163"/>
      <c r="DTV88" s="163"/>
      <c r="DTW88" s="163"/>
      <c r="DTX88" s="163"/>
      <c r="DTY88" s="163"/>
      <c r="DTZ88" s="163"/>
      <c r="DUA88" s="163"/>
      <c r="DUB88" s="163"/>
      <c r="DUC88" s="163"/>
      <c r="DUD88" s="163"/>
      <c r="DUE88" s="163"/>
      <c r="DUF88" s="163"/>
      <c r="DUG88" s="163"/>
      <c r="DUH88" s="163"/>
      <c r="DUI88" s="163"/>
      <c r="DUJ88" s="163"/>
      <c r="DUK88" s="163"/>
      <c r="DUL88" s="163"/>
      <c r="DUM88" s="163"/>
      <c r="DUN88" s="163"/>
      <c r="DUO88" s="163"/>
      <c r="DUP88" s="163"/>
      <c r="DUQ88" s="163"/>
      <c r="DUR88" s="163"/>
      <c r="DUS88" s="163"/>
      <c r="DUT88" s="163"/>
      <c r="DUU88" s="163"/>
      <c r="DUV88" s="163"/>
      <c r="DUW88" s="163"/>
      <c r="DUX88" s="163"/>
      <c r="DUY88" s="163"/>
      <c r="DUZ88" s="163"/>
      <c r="DVA88" s="163"/>
      <c r="DVB88" s="163"/>
      <c r="DVC88" s="163"/>
      <c r="DVD88" s="163"/>
      <c r="DVE88" s="163"/>
      <c r="DVF88" s="163"/>
      <c r="DVG88" s="163"/>
      <c r="DVH88" s="163"/>
      <c r="DVI88" s="163"/>
      <c r="DVJ88" s="163"/>
      <c r="DVK88" s="163"/>
      <c r="DVL88" s="163"/>
      <c r="DVM88" s="163"/>
      <c r="DVN88" s="163"/>
      <c r="DVO88" s="163"/>
      <c r="DVP88" s="163"/>
      <c r="DVQ88" s="163"/>
      <c r="DVR88" s="163"/>
      <c r="DVS88" s="163"/>
      <c r="DVT88" s="163"/>
      <c r="DVU88" s="163"/>
      <c r="DVV88" s="163"/>
      <c r="DVW88" s="163"/>
      <c r="DVX88" s="163"/>
      <c r="DVY88" s="163"/>
      <c r="DVZ88" s="163"/>
      <c r="DWA88" s="163"/>
      <c r="DWB88" s="163"/>
      <c r="DWC88" s="163"/>
      <c r="DWD88" s="163"/>
      <c r="DWE88" s="163"/>
      <c r="DWF88" s="163"/>
      <c r="DWG88" s="163"/>
      <c r="DWH88" s="163"/>
      <c r="DWI88" s="163"/>
      <c r="DWJ88" s="163"/>
      <c r="DWK88" s="163"/>
      <c r="DWL88" s="163"/>
      <c r="DWM88" s="163"/>
      <c r="DWN88" s="163"/>
      <c r="DWO88" s="163"/>
      <c r="DWP88" s="163"/>
      <c r="DWQ88" s="163"/>
      <c r="DWR88" s="163"/>
      <c r="DWS88" s="163"/>
      <c r="DWT88" s="163"/>
      <c r="DWU88" s="163"/>
      <c r="DWV88" s="163"/>
      <c r="DWW88" s="163"/>
      <c r="DWX88" s="163"/>
      <c r="DWY88" s="163"/>
      <c r="DWZ88" s="163"/>
      <c r="DXA88" s="163"/>
      <c r="DXB88" s="163"/>
      <c r="DXC88" s="163"/>
      <c r="DXD88" s="163"/>
      <c r="DXE88" s="163"/>
      <c r="DXF88" s="163"/>
      <c r="DXG88" s="163"/>
      <c r="DXH88" s="163"/>
      <c r="DXI88" s="163"/>
      <c r="DXJ88" s="163"/>
      <c r="DXK88" s="163"/>
      <c r="DXL88" s="163"/>
      <c r="DXM88" s="163"/>
      <c r="DXN88" s="163"/>
      <c r="DXO88" s="163"/>
      <c r="DXP88" s="163"/>
      <c r="DXQ88" s="163"/>
      <c r="DXR88" s="163"/>
      <c r="DXS88" s="163"/>
      <c r="DXT88" s="163"/>
      <c r="DXU88" s="163"/>
      <c r="DXV88" s="163"/>
      <c r="DXW88" s="163"/>
      <c r="DXX88" s="163"/>
      <c r="DXY88" s="163"/>
      <c r="DXZ88" s="163"/>
      <c r="DYA88" s="163"/>
      <c r="DYB88" s="163"/>
      <c r="DYC88" s="163"/>
      <c r="DYD88" s="163"/>
      <c r="DYE88" s="163"/>
      <c r="DYF88" s="163"/>
      <c r="DYG88" s="163"/>
      <c r="DYH88" s="163"/>
      <c r="DYI88" s="163"/>
      <c r="DYJ88" s="163"/>
      <c r="DYK88" s="163"/>
      <c r="DYL88" s="163"/>
      <c r="DYM88" s="163"/>
      <c r="DYN88" s="163"/>
      <c r="DYO88" s="163"/>
      <c r="DYP88" s="163"/>
      <c r="DYQ88" s="163"/>
      <c r="DYR88" s="163"/>
      <c r="DYS88" s="163"/>
      <c r="DYT88" s="163"/>
      <c r="DYU88" s="163"/>
      <c r="DYV88" s="163"/>
      <c r="DYW88" s="163"/>
      <c r="DYX88" s="163"/>
      <c r="DYY88" s="163"/>
      <c r="DYZ88" s="163"/>
      <c r="DZA88" s="163"/>
      <c r="DZB88" s="163"/>
      <c r="DZC88" s="163"/>
      <c r="DZD88" s="163"/>
      <c r="DZE88" s="163"/>
      <c r="DZF88" s="163"/>
      <c r="DZG88" s="163"/>
      <c r="DZH88" s="163"/>
      <c r="DZI88" s="163"/>
      <c r="DZJ88" s="163"/>
      <c r="DZK88" s="163"/>
      <c r="DZL88" s="163"/>
      <c r="DZM88" s="163"/>
      <c r="DZN88" s="163"/>
      <c r="DZO88" s="163"/>
      <c r="DZP88" s="163"/>
      <c r="DZQ88" s="163"/>
      <c r="DZR88" s="163"/>
      <c r="DZS88" s="163"/>
      <c r="DZT88" s="163"/>
      <c r="DZU88" s="163"/>
      <c r="DZV88" s="163"/>
      <c r="DZW88" s="163"/>
      <c r="DZX88" s="163"/>
      <c r="DZY88" s="163"/>
      <c r="DZZ88" s="163"/>
      <c r="EAA88" s="163"/>
      <c r="EAB88" s="163"/>
      <c r="EAC88" s="163"/>
      <c r="EAD88" s="163"/>
      <c r="EAE88" s="163"/>
      <c r="EAF88" s="163"/>
      <c r="EAG88" s="163"/>
      <c r="EAH88" s="163"/>
      <c r="EAI88" s="163"/>
      <c r="EAJ88" s="163"/>
      <c r="EAK88" s="163"/>
      <c r="EAL88" s="163"/>
      <c r="EAM88" s="163"/>
      <c r="EAN88" s="163"/>
      <c r="EAO88" s="163"/>
      <c r="EAP88" s="163"/>
      <c r="EAQ88" s="163"/>
      <c r="EAR88" s="163"/>
      <c r="EAS88" s="163"/>
      <c r="EAT88" s="163"/>
      <c r="EAU88" s="163"/>
      <c r="EAV88" s="163"/>
      <c r="EAW88" s="163"/>
      <c r="EAX88" s="163"/>
      <c r="EAY88" s="163"/>
      <c r="EAZ88" s="163"/>
      <c r="EBA88" s="163"/>
      <c r="EBB88" s="163"/>
      <c r="EBC88" s="163"/>
      <c r="EBD88" s="163"/>
      <c r="EBE88" s="163"/>
      <c r="EBF88" s="163"/>
      <c r="EBG88" s="163"/>
      <c r="EBH88" s="163"/>
      <c r="EBI88" s="163"/>
      <c r="EBJ88" s="163"/>
      <c r="EBK88" s="163"/>
      <c r="EBL88" s="163"/>
      <c r="EBM88" s="163"/>
      <c r="EBN88" s="163"/>
      <c r="EBO88" s="163"/>
      <c r="EBP88" s="163"/>
      <c r="EBQ88" s="163"/>
      <c r="EBR88" s="163"/>
      <c r="EBS88" s="163"/>
      <c r="EBT88" s="163"/>
      <c r="EBU88" s="163"/>
      <c r="EBV88" s="163"/>
      <c r="EBW88" s="163"/>
      <c r="EBX88" s="163"/>
      <c r="EBY88" s="163"/>
      <c r="EBZ88" s="163"/>
      <c r="ECA88" s="163"/>
      <c r="ECB88" s="163"/>
      <c r="ECC88" s="163"/>
      <c r="ECD88" s="163"/>
      <c r="ECE88" s="163"/>
      <c r="ECF88" s="163"/>
      <c r="ECG88" s="163"/>
      <c r="ECH88" s="163"/>
      <c r="ECI88" s="163"/>
      <c r="ECJ88" s="163"/>
      <c r="ECK88" s="163"/>
      <c r="ECL88" s="163"/>
      <c r="ECM88" s="163"/>
      <c r="ECN88" s="163"/>
      <c r="ECO88" s="163"/>
      <c r="ECP88" s="163"/>
      <c r="ECQ88" s="163"/>
      <c r="ECR88" s="163"/>
      <c r="ECS88" s="163"/>
      <c r="ECT88" s="163"/>
      <c r="ECU88" s="163"/>
      <c r="ECV88" s="163"/>
      <c r="ECW88" s="163"/>
      <c r="ECX88" s="163"/>
      <c r="ECY88" s="163"/>
      <c r="ECZ88" s="163"/>
      <c r="EDA88" s="163"/>
      <c r="EDB88" s="163"/>
      <c r="EDC88" s="163"/>
      <c r="EDD88" s="163"/>
      <c r="EDE88" s="163"/>
      <c r="EDF88" s="163"/>
      <c r="EDG88" s="163"/>
      <c r="EDH88" s="163"/>
      <c r="EDI88" s="163"/>
      <c r="EDJ88" s="163"/>
      <c r="EDK88" s="163"/>
      <c r="EDL88" s="163"/>
      <c r="EDM88" s="163"/>
      <c r="EDN88" s="163"/>
      <c r="EDO88" s="163"/>
      <c r="EDP88" s="163"/>
      <c r="EDQ88" s="163"/>
      <c r="EDR88" s="163"/>
      <c r="EDS88" s="163"/>
      <c r="EDT88" s="163"/>
      <c r="EDU88" s="163"/>
      <c r="EDV88" s="163"/>
      <c r="EDW88" s="163"/>
      <c r="EDX88" s="163"/>
      <c r="EDY88" s="163"/>
      <c r="EDZ88" s="163"/>
      <c r="EEA88" s="163"/>
      <c r="EEB88" s="163"/>
      <c r="EEC88" s="163"/>
      <c r="EED88" s="163"/>
      <c r="EEE88" s="163"/>
      <c r="EEF88" s="163"/>
      <c r="EEG88" s="163"/>
      <c r="EEH88" s="163"/>
      <c r="EEI88" s="163"/>
      <c r="EEJ88" s="163"/>
      <c r="EEK88" s="163"/>
      <c r="EEL88" s="163"/>
      <c r="EEM88" s="163"/>
      <c r="EEN88" s="163"/>
      <c r="EEO88" s="163"/>
      <c r="EEP88" s="163"/>
      <c r="EEQ88" s="163"/>
      <c r="EER88" s="163"/>
      <c r="EES88" s="163"/>
      <c r="EET88" s="163"/>
      <c r="EEU88" s="163"/>
      <c r="EEV88" s="163"/>
      <c r="EEW88" s="163"/>
      <c r="EEX88" s="163"/>
      <c r="EEY88" s="163"/>
      <c r="EEZ88" s="163"/>
      <c r="EFA88" s="163"/>
      <c r="EFB88" s="163"/>
      <c r="EFC88" s="163"/>
      <c r="EFD88" s="163"/>
      <c r="EFE88" s="163"/>
      <c r="EFF88" s="163"/>
      <c r="EFG88" s="163"/>
      <c r="EFH88" s="163"/>
      <c r="EFI88" s="163"/>
      <c r="EFJ88" s="163"/>
      <c r="EFK88" s="163"/>
      <c r="EFL88" s="163"/>
      <c r="EFM88" s="163"/>
      <c r="EFN88" s="163"/>
      <c r="EFO88" s="163"/>
      <c r="EFP88" s="163"/>
      <c r="EFQ88" s="163"/>
      <c r="EFR88" s="163"/>
      <c r="EFS88" s="163"/>
      <c r="EFT88" s="163"/>
      <c r="EFU88" s="163"/>
      <c r="EFV88" s="163"/>
      <c r="EFW88" s="163"/>
      <c r="EFX88" s="163"/>
      <c r="EFY88" s="163"/>
      <c r="EFZ88" s="163"/>
      <c r="EGA88" s="163"/>
      <c r="EGB88" s="163"/>
      <c r="EGC88" s="163"/>
      <c r="EGD88" s="163"/>
      <c r="EGE88" s="163"/>
      <c r="EGF88" s="163"/>
      <c r="EGG88" s="163"/>
      <c r="EGH88" s="163"/>
      <c r="EGI88" s="163"/>
      <c r="EGJ88" s="163"/>
      <c r="EGK88" s="163"/>
      <c r="EGL88" s="163"/>
      <c r="EGM88" s="163"/>
      <c r="EGN88" s="163"/>
      <c r="EGO88" s="163"/>
      <c r="EGP88" s="163"/>
      <c r="EGQ88" s="163"/>
      <c r="EGR88" s="163"/>
      <c r="EGS88" s="163"/>
      <c r="EGT88" s="163"/>
      <c r="EGU88" s="163"/>
      <c r="EGV88" s="163"/>
      <c r="EGW88" s="163"/>
      <c r="EGX88" s="163"/>
      <c r="EGY88" s="163"/>
      <c r="EGZ88" s="163"/>
      <c r="EHA88" s="163"/>
      <c r="EHB88" s="163"/>
      <c r="EHC88" s="163"/>
      <c r="EHD88" s="163"/>
      <c r="EHE88" s="163"/>
      <c r="EHF88" s="163"/>
      <c r="EHG88" s="163"/>
      <c r="EHH88" s="163"/>
      <c r="EHI88" s="163"/>
      <c r="EHJ88" s="163"/>
      <c r="EHK88" s="163"/>
      <c r="EHL88" s="163"/>
      <c r="EHM88" s="163"/>
      <c r="EHN88" s="163"/>
      <c r="EHO88" s="163"/>
      <c r="EHP88" s="163"/>
      <c r="EHQ88" s="163"/>
      <c r="EHR88" s="163"/>
      <c r="EHS88" s="163"/>
      <c r="EHT88" s="163"/>
      <c r="EHU88" s="163"/>
      <c r="EHV88" s="163"/>
      <c r="EHW88" s="163"/>
      <c r="EHX88" s="163"/>
      <c r="EHY88" s="163"/>
      <c r="EHZ88" s="163"/>
      <c r="EIA88" s="163"/>
      <c r="EIB88" s="163"/>
      <c r="EIC88" s="163"/>
      <c r="EID88" s="163"/>
      <c r="EIE88" s="163"/>
      <c r="EIF88" s="163"/>
      <c r="EIG88" s="163"/>
      <c r="EIH88" s="163"/>
      <c r="EII88" s="163"/>
      <c r="EIJ88" s="163"/>
      <c r="EIK88" s="163"/>
      <c r="EIL88" s="163"/>
      <c r="EIM88" s="163"/>
      <c r="EIN88" s="163"/>
      <c r="EIO88" s="163"/>
      <c r="EIP88" s="163"/>
      <c r="EIQ88" s="163"/>
      <c r="EIR88" s="163"/>
      <c r="EIS88" s="163"/>
      <c r="EIT88" s="163"/>
      <c r="EIU88" s="163"/>
      <c r="EIV88" s="163"/>
      <c r="EIW88" s="163"/>
      <c r="EIX88" s="163"/>
      <c r="EIY88" s="163"/>
      <c r="EIZ88" s="163"/>
      <c r="EJA88" s="163"/>
      <c r="EJB88" s="163"/>
      <c r="EJC88" s="163"/>
      <c r="EJD88" s="163"/>
      <c r="EJE88" s="163"/>
      <c r="EJF88" s="163"/>
      <c r="EJG88" s="163"/>
      <c r="EJH88" s="163"/>
      <c r="EJI88" s="163"/>
      <c r="EJJ88" s="163"/>
      <c r="EJK88" s="163"/>
      <c r="EJL88" s="163"/>
      <c r="EJM88" s="163"/>
      <c r="EJN88" s="163"/>
      <c r="EJO88" s="163"/>
      <c r="EJP88" s="163"/>
      <c r="EJQ88" s="163"/>
      <c r="EJR88" s="163"/>
      <c r="EJS88" s="163"/>
      <c r="EJT88" s="163"/>
      <c r="EJU88" s="163"/>
      <c r="EJV88" s="163"/>
      <c r="EJW88" s="163"/>
      <c r="EJX88" s="163"/>
      <c r="EJY88" s="163"/>
      <c r="EJZ88" s="163"/>
      <c r="EKA88" s="163"/>
      <c r="EKB88" s="163"/>
      <c r="EKC88" s="163"/>
      <c r="EKD88" s="163"/>
      <c r="EKE88" s="163"/>
      <c r="EKF88" s="163"/>
      <c r="EKG88" s="163"/>
      <c r="EKH88" s="163"/>
      <c r="EKI88" s="163"/>
      <c r="EKJ88" s="163"/>
      <c r="EKK88" s="163"/>
      <c r="EKL88" s="163"/>
      <c r="EKM88" s="163"/>
      <c r="EKN88" s="163"/>
      <c r="EKO88" s="163"/>
      <c r="EKP88" s="163"/>
      <c r="EKQ88" s="163"/>
      <c r="EKR88" s="163"/>
      <c r="EKS88" s="163"/>
      <c r="EKT88" s="163"/>
      <c r="EKU88" s="163"/>
      <c r="EKV88" s="163"/>
      <c r="EKW88" s="163"/>
      <c r="EKX88" s="163"/>
      <c r="EKY88" s="163"/>
      <c r="EKZ88" s="163"/>
      <c r="ELA88" s="163"/>
      <c r="ELB88" s="163"/>
      <c r="ELC88" s="163"/>
      <c r="ELD88" s="163"/>
      <c r="ELE88" s="163"/>
      <c r="ELF88" s="163"/>
      <c r="ELG88" s="163"/>
      <c r="ELH88" s="163"/>
      <c r="ELI88" s="163"/>
      <c r="ELJ88" s="163"/>
      <c r="ELK88" s="163"/>
      <c r="ELL88" s="163"/>
      <c r="ELM88" s="163"/>
      <c r="ELN88" s="163"/>
      <c r="ELO88" s="163"/>
      <c r="ELP88" s="163"/>
      <c r="ELQ88" s="163"/>
      <c r="ELR88" s="163"/>
      <c r="ELS88" s="163"/>
      <c r="ELT88" s="163"/>
      <c r="ELU88" s="163"/>
      <c r="ELV88" s="163"/>
      <c r="ELW88" s="163"/>
      <c r="ELX88" s="163"/>
      <c r="ELY88" s="163"/>
      <c r="ELZ88" s="163"/>
      <c r="EMA88" s="163"/>
      <c r="EMB88" s="163"/>
      <c r="EMC88" s="163"/>
      <c r="EMD88" s="163"/>
      <c r="EME88" s="163"/>
      <c r="EMF88" s="163"/>
      <c r="EMG88" s="163"/>
      <c r="EMH88" s="163"/>
      <c r="EMI88" s="163"/>
      <c r="EMJ88" s="163"/>
      <c r="EMK88" s="163"/>
      <c r="EML88" s="163"/>
      <c r="EMM88" s="163"/>
      <c r="EMN88" s="163"/>
      <c r="EMO88" s="163"/>
      <c r="EMP88" s="163"/>
      <c r="EMQ88" s="163"/>
      <c r="EMR88" s="163"/>
      <c r="EMS88" s="163"/>
      <c r="EMT88" s="163"/>
      <c r="EMU88" s="163"/>
      <c r="EMV88" s="163"/>
      <c r="EMW88" s="163"/>
      <c r="EMX88" s="163"/>
      <c r="EMY88" s="163"/>
      <c r="EMZ88" s="163"/>
      <c r="ENA88" s="163"/>
      <c r="ENB88" s="163"/>
      <c r="ENC88" s="163"/>
      <c r="END88" s="163"/>
      <c r="ENE88" s="163"/>
      <c r="ENF88" s="163"/>
      <c r="ENG88" s="163"/>
      <c r="ENH88" s="163"/>
      <c r="ENI88" s="163"/>
      <c r="ENJ88" s="163"/>
      <c r="ENK88" s="163"/>
      <c r="ENL88" s="163"/>
      <c r="ENM88" s="163"/>
      <c r="ENN88" s="163"/>
      <c r="ENO88" s="163"/>
      <c r="ENP88" s="163"/>
      <c r="ENQ88" s="163"/>
      <c r="ENR88" s="163"/>
      <c r="ENS88" s="163"/>
      <c r="ENT88" s="163"/>
      <c r="ENU88" s="163"/>
      <c r="ENV88" s="163"/>
      <c r="ENW88" s="163"/>
      <c r="ENX88" s="163"/>
      <c r="ENY88" s="163"/>
      <c r="ENZ88" s="163"/>
      <c r="EOA88" s="163"/>
      <c r="EOB88" s="163"/>
      <c r="EOC88" s="163"/>
      <c r="EOD88" s="163"/>
      <c r="EOE88" s="163"/>
      <c r="EOF88" s="163"/>
      <c r="EOG88" s="163"/>
      <c r="EOH88" s="163"/>
      <c r="EOI88" s="163"/>
      <c r="EOJ88" s="163"/>
      <c r="EOK88" s="163"/>
      <c r="EOL88" s="163"/>
      <c r="EOM88" s="163"/>
      <c r="EON88" s="163"/>
      <c r="EOO88" s="163"/>
      <c r="EOP88" s="163"/>
      <c r="EOQ88" s="163"/>
      <c r="EOR88" s="163"/>
      <c r="EOS88" s="163"/>
      <c r="EOT88" s="163"/>
      <c r="EOU88" s="163"/>
      <c r="EOV88" s="163"/>
      <c r="EOW88" s="163"/>
      <c r="EOX88" s="163"/>
      <c r="EOY88" s="163"/>
      <c r="EOZ88" s="163"/>
      <c r="EPA88" s="163"/>
      <c r="EPB88" s="163"/>
      <c r="EPC88" s="163"/>
      <c r="EPD88" s="163"/>
      <c r="EPE88" s="163"/>
      <c r="EPF88" s="163"/>
      <c r="EPG88" s="163"/>
      <c r="EPH88" s="163"/>
      <c r="EPI88" s="163"/>
      <c r="EPJ88" s="163"/>
      <c r="EPK88" s="163"/>
      <c r="EPL88" s="163"/>
      <c r="EPM88" s="163"/>
      <c r="EPN88" s="163"/>
      <c r="EPO88" s="163"/>
      <c r="EPP88" s="163"/>
      <c r="EPQ88" s="163"/>
      <c r="EPR88" s="163"/>
      <c r="EPS88" s="163"/>
      <c r="EPT88" s="163"/>
      <c r="EPU88" s="163"/>
      <c r="EPV88" s="163"/>
      <c r="EPW88" s="163"/>
      <c r="EPX88" s="163"/>
      <c r="EPY88" s="163"/>
      <c r="EPZ88" s="163"/>
      <c r="EQA88" s="163"/>
      <c r="EQB88" s="163"/>
      <c r="EQC88" s="163"/>
      <c r="EQD88" s="163"/>
      <c r="EQE88" s="163"/>
      <c r="EQF88" s="163"/>
      <c r="EQG88" s="163"/>
      <c r="EQH88" s="163"/>
      <c r="EQI88" s="163"/>
      <c r="EQJ88" s="163"/>
      <c r="EQK88" s="163"/>
      <c r="EQL88" s="163"/>
      <c r="EQM88" s="163"/>
      <c r="EQN88" s="163"/>
      <c r="EQO88" s="163"/>
      <c r="EQP88" s="163"/>
      <c r="EQQ88" s="163"/>
      <c r="EQR88" s="163"/>
      <c r="EQS88" s="163"/>
      <c r="EQT88" s="163"/>
      <c r="EQU88" s="163"/>
      <c r="EQV88" s="163"/>
      <c r="EQW88" s="163"/>
      <c r="EQX88" s="163"/>
      <c r="EQY88" s="163"/>
      <c r="EQZ88" s="163"/>
      <c r="ERA88" s="163"/>
      <c r="ERB88" s="163"/>
      <c r="ERC88" s="163"/>
      <c r="ERD88" s="163"/>
      <c r="ERE88" s="163"/>
      <c r="ERF88" s="163"/>
      <c r="ERG88" s="163"/>
      <c r="ERH88" s="163"/>
      <c r="ERI88" s="163"/>
      <c r="ERJ88" s="163"/>
      <c r="ERK88" s="163"/>
      <c r="ERL88" s="163"/>
      <c r="ERM88" s="163"/>
      <c r="ERN88" s="163"/>
      <c r="ERO88" s="163"/>
      <c r="ERP88" s="163"/>
      <c r="ERQ88" s="163"/>
      <c r="ERR88" s="163"/>
      <c r="ERS88" s="163"/>
      <c r="ERT88" s="163"/>
      <c r="ERU88" s="163"/>
      <c r="ERV88" s="163"/>
      <c r="ERW88" s="163"/>
      <c r="ERX88" s="163"/>
      <c r="ERY88" s="163"/>
      <c r="ERZ88" s="163"/>
      <c r="ESA88" s="163"/>
      <c r="ESB88" s="163"/>
      <c r="ESC88" s="163"/>
      <c r="ESD88" s="163"/>
      <c r="ESE88" s="163"/>
      <c r="ESF88" s="163"/>
      <c r="ESG88" s="163"/>
      <c r="ESH88" s="163"/>
      <c r="ESI88" s="163"/>
      <c r="ESJ88" s="163"/>
      <c r="ESK88" s="163"/>
      <c r="ESL88" s="163"/>
      <c r="ESM88" s="163"/>
      <c r="ESN88" s="163"/>
      <c r="ESO88" s="163"/>
      <c r="ESP88" s="163"/>
      <c r="ESQ88" s="163"/>
      <c r="ESR88" s="163"/>
      <c r="ESS88" s="163"/>
      <c r="EST88" s="163"/>
      <c r="ESU88" s="163"/>
      <c r="ESV88" s="163"/>
      <c r="ESW88" s="163"/>
      <c r="ESX88" s="163"/>
      <c r="ESY88" s="163"/>
      <c r="ESZ88" s="163"/>
      <c r="ETA88" s="163"/>
      <c r="ETB88" s="163"/>
      <c r="ETC88" s="163"/>
      <c r="ETD88" s="163"/>
      <c r="ETE88" s="163"/>
      <c r="ETF88" s="163"/>
      <c r="ETG88" s="163"/>
      <c r="ETH88" s="163"/>
      <c r="ETI88" s="163"/>
      <c r="ETJ88" s="163"/>
      <c r="ETK88" s="163"/>
      <c r="ETL88" s="163"/>
      <c r="ETM88" s="163"/>
      <c r="ETN88" s="163"/>
      <c r="ETO88" s="163"/>
      <c r="ETP88" s="163"/>
      <c r="ETQ88" s="163"/>
      <c r="ETR88" s="163"/>
      <c r="ETS88" s="163"/>
      <c r="ETT88" s="163"/>
      <c r="ETU88" s="163"/>
      <c r="ETV88" s="163"/>
      <c r="ETW88" s="163"/>
      <c r="ETX88" s="163"/>
      <c r="ETY88" s="163"/>
      <c r="ETZ88" s="163"/>
      <c r="EUA88" s="163"/>
      <c r="EUB88" s="163"/>
      <c r="EUC88" s="163"/>
      <c r="EUD88" s="163"/>
      <c r="EUE88" s="163"/>
      <c r="EUF88" s="163"/>
      <c r="EUG88" s="163"/>
      <c r="EUH88" s="163"/>
      <c r="EUI88" s="163"/>
      <c r="EUJ88" s="163"/>
      <c r="EUK88" s="163"/>
      <c r="EUL88" s="163"/>
      <c r="EUM88" s="163"/>
      <c r="EUN88" s="163"/>
      <c r="EUO88" s="163"/>
      <c r="EUP88" s="163"/>
      <c r="EUQ88" s="163"/>
      <c r="EUR88" s="163"/>
      <c r="EUS88" s="163"/>
      <c r="EUT88" s="163"/>
      <c r="EUU88" s="163"/>
      <c r="EUV88" s="163"/>
      <c r="EUW88" s="163"/>
      <c r="EUX88" s="163"/>
      <c r="EUY88" s="163"/>
      <c r="EUZ88" s="163"/>
      <c r="EVA88" s="163"/>
      <c r="EVB88" s="163"/>
      <c r="EVC88" s="163"/>
      <c r="EVD88" s="163"/>
      <c r="EVE88" s="163"/>
      <c r="EVF88" s="163"/>
      <c r="EVG88" s="163"/>
      <c r="EVH88" s="163"/>
      <c r="EVI88" s="163"/>
      <c r="EVJ88" s="163"/>
      <c r="EVK88" s="163"/>
      <c r="EVL88" s="163"/>
      <c r="EVM88" s="163"/>
      <c r="EVN88" s="163"/>
      <c r="EVO88" s="163"/>
      <c r="EVP88" s="163"/>
      <c r="EVQ88" s="163"/>
      <c r="EVR88" s="163"/>
      <c r="EVS88" s="163"/>
      <c r="EVT88" s="163"/>
      <c r="EVU88" s="163"/>
      <c r="EVV88" s="163"/>
      <c r="EVW88" s="163"/>
      <c r="EVX88" s="163"/>
      <c r="EVY88" s="163"/>
      <c r="EVZ88" s="163"/>
      <c r="EWA88" s="163"/>
      <c r="EWB88" s="163"/>
      <c r="EWC88" s="163"/>
      <c r="EWD88" s="163"/>
      <c r="EWE88" s="163"/>
      <c r="EWF88" s="163"/>
      <c r="EWG88" s="163"/>
      <c r="EWH88" s="163"/>
      <c r="EWI88" s="163"/>
      <c r="EWJ88" s="163"/>
      <c r="EWK88" s="163"/>
      <c r="EWL88" s="163"/>
      <c r="EWM88" s="163"/>
      <c r="EWN88" s="163"/>
      <c r="EWO88" s="163"/>
      <c r="EWP88" s="163"/>
      <c r="EWQ88" s="163"/>
      <c r="EWR88" s="163"/>
      <c r="EWS88" s="163"/>
      <c r="EWT88" s="163"/>
      <c r="EWU88" s="163"/>
      <c r="EWV88" s="163"/>
      <c r="EWW88" s="163"/>
      <c r="EWX88" s="163"/>
      <c r="EWY88" s="163"/>
      <c r="EWZ88" s="163"/>
      <c r="EXA88" s="163"/>
      <c r="EXB88" s="163"/>
      <c r="EXC88" s="163"/>
      <c r="EXD88" s="163"/>
      <c r="EXE88" s="163"/>
      <c r="EXF88" s="163"/>
      <c r="EXG88" s="163"/>
      <c r="EXH88" s="163"/>
      <c r="EXI88" s="163"/>
      <c r="EXJ88" s="163"/>
      <c r="EXK88" s="163"/>
      <c r="EXL88" s="163"/>
      <c r="EXM88" s="163"/>
      <c r="EXN88" s="163"/>
      <c r="EXO88" s="163"/>
      <c r="EXP88" s="163"/>
      <c r="EXQ88" s="163"/>
      <c r="EXR88" s="163"/>
      <c r="EXS88" s="163"/>
      <c r="EXT88" s="163"/>
      <c r="EXU88" s="163"/>
      <c r="EXV88" s="163"/>
      <c r="EXW88" s="163"/>
      <c r="EXX88" s="163"/>
      <c r="EXY88" s="163"/>
      <c r="EXZ88" s="163"/>
      <c r="EYA88" s="163"/>
      <c r="EYB88" s="163"/>
      <c r="EYC88" s="163"/>
      <c r="EYD88" s="163"/>
      <c r="EYE88" s="163"/>
      <c r="EYF88" s="163"/>
      <c r="EYG88" s="163"/>
      <c r="EYH88" s="163"/>
      <c r="EYI88" s="163"/>
      <c r="EYJ88" s="163"/>
      <c r="EYK88" s="163"/>
      <c r="EYL88" s="163"/>
      <c r="EYM88" s="163"/>
      <c r="EYN88" s="163"/>
      <c r="EYO88" s="163"/>
      <c r="EYP88" s="163"/>
      <c r="EYQ88" s="163"/>
      <c r="EYR88" s="163"/>
      <c r="EYS88" s="163"/>
      <c r="EYT88" s="163"/>
      <c r="EYU88" s="163"/>
      <c r="EYV88" s="163"/>
      <c r="EYW88" s="163"/>
      <c r="EYX88" s="163"/>
      <c r="EYY88" s="163"/>
      <c r="EYZ88" s="163"/>
      <c r="EZA88" s="163"/>
      <c r="EZB88" s="163"/>
      <c r="EZC88" s="163"/>
      <c r="EZD88" s="163"/>
      <c r="EZE88" s="163"/>
      <c r="EZF88" s="163"/>
      <c r="EZG88" s="163"/>
      <c r="EZH88" s="163"/>
      <c r="EZI88" s="163"/>
      <c r="EZJ88" s="163"/>
      <c r="EZK88" s="163"/>
      <c r="EZL88" s="163"/>
      <c r="EZM88" s="163"/>
      <c r="EZN88" s="163"/>
      <c r="EZO88" s="163"/>
      <c r="EZP88" s="163"/>
      <c r="EZQ88" s="163"/>
      <c r="EZR88" s="163"/>
      <c r="EZS88" s="163"/>
      <c r="EZT88" s="163"/>
      <c r="EZU88" s="163"/>
      <c r="EZV88" s="163"/>
      <c r="EZW88" s="163"/>
      <c r="EZX88" s="163"/>
      <c r="EZY88" s="163"/>
      <c r="EZZ88" s="163"/>
      <c r="FAA88" s="163"/>
      <c r="FAB88" s="163"/>
      <c r="FAC88" s="163"/>
      <c r="FAD88" s="163"/>
      <c r="FAE88" s="163"/>
      <c r="FAF88" s="163"/>
      <c r="FAG88" s="163"/>
      <c r="FAH88" s="163"/>
      <c r="FAI88" s="163"/>
      <c r="FAJ88" s="163"/>
      <c r="FAK88" s="163"/>
      <c r="FAL88" s="163"/>
      <c r="FAM88" s="163"/>
      <c r="FAN88" s="163"/>
      <c r="FAO88" s="163"/>
      <c r="FAP88" s="163"/>
      <c r="FAQ88" s="163"/>
      <c r="FAR88" s="163"/>
      <c r="FAS88" s="163"/>
      <c r="FAT88" s="163"/>
      <c r="FAU88" s="163"/>
      <c r="FAV88" s="163"/>
      <c r="FAW88" s="163"/>
      <c r="FAX88" s="163"/>
      <c r="FAY88" s="163"/>
      <c r="FAZ88" s="163"/>
      <c r="FBA88" s="163"/>
      <c r="FBB88" s="163"/>
      <c r="FBC88" s="163"/>
      <c r="FBD88" s="163"/>
      <c r="FBE88" s="163"/>
      <c r="FBF88" s="163"/>
      <c r="FBG88" s="163"/>
      <c r="FBH88" s="163"/>
      <c r="FBI88" s="163"/>
      <c r="FBJ88" s="163"/>
      <c r="FBK88" s="163"/>
      <c r="FBL88" s="163"/>
      <c r="FBM88" s="163"/>
      <c r="FBN88" s="163"/>
      <c r="FBO88" s="163"/>
      <c r="FBP88" s="163"/>
      <c r="FBQ88" s="163"/>
      <c r="FBR88" s="163"/>
      <c r="FBS88" s="163"/>
      <c r="FBT88" s="163"/>
      <c r="FBU88" s="163"/>
      <c r="FBV88" s="163"/>
      <c r="FBW88" s="163"/>
      <c r="FBX88" s="163"/>
      <c r="FBY88" s="163"/>
      <c r="FBZ88" s="163"/>
      <c r="FCA88" s="163"/>
      <c r="FCB88" s="163"/>
      <c r="FCC88" s="163"/>
      <c r="FCD88" s="163"/>
      <c r="FCE88" s="163"/>
      <c r="FCF88" s="163"/>
      <c r="FCG88" s="163"/>
      <c r="FCH88" s="163"/>
      <c r="FCI88" s="163"/>
      <c r="FCJ88" s="163"/>
      <c r="FCK88" s="163"/>
      <c r="FCL88" s="163"/>
      <c r="FCM88" s="163"/>
      <c r="FCN88" s="163"/>
      <c r="FCO88" s="163"/>
      <c r="FCP88" s="163"/>
      <c r="FCQ88" s="163"/>
      <c r="FCR88" s="163"/>
      <c r="FCS88" s="163"/>
      <c r="FCT88" s="163"/>
      <c r="FCU88" s="163"/>
      <c r="FCV88" s="163"/>
      <c r="FCW88" s="163"/>
      <c r="FCX88" s="163"/>
      <c r="FCY88" s="163"/>
      <c r="FCZ88" s="163"/>
      <c r="FDA88" s="163"/>
      <c r="FDB88" s="163"/>
      <c r="FDC88" s="163"/>
      <c r="FDD88" s="163"/>
      <c r="FDE88" s="163"/>
      <c r="FDF88" s="163"/>
      <c r="FDG88" s="163"/>
      <c r="FDH88" s="163"/>
      <c r="FDI88" s="163"/>
      <c r="FDJ88" s="163"/>
      <c r="FDK88" s="163"/>
      <c r="FDL88" s="163"/>
      <c r="FDM88" s="163"/>
      <c r="FDN88" s="163"/>
      <c r="FDO88" s="163"/>
      <c r="FDP88" s="163"/>
      <c r="FDQ88" s="163"/>
      <c r="FDR88" s="163"/>
      <c r="FDS88" s="163"/>
      <c r="FDT88" s="163"/>
      <c r="FDU88" s="163"/>
      <c r="FDV88" s="163"/>
      <c r="FDW88" s="163"/>
      <c r="FDX88" s="163"/>
      <c r="FDY88" s="163"/>
      <c r="FDZ88" s="163"/>
      <c r="FEA88" s="163"/>
      <c r="FEB88" s="163"/>
      <c r="FEC88" s="163"/>
      <c r="FED88" s="163"/>
      <c r="FEE88" s="163"/>
      <c r="FEF88" s="163"/>
      <c r="FEG88" s="163"/>
      <c r="FEH88" s="163"/>
      <c r="FEI88" s="163"/>
      <c r="FEJ88" s="163"/>
      <c r="FEK88" s="163"/>
      <c r="FEL88" s="163"/>
      <c r="FEM88" s="163"/>
      <c r="FEN88" s="163"/>
      <c r="FEO88" s="163"/>
      <c r="FEP88" s="163"/>
      <c r="FEQ88" s="163"/>
      <c r="FER88" s="163"/>
      <c r="FES88" s="163"/>
      <c r="FET88" s="163"/>
      <c r="FEU88" s="163"/>
      <c r="FEV88" s="163"/>
      <c r="FEW88" s="163"/>
      <c r="FEX88" s="163"/>
      <c r="FEY88" s="163"/>
      <c r="FEZ88" s="163"/>
      <c r="FFA88" s="163"/>
      <c r="FFB88" s="163"/>
      <c r="FFC88" s="163"/>
      <c r="FFD88" s="163"/>
      <c r="FFE88" s="163"/>
      <c r="FFF88" s="163"/>
      <c r="FFG88" s="163"/>
      <c r="FFH88" s="163"/>
      <c r="FFI88" s="163"/>
      <c r="FFJ88" s="163"/>
      <c r="FFK88" s="163"/>
      <c r="FFL88" s="163"/>
      <c r="FFM88" s="163"/>
      <c r="FFN88" s="163"/>
      <c r="FFO88" s="163"/>
      <c r="FFP88" s="163"/>
      <c r="FFQ88" s="163"/>
      <c r="FFR88" s="163"/>
      <c r="FFS88" s="163"/>
      <c r="FFT88" s="163"/>
      <c r="FFU88" s="163"/>
      <c r="FFV88" s="163"/>
      <c r="FFW88" s="163"/>
      <c r="FFX88" s="163"/>
      <c r="FFY88" s="163"/>
      <c r="FFZ88" s="163"/>
      <c r="FGA88" s="163"/>
      <c r="FGB88" s="163"/>
      <c r="FGC88" s="163"/>
      <c r="FGD88" s="163"/>
      <c r="FGE88" s="163"/>
      <c r="FGF88" s="163"/>
      <c r="FGG88" s="163"/>
      <c r="FGH88" s="163"/>
      <c r="FGI88" s="163"/>
      <c r="FGJ88" s="163"/>
      <c r="FGK88" s="163"/>
      <c r="FGL88" s="163"/>
      <c r="FGM88" s="163"/>
      <c r="FGN88" s="163"/>
      <c r="FGO88" s="163"/>
      <c r="FGP88" s="163"/>
      <c r="FGQ88" s="163"/>
      <c r="FGR88" s="163"/>
      <c r="FGS88" s="163"/>
      <c r="FGT88" s="163"/>
      <c r="FGU88" s="163"/>
      <c r="FGV88" s="163"/>
      <c r="FGW88" s="163"/>
      <c r="FGX88" s="163"/>
      <c r="FGY88" s="163"/>
      <c r="FGZ88" s="163"/>
      <c r="FHA88" s="163"/>
      <c r="FHB88" s="163"/>
      <c r="FHC88" s="163"/>
      <c r="FHD88" s="163"/>
      <c r="FHE88" s="163"/>
      <c r="FHF88" s="163"/>
      <c r="FHG88" s="163"/>
      <c r="FHH88" s="163"/>
      <c r="FHI88" s="163"/>
      <c r="FHJ88" s="163"/>
      <c r="FHK88" s="163"/>
      <c r="FHL88" s="163"/>
      <c r="FHM88" s="163"/>
      <c r="FHN88" s="163"/>
      <c r="FHO88" s="163"/>
      <c r="FHP88" s="163"/>
      <c r="FHQ88" s="163"/>
      <c r="FHR88" s="163"/>
      <c r="FHS88" s="163"/>
      <c r="FHT88" s="163"/>
      <c r="FHU88" s="163"/>
      <c r="FHV88" s="163"/>
      <c r="FHW88" s="163"/>
      <c r="FHX88" s="163"/>
      <c r="FHY88" s="163"/>
      <c r="FHZ88" s="163"/>
      <c r="FIA88" s="163"/>
      <c r="FIB88" s="163"/>
      <c r="FIC88" s="163"/>
      <c r="FID88" s="163"/>
      <c r="FIE88" s="163"/>
      <c r="FIF88" s="163"/>
      <c r="FIG88" s="163"/>
      <c r="FIH88" s="163"/>
      <c r="FII88" s="163"/>
      <c r="FIJ88" s="163"/>
      <c r="FIK88" s="163"/>
      <c r="FIL88" s="163"/>
      <c r="FIM88" s="163"/>
      <c r="FIN88" s="163"/>
      <c r="FIO88" s="163"/>
      <c r="FIP88" s="163"/>
      <c r="FIQ88" s="163"/>
      <c r="FIR88" s="163"/>
      <c r="FIS88" s="163"/>
      <c r="FIT88" s="163"/>
      <c r="FIU88" s="163"/>
      <c r="FIV88" s="163"/>
      <c r="FIW88" s="163"/>
      <c r="FIX88" s="163"/>
      <c r="FIY88" s="163"/>
      <c r="FIZ88" s="163"/>
      <c r="FJA88" s="163"/>
      <c r="FJB88" s="163"/>
      <c r="FJC88" s="163"/>
      <c r="FJD88" s="163"/>
      <c r="FJE88" s="163"/>
      <c r="FJF88" s="163"/>
      <c r="FJG88" s="163"/>
      <c r="FJH88" s="163"/>
      <c r="FJI88" s="163"/>
      <c r="FJJ88" s="163"/>
      <c r="FJK88" s="163"/>
      <c r="FJL88" s="163"/>
      <c r="FJM88" s="163"/>
      <c r="FJN88" s="163"/>
      <c r="FJO88" s="163"/>
      <c r="FJP88" s="163"/>
      <c r="FJQ88" s="163"/>
      <c r="FJR88" s="163"/>
      <c r="FJS88" s="163"/>
      <c r="FJT88" s="163"/>
      <c r="FJU88" s="163"/>
      <c r="FJV88" s="163"/>
      <c r="FJW88" s="163"/>
      <c r="FJX88" s="163"/>
      <c r="FJY88" s="163"/>
      <c r="FJZ88" s="163"/>
      <c r="FKA88" s="163"/>
      <c r="FKB88" s="163"/>
      <c r="FKC88" s="163"/>
      <c r="FKD88" s="163"/>
      <c r="FKE88" s="163"/>
      <c r="FKF88" s="163"/>
      <c r="FKG88" s="163"/>
      <c r="FKH88" s="163"/>
      <c r="FKI88" s="163"/>
      <c r="FKJ88" s="163"/>
      <c r="FKK88" s="163"/>
      <c r="FKL88" s="163"/>
      <c r="FKM88" s="163"/>
      <c r="FKN88" s="163"/>
      <c r="FKO88" s="163"/>
      <c r="FKP88" s="163"/>
      <c r="FKQ88" s="163"/>
      <c r="FKR88" s="163"/>
      <c r="FKS88" s="163"/>
      <c r="FKT88" s="163"/>
      <c r="FKU88" s="163"/>
      <c r="FKV88" s="163"/>
      <c r="FKW88" s="163"/>
      <c r="FKX88" s="163"/>
      <c r="FKY88" s="163"/>
      <c r="FKZ88" s="163"/>
      <c r="FLA88" s="163"/>
      <c r="FLB88" s="163"/>
      <c r="FLC88" s="163"/>
      <c r="FLD88" s="163"/>
      <c r="FLE88" s="163"/>
      <c r="FLF88" s="163"/>
      <c r="FLG88" s="163"/>
      <c r="FLH88" s="163"/>
      <c r="FLI88" s="163"/>
      <c r="FLJ88" s="163"/>
      <c r="FLK88" s="163"/>
      <c r="FLL88" s="163"/>
      <c r="FLM88" s="163"/>
      <c r="FLN88" s="163"/>
      <c r="FLO88" s="163"/>
      <c r="FLP88" s="163"/>
      <c r="FLQ88" s="163"/>
      <c r="FLR88" s="163"/>
      <c r="FLS88" s="163"/>
      <c r="FLT88" s="163"/>
      <c r="FLU88" s="163"/>
      <c r="FLV88" s="163"/>
      <c r="FLW88" s="163"/>
      <c r="FLX88" s="163"/>
      <c r="FLY88" s="163"/>
      <c r="FLZ88" s="163"/>
      <c r="FMA88" s="163"/>
      <c r="FMB88" s="163"/>
      <c r="FMC88" s="163"/>
      <c r="FMD88" s="163"/>
      <c r="FME88" s="163"/>
      <c r="FMF88" s="163"/>
      <c r="FMG88" s="163"/>
      <c r="FMH88" s="163"/>
      <c r="FMI88" s="163"/>
      <c r="FMJ88" s="163"/>
      <c r="FMK88" s="163"/>
      <c r="FML88" s="163"/>
      <c r="FMM88" s="163"/>
      <c r="FMN88" s="163"/>
      <c r="FMO88" s="163"/>
      <c r="FMP88" s="163"/>
      <c r="FMQ88" s="163"/>
      <c r="FMR88" s="163"/>
      <c r="FMS88" s="163"/>
      <c r="FMT88" s="163"/>
      <c r="FMU88" s="163"/>
      <c r="FMV88" s="163"/>
      <c r="FMW88" s="163"/>
      <c r="FMX88" s="163"/>
      <c r="FMY88" s="163"/>
      <c r="FMZ88" s="163"/>
      <c r="FNA88" s="163"/>
      <c r="FNB88" s="163"/>
      <c r="FNC88" s="163"/>
      <c r="FND88" s="163"/>
      <c r="FNE88" s="163"/>
      <c r="FNF88" s="163"/>
      <c r="FNG88" s="163"/>
      <c r="FNH88" s="163"/>
      <c r="FNI88" s="163"/>
      <c r="FNJ88" s="163"/>
      <c r="FNK88" s="163"/>
      <c r="FNL88" s="163"/>
      <c r="FNM88" s="163"/>
      <c r="FNN88" s="163"/>
      <c r="FNO88" s="163"/>
      <c r="FNP88" s="163"/>
      <c r="FNQ88" s="163"/>
      <c r="FNR88" s="163"/>
      <c r="FNS88" s="163"/>
      <c r="FNT88" s="163"/>
      <c r="FNU88" s="163"/>
      <c r="FNV88" s="163"/>
      <c r="FNW88" s="163"/>
      <c r="FNX88" s="163"/>
      <c r="FNY88" s="163"/>
      <c r="FNZ88" s="163"/>
      <c r="FOA88" s="163"/>
      <c r="FOB88" s="163"/>
      <c r="FOC88" s="163"/>
      <c r="FOD88" s="163"/>
      <c r="FOE88" s="163"/>
      <c r="FOF88" s="163"/>
      <c r="FOG88" s="163"/>
      <c r="FOH88" s="163"/>
      <c r="FOI88" s="163"/>
      <c r="FOJ88" s="163"/>
      <c r="FOK88" s="163"/>
      <c r="FOL88" s="163"/>
      <c r="FOM88" s="163"/>
      <c r="FON88" s="163"/>
      <c r="FOO88" s="163"/>
      <c r="FOP88" s="163"/>
      <c r="FOQ88" s="163"/>
      <c r="FOR88" s="163"/>
      <c r="FOS88" s="163"/>
      <c r="FOT88" s="163"/>
      <c r="FOU88" s="163"/>
      <c r="FOV88" s="163"/>
      <c r="FOW88" s="163"/>
      <c r="FOX88" s="163"/>
      <c r="FOY88" s="163"/>
      <c r="FOZ88" s="163"/>
      <c r="FPA88" s="163"/>
      <c r="FPB88" s="163"/>
      <c r="FPC88" s="163"/>
      <c r="FPD88" s="163"/>
      <c r="FPE88" s="163"/>
      <c r="FPF88" s="163"/>
      <c r="FPG88" s="163"/>
      <c r="FPH88" s="163"/>
      <c r="FPI88" s="163"/>
      <c r="FPJ88" s="163"/>
      <c r="FPK88" s="163"/>
      <c r="FPL88" s="163"/>
      <c r="FPM88" s="163"/>
      <c r="FPN88" s="163"/>
      <c r="FPO88" s="163"/>
      <c r="FPP88" s="163"/>
      <c r="FPQ88" s="163"/>
      <c r="FPR88" s="163"/>
      <c r="FPS88" s="163"/>
      <c r="FPT88" s="163"/>
      <c r="FPU88" s="163"/>
      <c r="FPV88" s="163"/>
      <c r="FPW88" s="163"/>
      <c r="FPX88" s="163"/>
      <c r="FPY88" s="163"/>
      <c r="FPZ88" s="163"/>
      <c r="FQA88" s="163"/>
      <c r="FQB88" s="163"/>
      <c r="FQC88" s="163"/>
      <c r="FQD88" s="163"/>
      <c r="FQE88" s="163"/>
      <c r="FQF88" s="163"/>
      <c r="FQG88" s="163"/>
      <c r="FQH88" s="163"/>
      <c r="FQI88" s="163"/>
      <c r="FQJ88" s="163"/>
      <c r="FQK88" s="163"/>
      <c r="FQL88" s="163"/>
      <c r="FQM88" s="163"/>
      <c r="FQN88" s="163"/>
      <c r="FQO88" s="163"/>
      <c r="FQP88" s="163"/>
      <c r="FQQ88" s="163"/>
      <c r="FQR88" s="163"/>
      <c r="FQS88" s="163"/>
      <c r="FQT88" s="163"/>
      <c r="FQU88" s="163"/>
      <c r="FQV88" s="163"/>
      <c r="FQW88" s="163"/>
      <c r="FQX88" s="163"/>
      <c r="FQY88" s="163"/>
      <c r="FQZ88" s="163"/>
      <c r="FRA88" s="163"/>
      <c r="FRB88" s="163"/>
      <c r="FRC88" s="163"/>
      <c r="FRD88" s="163"/>
      <c r="FRE88" s="163"/>
      <c r="FRF88" s="163"/>
      <c r="FRG88" s="163"/>
      <c r="FRH88" s="163"/>
      <c r="FRI88" s="163"/>
      <c r="FRJ88" s="163"/>
      <c r="FRK88" s="163"/>
      <c r="FRL88" s="163"/>
      <c r="FRM88" s="163"/>
      <c r="FRN88" s="163"/>
      <c r="FRO88" s="163"/>
      <c r="FRP88" s="163"/>
      <c r="FRQ88" s="163"/>
      <c r="FRR88" s="163"/>
      <c r="FRS88" s="163"/>
      <c r="FRT88" s="163"/>
      <c r="FRU88" s="163"/>
      <c r="FRV88" s="163"/>
      <c r="FRW88" s="163"/>
      <c r="FRX88" s="163"/>
      <c r="FRY88" s="163"/>
      <c r="FRZ88" s="163"/>
      <c r="FSA88" s="163"/>
      <c r="FSB88" s="163"/>
      <c r="FSC88" s="163"/>
      <c r="FSD88" s="163"/>
      <c r="FSE88" s="163"/>
      <c r="FSF88" s="163"/>
      <c r="FSG88" s="163"/>
      <c r="FSH88" s="163"/>
      <c r="FSI88" s="163"/>
      <c r="FSJ88" s="163"/>
      <c r="FSK88" s="163"/>
      <c r="FSL88" s="163"/>
      <c r="FSM88" s="163"/>
      <c r="FSN88" s="163"/>
      <c r="FSO88" s="163"/>
      <c r="FSP88" s="163"/>
      <c r="FSQ88" s="163"/>
      <c r="FSR88" s="163"/>
      <c r="FSS88" s="163"/>
      <c r="FST88" s="163"/>
      <c r="FSU88" s="163"/>
      <c r="FSV88" s="163"/>
      <c r="FSW88" s="163"/>
      <c r="FSX88" s="163"/>
      <c r="FSY88" s="163"/>
      <c r="FSZ88" s="163"/>
      <c r="FTA88" s="163"/>
      <c r="FTB88" s="163"/>
      <c r="FTC88" s="163"/>
      <c r="FTD88" s="163"/>
      <c r="FTE88" s="163"/>
      <c r="FTF88" s="163"/>
      <c r="FTG88" s="163"/>
      <c r="FTH88" s="163"/>
      <c r="FTI88" s="163"/>
      <c r="FTJ88" s="163"/>
      <c r="FTK88" s="163"/>
      <c r="FTL88" s="163"/>
      <c r="FTM88" s="163"/>
      <c r="FTN88" s="163"/>
      <c r="FTO88" s="163"/>
      <c r="FTP88" s="163"/>
      <c r="FTQ88" s="163"/>
      <c r="FTR88" s="163"/>
      <c r="FTS88" s="163"/>
      <c r="FTT88" s="163"/>
      <c r="FTU88" s="163"/>
      <c r="FTV88" s="163"/>
      <c r="FTW88" s="163"/>
      <c r="FTX88" s="163"/>
      <c r="FTY88" s="163"/>
      <c r="FTZ88" s="163"/>
      <c r="FUA88" s="163"/>
      <c r="FUB88" s="163"/>
      <c r="FUC88" s="163"/>
      <c r="FUD88" s="163"/>
      <c r="FUE88" s="163"/>
      <c r="FUF88" s="163"/>
      <c r="FUG88" s="163"/>
      <c r="FUH88" s="163"/>
      <c r="FUI88" s="163"/>
      <c r="FUJ88" s="163"/>
      <c r="FUK88" s="163"/>
      <c r="FUL88" s="163"/>
      <c r="FUM88" s="163"/>
      <c r="FUN88" s="163"/>
      <c r="FUO88" s="163"/>
      <c r="FUP88" s="163"/>
      <c r="FUQ88" s="163"/>
      <c r="FUR88" s="163"/>
      <c r="FUS88" s="163"/>
      <c r="FUT88" s="163"/>
      <c r="FUU88" s="163"/>
      <c r="FUV88" s="163"/>
      <c r="FUW88" s="163"/>
      <c r="FUX88" s="163"/>
      <c r="FUY88" s="163"/>
      <c r="FUZ88" s="163"/>
      <c r="FVA88" s="163"/>
      <c r="FVB88" s="163"/>
      <c r="FVC88" s="163"/>
      <c r="FVD88" s="163"/>
      <c r="FVE88" s="163"/>
      <c r="FVF88" s="163"/>
      <c r="FVG88" s="163"/>
      <c r="FVH88" s="163"/>
      <c r="FVI88" s="163"/>
      <c r="FVJ88" s="163"/>
      <c r="FVK88" s="163"/>
      <c r="FVL88" s="163"/>
      <c r="FVM88" s="163"/>
      <c r="FVN88" s="163"/>
      <c r="FVO88" s="163"/>
      <c r="FVP88" s="163"/>
      <c r="FVQ88" s="163"/>
      <c r="FVR88" s="163"/>
      <c r="FVS88" s="163"/>
      <c r="FVT88" s="163"/>
      <c r="FVU88" s="163"/>
      <c r="FVV88" s="163"/>
      <c r="FVW88" s="163"/>
      <c r="FVX88" s="163"/>
      <c r="FVY88" s="163"/>
      <c r="FVZ88" s="163"/>
      <c r="FWA88" s="163"/>
      <c r="FWB88" s="163"/>
      <c r="FWC88" s="163"/>
      <c r="FWD88" s="163"/>
      <c r="FWE88" s="163"/>
      <c r="FWF88" s="163"/>
      <c r="FWG88" s="163"/>
      <c r="FWH88" s="163"/>
      <c r="FWI88" s="163"/>
      <c r="FWJ88" s="163"/>
      <c r="FWK88" s="163"/>
      <c r="FWL88" s="163"/>
      <c r="FWM88" s="163"/>
      <c r="FWN88" s="163"/>
      <c r="FWO88" s="163"/>
      <c r="FWP88" s="163"/>
      <c r="FWQ88" s="163"/>
      <c r="FWR88" s="163"/>
      <c r="FWS88" s="163"/>
      <c r="FWT88" s="163"/>
      <c r="FWU88" s="163"/>
      <c r="FWV88" s="163"/>
      <c r="FWW88" s="163"/>
      <c r="FWX88" s="163"/>
      <c r="FWY88" s="163"/>
      <c r="FWZ88" s="163"/>
      <c r="FXA88" s="163"/>
      <c r="FXB88" s="163"/>
      <c r="FXC88" s="163"/>
      <c r="FXD88" s="163"/>
      <c r="FXE88" s="163"/>
      <c r="FXF88" s="163"/>
      <c r="FXG88" s="163"/>
      <c r="FXH88" s="163"/>
      <c r="FXI88" s="163"/>
      <c r="FXJ88" s="163"/>
      <c r="FXK88" s="163"/>
      <c r="FXL88" s="163"/>
      <c r="FXM88" s="163"/>
      <c r="FXN88" s="163"/>
      <c r="FXO88" s="163"/>
      <c r="FXP88" s="163"/>
      <c r="FXQ88" s="163"/>
      <c r="FXR88" s="163"/>
      <c r="FXS88" s="163"/>
      <c r="FXT88" s="163"/>
      <c r="FXU88" s="163"/>
      <c r="FXV88" s="163"/>
      <c r="FXW88" s="163"/>
      <c r="FXX88" s="163"/>
      <c r="FXY88" s="163"/>
      <c r="FXZ88" s="163"/>
      <c r="FYA88" s="163"/>
      <c r="FYB88" s="163"/>
      <c r="FYC88" s="163"/>
      <c r="FYD88" s="163"/>
      <c r="FYE88" s="163"/>
      <c r="FYF88" s="163"/>
      <c r="FYG88" s="163"/>
      <c r="FYH88" s="163"/>
      <c r="FYI88" s="163"/>
      <c r="FYJ88" s="163"/>
      <c r="FYK88" s="163"/>
      <c r="FYL88" s="163"/>
      <c r="FYM88" s="163"/>
      <c r="FYN88" s="163"/>
      <c r="FYO88" s="163"/>
      <c r="FYP88" s="163"/>
      <c r="FYQ88" s="163"/>
      <c r="FYR88" s="163"/>
      <c r="FYS88" s="163"/>
      <c r="FYT88" s="163"/>
      <c r="FYU88" s="163"/>
      <c r="FYV88" s="163"/>
      <c r="FYW88" s="163"/>
      <c r="FYX88" s="163"/>
      <c r="FYY88" s="163"/>
      <c r="FYZ88" s="163"/>
      <c r="FZA88" s="163"/>
      <c r="FZB88" s="163"/>
      <c r="FZC88" s="163"/>
      <c r="FZD88" s="163"/>
      <c r="FZE88" s="163"/>
      <c r="FZF88" s="163"/>
      <c r="FZG88" s="163"/>
      <c r="FZH88" s="163"/>
      <c r="FZI88" s="163"/>
      <c r="FZJ88" s="163"/>
      <c r="FZK88" s="163"/>
      <c r="FZL88" s="163"/>
      <c r="FZM88" s="163"/>
      <c r="FZN88" s="163"/>
      <c r="FZO88" s="163"/>
      <c r="FZP88" s="163"/>
      <c r="FZQ88" s="163"/>
      <c r="FZR88" s="163"/>
      <c r="FZS88" s="163"/>
      <c r="FZT88" s="163"/>
      <c r="FZU88" s="163"/>
      <c r="FZV88" s="163"/>
      <c r="FZW88" s="163"/>
      <c r="FZX88" s="163"/>
      <c r="FZY88" s="163"/>
      <c r="FZZ88" s="163"/>
      <c r="GAA88" s="163"/>
      <c r="GAB88" s="163"/>
      <c r="GAC88" s="163"/>
      <c r="GAD88" s="163"/>
      <c r="GAE88" s="163"/>
      <c r="GAF88" s="163"/>
      <c r="GAG88" s="163"/>
      <c r="GAH88" s="163"/>
      <c r="GAI88" s="163"/>
      <c r="GAJ88" s="163"/>
      <c r="GAK88" s="163"/>
      <c r="GAL88" s="163"/>
      <c r="GAM88" s="163"/>
      <c r="GAN88" s="163"/>
      <c r="GAO88" s="163"/>
      <c r="GAP88" s="163"/>
      <c r="GAQ88" s="163"/>
      <c r="GAR88" s="163"/>
      <c r="GAS88" s="163"/>
      <c r="GAT88" s="163"/>
      <c r="GAU88" s="163"/>
      <c r="GAV88" s="163"/>
      <c r="GAW88" s="163"/>
      <c r="GAX88" s="163"/>
      <c r="GAY88" s="163"/>
      <c r="GAZ88" s="163"/>
      <c r="GBA88" s="163"/>
      <c r="GBB88" s="163"/>
      <c r="GBC88" s="163"/>
      <c r="GBD88" s="163"/>
      <c r="GBE88" s="163"/>
      <c r="GBF88" s="163"/>
      <c r="GBG88" s="163"/>
      <c r="GBH88" s="163"/>
      <c r="GBI88" s="163"/>
      <c r="GBJ88" s="163"/>
      <c r="GBK88" s="163"/>
      <c r="GBL88" s="163"/>
      <c r="GBM88" s="163"/>
      <c r="GBN88" s="163"/>
      <c r="GBO88" s="163"/>
      <c r="GBP88" s="163"/>
      <c r="GBQ88" s="163"/>
      <c r="GBR88" s="163"/>
      <c r="GBS88" s="163"/>
      <c r="GBT88" s="163"/>
      <c r="GBU88" s="163"/>
      <c r="GBV88" s="163"/>
      <c r="GBW88" s="163"/>
      <c r="GBX88" s="163"/>
      <c r="GBY88" s="163"/>
      <c r="GBZ88" s="163"/>
      <c r="GCA88" s="163"/>
      <c r="GCB88" s="163"/>
      <c r="GCC88" s="163"/>
      <c r="GCD88" s="163"/>
      <c r="GCE88" s="163"/>
      <c r="GCF88" s="163"/>
      <c r="GCG88" s="163"/>
      <c r="GCH88" s="163"/>
      <c r="GCI88" s="163"/>
      <c r="GCJ88" s="163"/>
      <c r="GCK88" s="163"/>
      <c r="GCL88" s="163"/>
      <c r="GCM88" s="163"/>
      <c r="GCN88" s="163"/>
      <c r="GCO88" s="163"/>
      <c r="GCP88" s="163"/>
      <c r="GCQ88" s="163"/>
      <c r="GCR88" s="163"/>
      <c r="GCS88" s="163"/>
      <c r="GCT88" s="163"/>
      <c r="GCU88" s="163"/>
      <c r="GCV88" s="163"/>
      <c r="GCW88" s="163"/>
      <c r="GCX88" s="163"/>
      <c r="GCY88" s="163"/>
      <c r="GCZ88" s="163"/>
      <c r="GDA88" s="163"/>
      <c r="GDB88" s="163"/>
      <c r="GDC88" s="163"/>
      <c r="GDD88" s="163"/>
      <c r="GDE88" s="163"/>
      <c r="GDF88" s="163"/>
      <c r="GDG88" s="163"/>
      <c r="GDH88" s="163"/>
      <c r="GDI88" s="163"/>
      <c r="GDJ88" s="163"/>
      <c r="GDK88" s="163"/>
      <c r="GDL88" s="163"/>
      <c r="GDM88" s="163"/>
      <c r="GDN88" s="163"/>
      <c r="GDO88" s="163"/>
      <c r="GDP88" s="163"/>
      <c r="GDQ88" s="163"/>
      <c r="GDR88" s="163"/>
      <c r="GDS88" s="163"/>
      <c r="GDT88" s="163"/>
      <c r="GDU88" s="163"/>
      <c r="GDV88" s="163"/>
      <c r="GDW88" s="163"/>
      <c r="GDX88" s="163"/>
      <c r="GDY88" s="163"/>
      <c r="GDZ88" s="163"/>
      <c r="GEA88" s="163"/>
      <c r="GEB88" s="163"/>
      <c r="GEC88" s="163"/>
      <c r="GED88" s="163"/>
      <c r="GEE88" s="163"/>
      <c r="GEF88" s="163"/>
      <c r="GEG88" s="163"/>
      <c r="GEH88" s="163"/>
      <c r="GEI88" s="163"/>
      <c r="GEJ88" s="163"/>
      <c r="GEK88" s="163"/>
      <c r="GEL88" s="163"/>
      <c r="GEM88" s="163"/>
      <c r="GEN88" s="163"/>
      <c r="GEO88" s="163"/>
      <c r="GEP88" s="163"/>
      <c r="GEQ88" s="163"/>
      <c r="GER88" s="163"/>
      <c r="GES88" s="163"/>
      <c r="GET88" s="163"/>
      <c r="GEU88" s="163"/>
      <c r="GEV88" s="163"/>
      <c r="GEW88" s="163"/>
      <c r="GEX88" s="163"/>
      <c r="GEY88" s="163"/>
      <c r="GEZ88" s="163"/>
      <c r="GFA88" s="163"/>
      <c r="GFB88" s="163"/>
      <c r="GFC88" s="163"/>
      <c r="GFD88" s="163"/>
      <c r="GFE88" s="163"/>
      <c r="GFF88" s="163"/>
      <c r="GFG88" s="163"/>
      <c r="GFH88" s="163"/>
      <c r="GFI88" s="163"/>
      <c r="GFJ88" s="163"/>
      <c r="GFK88" s="163"/>
      <c r="GFL88" s="163"/>
      <c r="GFM88" s="163"/>
      <c r="GFN88" s="163"/>
      <c r="GFO88" s="163"/>
      <c r="GFP88" s="163"/>
      <c r="GFQ88" s="163"/>
      <c r="GFR88" s="163"/>
      <c r="GFS88" s="163"/>
      <c r="GFT88" s="163"/>
      <c r="GFU88" s="163"/>
      <c r="GFV88" s="163"/>
      <c r="GFW88" s="163"/>
      <c r="GFX88" s="163"/>
      <c r="GFY88" s="163"/>
      <c r="GFZ88" s="163"/>
      <c r="GGA88" s="163"/>
      <c r="GGB88" s="163"/>
      <c r="GGC88" s="163"/>
      <c r="GGD88" s="163"/>
      <c r="GGE88" s="163"/>
      <c r="GGF88" s="163"/>
      <c r="GGG88" s="163"/>
      <c r="GGH88" s="163"/>
      <c r="GGI88" s="163"/>
      <c r="GGJ88" s="163"/>
      <c r="GGK88" s="163"/>
      <c r="GGL88" s="163"/>
      <c r="GGM88" s="163"/>
      <c r="GGN88" s="163"/>
      <c r="GGO88" s="163"/>
      <c r="GGP88" s="163"/>
      <c r="GGQ88" s="163"/>
      <c r="GGR88" s="163"/>
      <c r="GGS88" s="163"/>
      <c r="GGT88" s="163"/>
      <c r="GGU88" s="163"/>
      <c r="GGV88" s="163"/>
      <c r="GGW88" s="163"/>
      <c r="GGX88" s="163"/>
      <c r="GGY88" s="163"/>
      <c r="GGZ88" s="163"/>
      <c r="GHA88" s="163"/>
      <c r="GHB88" s="163"/>
      <c r="GHC88" s="163"/>
      <c r="GHD88" s="163"/>
      <c r="GHE88" s="163"/>
      <c r="GHF88" s="163"/>
      <c r="GHG88" s="163"/>
      <c r="GHH88" s="163"/>
      <c r="GHI88" s="163"/>
      <c r="GHJ88" s="163"/>
      <c r="GHK88" s="163"/>
      <c r="GHL88" s="163"/>
      <c r="GHM88" s="163"/>
      <c r="GHN88" s="163"/>
      <c r="GHO88" s="163"/>
      <c r="GHP88" s="163"/>
      <c r="GHQ88" s="163"/>
      <c r="GHR88" s="163"/>
      <c r="GHS88" s="163"/>
      <c r="GHT88" s="163"/>
      <c r="GHU88" s="163"/>
      <c r="GHV88" s="163"/>
      <c r="GHW88" s="163"/>
      <c r="GHX88" s="163"/>
      <c r="GHY88" s="163"/>
      <c r="GHZ88" s="163"/>
      <c r="GIA88" s="163"/>
      <c r="GIB88" s="163"/>
      <c r="GIC88" s="163"/>
      <c r="GID88" s="163"/>
      <c r="GIE88" s="163"/>
      <c r="GIF88" s="163"/>
      <c r="GIG88" s="163"/>
      <c r="GIH88" s="163"/>
      <c r="GII88" s="163"/>
      <c r="GIJ88" s="163"/>
      <c r="GIK88" s="163"/>
      <c r="GIL88" s="163"/>
      <c r="GIM88" s="163"/>
      <c r="GIN88" s="163"/>
      <c r="GIO88" s="163"/>
      <c r="GIP88" s="163"/>
      <c r="GIQ88" s="163"/>
      <c r="GIR88" s="163"/>
      <c r="GIS88" s="163"/>
      <c r="GIT88" s="163"/>
      <c r="GIU88" s="163"/>
      <c r="GIV88" s="163"/>
      <c r="GIW88" s="163"/>
      <c r="GIX88" s="163"/>
      <c r="GIY88" s="163"/>
      <c r="GIZ88" s="163"/>
      <c r="GJA88" s="163"/>
      <c r="GJB88" s="163"/>
      <c r="GJC88" s="163"/>
      <c r="GJD88" s="163"/>
      <c r="GJE88" s="163"/>
      <c r="GJF88" s="163"/>
      <c r="GJG88" s="163"/>
      <c r="GJH88" s="163"/>
      <c r="GJI88" s="163"/>
      <c r="GJJ88" s="163"/>
      <c r="GJK88" s="163"/>
      <c r="GJL88" s="163"/>
      <c r="GJM88" s="163"/>
      <c r="GJN88" s="163"/>
      <c r="GJO88" s="163"/>
      <c r="GJP88" s="163"/>
      <c r="GJQ88" s="163"/>
      <c r="GJR88" s="163"/>
      <c r="GJS88" s="163"/>
      <c r="GJT88" s="163"/>
      <c r="GJU88" s="163"/>
      <c r="GJV88" s="163"/>
      <c r="GJW88" s="163"/>
      <c r="GJX88" s="163"/>
      <c r="GJY88" s="163"/>
      <c r="GJZ88" s="163"/>
      <c r="GKA88" s="163"/>
      <c r="GKB88" s="163"/>
      <c r="GKC88" s="163"/>
      <c r="GKD88" s="163"/>
      <c r="GKE88" s="163"/>
      <c r="GKF88" s="163"/>
      <c r="GKG88" s="163"/>
      <c r="GKH88" s="163"/>
      <c r="GKI88" s="163"/>
      <c r="GKJ88" s="163"/>
      <c r="GKK88" s="163"/>
      <c r="GKL88" s="163"/>
      <c r="GKM88" s="163"/>
      <c r="GKN88" s="163"/>
      <c r="GKO88" s="163"/>
      <c r="GKP88" s="163"/>
      <c r="GKQ88" s="163"/>
      <c r="GKR88" s="163"/>
      <c r="GKS88" s="163"/>
      <c r="GKT88" s="163"/>
      <c r="GKU88" s="163"/>
      <c r="GKV88" s="163"/>
      <c r="GKW88" s="163"/>
      <c r="GKX88" s="163"/>
      <c r="GKY88" s="163"/>
      <c r="GKZ88" s="163"/>
      <c r="GLA88" s="163"/>
      <c r="GLB88" s="163"/>
      <c r="GLC88" s="163"/>
      <c r="GLD88" s="163"/>
      <c r="GLE88" s="163"/>
      <c r="GLF88" s="163"/>
      <c r="GLG88" s="163"/>
      <c r="GLH88" s="163"/>
      <c r="GLI88" s="163"/>
      <c r="GLJ88" s="163"/>
      <c r="GLK88" s="163"/>
      <c r="GLL88" s="163"/>
      <c r="GLM88" s="163"/>
      <c r="GLN88" s="163"/>
      <c r="GLO88" s="163"/>
      <c r="GLP88" s="163"/>
      <c r="GLQ88" s="163"/>
      <c r="GLR88" s="163"/>
      <c r="GLS88" s="163"/>
      <c r="GLT88" s="163"/>
      <c r="GLU88" s="163"/>
      <c r="GLV88" s="163"/>
      <c r="GLW88" s="163"/>
      <c r="GLX88" s="163"/>
      <c r="GLY88" s="163"/>
      <c r="GLZ88" s="163"/>
      <c r="GMA88" s="163"/>
      <c r="GMB88" s="163"/>
      <c r="GMC88" s="163"/>
      <c r="GMD88" s="163"/>
      <c r="GME88" s="163"/>
      <c r="GMF88" s="163"/>
      <c r="GMG88" s="163"/>
      <c r="GMH88" s="163"/>
      <c r="GMI88" s="163"/>
      <c r="GMJ88" s="163"/>
      <c r="GMK88" s="163"/>
      <c r="GML88" s="163"/>
      <c r="GMM88" s="163"/>
      <c r="GMN88" s="163"/>
      <c r="GMO88" s="163"/>
      <c r="GMP88" s="163"/>
      <c r="GMQ88" s="163"/>
      <c r="GMR88" s="163"/>
      <c r="GMS88" s="163"/>
      <c r="GMT88" s="163"/>
      <c r="GMU88" s="163"/>
      <c r="GMV88" s="163"/>
      <c r="GMW88" s="163"/>
      <c r="GMX88" s="163"/>
      <c r="GMY88" s="163"/>
      <c r="GMZ88" s="163"/>
      <c r="GNA88" s="163"/>
      <c r="GNB88" s="163"/>
      <c r="GNC88" s="163"/>
      <c r="GND88" s="163"/>
      <c r="GNE88" s="163"/>
      <c r="GNF88" s="163"/>
      <c r="GNG88" s="163"/>
      <c r="GNH88" s="163"/>
      <c r="GNI88" s="163"/>
      <c r="GNJ88" s="163"/>
      <c r="GNK88" s="163"/>
      <c r="GNL88" s="163"/>
      <c r="GNM88" s="163"/>
      <c r="GNN88" s="163"/>
      <c r="GNO88" s="163"/>
      <c r="GNP88" s="163"/>
      <c r="GNQ88" s="163"/>
      <c r="GNR88" s="163"/>
      <c r="GNS88" s="163"/>
      <c r="GNT88" s="163"/>
      <c r="GNU88" s="163"/>
      <c r="GNV88" s="163"/>
      <c r="GNW88" s="163"/>
      <c r="GNX88" s="163"/>
      <c r="GNY88" s="163"/>
      <c r="GNZ88" s="163"/>
      <c r="GOA88" s="163"/>
      <c r="GOB88" s="163"/>
      <c r="GOC88" s="163"/>
      <c r="GOD88" s="163"/>
      <c r="GOE88" s="163"/>
      <c r="GOF88" s="163"/>
      <c r="GOG88" s="163"/>
      <c r="GOH88" s="163"/>
      <c r="GOI88" s="163"/>
      <c r="GOJ88" s="163"/>
      <c r="GOK88" s="163"/>
      <c r="GOL88" s="163"/>
      <c r="GOM88" s="163"/>
      <c r="GON88" s="163"/>
      <c r="GOO88" s="163"/>
      <c r="GOP88" s="163"/>
      <c r="GOQ88" s="163"/>
      <c r="GOR88" s="163"/>
      <c r="GOS88" s="163"/>
      <c r="GOT88" s="163"/>
      <c r="GOU88" s="163"/>
      <c r="GOV88" s="163"/>
      <c r="GOW88" s="163"/>
      <c r="GOX88" s="163"/>
      <c r="GOY88" s="163"/>
      <c r="GOZ88" s="163"/>
      <c r="GPA88" s="163"/>
      <c r="GPB88" s="163"/>
      <c r="GPC88" s="163"/>
      <c r="GPD88" s="163"/>
      <c r="GPE88" s="163"/>
      <c r="GPF88" s="163"/>
      <c r="GPG88" s="163"/>
      <c r="GPH88" s="163"/>
      <c r="GPI88" s="163"/>
      <c r="GPJ88" s="163"/>
      <c r="GPK88" s="163"/>
      <c r="GPL88" s="163"/>
      <c r="GPM88" s="163"/>
      <c r="GPN88" s="163"/>
      <c r="GPO88" s="163"/>
      <c r="GPP88" s="163"/>
      <c r="GPQ88" s="163"/>
      <c r="GPR88" s="163"/>
      <c r="GPS88" s="163"/>
      <c r="GPT88" s="163"/>
      <c r="GPU88" s="163"/>
      <c r="GPV88" s="163"/>
      <c r="GPW88" s="163"/>
      <c r="GPX88" s="163"/>
      <c r="GPY88" s="163"/>
      <c r="GPZ88" s="163"/>
      <c r="GQA88" s="163"/>
      <c r="GQB88" s="163"/>
      <c r="GQC88" s="163"/>
      <c r="GQD88" s="163"/>
      <c r="GQE88" s="163"/>
      <c r="GQF88" s="163"/>
      <c r="GQG88" s="163"/>
      <c r="GQH88" s="163"/>
      <c r="GQI88" s="163"/>
      <c r="GQJ88" s="163"/>
      <c r="GQK88" s="163"/>
      <c r="GQL88" s="163"/>
      <c r="GQM88" s="163"/>
      <c r="GQN88" s="163"/>
      <c r="GQO88" s="163"/>
      <c r="GQP88" s="163"/>
      <c r="GQQ88" s="163"/>
      <c r="GQR88" s="163"/>
      <c r="GQS88" s="163"/>
      <c r="GQT88" s="163"/>
      <c r="GQU88" s="163"/>
      <c r="GQV88" s="163"/>
      <c r="GQW88" s="163"/>
      <c r="GQX88" s="163"/>
      <c r="GQY88" s="163"/>
      <c r="GQZ88" s="163"/>
      <c r="GRA88" s="163"/>
      <c r="GRB88" s="163"/>
      <c r="GRC88" s="163"/>
      <c r="GRD88" s="163"/>
      <c r="GRE88" s="163"/>
      <c r="GRF88" s="163"/>
      <c r="GRG88" s="163"/>
      <c r="GRH88" s="163"/>
      <c r="GRI88" s="163"/>
      <c r="GRJ88" s="163"/>
      <c r="GRK88" s="163"/>
      <c r="GRL88" s="163"/>
      <c r="GRM88" s="163"/>
      <c r="GRN88" s="163"/>
      <c r="GRO88" s="163"/>
      <c r="GRP88" s="163"/>
      <c r="GRQ88" s="163"/>
      <c r="GRR88" s="163"/>
      <c r="GRS88" s="163"/>
      <c r="GRT88" s="163"/>
      <c r="GRU88" s="163"/>
      <c r="GRV88" s="163"/>
      <c r="GRW88" s="163"/>
      <c r="GRX88" s="163"/>
      <c r="GRY88" s="163"/>
      <c r="GRZ88" s="163"/>
      <c r="GSA88" s="163"/>
      <c r="GSB88" s="163"/>
      <c r="GSC88" s="163"/>
      <c r="GSD88" s="163"/>
      <c r="GSE88" s="163"/>
      <c r="GSF88" s="163"/>
      <c r="GSG88" s="163"/>
      <c r="GSH88" s="163"/>
      <c r="GSI88" s="163"/>
      <c r="GSJ88" s="163"/>
      <c r="GSK88" s="163"/>
      <c r="GSL88" s="163"/>
      <c r="GSM88" s="163"/>
      <c r="GSN88" s="163"/>
      <c r="GSO88" s="163"/>
      <c r="GSP88" s="163"/>
      <c r="GSQ88" s="163"/>
      <c r="GSR88" s="163"/>
      <c r="GSS88" s="163"/>
      <c r="GST88" s="163"/>
      <c r="GSU88" s="163"/>
      <c r="GSV88" s="163"/>
      <c r="GSW88" s="163"/>
      <c r="GSX88" s="163"/>
      <c r="GSY88" s="163"/>
      <c r="GSZ88" s="163"/>
      <c r="GTA88" s="163"/>
      <c r="GTB88" s="163"/>
      <c r="GTC88" s="163"/>
      <c r="GTD88" s="163"/>
      <c r="GTE88" s="163"/>
      <c r="GTF88" s="163"/>
      <c r="GTG88" s="163"/>
      <c r="GTH88" s="163"/>
      <c r="GTI88" s="163"/>
      <c r="GTJ88" s="163"/>
      <c r="GTK88" s="163"/>
      <c r="GTL88" s="163"/>
      <c r="GTM88" s="163"/>
      <c r="GTN88" s="163"/>
      <c r="GTO88" s="163"/>
      <c r="GTP88" s="163"/>
      <c r="GTQ88" s="163"/>
      <c r="GTR88" s="163"/>
      <c r="GTS88" s="163"/>
      <c r="GTT88" s="163"/>
      <c r="GTU88" s="163"/>
      <c r="GTV88" s="163"/>
      <c r="GTW88" s="163"/>
      <c r="GTX88" s="163"/>
      <c r="GTY88" s="163"/>
      <c r="GTZ88" s="163"/>
      <c r="GUA88" s="163"/>
      <c r="GUB88" s="163"/>
      <c r="GUC88" s="163"/>
      <c r="GUD88" s="163"/>
      <c r="GUE88" s="163"/>
      <c r="GUF88" s="163"/>
      <c r="GUG88" s="163"/>
      <c r="GUH88" s="163"/>
      <c r="GUI88" s="163"/>
      <c r="GUJ88" s="163"/>
      <c r="GUK88" s="163"/>
      <c r="GUL88" s="163"/>
      <c r="GUM88" s="163"/>
      <c r="GUN88" s="163"/>
      <c r="GUO88" s="163"/>
      <c r="GUP88" s="163"/>
      <c r="GUQ88" s="163"/>
      <c r="GUR88" s="163"/>
      <c r="GUS88" s="163"/>
      <c r="GUT88" s="163"/>
      <c r="GUU88" s="163"/>
      <c r="GUV88" s="163"/>
      <c r="GUW88" s="163"/>
      <c r="GUX88" s="163"/>
      <c r="GUY88" s="163"/>
      <c r="GUZ88" s="163"/>
      <c r="GVA88" s="163"/>
      <c r="GVB88" s="163"/>
      <c r="GVC88" s="163"/>
      <c r="GVD88" s="163"/>
      <c r="GVE88" s="163"/>
      <c r="GVF88" s="163"/>
      <c r="GVG88" s="163"/>
      <c r="GVH88" s="163"/>
      <c r="GVI88" s="163"/>
      <c r="GVJ88" s="163"/>
      <c r="GVK88" s="163"/>
      <c r="GVL88" s="163"/>
      <c r="GVM88" s="163"/>
      <c r="GVN88" s="163"/>
      <c r="GVO88" s="163"/>
      <c r="GVP88" s="163"/>
      <c r="GVQ88" s="163"/>
      <c r="GVR88" s="163"/>
      <c r="GVS88" s="163"/>
      <c r="GVT88" s="163"/>
      <c r="GVU88" s="163"/>
      <c r="GVV88" s="163"/>
      <c r="GVW88" s="163"/>
      <c r="GVX88" s="163"/>
      <c r="GVY88" s="163"/>
      <c r="GVZ88" s="163"/>
      <c r="GWA88" s="163"/>
      <c r="GWB88" s="163"/>
      <c r="GWC88" s="163"/>
      <c r="GWD88" s="163"/>
      <c r="GWE88" s="163"/>
      <c r="GWF88" s="163"/>
      <c r="GWG88" s="163"/>
      <c r="GWH88" s="163"/>
      <c r="GWI88" s="163"/>
      <c r="GWJ88" s="163"/>
      <c r="GWK88" s="163"/>
      <c r="GWL88" s="163"/>
      <c r="GWM88" s="163"/>
      <c r="GWN88" s="163"/>
      <c r="GWO88" s="163"/>
      <c r="GWP88" s="163"/>
      <c r="GWQ88" s="163"/>
      <c r="GWR88" s="163"/>
      <c r="GWS88" s="163"/>
      <c r="GWT88" s="163"/>
      <c r="GWU88" s="163"/>
      <c r="GWV88" s="163"/>
      <c r="GWW88" s="163"/>
      <c r="GWX88" s="163"/>
      <c r="GWY88" s="163"/>
      <c r="GWZ88" s="163"/>
      <c r="GXA88" s="163"/>
      <c r="GXB88" s="163"/>
      <c r="GXC88" s="163"/>
      <c r="GXD88" s="163"/>
      <c r="GXE88" s="163"/>
      <c r="GXF88" s="163"/>
      <c r="GXG88" s="163"/>
      <c r="GXH88" s="163"/>
      <c r="GXI88" s="163"/>
      <c r="GXJ88" s="163"/>
      <c r="GXK88" s="163"/>
      <c r="GXL88" s="163"/>
      <c r="GXM88" s="163"/>
      <c r="GXN88" s="163"/>
      <c r="GXO88" s="163"/>
      <c r="GXP88" s="163"/>
      <c r="GXQ88" s="163"/>
      <c r="GXR88" s="163"/>
      <c r="GXS88" s="163"/>
      <c r="GXT88" s="163"/>
      <c r="GXU88" s="163"/>
      <c r="GXV88" s="163"/>
      <c r="GXW88" s="163"/>
      <c r="GXX88" s="163"/>
      <c r="GXY88" s="163"/>
      <c r="GXZ88" s="163"/>
      <c r="GYA88" s="163"/>
      <c r="GYB88" s="163"/>
      <c r="GYC88" s="163"/>
      <c r="GYD88" s="163"/>
      <c r="GYE88" s="163"/>
      <c r="GYF88" s="163"/>
      <c r="GYG88" s="163"/>
      <c r="GYH88" s="163"/>
      <c r="GYI88" s="163"/>
      <c r="GYJ88" s="163"/>
      <c r="GYK88" s="163"/>
      <c r="GYL88" s="163"/>
      <c r="GYM88" s="163"/>
      <c r="GYN88" s="163"/>
      <c r="GYO88" s="163"/>
      <c r="GYP88" s="163"/>
      <c r="GYQ88" s="163"/>
      <c r="GYR88" s="163"/>
      <c r="GYS88" s="163"/>
      <c r="GYT88" s="163"/>
      <c r="GYU88" s="163"/>
      <c r="GYV88" s="163"/>
      <c r="GYW88" s="163"/>
      <c r="GYX88" s="163"/>
      <c r="GYY88" s="163"/>
      <c r="GYZ88" s="163"/>
      <c r="GZA88" s="163"/>
      <c r="GZB88" s="163"/>
      <c r="GZC88" s="163"/>
      <c r="GZD88" s="163"/>
      <c r="GZE88" s="163"/>
      <c r="GZF88" s="163"/>
      <c r="GZG88" s="163"/>
      <c r="GZH88" s="163"/>
      <c r="GZI88" s="163"/>
      <c r="GZJ88" s="163"/>
      <c r="GZK88" s="163"/>
      <c r="GZL88" s="163"/>
      <c r="GZM88" s="163"/>
      <c r="GZN88" s="163"/>
      <c r="GZO88" s="163"/>
      <c r="GZP88" s="163"/>
      <c r="GZQ88" s="163"/>
      <c r="GZR88" s="163"/>
      <c r="GZS88" s="163"/>
      <c r="GZT88" s="163"/>
      <c r="GZU88" s="163"/>
      <c r="GZV88" s="163"/>
      <c r="GZW88" s="163"/>
      <c r="GZX88" s="163"/>
      <c r="GZY88" s="163"/>
      <c r="GZZ88" s="163"/>
      <c r="HAA88" s="163"/>
      <c r="HAB88" s="163"/>
      <c r="HAC88" s="163"/>
      <c r="HAD88" s="163"/>
      <c r="HAE88" s="163"/>
      <c r="HAF88" s="163"/>
      <c r="HAG88" s="163"/>
      <c r="HAH88" s="163"/>
      <c r="HAI88" s="163"/>
      <c r="HAJ88" s="163"/>
      <c r="HAK88" s="163"/>
      <c r="HAL88" s="163"/>
      <c r="HAM88" s="163"/>
      <c r="HAN88" s="163"/>
      <c r="HAO88" s="163"/>
      <c r="HAP88" s="163"/>
      <c r="HAQ88" s="163"/>
      <c r="HAR88" s="163"/>
      <c r="HAS88" s="163"/>
      <c r="HAT88" s="163"/>
      <c r="HAU88" s="163"/>
      <c r="HAV88" s="163"/>
      <c r="HAW88" s="163"/>
      <c r="HAX88" s="163"/>
      <c r="HAY88" s="163"/>
      <c r="HAZ88" s="163"/>
      <c r="HBA88" s="163"/>
      <c r="HBB88" s="163"/>
      <c r="HBC88" s="163"/>
      <c r="HBD88" s="163"/>
      <c r="HBE88" s="163"/>
      <c r="HBF88" s="163"/>
      <c r="HBG88" s="163"/>
      <c r="HBH88" s="163"/>
      <c r="HBI88" s="163"/>
      <c r="HBJ88" s="163"/>
      <c r="HBK88" s="163"/>
      <c r="HBL88" s="163"/>
      <c r="HBM88" s="163"/>
      <c r="HBN88" s="163"/>
      <c r="HBO88" s="163"/>
      <c r="HBP88" s="163"/>
      <c r="HBQ88" s="163"/>
      <c r="HBR88" s="163"/>
      <c r="HBS88" s="163"/>
      <c r="HBT88" s="163"/>
      <c r="HBU88" s="163"/>
      <c r="HBV88" s="163"/>
      <c r="HBW88" s="163"/>
      <c r="HBX88" s="163"/>
      <c r="HBY88" s="163"/>
      <c r="HBZ88" s="163"/>
      <c r="HCA88" s="163"/>
      <c r="HCB88" s="163"/>
      <c r="HCC88" s="163"/>
      <c r="HCD88" s="163"/>
      <c r="HCE88" s="163"/>
      <c r="HCF88" s="163"/>
      <c r="HCG88" s="163"/>
      <c r="HCH88" s="163"/>
      <c r="HCI88" s="163"/>
      <c r="HCJ88" s="163"/>
      <c r="HCK88" s="163"/>
      <c r="HCL88" s="163"/>
      <c r="HCM88" s="163"/>
      <c r="HCN88" s="163"/>
      <c r="HCO88" s="163"/>
      <c r="HCP88" s="163"/>
      <c r="HCQ88" s="163"/>
      <c r="HCR88" s="163"/>
      <c r="HCS88" s="163"/>
      <c r="HCT88" s="163"/>
      <c r="HCU88" s="163"/>
      <c r="HCV88" s="163"/>
      <c r="HCW88" s="163"/>
      <c r="HCX88" s="163"/>
      <c r="HCY88" s="163"/>
      <c r="HCZ88" s="163"/>
      <c r="HDA88" s="163"/>
      <c r="HDB88" s="163"/>
      <c r="HDC88" s="163"/>
      <c r="HDD88" s="163"/>
      <c r="HDE88" s="163"/>
      <c r="HDF88" s="163"/>
      <c r="HDG88" s="163"/>
      <c r="HDH88" s="163"/>
      <c r="HDI88" s="163"/>
      <c r="HDJ88" s="163"/>
      <c r="HDK88" s="163"/>
      <c r="HDL88" s="163"/>
      <c r="HDM88" s="163"/>
      <c r="HDN88" s="163"/>
      <c r="HDO88" s="163"/>
      <c r="HDP88" s="163"/>
      <c r="HDQ88" s="163"/>
      <c r="HDR88" s="163"/>
      <c r="HDS88" s="163"/>
      <c r="HDT88" s="163"/>
      <c r="HDU88" s="163"/>
      <c r="HDV88" s="163"/>
      <c r="HDW88" s="163"/>
      <c r="HDX88" s="163"/>
      <c r="HDY88" s="163"/>
      <c r="HDZ88" s="163"/>
      <c r="HEA88" s="163"/>
      <c r="HEB88" s="163"/>
      <c r="HEC88" s="163"/>
      <c r="HED88" s="163"/>
      <c r="HEE88" s="163"/>
      <c r="HEF88" s="163"/>
      <c r="HEG88" s="163"/>
      <c r="HEH88" s="163"/>
      <c r="HEI88" s="163"/>
      <c r="HEJ88" s="163"/>
      <c r="HEK88" s="163"/>
      <c r="HEL88" s="163"/>
      <c r="HEM88" s="163"/>
      <c r="HEN88" s="163"/>
      <c r="HEO88" s="163"/>
      <c r="HEP88" s="163"/>
      <c r="HEQ88" s="163"/>
      <c r="HER88" s="163"/>
      <c r="HES88" s="163"/>
      <c r="HET88" s="163"/>
      <c r="HEU88" s="163"/>
      <c r="HEV88" s="163"/>
      <c r="HEW88" s="163"/>
      <c r="HEX88" s="163"/>
      <c r="HEY88" s="163"/>
      <c r="HEZ88" s="163"/>
      <c r="HFA88" s="163"/>
      <c r="HFB88" s="163"/>
      <c r="HFC88" s="163"/>
      <c r="HFD88" s="163"/>
      <c r="HFE88" s="163"/>
      <c r="HFF88" s="163"/>
      <c r="HFG88" s="163"/>
      <c r="HFH88" s="163"/>
      <c r="HFI88" s="163"/>
      <c r="HFJ88" s="163"/>
      <c r="HFK88" s="163"/>
      <c r="HFL88" s="163"/>
      <c r="HFM88" s="163"/>
      <c r="HFN88" s="163"/>
      <c r="HFO88" s="163"/>
      <c r="HFP88" s="163"/>
      <c r="HFQ88" s="163"/>
      <c r="HFR88" s="163"/>
      <c r="HFS88" s="163"/>
      <c r="HFT88" s="163"/>
      <c r="HFU88" s="163"/>
      <c r="HFV88" s="163"/>
      <c r="HFW88" s="163"/>
      <c r="HFX88" s="163"/>
      <c r="HFY88" s="163"/>
      <c r="HFZ88" s="163"/>
      <c r="HGA88" s="163"/>
      <c r="HGB88" s="163"/>
      <c r="HGC88" s="163"/>
      <c r="HGD88" s="163"/>
      <c r="HGE88" s="163"/>
      <c r="HGF88" s="163"/>
      <c r="HGG88" s="163"/>
      <c r="HGH88" s="163"/>
      <c r="HGI88" s="163"/>
      <c r="HGJ88" s="163"/>
      <c r="HGK88" s="163"/>
      <c r="HGL88" s="163"/>
      <c r="HGM88" s="163"/>
      <c r="HGN88" s="163"/>
      <c r="HGO88" s="163"/>
      <c r="HGP88" s="163"/>
      <c r="HGQ88" s="163"/>
      <c r="HGR88" s="163"/>
      <c r="HGS88" s="163"/>
      <c r="HGT88" s="163"/>
      <c r="HGU88" s="163"/>
      <c r="HGV88" s="163"/>
      <c r="HGW88" s="163"/>
      <c r="HGX88" s="163"/>
      <c r="HGY88" s="163"/>
      <c r="HGZ88" s="163"/>
      <c r="HHA88" s="163"/>
      <c r="HHB88" s="163"/>
      <c r="HHC88" s="163"/>
      <c r="HHD88" s="163"/>
      <c r="HHE88" s="163"/>
      <c r="HHF88" s="163"/>
      <c r="HHG88" s="163"/>
      <c r="HHH88" s="163"/>
      <c r="HHI88" s="163"/>
      <c r="HHJ88" s="163"/>
      <c r="HHK88" s="163"/>
      <c r="HHL88" s="163"/>
      <c r="HHM88" s="163"/>
      <c r="HHN88" s="163"/>
      <c r="HHO88" s="163"/>
      <c r="HHP88" s="163"/>
      <c r="HHQ88" s="163"/>
      <c r="HHR88" s="163"/>
      <c r="HHS88" s="163"/>
      <c r="HHT88" s="163"/>
      <c r="HHU88" s="163"/>
      <c r="HHV88" s="163"/>
      <c r="HHW88" s="163"/>
      <c r="HHX88" s="163"/>
      <c r="HHY88" s="163"/>
      <c r="HHZ88" s="163"/>
      <c r="HIA88" s="163"/>
      <c r="HIB88" s="163"/>
      <c r="HIC88" s="163"/>
      <c r="HID88" s="163"/>
      <c r="HIE88" s="163"/>
      <c r="HIF88" s="163"/>
      <c r="HIG88" s="163"/>
      <c r="HIH88" s="163"/>
      <c r="HII88" s="163"/>
      <c r="HIJ88" s="163"/>
      <c r="HIK88" s="163"/>
      <c r="HIL88" s="163"/>
      <c r="HIM88" s="163"/>
      <c r="HIN88" s="163"/>
      <c r="HIO88" s="163"/>
      <c r="HIP88" s="163"/>
      <c r="HIQ88" s="163"/>
      <c r="HIR88" s="163"/>
      <c r="HIS88" s="163"/>
      <c r="HIT88" s="163"/>
      <c r="HIU88" s="163"/>
      <c r="HIV88" s="163"/>
      <c r="HIW88" s="163"/>
      <c r="HIX88" s="163"/>
      <c r="HIY88" s="163"/>
      <c r="HIZ88" s="163"/>
      <c r="HJA88" s="163"/>
      <c r="HJB88" s="163"/>
      <c r="HJC88" s="163"/>
      <c r="HJD88" s="163"/>
      <c r="HJE88" s="163"/>
      <c r="HJF88" s="163"/>
      <c r="HJG88" s="163"/>
      <c r="HJH88" s="163"/>
      <c r="HJI88" s="163"/>
      <c r="HJJ88" s="163"/>
      <c r="HJK88" s="163"/>
      <c r="HJL88" s="163"/>
      <c r="HJM88" s="163"/>
      <c r="HJN88" s="163"/>
      <c r="HJO88" s="163"/>
      <c r="HJP88" s="163"/>
      <c r="HJQ88" s="163"/>
      <c r="HJR88" s="163"/>
      <c r="HJS88" s="163"/>
      <c r="HJT88" s="163"/>
      <c r="HJU88" s="163"/>
      <c r="HJV88" s="163"/>
      <c r="HJW88" s="163"/>
      <c r="HJX88" s="163"/>
      <c r="HJY88" s="163"/>
      <c r="HJZ88" s="163"/>
      <c r="HKA88" s="163"/>
      <c r="HKB88" s="163"/>
      <c r="HKC88" s="163"/>
      <c r="HKD88" s="163"/>
      <c r="HKE88" s="163"/>
      <c r="HKF88" s="163"/>
      <c r="HKG88" s="163"/>
      <c r="HKH88" s="163"/>
      <c r="HKI88" s="163"/>
      <c r="HKJ88" s="163"/>
      <c r="HKK88" s="163"/>
      <c r="HKL88" s="163"/>
      <c r="HKM88" s="163"/>
      <c r="HKN88" s="163"/>
      <c r="HKO88" s="163"/>
      <c r="HKP88" s="163"/>
      <c r="HKQ88" s="163"/>
      <c r="HKR88" s="163"/>
      <c r="HKS88" s="163"/>
      <c r="HKT88" s="163"/>
      <c r="HKU88" s="163"/>
      <c r="HKV88" s="163"/>
      <c r="HKW88" s="163"/>
      <c r="HKX88" s="163"/>
      <c r="HKY88" s="163"/>
      <c r="HKZ88" s="163"/>
      <c r="HLA88" s="163"/>
      <c r="HLB88" s="163"/>
      <c r="HLC88" s="163"/>
      <c r="HLD88" s="163"/>
      <c r="HLE88" s="163"/>
      <c r="HLF88" s="163"/>
      <c r="HLG88" s="163"/>
      <c r="HLH88" s="163"/>
      <c r="HLI88" s="163"/>
      <c r="HLJ88" s="163"/>
      <c r="HLK88" s="163"/>
      <c r="HLL88" s="163"/>
      <c r="HLM88" s="163"/>
      <c r="HLN88" s="163"/>
      <c r="HLO88" s="163"/>
      <c r="HLP88" s="163"/>
      <c r="HLQ88" s="163"/>
      <c r="HLR88" s="163"/>
      <c r="HLS88" s="163"/>
      <c r="HLT88" s="163"/>
      <c r="HLU88" s="163"/>
      <c r="HLV88" s="163"/>
      <c r="HLW88" s="163"/>
      <c r="HLX88" s="163"/>
      <c r="HLY88" s="163"/>
      <c r="HLZ88" s="163"/>
      <c r="HMA88" s="163"/>
      <c r="HMB88" s="163"/>
      <c r="HMC88" s="163"/>
      <c r="HMD88" s="163"/>
      <c r="HME88" s="163"/>
      <c r="HMF88" s="163"/>
      <c r="HMG88" s="163"/>
      <c r="HMH88" s="163"/>
      <c r="HMI88" s="163"/>
      <c r="HMJ88" s="163"/>
      <c r="HMK88" s="163"/>
      <c r="HML88" s="163"/>
      <c r="HMM88" s="163"/>
      <c r="HMN88" s="163"/>
      <c r="HMO88" s="163"/>
      <c r="HMP88" s="163"/>
      <c r="HMQ88" s="163"/>
      <c r="HMR88" s="163"/>
      <c r="HMS88" s="163"/>
      <c r="HMT88" s="163"/>
      <c r="HMU88" s="163"/>
      <c r="HMV88" s="163"/>
      <c r="HMW88" s="163"/>
      <c r="HMX88" s="163"/>
      <c r="HMY88" s="163"/>
      <c r="HMZ88" s="163"/>
      <c r="HNA88" s="163"/>
      <c r="HNB88" s="163"/>
      <c r="HNC88" s="163"/>
      <c r="HND88" s="163"/>
      <c r="HNE88" s="163"/>
      <c r="HNF88" s="163"/>
      <c r="HNG88" s="163"/>
      <c r="HNH88" s="163"/>
      <c r="HNI88" s="163"/>
      <c r="HNJ88" s="163"/>
      <c r="HNK88" s="163"/>
      <c r="HNL88" s="163"/>
      <c r="HNM88" s="163"/>
      <c r="HNN88" s="163"/>
      <c r="HNO88" s="163"/>
      <c r="HNP88" s="163"/>
      <c r="HNQ88" s="163"/>
      <c r="HNR88" s="163"/>
      <c r="HNS88" s="163"/>
      <c r="HNT88" s="163"/>
      <c r="HNU88" s="163"/>
      <c r="HNV88" s="163"/>
      <c r="HNW88" s="163"/>
      <c r="HNX88" s="163"/>
      <c r="HNY88" s="163"/>
      <c r="HNZ88" s="163"/>
      <c r="HOA88" s="163"/>
      <c r="HOB88" s="163"/>
      <c r="HOC88" s="163"/>
      <c r="HOD88" s="163"/>
      <c r="HOE88" s="163"/>
      <c r="HOF88" s="163"/>
      <c r="HOG88" s="163"/>
      <c r="HOH88" s="163"/>
      <c r="HOI88" s="163"/>
      <c r="HOJ88" s="163"/>
      <c r="HOK88" s="163"/>
      <c r="HOL88" s="163"/>
      <c r="HOM88" s="163"/>
      <c r="HON88" s="163"/>
      <c r="HOO88" s="163"/>
      <c r="HOP88" s="163"/>
      <c r="HOQ88" s="163"/>
      <c r="HOR88" s="163"/>
      <c r="HOS88" s="163"/>
      <c r="HOT88" s="163"/>
      <c r="HOU88" s="163"/>
      <c r="HOV88" s="163"/>
      <c r="HOW88" s="163"/>
      <c r="HOX88" s="163"/>
      <c r="HOY88" s="163"/>
      <c r="HOZ88" s="163"/>
      <c r="HPA88" s="163"/>
      <c r="HPB88" s="163"/>
      <c r="HPC88" s="163"/>
      <c r="HPD88" s="163"/>
      <c r="HPE88" s="163"/>
      <c r="HPF88" s="163"/>
      <c r="HPG88" s="163"/>
      <c r="HPH88" s="163"/>
      <c r="HPI88" s="163"/>
      <c r="HPJ88" s="163"/>
      <c r="HPK88" s="163"/>
      <c r="HPL88" s="163"/>
      <c r="HPM88" s="163"/>
      <c r="HPN88" s="163"/>
      <c r="HPO88" s="163"/>
      <c r="HPP88" s="163"/>
      <c r="HPQ88" s="163"/>
      <c r="HPR88" s="163"/>
      <c r="HPS88" s="163"/>
      <c r="HPT88" s="163"/>
      <c r="HPU88" s="163"/>
      <c r="HPV88" s="163"/>
      <c r="HPW88" s="163"/>
      <c r="HPX88" s="163"/>
      <c r="HPY88" s="163"/>
      <c r="HPZ88" s="163"/>
      <c r="HQA88" s="163"/>
      <c r="HQB88" s="163"/>
      <c r="HQC88" s="163"/>
      <c r="HQD88" s="163"/>
      <c r="HQE88" s="163"/>
      <c r="HQF88" s="163"/>
      <c r="HQG88" s="163"/>
      <c r="HQH88" s="163"/>
      <c r="HQI88" s="163"/>
      <c r="HQJ88" s="163"/>
      <c r="HQK88" s="163"/>
      <c r="HQL88" s="163"/>
      <c r="HQM88" s="163"/>
      <c r="HQN88" s="163"/>
      <c r="HQO88" s="163"/>
      <c r="HQP88" s="163"/>
      <c r="HQQ88" s="163"/>
      <c r="HQR88" s="163"/>
      <c r="HQS88" s="163"/>
      <c r="HQT88" s="163"/>
      <c r="HQU88" s="163"/>
      <c r="HQV88" s="163"/>
      <c r="HQW88" s="163"/>
      <c r="HQX88" s="163"/>
      <c r="HQY88" s="163"/>
      <c r="HQZ88" s="163"/>
      <c r="HRA88" s="163"/>
      <c r="HRB88" s="163"/>
      <c r="HRC88" s="163"/>
      <c r="HRD88" s="163"/>
      <c r="HRE88" s="163"/>
      <c r="HRF88" s="163"/>
      <c r="HRG88" s="163"/>
      <c r="HRH88" s="163"/>
      <c r="HRI88" s="163"/>
      <c r="HRJ88" s="163"/>
      <c r="HRK88" s="163"/>
      <c r="HRL88" s="163"/>
      <c r="HRM88" s="163"/>
      <c r="HRN88" s="163"/>
      <c r="HRO88" s="163"/>
      <c r="HRP88" s="163"/>
      <c r="HRQ88" s="163"/>
      <c r="HRR88" s="163"/>
      <c r="HRS88" s="163"/>
      <c r="HRT88" s="163"/>
      <c r="HRU88" s="163"/>
      <c r="HRV88" s="163"/>
      <c r="HRW88" s="163"/>
      <c r="HRX88" s="163"/>
      <c r="HRY88" s="163"/>
      <c r="HRZ88" s="163"/>
      <c r="HSA88" s="163"/>
      <c r="HSB88" s="163"/>
      <c r="HSC88" s="163"/>
      <c r="HSD88" s="163"/>
      <c r="HSE88" s="163"/>
      <c r="HSF88" s="163"/>
      <c r="HSG88" s="163"/>
      <c r="HSH88" s="163"/>
      <c r="HSI88" s="163"/>
      <c r="HSJ88" s="163"/>
      <c r="HSK88" s="163"/>
      <c r="HSL88" s="163"/>
      <c r="HSM88" s="163"/>
      <c r="HSN88" s="163"/>
      <c r="HSO88" s="163"/>
      <c r="HSP88" s="163"/>
      <c r="HSQ88" s="163"/>
      <c r="HSR88" s="163"/>
      <c r="HSS88" s="163"/>
      <c r="HST88" s="163"/>
      <c r="HSU88" s="163"/>
      <c r="HSV88" s="163"/>
      <c r="HSW88" s="163"/>
      <c r="HSX88" s="163"/>
      <c r="HSY88" s="163"/>
      <c r="HSZ88" s="163"/>
      <c r="HTA88" s="163"/>
      <c r="HTB88" s="163"/>
      <c r="HTC88" s="163"/>
      <c r="HTD88" s="163"/>
      <c r="HTE88" s="163"/>
      <c r="HTF88" s="163"/>
      <c r="HTG88" s="163"/>
      <c r="HTH88" s="163"/>
      <c r="HTI88" s="163"/>
      <c r="HTJ88" s="163"/>
      <c r="HTK88" s="163"/>
      <c r="HTL88" s="163"/>
      <c r="HTM88" s="163"/>
      <c r="HTN88" s="163"/>
      <c r="HTO88" s="163"/>
      <c r="HTP88" s="163"/>
      <c r="HTQ88" s="163"/>
      <c r="HTR88" s="163"/>
      <c r="HTS88" s="163"/>
      <c r="HTT88" s="163"/>
      <c r="HTU88" s="163"/>
      <c r="HTV88" s="163"/>
      <c r="HTW88" s="163"/>
      <c r="HTX88" s="163"/>
      <c r="HTY88" s="163"/>
      <c r="HTZ88" s="163"/>
      <c r="HUA88" s="163"/>
      <c r="HUB88" s="163"/>
      <c r="HUC88" s="163"/>
      <c r="HUD88" s="163"/>
      <c r="HUE88" s="163"/>
      <c r="HUF88" s="163"/>
      <c r="HUG88" s="163"/>
      <c r="HUH88" s="163"/>
      <c r="HUI88" s="163"/>
      <c r="HUJ88" s="163"/>
      <c r="HUK88" s="163"/>
      <c r="HUL88" s="163"/>
      <c r="HUM88" s="163"/>
      <c r="HUN88" s="163"/>
      <c r="HUO88" s="163"/>
      <c r="HUP88" s="163"/>
      <c r="HUQ88" s="163"/>
      <c r="HUR88" s="163"/>
      <c r="HUS88" s="163"/>
      <c r="HUT88" s="163"/>
      <c r="HUU88" s="163"/>
      <c r="HUV88" s="163"/>
      <c r="HUW88" s="163"/>
      <c r="HUX88" s="163"/>
      <c r="HUY88" s="163"/>
      <c r="HUZ88" s="163"/>
      <c r="HVA88" s="163"/>
      <c r="HVB88" s="163"/>
      <c r="HVC88" s="163"/>
      <c r="HVD88" s="163"/>
      <c r="HVE88" s="163"/>
      <c r="HVF88" s="163"/>
      <c r="HVG88" s="163"/>
      <c r="HVH88" s="163"/>
      <c r="HVI88" s="163"/>
      <c r="HVJ88" s="163"/>
      <c r="HVK88" s="163"/>
      <c r="HVL88" s="163"/>
      <c r="HVM88" s="163"/>
      <c r="HVN88" s="163"/>
      <c r="HVO88" s="163"/>
      <c r="HVP88" s="163"/>
      <c r="HVQ88" s="163"/>
      <c r="HVR88" s="163"/>
      <c r="HVS88" s="163"/>
      <c r="HVT88" s="163"/>
      <c r="HVU88" s="163"/>
      <c r="HVV88" s="163"/>
      <c r="HVW88" s="163"/>
      <c r="HVX88" s="163"/>
      <c r="HVY88" s="163"/>
      <c r="HVZ88" s="163"/>
      <c r="HWA88" s="163"/>
      <c r="HWB88" s="163"/>
      <c r="HWC88" s="163"/>
      <c r="HWD88" s="163"/>
      <c r="HWE88" s="163"/>
      <c r="HWF88" s="163"/>
      <c r="HWG88" s="163"/>
      <c r="HWH88" s="163"/>
      <c r="HWI88" s="163"/>
      <c r="HWJ88" s="163"/>
      <c r="HWK88" s="163"/>
      <c r="HWL88" s="163"/>
      <c r="HWM88" s="163"/>
      <c r="HWN88" s="163"/>
      <c r="HWO88" s="163"/>
      <c r="HWP88" s="163"/>
      <c r="HWQ88" s="163"/>
      <c r="HWR88" s="163"/>
      <c r="HWS88" s="163"/>
      <c r="HWT88" s="163"/>
      <c r="HWU88" s="163"/>
      <c r="HWV88" s="163"/>
      <c r="HWW88" s="163"/>
      <c r="HWX88" s="163"/>
      <c r="HWY88" s="163"/>
      <c r="HWZ88" s="163"/>
      <c r="HXA88" s="163"/>
      <c r="HXB88" s="163"/>
      <c r="HXC88" s="163"/>
      <c r="HXD88" s="163"/>
      <c r="HXE88" s="163"/>
      <c r="HXF88" s="163"/>
      <c r="HXG88" s="163"/>
      <c r="HXH88" s="163"/>
      <c r="HXI88" s="163"/>
      <c r="HXJ88" s="163"/>
      <c r="HXK88" s="163"/>
      <c r="HXL88" s="163"/>
      <c r="HXM88" s="163"/>
      <c r="HXN88" s="163"/>
      <c r="HXO88" s="163"/>
      <c r="HXP88" s="163"/>
      <c r="HXQ88" s="163"/>
      <c r="HXR88" s="163"/>
      <c r="HXS88" s="163"/>
      <c r="HXT88" s="163"/>
      <c r="HXU88" s="163"/>
      <c r="HXV88" s="163"/>
      <c r="HXW88" s="163"/>
      <c r="HXX88" s="163"/>
      <c r="HXY88" s="163"/>
      <c r="HXZ88" s="163"/>
      <c r="HYA88" s="163"/>
      <c r="HYB88" s="163"/>
      <c r="HYC88" s="163"/>
      <c r="HYD88" s="163"/>
      <c r="HYE88" s="163"/>
      <c r="HYF88" s="163"/>
      <c r="HYG88" s="163"/>
      <c r="HYH88" s="163"/>
      <c r="HYI88" s="163"/>
      <c r="HYJ88" s="163"/>
      <c r="HYK88" s="163"/>
      <c r="HYL88" s="163"/>
      <c r="HYM88" s="163"/>
      <c r="HYN88" s="163"/>
      <c r="HYO88" s="163"/>
      <c r="HYP88" s="163"/>
      <c r="HYQ88" s="163"/>
      <c r="HYR88" s="163"/>
      <c r="HYS88" s="163"/>
      <c r="HYT88" s="163"/>
      <c r="HYU88" s="163"/>
      <c r="HYV88" s="163"/>
      <c r="HYW88" s="163"/>
      <c r="HYX88" s="163"/>
      <c r="HYY88" s="163"/>
      <c r="HYZ88" s="163"/>
      <c r="HZA88" s="163"/>
      <c r="HZB88" s="163"/>
      <c r="HZC88" s="163"/>
      <c r="HZD88" s="163"/>
      <c r="HZE88" s="163"/>
      <c r="HZF88" s="163"/>
      <c r="HZG88" s="163"/>
      <c r="HZH88" s="163"/>
      <c r="HZI88" s="163"/>
      <c r="HZJ88" s="163"/>
      <c r="HZK88" s="163"/>
      <c r="HZL88" s="163"/>
      <c r="HZM88" s="163"/>
      <c r="HZN88" s="163"/>
      <c r="HZO88" s="163"/>
      <c r="HZP88" s="163"/>
      <c r="HZQ88" s="163"/>
      <c r="HZR88" s="163"/>
      <c r="HZS88" s="163"/>
      <c r="HZT88" s="163"/>
      <c r="HZU88" s="163"/>
      <c r="HZV88" s="163"/>
      <c r="HZW88" s="163"/>
      <c r="HZX88" s="163"/>
      <c r="HZY88" s="163"/>
      <c r="HZZ88" s="163"/>
      <c r="IAA88" s="163"/>
      <c r="IAB88" s="163"/>
      <c r="IAC88" s="163"/>
      <c r="IAD88" s="163"/>
      <c r="IAE88" s="163"/>
      <c r="IAF88" s="163"/>
      <c r="IAG88" s="163"/>
      <c r="IAH88" s="163"/>
      <c r="IAI88" s="163"/>
      <c r="IAJ88" s="163"/>
      <c r="IAK88" s="163"/>
      <c r="IAL88" s="163"/>
      <c r="IAM88" s="163"/>
      <c r="IAN88" s="163"/>
      <c r="IAO88" s="163"/>
      <c r="IAP88" s="163"/>
      <c r="IAQ88" s="163"/>
      <c r="IAR88" s="163"/>
      <c r="IAS88" s="163"/>
      <c r="IAT88" s="163"/>
      <c r="IAU88" s="163"/>
      <c r="IAV88" s="163"/>
      <c r="IAW88" s="163"/>
      <c r="IAX88" s="163"/>
      <c r="IAY88" s="163"/>
      <c r="IAZ88" s="163"/>
      <c r="IBA88" s="163"/>
      <c r="IBB88" s="163"/>
      <c r="IBC88" s="163"/>
      <c r="IBD88" s="163"/>
      <c r="IBE88" s="163"/>
      <c r="IBF88" s="163"/>
      <c r="IBG88" s="163"/>
      <c r="IBH88" s="163"/>
      <c r="IBI88" s="163"/>
      <c r="IBJ88" s="163"/>
      <c r="IBK88" s="163"/>
      <c r="IBL88" s="163"/>
      <c r="IBM88" s="163"/>
      <c r="IBN88" s="163"/>
      <c r="IBO88" s="163"/>
      <c r="IBP88" s="163"/>
      <c r="IBQ88" s="163"/>
      <c r="IBR88" s="163"/>
      <c r="IBS88" s="163"/>
      <c r="IBT88" s="163"/>
      <c r="IBU88" s="163"/>
      <c r="IBV88" s="163"/>
      <c r="IBW88" s="163"/>
      <c r="IBX88" s="163"/>
      <c r="IBY88" s="163"/>
      <c r="IBZ88" s="163"/>
      <c r="ICA88" s="163"/>
      <c r="ICB88" s="163"/>
      <c r="ICC88" s="163"/>
      <c r="ICD88" s="163"/>
      <c r="ICE88" s="163"/>
      <c r="ICF88" s="163"/>
      <c r="ICG88" s="163"/>
      <c r="ICH88" s="163"/>
      <c r="ICI88" s="163"/>
      <c r="ICJ88" s="163"/>
      <c r="ICK88" s="163"/>
      <c r="ICL88" s="163"/>
      <c r="ICM88" s="163"/>
      <c r="ICN88" s="163"/>
      <c r="ICO88" s="163"/>
      <c r="ICP88" s="163"/>
      <c r="ICQ88" s="163"/>
      <c r="ICR88" s="163"/>
      <c r="ICS88" s="163"/>
      <c r="ICT88" s="163"/>
      <c r="ICU88" s="163"/>
      <c r="ICV88" s="163"/>
      <c r="ICW88" s="163"/>
      <c r="ICX88" s="163"/>
      <c r="ICY88" s="163"/>
      <c r="ICZ88" s="163"/>
      <c r="IDA88" s="163"/>
      <c r="IDB88" s="163"/>
      <c r="IDC88" s="163"/>
      <c r="IDD88" s="163"/>
      <c r="IDE88" s="163"/>
      <c r="IDF88" s="163"/>
      <c r="IDG88" s="163"/>
      <c r="IDH88" s="163"/>
      <c r="IDI88" s="163"/>
      <c r="IDJ88" s="163"/>
      <c r="IDK88" s="163"/>
      <c r="IDL88" s="163"/>
      <c r="IDM88" s="163"/>
      <c r="IDN88" s="163"/>
      <c r="IDO88" s="163"/>
      <c r="IDP88" s="163"/>
      <c r="IDQ88" s="163"/>
      <c r="IDR88" s="163"/>
      <c r="IDS88" s="163"/>
      <c r="IDT88" s="163"/>
      <c r="IDU88" s="163"/>
      <c r="IDV88" s="163"/>
      <c r="IDW88" s="163"/>
      <c r="IDX88" s="163"/>
      <c r="IDY88" s="163"/>
      <c r="IDZ88" s="163"/>
      <c r="IEA88" s="163"/>
      <c r="IEB88" s="163"/>
      <c r="IEC88" s="163"/>
      <c r="IED88" s="163"/>
      <c r="IEE88" s="163"/>
      <c r="IEF88" s="163"/>
      <c r="IEG88" s="163"/>
      <c r="IEH88" s="163"/>
      <c r="IEI88" s="163"/>
      <c r="IEJ88" s="163"/>
      <c r="IEK88" s="163"/>
      <c r="IEL88" s="163"/>
      <c r="IEM88" s="163"/>
      <c r="IEN88" s="163"/>
      <c r="IEO88" s="163"/>
      <c r="IEP88" s="163"/>
      <c r="IEQ88" s="163"/>
      <c r="IER88" s="163"/>
      <c r="IES88" s="163"/>
      <c r="IET88" s="163"/>
      <c r="IEU88" s="163"/>
      <c r="IEV88" s="163"/>
      <c r="IEW88" s="163"/>
      <c r="IEX88" s="163"/>
      <c r="IEY88" s="163"/>
      <c r="IEZ88" s="163"/>
      <c r="IFA88" s="163"/>
      <c r="IFB88" s="163"/>
      <c r="IFC88" s="163"/>
      <c r="IFD88" s="163"/>
      <c r="IFE88" s="163"/>
      <c r="IFF88" s="163"/>
      <c r="IFG88" s="163"/>
      <c r="IFH88" s="163"/>
      <c r="IFI88" s="163"/>
      <c r="IFJ88" s="163"/>
      <c r="IFK88" s="163"/>
      <c r="IFL88" s="163"/>
      <c r="IFM88" s="163"/>
      <c r="IFN88" s="163"/>
      <c r="IFO88" s="163"/>
      <c r="IFP88" s="163"/>
      <c r="IFQ88" s="163"/>
      <c r="IFR88" s="163"/>
      <c r="IFS88" s="163"/>
      <c r="IFT88" s="163"/>
      <c r="IFU88" s="163"/>
      <c r="IFV88" s="163"/>
      <c r="IFW88" s="163"/>
      <c r="IFX88" s="163"/>
      <c r="IFY88" s="163"/>
      <c r="IFZ88" s="163"/>
      <c r="IGA88" s="163"/>
      <c r="IGB88" s="163"/>
      <c r="IGC88" s="163"/>
      <c r="IGD88" s="163"/>
      <c r="IGE88" s="163"/>
      <c r="IGF88" s="163"/>
      <c r="IGG88" s="163"/>
      <c r="IGH88" s="163"/>
      <c r="IGI88" s="163"/>
      <c r="IGJ88" s="163"/>
      <c r="IGK88" s="163"/>
      <c r="IGL88" s="163"/>
      <c r="IGM88" s="163"/>
      <c r="IGN88" s="163"/>
      <c r="IGO88" s="163"/>
      <c r="IGP88" s="163"/>
      <c r="IGQ88" s="163"/>
      <c r="IGR88" s="163"/>
      <c r="IGS88" s="163"/>
      <c r="IGT88" s="163"/>
      <c r="IGU88" s="163"/>
      <c r="IGV88" s="163"/>
      <c r="IGW88" s="163"/>
      <c r="IGX88" s="163"/>
      <c r="IGY88" s="163"/>
      <c r="IGZ88" s="163"/>
      <c r="IHA88" s="163"/>
      <c r="IHB88" s="163"/>
      <c r="IHC88" s="163"/>
      <c r="IHD88" s="163"/>
      <c r="IHE88" s="163"/>
      <c r="IHF88" s="163"/>
      <c r="IHG88" s="163"/>
      <c r="IHH88" s="163"/>
      <c r="IHI88" s="163"/>
      <c r="IHJ88" s="163"/>
      <c r="IHK88" s="163"/>
      <c r="IHL88" s="163"/>
      <c r="IHM88" s="163"/>
      <c r="IHN88" s="163"/>
      <c r="IHO88" s="163"/>
      <c r="IHP88" s="163"/>
      <c r="IHQ88" s="163"/>
      <c r="IHR88" s="163"/>
      <c r="IHS88" s="163"/>
      <c r="IHT88" s="163"/>
      <c r="IHU88" s="163"/>
      <c r="IHV88" s="163"/>
      <c r="IHW88" s="163"/>
      <c r="IHX88" s="163"/>
      <c r="IHY88" s="163"/>
      <c r="IHZ88" s="163"/>
      <c r="IIA88" s="163"/>
      <c r="IIB88" s="163"/>
      <c r="IIC88" s="163"/>
      <c r="IID88" s="163"/>
      <c r="IIE88" s="163"/>
      <c r="IIF88" s="163"/>
      <c r="IIG88" s="163"/>
      <c r="IIH88" s="163"/>
      <c r="III88" s="163"/>
      <c r="IIJ88" s="163"/>
      <c r="IIK88" s="163"/>
      <c r="IIL88" s="163"/>
      <c r="IIM88" s="163"/>
      <c r="IIN88" s="163"/>
      <c r="IIO88" s="163"/>
      <c r="IIP88" s="163"/>
      <c r="IIQ88" s="163"/>
      <c r="IIR88" s="163"/>
      <c r="IIS88" s="163"/>
      <c r="IIT88" s="163"/>
      <c r="IIU88" s="163"/>
      <c r="IIV88" s="163"/>
      <c r="IIW88" s="163"/>
      <c r="IIX88" s="163"/>
      <c r="IIY88" s="163"/>
      <c r="IIZ88" s="163"/>
      <c r="IJA88" s="163"/>
      <c r="IJB88" s="163"/>
      <c r="IJC88" s="163"/>
      <c r="IJD88" s="163"/>
      <c r="IJE88" s="163"/>
      <c r="IJF88" s="163"/>
      <c r="IJG88" s="163"/>
      <c r="IJH88" s="163"/>
      <c r="IJI88" s="163"/>
      <c r="IJJ88" s="163"/>
      <c r="IJK88" s="163"/>
      <c r="IJL88" s="163"/>
      <c r="IJM88" s="163"/>
      <c r="IJN88" s="163"/>
      <c r="IJO88" s="163"/>
      <c r="IJP88" s="163"/>
      <c r="IJQ88" s="163"/>
      <c r="IJR88" s="163"/>
      <c r="IJS88" s="163"/>
      <c r="IJT88" s="163"/>
      <c r="IJU88" s="163"/>
      <c r="IJV88" s="163"/>
      <c r="IJW88" s="163"/>
      <c r="IJX88" s="163"/>
      <c r="IJY88" s="163"/>
      <c r="IJZ88" s="163"/>
      <c r="IKA88" s="163"/>
      <c r="IKB88" s="163"/>
      <c r="IKC88" s="163"/>
      <c r="IKD88" s="163"/>
      <c r="IKE88" s="163"/>
      <c r="IKF88" s="163"/>
      <c r="IKG88" s="163"/>
      <c r="IKH88" s="163"/>
      <c r="IKI88" s="163"/>
      <c r="IKJ88" s="163"/>
      <c r="IKK88" s="163"/>
      <c r="IKL88" s="163"/>
      <c r="IKM88" s="163"/>
      <c r="IKN88" s="163"/>
      <c r="IKO88" s="163"/>
      <c r="IKP88" s="163"/>
      <c r="IKQ88" s="163"/>
      <c r="IKR88" s="163"/>
      <c r="IKS88" s="163"/>
      <c r="IKT88" s="163"/>
      <c r="IKU88" s="163"/>
      <c r="IKV88" s="163"/>
      <c r="IKW88" s="163"/>
      <c r="IKX88" s="163"/>
      <c r="IKY88" s="163"/>
      <c r="IKZ88" s="163"/>
      <c r="ILA88" s="163"/>
      <c r="ILB88" s="163"/>
      <c r="ILC88" s="163"/>
      <c r="ILD88" s="163"/>
      <c r="ILE88" s="163"/>
      <c r="ILF88" s="163"/>
      <c r="ILG88" s="163"/>
      <c r="ILH88" s="163"/>
      <c r="ILI88" s="163"/>
      <c r="ILJ88" s="163"/>
      <c r="ILK88" s="163"/>
      <c r="ILL88" s="163"/>
      <c r="ILM88" s="163"/>
      <c r="ILN88" s="163"/>
      <c r="ILO88" s="163"/>
      <c r="ILP88" s="163"/>
      <c r="ILQ88" s="163"/>
      <c r="ILR88" s="163"/>
      <c r="ILS88" s="163"/>
      <c r="ILT88" s="163"/>
      <c r="ILU88" s="163"/>
      <c r="ILV88" s="163"/>
      <c r="ILW88" s="163"/>
      <c r="ILX88" s="163"/>
      <c r="ILY88" s="163"/>
      <c r="ILZ88" s="163"/>
      <c r="IMA88" s="163"/>
      <c r="IMB88" s="163"/>
      <c r="IMC88" s="163"/>
      <c r="IMD88" s="163"/>
      <c r="IME88" s="163"/>
      <c r="IMF88" s="163"/>
      <c r="IMG88" s="163"/>
      <c r="IMH88" s="163"/>
      <c r="IMI88" s="163"/>
      <c r="IMJ88" s="163"/>
      <c r="IMK88" s="163"/>
      <c r="IML88" s="163"/>
      <c r="IMM88" s="163"/>
      <c r="IMN88" s="163"/>
      <c r="IMO88" s="163"/>
      <c r="IMP88" s="163"/>
      <c r="IMQ88" s="163"/>
      <c r="IMR88" s="163"/>
      <c r="IMS88" s="163"/>
      <c r="IMT88" s="163"/>
      <c r="IMU88" s="163"/>
      <c r="IMV88" s="163"/>
      <c r="IMW88" s="163"/>
      <c r="IMX88" s="163"/>
      <c r="IMY88" s="163"/>
      <c r="IMZ88" s="163"/>
      <c r="INA88" s="163"/>
      <c r="INB88" s="163"/>
      <c r="INC88" s="163"/>
      <c r="IND88" s="163"/>
      <c r="INE88" s="163"/>
      <c r="INF88" s="163"/>
      <c r="ING88" s="163"/>
      <c r="INH88" s="163"/>
      <c r="INI88" s="163"/>
      <c r="INJ88" s="163"/>
      <c r="INK88" s="163"/>
      <c r="INL88" s="163"/>
      <c r="INM88" s="163"/>
      <c r="INN88" s="163"/>
      <c r="INO88" s="163"/>
      <c r="INP88" s="163"/>
      <c r="INQ88" s="163"/>
      <c r="INR88" s="163"/>
      <c r="INS88" s="163"/>
      <c r="INT88" s="163"/>
      <c r="INU88" s="163"/>
      <c r="INV88" s="163"/>
      <c r="INW88" s="163"/>
      <c r="INX88" s="163"/>
      <c r="INY88" s="163"/>
      <c r="INZ88" s="163"/>
      <c r="IOA88" s="163"/>
      <c r="IOB88" s="163"/>
      <c r="IOC88" s="163"/>
      <c r="IOD88" s="163"/>
      <c r="IOE88" s="163"/>
      <c r="IOF88" s="163"/>
      <c r="IOG88" s="163"/>
      <c r="IOH88" s="163"/>
      <c r="IOI88" s="163"/>
      <c r="IOJ88" s="163"/>
      <c r="IOK88" s="163"/>
      <c r="IOL88" s="163"/>
      <c r="IOM88" s="163"/>
      <c r="ION88" s="163"/>
      <c r="IOO88" s="163"/>
      <c r="IOP88" s="163"/>
      <c r="IOQ88" s="163"/>
      <c r="IOR88" s="163"/>
      <c r="IOS88" s="163"/>
      <c r="IOT88" s="163"/>
      <c r="IOU88" s="163"/>
      <c r="IOV88" s="163"/>
      <c r="IOW88" s="163"/>
      <c r="IOX88" s="163"/>
      <c r="IOY88" s="163"/>
      <c r="IOZ88" s="163"/>
      <c r="IPA88" s="163"/>
      <c r="IPB88" s="163"/>
      <c r="IPC88" s="163"/>
      <c r="IPD88" s="163"/>
      <c r="IPE88" s="163"/>
      <c r="IPF88" s="163"/>
      <c r="IPG88" s="163"/>
      <c r="IPH88" s="163"/>
      <c r="IPI88" s="163"/>
      <c r="IPJ88" s="163"/>
      <c r="IPK88" s="163"/>
      <c r="IPL88" s="163"/>
      <c r="IPM88" s="163"/>
      <c r="IPN88" s="163"/>
      <c r="IPO88" s="163"/>
      <c r="IPP88" s="163"/>
      <c r="IPQ88" s="163"/>
      <c r="IPR88" s="163"/>
      <c r="IPS88" s="163"/>
      <c r="IPT88" s="163"/>
      <c r="IPU88" s="163"/>
      <c r="IPV88" s="163"/>
      <c r="IPW88" s="163"/>
      <c r="IPX88" s="163"/>
      <c r="IPY88" s="163"/>
      <c r="IPZ88" s="163"/>
      <c r="IQA88" s="163"/>
      <c r="IQB88" s="163"/>
      <c r="IQC88" s="163"/>
      <c r="IQD88" s="163"/>
      <c r="IQE88" s="163"/>
      <c r="IQF88" s="163"/>
      <c r="IQG88" s="163"/>
      <c r="IQH88" s="163"/>
      <c r="IQI88" s="163"/>
      <c r="IQJ88" s="163"/>
      <c r="IQK88" s="163"/>
      <c r="IQL88" s="163"/>
      <c r="IQM88" s="163"/>
      <c r="IQN88" s="163"/>
      <c r="IQO88" s="163"/>
      <c r="IQP88" s="163"/>
      <c r="IQQ88" s="163"/>
      <c r="IQR88" s="163"/>
      <c r="IQS88" s="163"/>
      <c r="IQT88" s="163"/>
      <c r="IQU88" s="163"/>
      <c r="IQV88" s="163"/>
      <c r="IQW88" s="163"/>
      <c r="IQX88" s="163"/>
      <c r="IQY88" s="163"/>
      <c r="IQZ88" s="163"/>
      <c r="IRA88" s="163"/>
      <c r="IRB88" s="163"/>
      <c r="IRC88" s="163"/>
      <c r="IRD88" s="163"/>
      <c r="IRE88" s="163"/>
      <c r="IRF88" s="163"/>
      <c r="IRG88" s="163"/>
      <c r="IRH88" s="163"/>
      <c r="IRI88" s="163"/>
      <c r="IRJ88" s="163"/>
      <c r="IRK88" s="163"/>
      <c r="IRL88" s="163"/>
      <c r="IRM88" s="163"/>
      <c r="IRN88" s="163"/>
      <c r="IRO88" s="163"/>
      <c r="IRP88" s="163"/>
      <c r="IRQ88" s="163"/>
      <c r="IRR88" s="163"/>
      <c r="IRS88" s="163"/>
      <c r="IRT88" s="163"/>
      <c r="IRU88" s="163"/>
      <c r="IRV88" s="163"/>
      <c r="IRW88" s="163"/>
      <c r="IRX88" s="163"/>
      <c r="IRY88" s="163"/>
      <c r="IRZ88" s="163"/>
      <c r="ISA88" s="163"/>
      <c r="ISB88" s="163"/>
      <c r="ISC88" s="163"/>
      <c r="ISD88" s="163"/>
      <c r="ISE88" s="163"/>
      <c r="ISF88" s="163"/>
      <c r="ISG88" s="163"/>
      <c r="ISH88" s="163"/>
      <c r="ISI88" s="163"/>
      <c r="ISJ88" s="163"/>
      <c r="ISK88" s="163"/>
      <c r="ISL88" s="163"/>
      <c r="ISM88" s="163"/>
      <c r="ISN88" s="163"/>
      <c r="ISO88" s="163"/>
      <c r="ISP88" s="163"/>
      <c r="ISQ88" s="163"/>
      <c r="ISR88" s="163"/>
      <c r="ISS88" s="163"/>
      <c r="IST88" s="163"/>
      <c r="ISU88" s="163"/>
      <c r="ISV88" s="163"/>
      <c r="ISW88" s="163"/>
      <c r="ISX88" s="163"/>
      <c r="ISY88" s="163"/>
      <c r="ISZ88" s="163"/>
      <c r="ITA88" s="163"/>
      <c r="ITB88" s="163"/>
      <c r="ITC88" s="163"/>
      <c r="ITD88" s="163"/>
      <c r="ITE88" s="163"/>
      <c r="ITF88" s="163"/>
      <c r="ITG88" s="163"/>
      <c r="ITH88" s="163"/>
      <c r="ITI88" s="163"/>
      <c r="ITJ88" s="163"/>
      <c r="ITK88" s="163"/>
      <c r="ITL88" s="163"/>
      <c r="ITM88" s="163"/>
      <c r="ITN88" s="163"/>
      <c r="ITO88" s="163"/>
      <c r="ITP88" s="163"/>
      <c r="ITQ88" s="163"/>
      <c r="ITR88" s="163"/>
      <c r="ITS88" s="163"/>
      <c r="ITT88" s="163"/>
      <c r="ITU88" s="163"/>
      <c r="ITV88" s="163"/>
      <c r="ITW88" s="163"/>
      <c r="ITX88" s="163"/>
      <c r="ITY88" s="163"/>
      <c r="ITZ88" s="163"/>
      <c r="IUA88" s="163"/>
      <c r="IUB88" s="163"/>
      <c r="IUC88" s="163"/>
      <c r="IUD88" s="163"/>
      <c r="IUE88" s="163"/>
      <c r="IUF88" s="163"/>
      <c r="IUG88" s="163"/>
      <c r="IUH88" s="163"/>
      <c r="IUI88" s="163"/>
      <c r="IUJ88" s="163"/>
      <c r="IUK88" s="163"/>
      <c r="IUL88" s="163"/>
      <c r="IUM88" s="163"/>
      <c r="IUN88" s="163"/>
      <c r="IUO88" s="163"/>
      <c r="IUP88" s="163"/>
      <c r="IUQ88" s="163"/>
      <c r="IUR88" s="163"/>
      <c r="IUS88" s="163"/>
      <c r="IUT88" s="163"/>
      <c r="IUU88" s="163"/>
      <c r="IUV88" s="163"/>
      <c r="IUW88" s="163"/>
      <c r="IUX88" s="163"/>
      <c r="IUY88" s="163"/>
      <c r="IUZ88" s="163"/>
      <c r="IVA88" s="163"/>
      <c r="IVB88" s="163"/>
      <c r="IVC88" s="163"/>
      <c r="IVD88" s="163"/>
      <c r="IVE88" s="163"/>
      <c r="IVF88" s="163"/>
      <c r="IVG88" s="163"/>
      <c r="IVH88" s="163"/>
      <c r="IVI88" s="163"/>
      <c r="IVJ88" s="163"/>
      <c r="IVK88" s="163"/>
      <c r="IVL88" s="163"/>
      <c r="IVM88" s="163"/>
      <c r="IVN88" s="163"/>
      <c r="IVO88" s="163"/>
      <c r="IVP88" s="163"/>
      <c r="IVQ88" s="163"/>
      <c r="IVR88" s="163"/>
      <c r="IVS88" s="163"/>
      <c r="IVT88" s="163"/>
      <c r="IVU88" s="163"/>
      <c r="IVV88" s="163"/>
      <c r="IVW88" s="163"/>
      <c r="IVX88" s="163"/>
      <c r="IVY88" s="163"/>
      <c r="IVZ88" s="163"/>
      <c r="IWA88" s="163"/>
      <c r="IWB88" s="163"/>
      <c r="IWC88" s="163"/>
      <c r="IWD88" s="163"/>
      <c r="IWE88" s="163"/>
      <c r="IWF88" s="163"/>
      <c r="IWG88" s="163"/>
      <c r="IWH88" s="163"/>
      <c r="IWI88" s="163"/>
      <c r="IWJ88" s="163"/>
      <c r="IWK88" s="163"/>
      <c r="IWL88" s="163"/>
      <c r="IWM88" s="163"/>
      <c r="IWN88" s="163"/>
      <c r="IWO88" s="163"/>
      <c r="IWP88" s="163"/>
      <c r="IWQ88" s="163"/>
      <c r="IWR88" s="163"/>
      <c r="IWS88" s="163"/>
      <c r="IWT88" s="163"/>
      <c r="IWU88" s="163"/>
      <c r="IWV88" s="163"/>
      <c r="IWW88" s="163"/>
      <c r="IWX88" s="163"/>
      <c r="IWY88" s="163"/>
      <c r="IWZ88" s="163"/>
      <c r="IXA88" s="163"/>
      <c r="IXB88" s="163"/>
      <c r="IXC88" s="163"/>
      <c r="IXD88" s="163"/>
      <c r="IXE88" s="163"/>
      <c r="IXF88" s="163"/>
      <c r="IXG88" s="163"/>
      <c r="IXH88" s="163"/>
      <c r="IXI88" s="163"/>
      <c r="IXJ88" s="163"/>
      <c r="IXK88" s="163"/>
      <c r="IXL88" s="163"/>
      <c r="IXM88" s="163"/>
      <c r="IXN88" s="163"/>
      <c r="IXO88" s="163"/>
      <c r="IXP88" s="163"/>
      <c r="IXQ88" s="163"/>
      <c r="IXR88" s="163"/>
      <c r="IXS88" s="163"/>
      <c r="IXT88" s="163"/>
      <c r="IXU88" s="163"/>
      <c r="IXV88" s="163"/>
      <c r="IXW88" s="163"/>
      <c r="IXX88" s="163"/>
      <c r="IXY88" s="163"/>
      <c r="IXZ88" s="163"/>
      <c r="IYA88" s="163"/>
      <c r="IYB88" s="163"/>
      <c r="IYC88" s="163"/>
      <c r="IYD88" s="163"/>
      <c r="IYE88" s="163"/>
      <c r="IYF88" s="163"/>
      <c r="IYG88" s="163"/>
      <c r="IYH88" s="163"/>
      <c r="IYI88" s="163"/>
      <c r="IYJ88" s="163"/>
      <c r="IYK88" s="163"/>
      <c r="IYL88" s="163"/>
      <c r="IYM88" s="163"/>
      <c r="IYN88" s="163"/>
      <c r="IYO88" s="163"/>
      <c r="IYP88" s="163"/>
      <c r="IYQ88" s="163"/>
      <c r="IYR88" s="163"/>
      <c r="IYS88" s="163"/>
      <c r="IYT88" s="163"/>
      <c r="IYU88" s="163"/>
      <c r="IYV88" s="163"/>
      <c r="IYW88" s="163"/>
      <c r="IYX88" s="163"/>
      <c r="IYY88" s="163"/>
      <c r="IYZ88" s="163"/>
      <c r="IZA88" s="163"/>
      <c r="IZB88" s="163"/>
      <c r="IZC88" s="163"/>
      <c r="IZD88" s="163"/>
      <c r="IZE88" s="163"/>
      <c r="IZF88" s="163"/>
      <c r="IZG88" s="163"/>
      <c r="IZH88" s="163"/>
      <c r="IZI88" s="163"/>
      <c r="IZJ88" s="163"/>
      <c r="IZK88" s="163"/>
      <c r="IZL88" s="163"/>
      <c r="IZM88" s="163"/>
      <c r="IZN88" s="163"/>
      <c r="IZO88" s="163"/>
      <c r="IZP88" s="163"/>
      <c r="IZQ88" s="163"/>
      <c r="IZR88" s="163"/>
      <c r="IZS88" s="163"/>
      <c r="IZT88" s="163"/>
      <c r="IZU88" s="163"/>
      <c r="IZV88" s="163"/>
      <c r="IZW88" s="163"/>
      <c r="IZX88" s="163"/>
      <c r="IZY88" s="163"/>
      <c r="IZZ88" s="163"/>
      <c r="JAA88" s="163"/>
      <c r="JAB88" s="163"/>
      <c r="JAC88" s="163"/>
      <c r="JAD88" s="163"/>
      <c r="JAE88" s="163"/>
      <c r="JAF88" s="163"/>
      <c r="JAG88" s="163"/>
      <c r="JAH88" s="163"/>
      <c r="JAI88" s="163"/>
      <c r="JAJ88" s="163"/>
      <c r="JAK88" s="163"/>
      <c r="JAL88" s="163"/>
      <c r="JAM88" s="163"/>
      <c r="JAN88" s="163"/>
      <c r="JAO88" s="163"/>
      <c r="JAP88" s="163"/>
      <c r="JAQ88" s="163"/>
      <c r="JAR88" s="163"/>
      <c r="JAS88" s="163"/>
      <c r="JAT88" s="163"/>
      <c r="JAU88" s="163"/>
      <c r="JAV88" s="163"/>
      <c r="JAW88" s="163"/>
      <c r="JAX88" s="163"/>
      <c r="JAY88" s="163"/>
      <c r="JAZ88" s="163"/>
      <c r="JBA88" s="163"/>
      <c r="JBB88" s="163"/>
      <c r="JBC88" s="163"/>
      <c r="JBD88" s="163"/>
      <c r="JBE88" s="163"/>
      <c r="JBF88" s="163"/>
      <c r="JBG88" s="163"/>
      <c r="JBH88" s="163"/>
      <c r="JBI88" s="163"/>
      <c r="JBJ88" s="163"/>
      <c r="JBK88" s="163"/>
      <c r="JBL88" s="163"/>
      <c r="JBM88" s="163"/>
      <c r="JBN88" s="163"/>
      <c r="JBO88" s="163"/>
      <c r="JBP88" s="163"/>
      <c r="JBQ88" s="163"/>
      <c r="JBR88" s="163"/>
      <c r="JBS88" s="163"/>
      <c r="JBT88" s="163"/>
      <c r="JBU88" s="163"/>
      <c r="JBV88" s="163"/>
      <c r="JBW88" s="163"/>
      <c r="JBX88" s="163"/>
      <c r="JBY88" s="163"/>
      <c r="JBZ88" s="163"/>
      <c r="JCA88" s="163"/>
      <c r="JCB88" s="163"/>
      <c r="JCC88" s="163"/>
      <c r="JCD88" s="163"/>
      <c r="JCE88" s="163"/>
      <c r="JCF88" s="163"/>
      <c r="JCG88" s="163"/>
      <c r="JCH88" s="163"/>
      <c r="JCI88" s="163"/>
      <c r="JCJ88" s="163"/>
      <c r="JCK88" s="163"/>
      <c r="JCL88" s="163"/>
      <c r="JCM88" s="163"/>
      <c r="JCN88" s="163"/>
      <c r="JCO88" s="163"/>
      <c r="JCP88" s="163"/>
      <c r="JCQ88" s="163"/>
      <c r="JCR88" s="163"/>
      <c r="JCS88" s="163"/>
      <c r="JCT88" s="163"/>
      <c r="JCU88" s="163"/>
      <c r="JCV88" s="163"/>
      <c r="JCW88" s="163"/>
      <c r="JCX88" s="163"/>
      <c r="JCY88" s="163"/>
      <c r="JCZ88" s="163"/>
      <c r="JDA88" s="163"/>
      <c r="JDB88" s="163"/>
      <c r="JDC88" s="163"/>
      <c r="JDD88" s="163"/>
      <c r="JDE88" s="163"/>
      <c r="JDF88" s="163"/>
      <c r="JDG88" s="163"/>
      <c r="JDH88" s="163"/>
      <c r="JDI88" s="163"/>
      <c r="JDJ88" s="163"/>
      <c r="JDK88" s="163"/>
      <c r="JDL88" s="163"/>
      <c r="JDM88" s="163"/>
      <c r="JDN88" s="163"/>
      <c r="JDO88" s="163"/>
      <c r="JDP88" s="163"/>
      <c r="JDQ88" s="163"/>
      <c r="JDR88" s="163"/>
      <c r="JDS88" s="163"/>
      <c r="JDT88" s="163"/>
      <c r="JDU88" s="163"/>
      <c r="JDV88" s="163"/>
      <c r="JDW88" s="163"/>
      <c r="JDX88" s="163"/>
      <c r="JDY88" s="163"/>
      <c r="JDZ88" s="163"/>
      <c r="JEA88" s="163"/>
      <c r="JEB88" s="163"/>
      <c r="JEC88" s="163"/>
      <c r="JED88" s="163"/>
      <c r="JEE88" s="163"/>
      <c r="JEF88" s="163"/>
      <c r="JEG88" s="163"/>
      <c r="JEH88" s="163"/>
      <c r="JEI88" s="163"/>
      <c r="JEJ88" s="163"/>
      <c r="JEK88" s="163"/>
      <c r="JEL88" s="163"/>
      <c r="JEM88" s="163"/>
      <c r="JEN88" s="163"/>
      <c r="JEO88" s="163"/>
      <c r="JEP88" s="163"/>
      <c r="JEQ88" s="163"/>
      <c r="JER88" s="163"/>
      <c r="JES88" s="163"/>
      <c r="JET88" s="163"/>
      <c r="JEU88" s="163"/>
      <c r="JEV88" s="163"/>
      <c r="JEW88" s="163"/>
      <c r="JEX88" s="163"/>
      <c r="JEY88" s="163"/>
      <c r="JEZ88" s="163"/>
      <c r="JFA88" s="163"/>
      <c r="JFB88" s="163"/>
      <c r="JFC88" s="163"/>
      <c r="JFD88" s="163"/>
      <c r="JFE88" s="163"/>
      <c r="JFF88" s="163"/>
      <c r="JFG88" s="163"/>
      <c r="JFH88" s="163"/>
      <c r="JFI88" s="163"/>
      <c r="JFJ88" s="163"/>
      <c r="JFK88" s="163"/>
      <c r="JFL88" s="163"/>
      <c r="JFM88" s="163"/>
      <c r="JFN88" s="163"/>
      <c r="JFO88" s="163"/>
      <c r="JFP88" s="163"/>
      <c r="JFQ88" s="163"/>
      <c r="JFR88" s="163"/>
      <c r="JFS88" s="163"/>
      <c r="JFT88" s="163"/>
      <c r="JFU88" s="163"/>
      <c r="JFV88" s="163"/>
      <c r="JFW88" s="163"/>
      <c r="JFX88" s="163"/>
      <c r="JFY88" s="163"/>
      <c r="JFZ88" s="163"/>
      <c r="JGA88" s="163"/>
      <c r="JGB88" s="163"/>
      <c r="JGC88" s="163"/>
      <c r="JGD88" s="163"/>
      <c r="JGE88" s="163"/>
      <c r="JGF88" s="163"/>
      <c r="JGG88" s="163"/>
      <c r="JGH88" s="163"/>
      <c r="JGI88" s="163"/>
      <c r="JGJ88" s="163"/>
      <c r="JGK88" s="163"/>
      <c r="JGL88" s="163"/>
      <c r="JGM88" s="163"/>
      <c r="JGN88" s="163"/>
      <c r="JGO88" s="163"/>
      <c r="JGP88" s="163"/>
      <c r="JGQ88" s="163"/>
      <c r="JGR88" s="163"/>
      <c r="JGS88" s="163"/>
      <c r="JGT88" s="163"/>
      <c r="JGU88" s="163"/>
      <c r="JGV88" s="163"/>
      <c r="JGW88" s="163"/>
      <c r="JGX88" s="163"/>
      <c r="JGY88" s="163"/>
      <c r="JGZ88" s="163"/>
      <c r="JHA88" s="163"/>
      <c r="JHB88" s="163"/>
      <c r="JHC88" s="163"/>
      <c r="JHD88" s="163"/>
      <c r="JHE88" s="163"/>
      <c r="JHF88" s="163"/>
      <c r="JHG88" s="163"/>
      <c r="JHH88" s="163"/>
      <c r="JHI88" s="163"/>
      <c r="JHJ88" s="163"/>
      <c r="JHK88" s="163"/>
      <c r="JHL88" s="163"/>
      <c r="JHM88" s="163"/>
      <c r="JHN88" s="163"/>
      <c r="JHO88" s="163"/>
      <c r="JHP88" s="163"/>
      <c r="JHQ88" s="163"/>
      <c r="JHR88" s="163"/>
      <c r="JHS88" s="163"/>
      <c r="JHT88" s="163"/>
      <c r="JHU88" s="163"/>
      <c r="JHV88" s="163"/>
      <c r="JHW88" s="163"/>
      <c r="JHX88" s="163"/>
      <c r="JHY88" s="163"/>
      <c r="JHZ88" s="163"/>
      <c r="JIA88" s="163"/>
      <c r="JIB88" s="163"/>
      <c r="JIC88" s="163"/>
      <c r="JID88" s="163"/>
      <c r="JIE88" s="163"/>
      <c r="JIF88" s="163"/>
      <c r="JIG88" s="163"/>
      <c r="JIH88" s="163"/>
      <c r="JII88" s="163"/>
      <c r="JIJ88" s="163"/>
      <c r="JIK88" s="163"/>
      <c r="JIL88" s="163"/>
      <c r="JIM88" s="163"/>
      <c r="JIN88" s="163"/>
      <c r="JIO88" s="163"/>
      <c r="JIP88" s="163"/>
      <c r="JIQ88" s="163"/>
      <c r="JIR88" s="163"/>
      <c r="JIS88" s="163"/>
      <c r="JIT88" s="163"/>
      <c r="JIU88" s="163"/>
      <c r="JIV88" s="163"/>
      <c r="JIW88" s="163"/>
      <c r="JIX88" s="163"/>
      <c r="JIY88" s="163"/>
      <c r="JIZ88" s="163"/>
      <c r="JJA88" s="163"/>
      <c r="JJB88" s="163"/>
      <c r="JJC88" s="163"/>
      <c r="JJD88" s="163"/>
      <c r="JJE88" s="163"/>
      <c r="JJF88" s="163"/>
      <c r="JJG88" s="163"/>
      <c r="JJH88" s="163"/>
      <c r="JJI88" s="163"/>
      <c r="JJJ88" s="163"/>
      <c r="JJK88" s="163"/>
      <c r="JJL88" s="163"/>
      <c r="JJM88" s="163"/>
      <c r="JJN88" s="163"/>
      <c r="JJO88" s="163"/>
      <c r="JJP88" s="163"/>
      <c r="JJQ88" s="163"/>
      <c r="JJR88" s="163"/>
      <c r="JJS88" s="163"/>
      <c r="JJT88" s="163"/>
      <c r="JJU88" s="163"/>
      <c r="JJV88" s="163"/>
      <c r="JJW88" s="163"/>
      <c r="JJX88" s="163"/>
      <c r="JJY88" s="163"/>
      <c r="JJZ88" s="163"/>
      <c r="JKA88" s="163"/>
      <c r="JKB88" s="163"/>
      <c r="JKC88" s="163"/>
      <c r="JKD88" s="163"/>
      <c r="JKE88" s="163"/>
      <c r="JKF88" s="163"/>
      <c r="JKG88" s="163"/>
      <c r="JKH88" s="163"/>
      <c r="JKI88" s="163"/>
      <c r="JKJ88" s="163"/>
      <c r="JKK88" s="163"/>
      <c r="JKL88" s="163"/>
      <c r="JKM88" s="163"/>
      <c r="JKN88" s="163"/>
      <c r="JKO88" s="163"/>
      <c r="JKP88" s="163"/>
      <c r="JKQ88" s="163"/>
      <c r="JKR88" s="163"/>
      <c r="JKS88" s="163"/>
      <c r="JKT88" s="163"/>
      <c r="JKU88" s="163"/>
      <c r="JKV88" s="163"/>
      <c r="JKW88" s="163"/>
      <c r="JKX88" s="163"/>
      <c r="JKY88" s="163"/>
      <c r="JKZ88" s="163"/>
      <c r="JLA88" s="163"/>
      <c r="JLB88" s="163"/>
      <c r="JLC88" s="163"/>
      <c r="JLD88" s="163"/>
      <c r="JLE88" s="163"/>
      <c r="JLF88" s="163"/>
      <c r="JLG88" s="163"/>
      <c r="JLH88" s="163"/>
      <c r="JLI88" s="163"/>
      <c r="JLJ88" s="163"/>
      <c r="JLK88" s="163"/>
      <c r="JLL88" s="163"/>
      <c r="JLM88" s="163"/>
      <c r="JLN88" s="163"/>
      <c r="JLO88" s="163"/>
      <c r="JLP88" s="163"/>
      <c r="JLQ88" s="163"/>
      <c r="JLR88" s="163"/>
      <c r="JLS88" s="163"/>
      <c r="JLT88" s="163"/>
      <c r="JLU88" s="163"/>
      <c r="JLV88" s="163"/>
      <c r="JLW88" s="163"/>
      <c r="JLX88" s="163"/>
      <c r="JLY88" s="163"/>
      <c r="JLZ88" s="163"/>
      <c r="JMA88" s="163"/>
      <c r="JMB88" s="163"/>
      <c r="JMC88" s="163"/>
      <c r="JMD88" s="163"/>
      <c r="JME88" s="163"/>
      <c r="JMF88" s="163"/>
      <c r="JMG88" s="163"/>
      <c r="JMH88" s="163"/>
      <c r="JMI88" s="163"/>
      <c r="JMJ88" s="163"/>
      <c r="JMK88" s="163"/>
      <c r="JML88" s="163"/>
      <c r="JMM88" s="163"/>
      <c r="JMN88" s="163"/>
      <c r="JMO88" s="163"/>
      <c r="JMP88" s="163"/>
      <c r="JMQ88" s="163"/>
      <c r="JMR88" s="163"/>
      <c r="JMS88" s="163"/>
      <c r="JMT88" s="163"/>
      <c r="JMU88" s="163"/>
      <c r="JMV88" s="163"/>
      <c r="JMW88" s="163"/>
      <c r="JMX88" s="163"/>
      <c r="JMY88" s="163"/>
      <c r="JMZ88" s="163"/>
      <c r="JNA88" s="163"/>
      <c r="JNB88" s="163"/>
      <c r="JNC88" s="163"/>
      <c r="JND88" s="163"/>
      <c r="JNE88" s="163"/>
      <c r="JNF88" s="163"/>
      <c r="JNG88" s="163"/>
      <c r="JNH88" s="163"/>
      <c r="JNI88" s="163"/>
      <c r="JNJ88" s="163"/>
      <c r="JNK88" s="163"/>
      <c r="JNL88" s="163"/>
      <c r="JNM88" s="163"/>
      <c r="JNN88" s="163"/>
      <c r="JNO88" s="163"/>
      <c r="JNP88" s="163"/>
      <c r="JNQ88" s="163"/>
      <c r="JNR88" s="163"/>
      <c r="JNS88" s="163"/>
      <c r="JNT88" s="163"/>
      <c r="JNU88" s="163"/>
      <c r="JNV88" s="163"/>
      <c r="JNW88" s="163"/>
      <c r="JNX88" s="163"/>
      <c r="JNY88" s="163"/>
      <c r="JNZ88" s="163"/>
      <c r="JOA88" s="163"/>
      <c r="JOB88" s="163"/>
      <c r="JOC88" s="163"/>
      <c r="JOD88" s="163"/>
      <c r="JOE88" s="163"/>
      <c r="JOF88" s="163"/>
      <c r="JOG88" s="163"/>
      <c r="JOH88" s="163"/>
      <c r="JOI88" s="163"/>
      <c r="JOJ88" s="163"/>
      <c r="JOK88" s="163"/>
      <c r="JOL88" s="163"/>
      <c r="JOM88" s="163"/>
      <c r="JON88" s="163"/>
      <c r="JOO88" s="163"/>
      <c r="JOP88" s="163"/>
      <c r="JOQ88" s="163"/>
      <c r="JOR88" s="163"/>
      <c r="JOS88" s="163"/>
      <c r="JOT88" s="163"/>
      <c r="JOU88" s="163"/>
      <c r="JOV88" s="163"/>
      <c r="JOW88" s="163"/>
      <c r="JOX88" s="163"/>
      <c r="JOY88" s="163"/>
      <c r="JOZ88" s="163"/>
      <c r="JPA88" s="163"/>
      <c r="JPB88" s="163"/>
      <c r="JPC88" s="163"/>
      <c r="JPD88" s="163"/>
      <c r="JPE88" s="163"/>
      <c r="JPF88" s="163"/>
      <c r="JPG88" s="163"/>
      <c r="JPH88" s="163"/>
      <c r="JPI88" s="163"/>
      <c r="JPJ88" s="163"/>
      <c r="JPK88" s="163"/>
      <c r="JPL88" s="163"/>
      <c r="JPM88" s="163"/>
      <c r="JPN88" s="163"/>
      <c r="JPO88" s="163"/>
      <c r="JPP88" s="163"/>
      <c r="JPQ88" s="163"/>
      <c r="JPR88" s="163"/>
      <c r="JPS88" s="163"/>
      <c r="JPT88" s="163"/>
      <c r="JPU88" s="163"/>
      <c r="JPV88" s="163"/>
      <c r="JPW88" s="163"/>
      <c r="JPX88" s="163"/>
      <c r="JPY88" s="163"/>
      <c r="JPZ88" s="163"/>
      <c r="JQA88" s="163"/>
      <c r="JQB88" s="163"/>
      <c r="JQC88" s="163"/>
      <c r="JQD88" s="163"/>
      <c r="JQE88" s="163"/>
      <c r="JQF88" s="163"/>
      <c r="JQG88" s="163"/>
      <c r="JQH88" s="163"/>
      <c r="JQI88" s="163"/>
      <c r="JQJ88" s="163"/>
      <c r="JQK88" s="163"/>
      <c r="JQL88" s="163"/>
      <c r="JQM88" s="163"/>
      <c r="JQN88" s="163"/>
      <c r="JQO88" s="163"/>
      <c r="JQP88" s="163"/>
      <c r="JQQ88" s="163"/>
      <c r="JQR88" s="163"/>
      <c r="JQS88" s="163"/>
      <c r="JQT88" s="163"/>
      <c r="JQU88" s="163"/>
      <c r="JQV88" s="163"/>
      <c r="JQW88" s="163"/>
      <c r="JQX88" s="163"/>
      <c r="JQY88" s="163"/>
      <c r="JQZ88" s="163"/>
      <c r="JRA88" s="163"/>
      <c r="JRB88" s="163"/>
      <c r="JRC88" s="163"/>
      <c r="JRD88" s="163"/>
      <c r="JRE88" s="163"/>
      <c r="JRF88" s="163"/>
      <c r="JRG88" s="163"/>
      <c r="JRH88" s="163"/>
      <c r="JRI88" s="163"/>
      <c r="JRJ88" s="163"/>
      <c r="JRK88" s="163"/>
      <c r="JRL88" s="163"/>
      <c r="JRM88" s="163"/>
      <c r="JRN88" s="163"/>
      <c r="JRO88" s="163"/>
      <c r="JRP88" s="163"/>
      <c r="JRQ88" s="163"/>
      <c r="JRR88" s="163"/>
      <c r="JRS88" s="163"/>
      <c r="JRT88" s="163"/>
      <c r="JRU88" s="163"/>
      <c r="JRV88" s="163"/>
      <c r="JRW88" s="163"/>
      <c r="JRX88" s="163"/>
      <c r="JRY88" s="163"/>
      <c r="JRZ88" s="163"/>
      <c r="JSA88" s="163"/>
      <c r="JSB88" s="163"/>
      <c r="JSC88" s="163"/>
      <c r="JSD88" s="163"/>
      <c r="JSE88" s="163"/>
      <c r="JSF88" s="163"/>
      <c r="JSG88" s="163"/>
      <c r="JSH88" s="163"/>
      <c r="JSI88" s="163"/>
      <c r="JSJ88" s="163"/>
      <c r="JSK88" s="163"/>
      <c r="JSL88" s="163"/>
      <c r="JSM88" s="163"/>
      <c r="JSN88" s="163"/>
      <c r="JSO88" s="163"/>
      <c r="JSP88" s="163"/>
      <c r="JSQ88" s="163"/>
      <c r="JSR88" s="163"/>
      <c r="JSS88" s="163"/>
      <c r="JST88" s="163"/>
      <c r="JSU88" s="163"/>
      <c r="JSV88" s="163"/>
      <c r="JSW88" s="163"/>
      <c r="JSX88" s="163"/>
      <c r="JSY88" s="163"/>
      <c r="JSZ88" s="163"/>
      <c r="JTA88" s="163"/>
      <c r="JTB88" s="163"/>
      <c r="JTC88" s="163"/>
      <c r="JTD88" s="163"/>
      <c r="JTE88" s="163"/>
      <c r="JTF88" s="163"/>
      <c r="JTG88" s="163"/>
      <c r="JTH88" s="163"/>
      <c r="JTI88" s="163"/>
      <c r="JTJ88" s="163"/>
      <c r="JTK88" s="163"/>
      <c r="JTL88" s="163"/>
      <c r="JTM88" s="163"/>
      <c r="JTN88" s="163"/>
      <c r="JTO88" s="163"/>
      <c r="JTP88" s="163"/>
      <c r="JTQ88" s="163"/>
      <c r="JTR88" s="163"/>
      <c r="JTS88" s="163"/>
      <c r="JTT88" s="163"/>
      <c r="JTU88" s="163"/>
      <c r="JTV88" s="163"/>
      <c r="JTW88" s="163"/>
      <c r="JTX88" s="163"/>
      <c r="JTY88" s="163"/>
      <c r="JTZ88" s="163"/>
      <c r="JUA88" s="163"/>
      <c r="JUB88" s="163"/>
      <c r="JUC88" s="163"/>
      <c r="JUD88" s="163"/>
      <c r="JUE88" s="163"/>
      <c r="JUF88" s="163"/>
      <c r="JUG88" s="163"/>
      <c r="JUH88" s="163"/>
      <c r="JUI88" s="163"/>
      <c r="JUJ88" s="163"/>
      <c r="JUK88" s="163"/>
      <c r="JUL88" s="163"/>
      <c r="JUM88" s="163"/>
      <c r="JUN88" s="163"/>
      <c r="JUO88" s="163"/>
      <c r="JUP88" s="163"/>
      <c r="JUQ88" s="163"/>
      <c r="JUR88" s="163"/>
      <c r="JUS88" s="163"/>
      <c r="JUT88" s="163"/>
      <c r="JUU88" s="163"/>
      <c r="JUV88" s="163"/>
      <c r="JUW88" s="163"/>
      <c r="JUX88" s="163"/>
      <c r="JUY88" s="163"/>
      <c r="JUZ88" s="163"/>
      <c r="JVA88" s="163"/>
      <c r="JVB88" s="163"/>
      <c r="JVC88" s="163"/>
      <c r="JVD88" s="163"/>
      <c r="JVE88" s="163"/>
      <c r="JVF88" s="163"/>
      <c r="JVG88" s="163"/>
      <c r="JVH88" s="163"/>
      <c r="JVI88" s="163"/>
      <c r="JVJ88" s="163"/>
      <c r="JVK88" s="163"/>
      <c r="JVL88" s="163"/>
      <c r="JVM88" s="163"/>
      <c r="JVN88" s="163"/>
      <c r="JVO88" s="163"/>
      <c r="JVP88" s="163"/>
      <c r="JVQ88" s="163"/>
      <c r="JVR88" s="163"/>
      <c r="JVS88" s="163"/>
      <c r="JVT88" s="163"/>
      <c r="JVU88" s="163"/>
      <c r="JVV88" s="163"/>
      <c r="JVW88" s="163"/>
      <c r="JVX88" s="163"/>
      <c r="JVY88" s="163"/>
      <c r="JVZ88" s="163"/>
      <c r="JWA88" s="163"/>
      <c r="JWB88" s="163"/>
      <c r="JWC88" s="163"/>
      <c r="JWD88" s="163"/>
      <c r="JWE88" s="163"/>
      <c r="JWF88" s="163"/>
      <c r="JWG88" s="163"/>
      <c r="JWH88" s="163"/>
      <c r="JWI88" s="163"/>
      <c r="JWJ88" s="163"/>
      <c r="JWK88" s="163"/>
      <c r="JWL88" s="163"/>
      <c r="JWM88" s="163"/>
      <c r="JWN88" s="163"/>
      <c r="JWO88" s="163"/>
      <c r="JWP88" s="163"/>
      <c r="JWQ88" s="163"/>
      <c r="JWR88" s="163"/>
      <c r="JWS88" s="163"/>
      <c r="JWT88" s="163"/>
      <c r="JWU88" s="163"/>
      <c r="JWV88" s="163"/>
      <c r="JWW88" s="163"/>
      <c r="JWX88" s="163"/>
      <c r="JWY88" s="163"/>
      <c r="JWZ88" s="163"/>
      <c r="JXA88" s="163"/>
      <c r="JXB88" s="163"/>
      <c r="JXC88" s="163"/>
      <c r="JXD88" s="163"/>
      <c r="JXE88" s="163"/>
      <c r="JXF88" s="163"/>
      <c r="JXG88" s="163"/>
      <c r="JXH88" s="163"/>
      <c r="JXI88" s="163"/>
      <c r="JXJ88" s="163"/>
      <c r="JXK88" s="163"/>
      <c r="JXL88" s="163"/>
      <c r="JXM88" s="163"/>
      <c r="JXN88" s="163"/>
      <c r="JXO88" s="163"/>
      <c r="JXP88" s="163"/>
      <c r="JXQ88" s="163"/>
      <c r="JXR88" s="163"/>
      <c r="JXS88" s="163"/>
      <c r="JXT88" s="163"/>
      <c r="JXU88" s="163"/>
      <c r="JXV88" s="163"/>
      <c r="JXW88" s="163"/>
      <c r="JXX88" s="163"/>
      <c r="JXY88" s="163"/>
      <c r="JXZ88" s="163"/>
      <c r="JYA88" s="163"/>
      <c r="JYB88" s="163"/>
      <c r="JYC88" s="163"/>
      <c r="JYD88" s="163"/>
      <c r="JYE88" s="163"/>
      <c r="JYF88" s="163"/>
      <c r="JYG88" s="163"/>
      <c r="JYH88" s="163"/>
      <c r="JYI88" s="163"/>
      <c r="JYJ88" s="163"/>
      <c r="JYK88" s="163"/>
      <c r="JYL88" s="163"/>
      <c r="JYM88" s="163"/>
      <c r="JYN88" s="163"/>
      <c r="JYO88" s="163"/>
      <c r="JYP88" s="163"/>
      <c r="JYQ88" s="163"/>
      <c r="JYR88" s="163"/>
      <c r="JYS88" s="163"/>
      <c r="JYT88" s="163"/>
      <c r="JYU88" s="163"/>
      <c r="JYV88" s="163"/>
      <c r="JYW88" s="163"/>
      <c r="JYX88" s="163"/>
      <c r="JYY88" s="163"/>
      <c r="JYZ88" s="163"/>
      <c r="JZA88" s="163"/>
      <c r="JZB88" s="163"/>
      <c r="JZC88" s="163"/>
      <c r="JZD88" s="163"/>
      <c r="JZE88" s="163"/>
      <c r="JZF88" s="163"/>
      <c r="JZG88" s="163"/>
      <c r="JZH88" s="163"/>
      <c r="JZI88" s="163"/>
      <c r="JZJ88" s="163"/>
      <c r="JZK88" s="163"/>
      <c r="JZL88" s="163"/>
      <c r="JZM88" s="163"/>
      <c r="JZN88" s="163"/>
      <c r="JZO88" s="163"/>
      <c r="JZP88" s="163"/>
      <c r="JZQ88" s="163"/>
      <c r="JZR88" s="163"/>
      <c r="JZS88" s="163"/>
      <c r="JZT88" s="163"/>
      <c r="JZU88" s="163"/>
      <c r="JZV88" s="163"/>
      <c r="JZW88" s="163"/>
      <c r="JZX88" s="163"/>
      <c r="JZY88" s="163"/>
      <c r="JZZ88" s="163"/>
      <c r="KAA88" s="163"/>
      <c r="KAB88" s="163"/>
      <c r="KAC88" s="163"/>
      <c r="KAD88" s="163"/>
      <c r="KAE88" s="163"/>
      <c r="KAF88" s="163"/>
      <c r="KAG88" s="163"/>
      <c r="KAH88" s="163"/>
      <c r="KAI88" s="163"/>
      <c r="KAJ88" s="163"/>
      <c r="KAK88" s="163"/>
      <c r="KAL88" s="163"/>
      <c r="KAM88" s="163"/>
      <c r="KAN88" s="163"/>
      <c r="KAO88" s="163"/>
      <c r="KAP88" s="163"/>
      <c r="KAQ88" s="163"/>
      <c r="KAR88" s="163"/>
      <c r="KAS88" s="163"/>
      <c r="KAT88" s="163"/>
      <c r="KAU88" s="163"/>
      <c r="KAV88" s="163"/>
      <c r="KAW88" s="163"/>
      <c r="KAX88" s="163"/>
      <c r="KAY88" s="163"/>
      <c r="KAZ88" s="163"/>
      <c r="KBA88" s="163"/>
      <c r="KBB88" s="163"/>
      <c r="KBC88" s="163"/>
      <c r="KBD88" s="163"/>
      <c r="KBE88" s="163"/>
      <c r="KBF88" s="163"/>
      <c r="KBG88" s="163"/>
      <c r="KBH88" s="163"/>
      <c r="KBI88" s="163"/>
      <c r="KBJ88" s="163"/>
      <c r="KBK88" s="163"/>
      <c r="KBL88" s="163"/>
      <c r="KBM88" s="163"/>
      <c r="KBN88" s="163"/>
      <c r="KBO88" s="163"/>
      <c r="KBP88" s="163"/>
      <c r="KBQ88" s="163"/>
      <c r="KBR88" s="163"/>
      <c r="KBS88" s="163"/>
      <c r="KBT88" s="163"/>
      <c r="KBU88" s="163"/>
      <c r="KBV88" s="163"/>
      <c r="KBW88" s="163"/>
      <c r="KBX88" s="163"/>
      <c r="KBY88" s="163"/>
      <c r="KBZ88" s="163"/>
      <c r="KCA88" s="163"/>
      <c r="KCB88" s="163"/>
      <c r="KCC88" s="163"/>
      <c r="KCD88" s="163"/>
      <c r="KCE88" s="163"/>
      <c r="KCF88" s="163"/>
      <c r="KCG88" s="163"/>
      <c r="KCH88" s="163"/>
      <c r="KCI88" s="163"/>
      <c r="KCJ88" s="163"/>
      <c r="KCK88" s="163"/>
      <c r="KCL88" s="163"/>
      <c r="KCM88" s="163"/>
      <c r="KCN88" s="163"/>
      <c r="KCO88" s="163"/>
      <c r="KCP88" s="163"/>
      <c r="KCQ88" s="163"/>
      <c r="KCR88" s="163"/>
      <c r="KCS88" s="163"/>
      <c r="KCT88" s="163"/>
      <c r="KCU88" s="163"/>
      <c r="KCV88" s="163"/>
      <c r="KCW88" s="163"/>
      <c r="KCX88" s="163"/>
      <c r="KCY88" s="163"/>
      <c r="KCZ88" s="163"/>
      <c r="KDA88" s="163"/>
      <c r="KDB88" s="163"/>
      <c r="KDC88" s="163"/>
      <c r="KDD88" s="163"/>
      <c r="KDE88" s="163"/>
      <c r="KDF88" s="163"/>
      <c r="KDG88" s="163"/>
      <c r="KDH88" s="163"/>
      <c r="KDI88" s="163"/>
      <c r="KDJ88" s="163"/>
      <c r="KDK88" s="163"/>
      <c r="KDL88" s="163"/>
      <c r="KDM88" s="163"/>
      <c r="KDN88" s="163"/>
      <c r="KDO88" s="163"/>
      <c r="KDP88" s="163"/>
      <c r="KDQ88" s="163"/>
      <c r="KDR88" s="163"/>
      <c r="KDS88" s="163"/>
      <c r="KDT88" s="163"/>
      <c r="KDU88" s="163"/>
      <c r="KDV88" s="163"/>
      <c r="KDW88" s="163"/>
      <c r="KDX88" s="163"/>
      <c r="KDY88" s="163"/>
      <c r="KDZ88" s="163"/>
      <c r="KEA88" s="163"/>
      <c r="KEB88" s="163"/>
      <c r="KEC88" s="163"/>
      <c r="KED88" s="163"/>
      <c r="KEE88" s="163"/>
      <c r="KEF88" s="163"/>
      <c r="KEG88" s="163"/>
      <c r="KEH88" s="163"/>
      <c r="KEI88" s="163"/>
      <c r="KEJ88" s="163"/>
      <c r="KEK88" s="163"/>
      <c r="KEL88" s="163"/>
      <c r="KEM88" s="163"/>
      <c r="KEN88" s="163"/>
      <c r="KEO88" s="163"/>
      <c r="KEP88" s="163"/>
      <c r="KEQ88" s="163"/>
      <c r="KER88" s="163"/>
      <c r="KES88" s="163"/>
      <c r="KET88" s="163"/>
      <c r="KEU88" s="163"/>
      <c r="KEV88" s="163"/>
      <c r="KEW88" s="163"/>
      <c r="KEX88" s="163"/>
      <c r="KEY88" s="163"/>
      <c r="KEZ88" s="163"/>
      <c r="KFA88" s="163"/>
      <c r="KFB88" s="163"/>
      <c r="KFC88" s="163"/>
      <c r="KFD88" s="163"/>
      <c r="KFE88" s="163"/>
      <c r="KFF88" s="163"/>
      <c r="KFG88" s="163"/>
      <c r="KFH88" s="163"/>
      <c r="KFI88" s="163"/>
      <c r="KFJ88" s="163"/>
      <c r="KFK88" s="163"/>
      <c r="KFL88" s="163"/>
      <c r="KFM88" s="163"/>
      <c r="KFN88" s="163"/>
      <c r="KFO88" s="163"/>
      <c r="KFP88" s="163"/>
      <c r="KFQ88" s="163"/>
      <c r="KFR88" s="163"/>
      <c r="KFS88" s="163"/>
      <c r="KFT88" s="163"/>
      <c r="KFU88" s="163"/>
      <c r="KFV88" s="163"/>
      <c r="KFW88" s="163"/>
      <c r="KFX88" s="163"/>
      <c r="KFY88" s="163"/>
      <c r="KFZ88" s="163"/>
      <c r="KGA88" s="163"/>
      <c r="KGB88" s="163"/>
      <c r="KGC88" s="163"/>
      <c r="KGD88" s="163"/>
      <c r="KGE88" s="163"/>
      <c r="KGF88" s="163"/>
      <c r="KGG88" s="163"/>
      <c r="KGH88" s="163"/>
      <c r="KGI88" s="163"/>
      <c r="KGJ88" s="163"/>
      <c r="KGK88" s="163"/>
      <c r="KGL88" s="163"/>
      <c r="KGM88" s="163"/>
      <c r="KGN88" s="163"/>
      <c r="KGO88" s="163"/>
      <c r="KGP88" s="163"/>
      <c r="KGQ88" s="163"/>
      <c r="KGR88" s="163"/>
      <c r="KGS88" s="163"/>
      <c r="KGT88" s="163"/>
      <c r="KGU88" s="163"/>
      <c r="KGV88" s="163"/>
      <c r="KGW88" s="163"/>
      <c r="KGX88" s="163"/>
      <c r="KGY88" s="163"/>
      <c r="KGZ88" s="163"/>
      <c r="KHA88" s="163"/>
      <c r="KHB88" s="163"/>
      <c r="KHC88" s="163"/>
      <c r="KHD88" s="163"/>
      <c r="KHE88" s="163"/>
      <c r="KHF88" s="163"/>
      <c r="KHG88" s="163"/>
      <c r="KHH88" s="163"/>
      <c r="KHI88" s="163"/>
      <c r="KHJ88" s="163"/>
      <c r="KHK88" s="163"/>
      <c r="KHL88" s="163"/>
      <c r="KHM88" s="163"/>
      <c r="KHN88" s="163"/>
      <c r="KHO88" s="163"/>
      <c r="KHP88" s="163"/>
      <c r="KHQ88" s="163"/>
      <c r="KHR88" s="163"/>
      <c r="KHS88" s="163"/>
      <c r="KHT88" s="163"/>
      <c r="KHU88" s="163"/>
      <c r="KHV88" s="163"/>
      <c r="KHW88" s="163"/>
      <c r="KHX88" s="163"/>
      <c r="KHY88" s="163"/>
      <c r="KHZ88" s="163"/>
      <c r="KIA88" s="163"/>
      <c r="KIB88" s="163"/>
      <c r="KIC88" s="163"/>
      <c r="KID88" s="163"/>
      <c r="KIE88" s="163"/>
      <c r="KIF88" s="163"/>
      <c r="KIG88" s="163"/>
      <c r="KIH88" s="163"/>
      <c r="KII88" s="163"/>
      <c r="KIJ88" s="163"/>
      <c r="KIK88" s="163"/>
      <c r="KIL88" s="163"/>
      <c r="KIM88" s="163"/>
      <c r="KIN88" s="163"/>
      <c r="KIO88" s="163"/>
      <c r="KIP88" s="163"/>
      <c r="KIQ88" s="163"/>
      <c r="KIR88" s="163"/>
      <c r="KIS88" s="163"/>
      <c r="KIT88" s="163"/>
      <c r="KIU88" s="163"/>
      <c r="KIV88" s="163"/>
      <c r="KIW88" s="163"/>
      <c r="KIX88" s="163"/>
      <c r="KIY88" s="163"/>
      <c r="KIZ88" s="163"/>
      <c r="KJA88" s="163"/>
      <c r="KJB88" s="163"/>
      <c r="KJC88" s="163"/>
      <c r="KJD88" s="163"/>
      <c r="KJE88" s="163"/>
      <c r="KJF88" s="163"/>
      <c r="KJG88" s="163"/>
      <c r="KJH88" s="163"/>
      <c r="KJI88" s="163"/>
      <c r="KJJ88" s="163"/>
      <c r="KJK88" s="163"/>
      <c r="KJL88" s="163"/>
      <c r="KJM88" s="163"/>
      <c r="KJN88" s="163"/>
      <c r="KJO88" s="163"/>
      <c r="KJP88" s="163"/>
      <c r="KJQ88" s="163"/>
      <c r="KJR88" s="163"/>
      <c r="KJS88" s="163"/>
      <c r="KJT88" s="163"/>
      <c r="KJU88" s="163"/>
      <c r="KJV88" s="163"/>
      <c r="KJW88" s="163"/>
      <c r="KJX88" s="163"/>
      <c r="KJY88" s="163"/>
      <c r="KJZ88" s="163"/>
      <c r="KKA88" s="163"/>
      <c r="KKB88" s="163"/>
      <c r="KKC88" s="163"/>
      <c r="KKD88" s="163"/>
      <c r="KKE88" s="163"/>
      <c r="KKF88" s="163"/>
      <c r="KKG88" s="163"/>
      <c r="KKH88" s="163"/>
      <c r="KKI88" s="163"/>
      <c r="KKJ88" s="163"/>
      <c r="KKK88" s="163"/>
      <c r="KKL88" s="163"/>
      <c r="KKM88" s="163"/>
      <c r="KKN88" s="163"/>
      <c r="KKO88" s="163"/>
      <c r="KKP88" s="163"/>
      <c r="KKQ88" s="163"/>
      <c r="KKR88" s="163"/>
      <c r="KKS88" s="163"/>
      <c r="KKT88" s="163"/>
      <c r="KKU88" s="163"/>
      <c r="KKV88" s="163"/>
      <c r="KKW88" s="163"/>
      <c r="KKX88" s="163"/>
      <c r="KKY88" s="163"/>
      <c r="KKZ88" s="163"/>
      <c r="KLA88" s="163"/>
      <c r="KLB88" s="163"/>
      <c r="KLC88" s="163"/>
      <c r="KLD88" s="163"/>
      <c r="KLE88" s="163"/>
      <c r="KLF88" s="163"/>
      <c r="KLG88" s="163"/>
      <c r="KLH88" s="163"/>
      <c r="KLI88" s="163"/>
      <c r="KLJ88" s="163"/>
      <c r="KLK88" s="163"/>
      <c r="KLL88" s="163"/>
      <c r="KLM88" s="163"/>
      <c r="KLN88" s="163"/>
      <c r="KLO88" s="163"/>
      <c r="KLP88" s="163"/>
      <c r="KLQ88" s="163"/>
      <c r="KLR88" s="163"/>
      <c r="KLS88" s="163"/>
      <c r="KLT88" s="163"/>
      <c r="KLU88" s="163"/>
      <c r="KLV88" s="163"/>
      <c r="KLW88" s="163"/>
      <c r="KLX88" s="163"/>
      <c r="KLY88" s="163"/>
      <c r="KLZ88" s="163"/>
      <c r="KMA88" s="163"/>
      <c r="KMB88" s="163"/>
      <c r="KMC88" s="163"/>
      <c r="KMD88" s="163"/>
      <c r="KME88" s="163"/>
      <c r="KMF88" s="163"/>
      <c r="KMG88" s="163"/>
      <c r="KMH88" s="163"/>
      <c r="KMI88" s="163"/>
      <c r="KMJ88" s="163"/>
      <c r="KMK88" s="163"/>
      <c r="KML88" s="163"/>
      <c r="KMM88" s="163"/>
      <c r="KMN88" s="163"/>
      <c r="KMO88" s="163"/>
      <c r="KMP88" s="163"/>
      <c r="KMQ88" s="163"/>
      <c r="KMR88" s="163"/>
      <c r="KMS88" s="163"/>
      <c r="KMT88" s="163"/>
      <c r="KMU88" s="163"/>
      <c r="KMV88" s="163"/>
      <c r="KMW88" s="163"/>
      <c r="KMX88" s="163"/>
      <c r="KMY88" s="163"/>
      <c r="KMZ88" s="163"/>
      <c r="KNA88" s="163"/>
      <c r="KNB88" s="163"/>
      <c r="KNC88" s="163"/>
      <c r="KND88" s="163"/>
      <c r="KNE88" s="163"/>
      <c r="KNF88" s="163"/>
      <c r="KNG88" s="163"/>
      <c r="KNH88" s="163"/>
      <c r="KNI88" s="163"/>
      <c r="KNJ88" s="163"/>
      <c r="KNK88" s="163"/>
      <c r="KNL88" s="163"/>
      <c r="KNM88" s="163"/>
      <c r="KNN88" s="163"/>
      <c r="KNO88" s="163"/>
      <c r="KNP88" s="163"/>
      <c r="KNQ88" s="163"/>
      <c r="KNR88" s="163"/>
      <c r="KNS88" s="163"/>
      <c r="KNT88" s="163"/>
      <c r="KNU88" s="163"/>
      <c r="KNV88" s="163"/>
      <c r="KNW88" s="163"/>
      <c r="KNX88" s="163"/>
      <c r="KNY88" s="163"/>
      <c r="KNZ88" s="163"/>
      <c r="KOA88" s="163"/>
      <c r="KOB88" s="163"/>
      <c r="KOC88" s="163"/>
      <c r="KOD88" s="163"/>
      <c r="KOE88" s="163"/>
      <c r="KOF88" s="163"/>
      <c r="KOG88" s="163"/>
      <c r="KOH88" s="163"/>
      <c r="KOI88" s="163"/>
      <c r="KOJ88" s="163"/>
      <c r="KOK88" s="163"/>
      <c r="KOL88" s="163"/>
      <c r="KOM88" s="163"/>
      <c r="KON88" s="163"/>
      <c r="KOO88" s="163"/>
      <c r="KOP88" s="163"/>
      <c r="KOQ88" s="163"/>
      <c r="KOR88" s="163"/>
      <c r="KOS88" s="163"/>
      <c r="KOT88" s="163"/>
      <c r="KOU88" s="163"/>
      <c r="KOV88" s="163"/>
      <c r="KOW88" s="163"/>
      <c r="KOX88" s="163"/>
      <c r="KOY88" s="163"/>
      <c r="KOZ88" s="163"/>
      <c r="KPA88" s="163"/>
      <c r="KPB88" s="163"/>
      <c r="KPC88" s="163"/>
      <c r="KPD88" s="163"/>
      <c r="KPE88" s="163"/>
      <c r="KPF88" s="163"/>
      <c r="KPG88" s="163"/>
      <c r="KPH88" s="163"/>
      <c r="KPI88" s="163"/>
      <c r="KPJ88" s="163"/>
      <c r="KPK88" s="163"/>
      <c r="KPL88" s="163"/>
      <c r="KPM88" s="163"/>
      <c r="KPN88" s="163"/>
      <c r="KPO88" s="163"/>
      <c r="KPP88" s="163"/>
      <c r="KPQ88" s="163"/>
      <c r="KPR88" s="163"/>
      <c r="KPS88" s="163"/>
      <c r="KPT88" s="163"/>
      <c r="KPU88" s="163"/>
      <c r="KPV88" s="163"/>
      <c r="KPW88" s="163"/>
      <c r="KPX88" s="163"/>
      <c r="KPY88" s="163"/>
      <c r="KPZ88" s="163"/>
      <c r="KQA88" s="163"/>
      <c r="KQB88" s="163"/>
      <c r="KQC88" s="163"/>
      <c r="KQD88" s="163"/>
      <c r="KQE88" s="163"/>
      <c r="KQF88" s="163"/>
      <c r="KQG88" s="163"/>
      <c r="KQH88" s="163"/>
      <c r="KQI88" s="163"/>
      <c r="KQJ88" s="163"/>
      <c r="KQK88" s="163"/>
      <c r="KQL88" s="163"/>
      <c r="KQM88" s="163"/>
      <c r="KQN88" s="163"/>
      <c r="KQO88" s="163"/>
      <c r="KQP88" s="163"/>
      <c r="KQQ88" s="163"/>
      <c r="KQR88" s="163"/>
      <c r="KQS88" s="163"/>
      <c r="KQT88" s="163"/>
      <c r="KQU88" s="163"/>
      <c r="KQV88" s="163"/>
      <c r="KQW88" s="163"/>
      <c r="KQX88" s="163"/>
      <c r="KQY88" s="163"/>
      <c r="KQZ88" s="163"/>
      <c r="KRA88" s="163"/>
      <c r="KRB88" s="163"/>
      <c r="KRC88" s="163"/>
      <c r="KRD88" s="163"/>
      <c r="KRE88" s="163"/>
      <c r="KRF88" s="163"/>
      <c r="KRG88" s="163"/>
      <c r="KRH88" s="163"/>
      <c r="KRI88" s="163"/>
      <c r="KRJ88" s="163"/>
      <c r="KRK88" s="163"/>
      <c r="KRL88" s="163"/>
      <c r="KRM88" s="163"/>
      <c r="KRN88" s="163"/>
      <c r="KRO88" s="163"/>
      <c r="KRP88" s="163"/>
      <c r="KRQ88" s="163"/>
      <c r="KRR88" s="163"/>
      <c r="KRS88" s="163"/>
      <c r="KRT88" s="163"/>
      <c r="KRU88" s="163"/>
      <c r="KRV88" s="163"/>
      <c r="KRW88" s="163"/>
      <c r="KRX88" s="163"/>
      <c r="KRY88" s="163"/>
      <c r="KRZ88" s="163"/>
      <c r="KSA88" s="163"/>
      <c r="KSB88" s="163"/>
      <c r="KSC88" s="163"/>
      <c r="KSD88" s="163"/>
      <c r="KSE88" s="163"/>
      <c r="KSF88" s="163"/>
      <c r="KSG88" s="163"/>
      <c r="KSH88" s="163"/>
      <c r="KSI88" s="163"/>
      <c r="KSJ88" s="163"/>
      <c r="KSK88" s="163"/>
      <c r="KSL88" s="163"/>
      <c r="KSM88" s="163"/>
      <c r="KSN88" s="163"/>
      <c r="KSO88" s="163"/>
      <c r="KSP88" s="163"/>
      <c r="KSQ88" s="163"/>
      <c r="KSR88" s="163"/>
      <c r="KSS88" s="163"/>
      <c r="KST88" s="163"/>
      <c r="KSU88" s="163"/>
      <c r="KSV88" s="163"/>
      <c r="KSW88" s="163"/>
      <c r="KSX88" s="163"/>
      <c r="KSY88" s="163"/>
      <c r="KSZ88" s="163"/>
      <c r="KTA88" s="163"/>
      <c r="KTB88" s="163"/>
      <c r="KTC88" s="163"/>
      <c r="KTD88" s="163"/>
      <c r="KTE88" s="163"/>
      <c r="KTF88" s="163"/>
      <c r="KTG88" s="163"/>
      <c r="KTH88" s="163"/>
      <c r="KTI88" s="163"/>
      <c r="KTJ88" s="163"/>
      <c r="KTK88" s="163"/>
      <c r="KTL88" s="163"/>
      <c r="KTM88" s="163"/>
      <c r="KTN88" s="163"/>
      <c r="KTO88" s="163"/>
      <c r="KTP88" s="163"/>
      <c r="KTQ88" s="163"/>
      <c r="KTR88" s="163"/>
      <c r="KTS88" s="163"/>
      <c r="KTT88" s="163"/>
      <c r="KTU88" s="163"/>
      <c r="KTV88" s="163"/>
      <c r="KTW88" s="163"/>
      <c r="KTX88" s="163"/>
      <c r="KTY88" s="163"/>
      <c r="KTZ88" s="163"/>
      <c r="KUA88" s="163"/>
      <c r="KUB88" s="163"/>
      <c r="KUC88" s="163"/>
      <c r="KUD88" s="163"/>
      <c r="KUE88" s="163"/>
      <c r="KUF88" s="163"/>
      <c r="KUG88" s="163"/>
      <c r="KUH88" s="163"/>
      <c r="KUI88" s="163"/>
      <c r="KUJ88" s="163"/>
      <c r="KUK88" s="163"/>
      <c r="KUL88" s="163"/>
      <c r="KUM88" s="163"/>
      <c r="KUN88" s="163"/>
      <c r="KUO88" s="163"/>
      <c r="KUP88" s="163"/>
      <c r="KUQ88" s="163"/>
      <c r="KUR88" s="163"/>
      <c r="KUS88" s="163"/>
      <c r="KUT88" s="163"/>
      <c r="KUU88" s="163"/>
      <c r="KUV88" s="163"/>
      <c r="KUW88" s="163"/>
      <c r="KUX88" s="163"/>
      <c r="KUY88" s="163"/>
      <c r="KUZ88" s="163"/>
      <c r="KVA88" s="163"/>
      <c r="KVB88" s="163"/>
      <c r="KVC88" s="163"/>
      <c r="KVD88" s="163"/>
      <c r="KVE88" s="163"/>
      <c r="KVF88" s="163"/>
      <c r="KVG88" s="163"/>
      <c r="KVH88" s="163"/>
      <c r="KVI88" s="163"/>
      <c r="KVJ88" s="163"/>
      <c r="KVK88" s="163"/>
      <c r="KVL88" s="163"/>
      <c r="KVM88" s="163"/>
      <c r="KVN88" s="163"/>
      <c r="KVO88" s="163"/>
      <c r="KVP88" s="163"/>
      <c r="KVQ88" s="163"/>
      <c r="KVR88" s="163"/>
      <c r="KVS88" s="163"/>
      <c r="KVT88" s="163"/>
      <c r="KVU88" s="163"/>
      <c r="KVV88" s="163"/>
      <c r="KVW88" s="163"/>
      <c r="KVX88" s="163"/>
      <c r="KVY88" s="163"/>
      <c r="KVZ88" s="163"/>
      <c r="KWA88" s="163"/>
      <c r="KWB88" s="163"/>
      <c r="KWC88" s="163"/>
      <c r="KWD88" s="163"/>
      <c r="KWE88" s="163"/>
      <c r="KWF88" s="163"/>
      <c r="KWG88" s="163"/>
      <c r="KWH88" s="163"/>
      <c r="KWI88" s="163"/>
      <c r="KWJ88" s="163"/>
      <c r="KWK88" s="163"/>
      <c r="KWL88" s="163"/>
      <c r="KWM88" s="163"/>
      <c r="KWN88" s="163"/>
      <c r="KWO88" s="163"/>
      <c r="KWP88" s="163"/>
      <c r="KWQ88" s="163"/>
      <c r="KWR88" s="163"/>
      <c r="KWS88" s="163"/>
      <c r="KWT88" s="163"/>
      <c r="KWU88" s="163"/>
      <c r="KWV88" s="163"/>
      <c r="KWW88" s="163"/>
      <c r="KWX88" s="163"/>
      <c r="KWY88" s="163"/>
      <c r="KWZ88" s="163"/>
      <c r="KXA88" s="163"/>
      <c r="KXB88" s="163"/>
      <c r="KXC88" s="163"/>
      <c r="KXD88" s="163"/>
      <c r="KXE88" s="163"/>
      <c r="KXF88" s="163"/>
      <c r="KXG88" s="163"/>
      <c r="KXH88" s="163"/>
      <c r="KXI88" s="163"/>
      <c r="KXJ88" s="163"/>
      <c r="KXK88" s="163"/>
      <c r="KXL88" s="163"/>
      <c r="KXM88" s="163"/>
      <c r="KXN88" s="163"/>
      <c r="KXO88" s="163"/>
      <c r="KXP88" s="163"/>
      <c r="KXQ88" s="163"/>
      <c r="KXR88" s="163"/>
      <c r="KXS88" s="163"/>
      <c r="KXT88" s="163"/>
      <c r="KXU88" s="163"/>
      <c r="KXV88" s="163"/>
      <c r="KXW88" s="163"/>
      <c r="KXX88" s="163"/>
      <c r="KXY88" s="163"/>
      <c r="KXZ88" s="163"/>
      <c r="KYA88" s="163"/>
      <c r="KYB88" s="163"/>
      <c r="KYC88" s="163"/>
      <c r="KYD88" s="163"/>
      <c r="KYE88" s="163"/>
      <c r="KYF88" s="163"/>
      <c r="KYG88" s="163"/>
      <c r="KYH88" s="163"/>
      <c r="KYI88" s="163"/>
      <c r="KYJ88" s="163"/>
      <c r="KYK88" s="163"/>
      <c r="KYL88" s="163"/>
      <c r="KYM88" s="163"/>
      <c r="KYN88" s="163"/>
      <c r="KYO88" s="163"/>
      <c r="KYP88" s="163"/>
      <c r="KYQ88" s="163"/>
      <c r="KYR88" s="163"/>
      <c r="KYS88" s="163"/>
      <c r="KYT88" s="163"/>
      <c r="KYU88" s="163"/>
      <c r="KYV88" s="163"/>
      <c r="KYW88" s="163"/>
      <c r="KYX88" s="163"/>
      <c r="KYY88" s="163"/>
      <c r="KYZ88" s="163"/>
      <c r="KZA88" s="163"/>
      <c r="KZB88" s="163"/>
      <c r="KZC88" s="163"/>
      <c r="KZD88" s="163"/>
      <c r="KZE88" s="163"/>
      <c r="KZF88" s="163"/>
      <c r="KZG88" s="163"/>
      <c r="KZH88" s="163"/>
      <c r="KZI88" s="163"/>
      <c r="KZJ88" s="163"/>
      <c r="KZK88" s="163"/>
      <c r="KZL88" s="163"/>
      <c r="KZM88" s="163"/>
      <c r="KZN88" s="163"/>
      <c r="KZO88" s="163"/>
      <c r="KZP88" s="163"/>
      <c r="KZQ88" s="163"/>
      <c r="KZR88" s="163"/>
      <c r="KZS88" s="163"/>
      <c r="KZT88" s="163"/>
      <c r="KZU88" s="163"/>
      <c r="KZV88" s="163"/>
      <c r="KZW88" s="163"/>
      <c r="KZX88" s="163"/>
      <c r="KZY88" s="163"/>
      <c r="KZZ88" s="163"/>
      <c r="LAA88" s="163"/>
      <c r="LAB88" s="163"/>
      <c r="LAC88" s="163"/>
      <c r="LAD88" s="163"/>
      <c r="LAE88" s="163"/>
      <c r="LAF88" s="163"/>
      <c r="LAG88" s="163"/>
      <c r="LAH88" s="163"/>
      <c r="LAI88" s="163"/>
      <c r="LAJ88" s="163"/>
      <c r="LAK88" s="163"/>
      <c r="LAL88" s="163"/>
      <c r="LAM88" s="163"/>
      <c r="LAN88" s="163"/>
      <c r="LAO88" s="163"/>
      <c r="LAP88" s="163"/>
      <c r="LAQ88" s="163"/>
      <c r="LAR88" s="163"/>
      <c r="LAS88" s="163"/>
      <c r="LAT88" s="163"/>
      <c r="LAU88" s="163"/>
      <c r="LAV88" s="163"/>
      <c r="LAW88" s="163"/>
      <c r="LAX88" s="163"/>
      <c r="LAY88" s="163"/>
      <c r="LAZ88" s="163"/>
      <c r="LBA88" s="163"/>
      <c r="LBB88" s="163"/>
      <c r="LBC88" s="163"/>
      <c r="LBD88" s="163"/>
      <c r="LBE88" s="163"/>
      <c r="LBF88" s="163"/>
      <c r="LBG88" s="163"/>
      <c r="LBH88" s="163"/>
      <c r="LBI88" s="163"/>
      <c r="LBJ88" s="163"/>
      <c r="LBK88" s="163"/>
      <c r="LBL88" s="163"/>
      <c r="LBM88" s="163"/>
      <c r="LBN88" s="163"/>
      <c r="LBO88" s="163"/>
      <c r="LBP88" s="163"/>
      <c r="LBQ88" s="163"/>
      <c r="LBR88" s="163"/>
      <c r="LBS88" s="163"/>
      <c r="LBT88" s="163"/>
      <c r="LBU88" s="163"/>
      <c r="LBV88" s="163"/>
      <c r="LBW88" s="163"/>
      <c r="LBX88" s="163"/>
      <c r="LBY88" s="163"/>
      <c r="LBZ88" s="163"/>
      <c r="LCA88" s="163"/>
      <c r="LCB88" s="163"/>
      <c r="LCC88" s="163"/>
      <c r="LCD88" s="163"/>
      <c r="LCE88" s="163"/>
      <c r="LCF88" s="163"/>
      <c r="LCG88" s="163"/>
      <c r="LCH88" s="163"/>
      <c r="LCI88" s="163"/>
      <c r="LCJ88" s="163"/>
      <c r="LCK88" s="163"/>
      <c r="LCL88" s="163"/>
      <c r="LCM88" s="163"/>
      <c r="LCN88" s="163"/>
      <c r="LCO88" s="163"/>
      <c r="LCP88" s="163"/>
      <c r="LCQ88" s="163"/>
      <c r="LCR88" s="163"/>
      <c r="LCS88" s="163"/>
      <c r="LCT88" s="163"/>
      <c r="LCU88" s="163"/>
      <c r="LCV88" s="163"/>
      <c r="LCW88" s="163"/>
      <c r="LCX88" s="163"/>
      <c r="LCY88" s="163"/>
      <c r="LCZ88" s="163"/>
      <c r="LDA88" s="163"/>
      <c r="LDB88" s="163"/>
      <c r="LDC88" s="163"/>
      <c r="LDD88" s="163"/>
      <c r="LDE88" s="163"/>
      <c r="LDF88" s="163"/>
      <c r="LDG88" s="163"/>
      <c r="LDH88" s="163"/>
      <c r="LDI88" s="163"/>
      <c r="LDJ88" s="163"/>
      <c r="LDK88" s="163"/>
      <c r="LDL88" s="163"/>
      <c r="LDM88" s="163"/>
      <c r="LDN88" s="163"/>
      <c r="LDO88" s="163"/>
      <c r="LDP88" s="163"/>
      <c r="LDQ88" s="163"/>
      <c r="LDR88" s="163"/>
      <c r="LDS88" s="163"/>
      <c r="LDT88" s="163"/>
      <c r="LDU88" s="163"/>
      <c r="LDV88" s="163"/>
      <c r="LDW88" s="163"/>
      <c r="LDX88" s="163"/>
      <c r="LDY88" s="163"/>
      <c r="LDZ88" s="163"/>
      <c r="LEA88" s="163"/>
      <c r="LEB88" s="163"/>
      <c r="LEC88" s="163"/>
      <c r="LED88" s="163"/>
      <c r="LEE88" s="163"/>
      <c r="LEF88" s="163"/>
      <c r="LEG88" s="163"/>
      <c r="LEH88" s="163"/>
      <c r="LEI88" s="163"/>
      <c r="LEJ88" s="163"/>
      <c r="LEK88" s="163"/>
      <c r="LEL88" s="163"/>
      <c r="LEM88" s="163"/>
      <c r="LEN88" s="163"/>
      <c r="LEO88" s="163"/>
      <c r="LEP88" s="163"/>
      <c r="LEQ88" s="163"/>
      <c r="LER88" s="163"/>
      <c r="LES88" s="163"/>
      <c r="LET88" s="163"/>
      <c r="LEU88" s="163"/>
      <c r="LEV88" s="163"/>
      <c r="LEW88" s="163"/>
      <c r="LEX88" s="163"/>
      <c r="LEY88" s="163"/>
      <c r="LEZ88" s="163"/>
      <c r="LFA88" s="163"/>
      <c r="LFB88" s="163"/>
      <c r="LFC88" s="163"/>
      <c r="LFD88" s="163"/>
      <c r="LFE88" s="163"/>
      <c r="LFF88" s="163"/>
      <c r="LFG88" s="163"/>
      <c r="LFH88" s="163"/>
      <c r="LFI88" s="163"/>
      <c r="LFJ88" s="163"/>
      <c r="LFK88" s="163"/>
      <c r="LFL88" s="163"/>
      <c r="LFM88" s="163"/>
      <c r="LFN88" s="163"/>
      <c r="LFO88" s="163"/>
      <c r="LFP88" s="163"/>
      <c r="LFQ88" s="163"/>
      <c r="LFR88" s="163"/>
      <c r="LFS88" s="163"/>
      <c r="LFT88" s="163"/>
      <c r="LFU88" s="163"/>
      <c r="LFV88" s="163"/>
      <c r="LFW88" s="163"/>
      <c r="LFX88" s="163"/>
      <c r="LFY88" s="163"/>
      <c r="LFZ88" s="163"/>
      <c r="LGA88" s="163"/>
      <c r="LGB88" s="163"/>
      <c r="LGC88" s="163"/>
      <c r="LGD88" s="163"/>
      <c r="LGE88" s="163"/>
      <c r="LGF88" s="163"/>
      <c r="LGG88" s="163"/>
      <c r="LGH88" s="163"/>
      <c r="LGI88" s="163"/>
      <c r="LGJ88" s="163"/>
      <c r="LGK88" s="163"/>
      <c r="LGL88" s="163"/>
      <c r="LGM88" s="163"/>
      <c r="LGN88" s="163"/>
      <c r="LGO88" s="163"/>
      <c r="LGP88" s="163"/>
      <c r="LGQ88" s="163"/>
      <c r="LGR88" s="163"/>
      <c r="LGS88" s="163"/>
      <c r="LGT88" s="163"/>
      <c r="LGU88" s="163"/>
      <c r="LGV88" s="163"/>
      <c r="LGW88" s="163"/>
      <c r="LGX88" s="163"/>
      <c r="LGY88" s="163"/>
      <c r="LGZ88" s="163"/>
      <c r="LHA88" s="163"/>
      <c r="LHB88" s="163"/>
      <c r="LHC88" s="163"/>
      <c r="LHD88" s="163"/>
      <c r="LHE88" s="163"/>
      <c r="LHF88" s="163"/>
      <c r="LHG88" s="163"/>
      <c r="LHH88" s="163"/>
      <c r="LHI88" s="163"/>
      <c r="LHJ88" s="163"/>
      <c r="LHK88" s="163"/>
      <c r="LHL88" s="163"/>
      <c r="LHM88" s="163"/>
      <c r="LHN88" s="163"/>
      <c r="LHO88" s="163"/>
      <c r="LHP88" s="163"/>
      <c r="LHQ88" s="163"/>
      <c r="LHR88" s="163"/>
      <c r="LHS88" s="163"/>
      <c r="LHT88" s="163"/>
      <c r="LHU88" s="163"/>
      <c r="LHV88" s="163"/>
      <c r="LHW88" s="163"/>
      <c r="LHX88" s="163"/>
      <c r="LHY88" s="163"/>
      <c r="LHZ88" s="163"/>
      <c r="LIA88" s="163"/>
      <c r="LIB88" s="163"/>
      <c r="LIC88" s="163"/>
      <c r="LID88" s="163"/>
      <c r="LIE88" s="163"/>
      <c r="LIF88" s="163"/>
      <c r="LIG88" s="163"/>
      <c r="LIH88" s="163"/>
      <c r="LII88" s="163"/>
      <c r="LIJ88" s="163"/>
      <c r="LIK88" s="163"/>
      <c r="LIL88" s="163"/>
      <c r="LIM88" s="163"/>
      <c r="LIN88" s="163"/>
      <c r="LIO88" s="163"/>
      <c r="LIP88" s="163"/>
      <c r="LIQ88" s="163"/>
      <c r="LIR88" s="163"/>
      <c r="LIS88" s="163"/>
      <c r="LIT88" s="163"/>
      <c r="LIU88" s="163"/>
      <c r="LIV88" s="163"/>
      <c r="LIW88" s="163"/>
      <c r="LIX88" s="163"/>
      <c r="LIY88" s="163"/>
      <c r="LIZ88" s="163"/>
      <c r="LJA88" s="163"/>
      <c r="LJB88" s="163"/>
      <c r="LJC88" s="163"/>
      <c r="LJD88" s="163"/>
      <c r="LJE88" s="163"/>
      <c r="LJF88" s="163"/>
      <c r="LJG88" s="163"/>
      <c r="LJH88" s="163"/>
      <c r="LJI88" s="163"/>
      <c r="LJJ88" s="163"/>
      <c r="LJK88" s="163"/>
      <c r="LJL88" s="163"/>
      <c r="LJM88" s="163"/>
      <c r="LJN88" s="163"/>
      <c r="LJO88" s="163"/>
      <c r="LJP88" s="163"/>
      <c r="LJQ88" s="163"/>
      <c r="LJR88" s="163"/>
      <c r="LJS88" s="163"/>
      <c r="LJT88" s="163"/>
      <c r="LJU88" s="163"/>
      <c r="LJV88" s="163"/>
      <c r="LJW88" s="163"/>
      <c r="LJX88" s="163"/>
      <c r="LJY88" s="163"/>
      <c r="LJZ88" s="163"/>
      <c r="LKA88" s="163"/>
      <c r="LKB88" s="163"/>
      <c r="LKC88" s="163"/>
      <c r="LKD88" s="163"/>
      <c r="LKE88" s="163"/>
      <c r="LKF88" s="163"/>
      <c r="LKG88" s="163"/>
      <c r="LKH88" s="163"/>
      <c r="LKI88" s="163"/>
      <c r="LKJ88" s="163"/>
      <c r="LKK88" s="163"/>
      <c r="LKL88" s="163"/>
      <c r="LKM88" s="163"/>
      <c r="LKN88" s="163"/>
      <c r="LKO88" s="163"/>
      <c r="LKP88" s="163"/>
      <c r="LKQ88" s="163"/>
      <c r="LKR88" s="163"/>
      <c r="LKS88" s="163"/>
      <c r="LKT88" s="163"/>
      <c r="LKU88" s="163"/>
      <c r="LKV88" s="163"/>
      <c r="LKW88" s="163"/>
      <c r="LKX88" s="163"/>
      <c r="LKY88" s="163"/>
      <c r="LKZ88" s="163"/>
      <c r="LLA88" s="163"/>
      <c r="LLB88" s="163"/>
      <c r="LLC88" s="163"/>
      <c r="LLD88" s="163"/>
      <c r="LLE88" s="163"/>
      <c r="LLF88" s="163"/>
      <c r="LLG88" s="163"/>
      <c r="LLH88" s="163"/>
      <c r="LLI88" s="163"/>
      <c r="LLJ88" s="163"/>
      <c r="LLK88" s="163"/>
      <c r="LLL88" s="163"/>
      <c r="LLM88" s="163"/>
      <c r="LLN88" s="163"/>
      <c r="LLO88" s="163"/>
      <c r="LLP88" s="163"/>
      <c r="LLQ88" s="163"/>
      <c r="LLR88" s="163"/>
      <c r="LLS88" s="163"/>
      <c r="LLT88" s="163"/>
      <c r="LLU88" s="163"/>
      <c r="LLV88" s="163"/>
      <c r="LLW88" s="163"/>
      <c r="LLX88" s="163"/>
      <c r="LLY88" s="163"/>
      <c r="LLZ88" s="163"/>
      <c r="LMA88" s="163"/>
      <c r="LMB88" s="163"/>
      <c r="LMC88" s="163"/>
      <c r="LMD88" s="163"/>
      <c r="LME88" s="163"/>
      <c r="LMF88" s="163"/>
      <c r="LMG88" s="163"/>
      <c r="LMH88" s="163"/>
      <c r="LMI88" s="163"/>
      <c r="LMJ88" s="163"/>
      <c r="LMK88" s="163"/>
      <c r="LML88" s="163"/>
      <c r="LMM88" s="163"/>
      <c r="LMN88" s="163"/>
      <c r="LMO88" s="163"/>
      <c r="LMP88" s="163"/>
      <c r="LMQ88" s="163"/>
      <c r="LMR88" s="163"/>
      <c r="LMS88" s="163"/>
      <c r="LMT88" s="163"/>
      <c r="LMU88" s="163"/>
      <c r="LMV88" s="163"/>
      <c r="LMW88" s="163"/>
      <c r="LMX88" s="163"/>
      <c r="LMY88" s="163"/>
      <c r="LMZ88" s="163"/>
      <c r="LNA88" s="163"/>
      <c r="LNB88" s="163"/>
      <c r="LNC88" s="163"/>
      <c r="LND88" s="163"/>
      <c r="LNE88" s="163"/>
      <c r="LNF88" s="163"/>
      <c r="LNG88" s="163"/>
      <c r="LNH88" s="163"/>
      <c r="LNI88" s="163"/>
      <c r="LNJ88" s="163"/>
      <c r="LNK88" s="163"/>
      <c r="LNL88" s="163"/>
      <c r="LNM88" s="163"/>
      <c r="LNN88" s="163"/>
      <c r="LNO88" s="163"/>
      <c r="LNP88" s="163"/>
      <c r="LNQ88" s="163"/>
      <c r="LNR88" s="163"/>
      <c r="LNS88" s="163"/>
      <c r="LNT88" s="163"/>
      <c r="LNU88" s="163"/>
      <c r="LNV88" s="163"/>
      <c r="LNW88" s="163"/>
      <c r="LNX88" s="163"/>
      <c r="LNY88" s="163"/>
      <c r="LNZ88" s="163"/>
      <c r="LOA88" s="163"/>
      <c r="LOB88" s="163"/>
      <c r="LOC88" s="163"/>
      <c r="LOD88" s="163"/>
      <c r="LOE88" s="163"/>
      <c r="LOF88" s="163"/>
      <c r="LOG88" s="163"/>
      <c r="LOH88" s="163"/>
      <c r="LOI88" s="163"/>
      <c r="LOJ88" s="163"/>
      <c r="LOK88" s="163"/>
      <c r="LOL88" s="163"/>
      <c r="LOM88" s="163"/>
      <c r="LON88" s="163"/>
      <c r="LOO88" s="163"/>
      <c r="LOP88" s="163"/>
      <c r="LOQ88" s="163"/>
      <c r="LOR88" s="163"/>
      <c r="LOS88" s="163"/>
      <c r="LOT88" s="163"/>
      <c r="LOU88" s="163"/>
      <c r="LOV88" s="163"/>
      <c r="LOW88" s="163"/>
      <c r="LOX88" s="163"/>
      <c r="LOY88" s="163"/>
      <c r="LOZ88" s="163"/>
      <c r="LPA88" s="163"/>
      <c r="LPB88" s="163"/>
      <c r="LPC88" s="163"/>
      <c r="LPD88" s="163"/>
      <c r="LPE88" s="163"/>
      <c r="LPF88" s="163"/>
      <c r="LPG88" s="163"/>
      <c r="LPH88" s="163"/>
      <c r="LPI88" s="163"/>
      <c r="LPJ88" s="163"/>
      <c r="LPK88" s="163"/>
      <c r="LPL88" s="163"/>
      <c r="LPM88" s="163"/>
      <c r="LPN88" s="163"/>
      <c r="LPO88" s="163"/>
      <c r="LPP88" s="163"/>
      <c r="LPQ88" s="163"/>
      <c r="LPR88" s="163"/>
      <c r="LPS88" s="163"/>
      <c r="LPT88" s="163"/>
      <c r="LPU88" s="163"/>
      <c r="LPV88" s="163"/>
      <c r="LPW88" s="163"/>
      <c r="LPX88" s="163"/>
      <c r="LPY88" s="163"/>
      <c r="LPZ88" s="163"/>
      <c r="LQA88" s="163"/>
      <c r="LQB88" s="163"/>
      <c r="LQC88" s="163"/>
      <c r="LQD88" s="163"/>
      <c r="LQE88" s="163"/>
      <c r="LQF88" s="163"/>
      <c r="LQG88" s="163"/>
      <c r="LQH88" s="163"/>
      <c r="LQI88" s="163"/>
      <c r="LQJ88" s="163"/>
      <c r="LQK88" s="163"/>
      <c r="LQL88" s="163"/>
      <c r="LQM88" s="163"/>
      <c r="LQN88" s="163"/>
      <c r="LQO88" s="163"/>
      <c r="LQP88" s="163"/>
      <c r="LQQ88" s="163"/>
      <c r="LQR88" s="163"/>
      <c r="LQS88" s="163"/>
      <c r="LQT88" s="163"/>
      <c r="LQU88" s="163"/>
      <c r="LQV88" s="163"/>
      <c r="LQW88" s="163"/>
      <c r="LQX88" s="163"/>
      <c r="LQY88" s="163"/>
      <c r="LQZ88" s="163"/>
      <c r="LRA88" s="163"/>
      <c r="LRB88" s="163"/>
      <c r="LRC88" s="163"/>
      <c r="LRD88" s="163"/>
      <c r="LRE88" s="163"/>
      <c r="LRF88" s="163"/>
      <c r="LRG88" s="163"/>
      <c r="LRH88" s="163"/>
      <c r="LRI88" s="163"/>
      <c r="LRJ88" s="163"/>
      <c r="LRK88" s="163"/>
      <c r="LRL88" s="163"/>
      <c r="LRM88" s="163"/>
      <c r="LRN88" s="163"/>
      <c r="LRO88" s="163"/>
      <c r="LRP88" s="163"/>
      <c r="LRQ88" s="163"/>
      <c r="LRR88" s="163"/>
      <c r="LRS88" s="163"/>
      <c r="LRT88" s="163"/>
      <c r="LRU88" s="163"/>
      <c r="LRV88" s="163"/>
      <c r="LRW88" s="163"/>
      <c r="LRX88" s="163"/>
      <c r="LRY88" s="163"/>
      <c r="LRZ88" s="163"/>
      <c r="LSA88" s="163"/>
      <c r="LSB88" s="163"/>
      <c r="LSC88" s="163"/>
      <c r="LSD88" s="163"/>
      <c r="LSE88" s="163"/>
      <c r="LSF88" s="163"/>
      <c r="LSG88" s="163"/>
      <c r="LSH88" s="163"/>
      <c r="LSI88" s="163"/>
      <c r="LSJ88" s="163"/>
      <c r="LSK88" s="163"/>
      <c r="LSL88" s="163"/>
      <c r="LSM88" s="163"/>
      <c r="LSN88" s="163"/>
      <c r="LSO88" s="163"/>
      <c r="LSP88" s="163"/>
      <c r="LSQ88" s="163"/>
      <c r="LSR88" s="163"/>
      <c r="LSS88" s="163"/>
      <c r="LST88" s="163"/>
      <c r="LSU88" s="163"/>
      <c r="LSV88" s="163"/>
      <c r="LSW88" s="163"/>
      <c r="LSX88" s="163"/>
      <c r="LSY88" s="163"/>
      <c r="LSZ88" s="163"/>
      <c r="LTA88" s="163"/>
      <c r="LTB88" s="163"/>
      <c r="LTC88" s="163"/>
      <c r="LTD88" s="163"/>
      <c r="LTE88" s="163"/>
      <c r="LTF88" s="163"/>
      <c r="LTG88" s="163"/>
      <c r="LTH88" s="163"/>
      <c r="LTI88" s="163"/>
      <c r="LTJ88" s="163"/>
      <c r="LTK88" s="163"/>
      <c r="LTL88" s="163"/>
      <c r="LTM88" s="163"/>
      <c r="LTN88" s="163"/>
      <c r="LTO88" s="163"/>
      <c r="LTP88" s="163"/>
      <c r="LTQ88" s="163"/>
      <c r="LTR88" s="163"/>
      <c r="LTS88" s="163"/>
      <c r="LTT88" s="163"/>
      <c r="LTU88" s="163"/>
      <c r="LTV88" s="163"/>
      <c r="LTW88" s="163"/>
      <c r="LTX88" s="163"/>
      <c r="LTY88" s="163"/>
      <c r="LTZ88" s="163"/>
      <c r="LUA88" s="163"/>
      <c r="LUB88" s="163"/>
      <c r="LUC88" s="163"/>
      <c r="LUD88" s="163"/>
      <c r="LUE88" s="163"/>
      <c r="LUF88" s="163"/>
      <c r="LUG88" s="163"/>
      <c r="LUH88" s="163"/>
      <c r="LUI88" s="163"/>
      <c r="LUJ88" s="163"/>
      <c r="LUK88" s="163"/>
      <c r="LUL88" s="163"/>
      <c r="LUM88" s="163"/>
      <c r="LUN88" s="163"/>
      <c r="LUO88" s="163"/>
      <c r="LUP88" s="163"/>
      <c r="LUQ88" s="163"/>
      <c r="LUR88" s="163"/>
      <c r="LUS88" s="163"/>
      <c r="LUT88" s="163"/>
      <c r="LUU88" s="163"/>
      <c r="LUV88" s="163"/>
      <c r="LUW88" s="163"/>
      <c r="LUX88" s="163"/>
      <c r="LUY88" s="163"/>
      <c r="LUZ88" s="163"/>
      <c r="LVA88" s="163"/>
      <c r="LVB88" s="163"/>
      <c r="LVC88" s="163"/>
      <c r="LVD88" s="163"/>
      <c r="LVE88" s="163"/>
      <c r="LVF88" s="163"/>
      <c r="LVG88" s="163"/>
      <c r="LVH88" s="163"/>
      <c r="LVI88" s="163"/>
      <c r="LVJ88" s="163"/>
      <c r="LVK88" s="163"/>
      <c r="LVL88" s="163"/>
      <c r="LVM88" s="163"/>
      <c r="LVN88" s="163"/>
      <c r="LVO88" s="163"/>
      <c r="LVP88" s="163"/>
      <c r="LVQ88" s="163"/>
      <c r="LVR88" s="163"/>
      <c r="LVS88" s="163"/>
      <c r="LVT88" s="163"/>
      <c r="LVU88" s="163"/>
      <c r="LVV88" s="163"/>
      <c r="LVW88" s="163"/>
      <c r="LVX88" s="163"/>
      <c r="LVY88" s="163"/>
      <c r="LVZ88" s="163"/>
      <c r="LWA88" s="163"/>
      <c r="LWB88" s="163"/>
      <c r="LWC88" s="163"/>
      <c r="LWD88" s="163"/>
      <c r="LWE88" s="163"/>
      <c r="LWF88" s="163"/>
      <c r="LWG88" s="163"/>
      <c r="LWH88" s="163"/>
      <c r="LWI88" s="163"/>
      <c r="LWJ88" s="163"/>
      <c r="LWK88" s="163"/>
      <c r="LWL88" s="163"/>
      <c r="LWM88" s="163"/>
      <c r="LWN88" s="163"/>
      <c r="LWO88" s="163"/>
      <c r="LWP88" s="163"/>
      <c r="LWQ88" s="163"/>
      <c r="LWR88" s="163"/>
      <c r="LWS88" s="163"/>
      <c r="LWT88" s="163"/>
      <c r="LWU88" s="163"/>
      <c r="LWV88" s="163"/>
      <c r="LWW88" s="163"/>
      <c r="LWX88" s="163"/>
      <c r="LWY88" s="163"/>
      <c r="LWZ88" s="163"/>
      <c r="LXA88" s="163"/>
      <c r="LXB88" s="163"/>
      <c r="LXC88" s="163"/>
      <c r="LXD88" s="163"/>
      <c r="LXE88" s="163"/>
      <c r="LXF88" s="163"/>
      <c r="LXG88" s="163"/>
      <c r="LXH88" s="163"/>
      <c r="LXI88" s="163"/>
      <c r="LXJ88" s="163"/>
      <c r="LXK88" s="163"/>
      <c r="LXL88" s="163"/>
      <c r="LXM88" s="163"/>
      <c r="LXN88" s="163"/>
      <c r="LXO88" s="163"/>
      <c r="LXP88" s="163"/>
      <c r="LXQ88" s="163"/>
      <c r="LXR88" s="163"/>
      <c r="LXS88" s="163"/>
      <c r="LXT88" s="163"/>
      <c r="LXU88" s="163"/>
      <c r="LXV88" s="163"/>
      <c r="LXW88" s="163"/>
      <c r="LXX88" s="163"/>
      <c r="LXY88" s="163"/>
      <c r="LXZ88" s="163"/>
      <c r="LYA88" s="163"/>
      <c r="LYB88" s="163"/>
      <c r="LYC88" s="163"/>
      <c r="LYD88" s="163"/>
      <c r="LYE88" s="163"/>
      <c r="LYF88" s="163"/>
      <c r="LYG88" s="163"/>
      <c r="LYH88" s="163"/>
      <c r="LYI88" s="163"/>
      <c r="LYJ88" s="163"/>
      <c r="LYK88" s="163"/>
      <c r="LYL88" s="163"/>
      <c r="LYM88" s="163"/>
      <c r="LYN88" s="163"/>
      <c r="LYO88" s="163"/>
      <c r="LYP88" s="163"/>
      <c r="LYQ88" s="163"/>
      <c r="LYR88" s="163"/>
      <c r="LYS88" s="163"/>
      <c r="LYT88" s="163"/>
      <c r="LYU88" s="163"/>
      <c r="LYV88" s="163"/>
      <c r="LYW88" s="163"/>
      <c r="LYX88" s="163"/>
      <c r="LYY88" s="163"/>
      <c r="LYZ88" s="163"/>
      <c r="LZA88" s="163"/>
      <c r="LZB88" s="163"/>
      <c r="LZC88" s="163"/>
      <c r="LZD88" s="163"/>
      <c r="LZE88" s="163"/>
      <c r="LZF88" s="163"/>
      <c r="LZG88" s="163"/>
      <c r="LZH88" s="163"/>
      <c r="LZI88" s="163"/>
      <c r="LZJ88" s="163"/>
      <c r="LZK88" s="163"/>
      <c r="LZL88" s="163"/>
      <c r="LZM88" s="163"/>
      <c r="LZN88" s="163"/>
      <c r="LZO88" s="163"/>
      <c r="LZP88" s="163"/>
      <c r="LZQ88" s="163"/>
      <c r="LZR88" s="163"/>
      <c r="LZS88" s="163"/>
      <c r="LZT88" s="163"/>
      <c r="LZU88" s="163"/>
      <c r="LZV88" s="163"/>
      <c r="LZW88" s="163"/>
      <c r="LZX88" s="163"/>
      <c r="LZY88" s="163"/>
      <c r="LZZ88" s="163"/>
      <c r="MAA88" s="163"/>
      <c r="MAB88" s="163"/>
      <c r="MAC88" s="163"/>
      <c r="MAD88" s="163"/>
      <c r="MAE88" s="163"/>
      <c r="MAF88" s="163"/>
      <c r="MAG88" s="163"/>
      <c r="MAH88" s="163"/>
      <c r="MAI88" s="163"/>
      <c r="MAJ88" s="163"/>
      <c r="MAK88" s="163"/>
      <c r="MAL88" s="163"/>
      <c r="MAM88" s="163"/>
      <c r="MAN88" s="163"/>
      <c r="MAO88" s="163"/>
      <c r="MAP88" s="163"/>
      <c r="MAQ88" s="163"/>
      <c r="MAR88" s="163"/>
      <c r="MAS88" s="163"/>
      <c r="MAT88" s="163"/>
      <c r="MAU88" s="163"/>
      <c r="MAV88" s="163"/>
      <c r="MAW88" s="163"/>
      <c r="MAX88" s="163"/>
      <c r="MAY88" s="163"/>
      <c r="MAZ88" s="163"/>
      <c r="MBA88" s="163"/>
      <c r="MBB88" s="163"/>
      <c r="MBC88" s="163"/>
      <c r="MBD88" s="163"/>
      <c r="MBE88" s="163"/>
      <c r="MBF88" s="163"/>
      <c r="MBG88" s="163"/>
      <c r="MBH88" s="163"/>
      <c r="MBI88" s="163"/>
      <c r="MBJ88" s="163"/>
      <c r="MBK88" s="163"/>
      <c r="MBL88" s="163"/>
      <c r="MBM88" s="163"/>
      <c r="MBN88" s="163"/>
      <c r="MBO88" s="163"/>
      <c r="MBP88" s="163"/>
      <c r="MBQ88" s="163"/>
      <c r="MBR88" s="163"/>
      <c r="MBS88" s="163"/>
      <c r="MBT88" s="163"/>
      <c r="MBU88" s="163"/>
      <c r="MBV88" s="163"/>
      <c r="MBW88" s="163"/>
      <c r="MBX88" s="163"/>
      <c r="MBY88" s="163"/>
      <c r="MBZ88" s="163"/>
      <c r="MCA88" s="163"/>
      <c r="MCB88" s="163"/>
      <c r="MCC88" s="163"/>
      <c r="MCD88" s="163"/>
      <c r="MCE88" s="163"/>
      <c r="MCF88" s="163"/>
      <c r="MCG88" s="163"/>
      <c r="MCH88" s="163"/>
      <c r="MCI88" s="163"/>
      <c r="MCJ88" s="163"/>
      <c r="MCK88" s="163"/>
      <c r="MCL88" s="163"/>
      <c r="MCM88" s="163"/>
      <c r="MCN88" s="163"/>
      <c r="MCO88" s="163"/>
      <c r="MCP88" s="163"/>
      <c r="MCQ88" s="163"/>
      <c r="MCR88" s="163"/>
      <c r="MCS88" s="163"/>
      <c r="MCT88" s="163"/>
      <c r="MCU88" s="163"/>
      <c r="MCV88" s="163"/>
      <c r="MCW88" s="163"/>
      <c r="MCX88" s="163"/>
      <c r="MCY88" s="163"/>
      <c r="MCZ88" s="163"/>
      <c r="MDA88" s="163"/>
      <c r="MDB88" s="163"/>
      <c r="MDC88" s="163"/>
      <c r="MDD88" s="163"/>
      <c r="MDE88" s="163"/>
      <c r="MDF88" s="163"/>
      <c r="MDG88" s="163"/>
      <c r="MDH88" s="163"/>
      <c r="MDI88" s="163"/>
      <c r="MDJ88" s="163"/>
      <c r="MDK88" s="163"/>
      <c r="MDL88" s="163"/>
      <c r="MDM88" s="163"/>
      <c r="MDN88" s="163"/>
      <c r="MDO88" s="163"/>
      <c r="MDP88" s="163"/>
      <c r="MDQ88" s="163"/>
      <c r="MDR88" s="163"/>
      <c r="MDS88" s="163"/>
      <c r="MDT88" s="163"/>
      <c r="MDU88" s="163"/>
      <c r="MDV88" s="163"/>
      <c r="MDW88" s="163"/>
      <c r="MDX88" s="163"/>
      <c r="MDY88" s="163"/>
      <c r="MDZ88" s="163"/>
      <c r="MEA88" s="163"/>
      <c r="MEB88" s="163"/>
      <c r="MEC88" s="163"/>
      <c r="MED88" s="163"/>
      <c r="MEE88" s="163"/>
      <c r="MEF88" s="163"/>
      <c r="MEG88" s="163"/>
      <c r="MEH88" s="163"/>
      <c r="MEI88" s="163"/>
      <c r="MEJ88" s="163"/>
      <c r="MEK88" s="163"/>
      <c r="MEL88" s="163"/>
      <c r="MEM88" s="163"/>
      <c r="MEN88" s="163"/>
      <c r="MEO88" s="163"/>
      <c r="MEP88" s="163"/>
      <c r="MEQ88" s="163"/>
      <c r="MER88" s="163"/>
      <c r="MES88" s="163"/>
      <c r="MET88" s="163"/>
      <c r="MEU88" s="163"/>
      <c r="MEV88" s="163"/>
      <c r="MEW88" s="163"/>
      <c r="MEX88" s="163"/>
      <c r="MEY88" s="163"/>
      <c r="MEZ88" s="163"/>
      <c r="MFA88" s="163"/>
      <c r="MFB88" s="163"/>
      <c r="MFC88" s="163"/>
      <c r="MFD88" s="163"/>
      <c r="MFE88" s="163"/>
      <c r="MFF88" s="163"/>
      <c r="MFG88" s="163"/>
      <c r="MFH88" s="163"/>
      <c r="MFI88" s="163"/>
      <c r="MFJ88" s="163"/>
      <c r="MFK88" s="163"/>
      <c r="MFL88" s="163"/>
      <c r="MFM88" s="163"/>
      <c r="MFN88" s="163"/>
      <c r="MFO88" s="163"/>
      <c r="MFP88" s="163"/>
      <c r="MFQ88" s="163"/>
      <c r="MFR88" s="163"/>
      <c r="MFS88" s="163"/>
      <c r="MFT88" s="163"/>
      <c r="MFU88" s="163"/>
      <c r="MFV88" s="163"/>
      <c r="MFW88" s="163"/>
      <c r="MFX88" s="163"/>
      <c r="MFY88" s="163"/>
      <c r="MFZ88" s="163"/>
      <c r="MGA88" s="163"/>
      <c r="MGB88" s="163"/>
      <c r="MGC88" s="163"/>
      <c r="MGD88" s="163"/>
      <c r="MGE88" s="163"/>
      <c r="MGF88" s="163"/>
      <c r="MGG88" s="163"/>
      <c r="MGH88" s="163"/>
      <c r="MGI88" s="163"/>
      <c r="MGJ88" s="163"/>
      <c r="MGK88" s="163"/>
      <c r="MGL88" s="163"/>
      <c r="MGM88" s="163"/>
      <c r="MGN88" s="163"/>
      <c r="MGO88" s="163"/>
      <c r="MGP88" s="163"/>
      <c r="MGQ88" s="163"/>
      <c r="MGR88" s="163"/>
      <c r="MGS88" s="163"/>
      <c r="MGT88" s="163"/>
      <c r="MGU88" s="163"/>
      <c r="MGV88" s="163"/>
      <c r="MGW88" s="163"/>
      <c r="MGX88" s="163"/>
      <c r="MGY88" s="163"/>
      <c r="MGZ88" s="163"/>
      <c r="MHA88" s="163"/>
      <c r="MHB88" s="163"/>
      <c r="MHC88" s="163"/>
      <c r="MHD88" s="163"/>
      <c r="MHE88" s="163"/>
      <c r="MHF88" s="163"/>
      <c r="MHG88" s="163"/>
      <c r="MHH88" s="163"/>
      <c r="MHI88" s="163"/>
      <c r="MHJ88" s="163"/>
      <c r="MHK88" s="163"/>
      <c r="MHL88" s="163"/>
      <c r="MHM88" s="163"/>
      <c r="MHN88" s="163"/>
      <c r="MHO88" s="163"/>
      <c r="MHP88" s="163"/>
      <c r="MHQ88" s="163"/>
      <c r="MHR88" s="163"/>
      <c r="MHS88" s="163"/>
      <c r="MHT88" s="163"/>
      <c r="MHU88" s="163"/>
      <c r="MHV88" s="163"/>
      <c r="MHW88" s="163"/>
      <c r="MHX88" s="163"/>
      <c r="MHY88" s="163"/>
      <c r="MHZ88" s="163"/>
      <c r="MIA88" s="163"/>
      <c r="MIB88" s="163"/>
      <c r="MIC88" s="163"/>
      <c r="MID88" s="163"/>
      <c r="MIE88" s="163"/>
      <c r="MIF88" s="163"/>
      <c r="MIG88" s="163"/>
      <c r="MIH88" s="163"/>
      <c r="MII88" s="163"/>
      <c r="MIJ88" s="163"/>
      <c r="MIK88" s="163"/>
      <c r="MIL88" s="163"/>
      <c r="MIM88" s="163"/>
      <c r="MIN88" s="163"/>
      <c r="MIO88" s="163"/>
      <c r="MIP88" s="163"/>
      <c r="MIQ88" s="163"/>
      <c r="MIR88" s="163"/>
      <c r="MIS88" s="163"/>
      <c r="MIT88" s="163"/>
      <c r="MIU88" s="163"/>
      <c r="MIV88" s="163"/>
      <c r="MIW88" s="163"/>
      <c r="MIX88" s="163"/>
      <c r="MIY88" s="163"/>
      <c r="MIZ88" s="163"/>
      <c r="MJA88" s="163"/>
      <c r="MJB88" s="163"/>
      <c r="MJC88" s="163"/>
      <c r="MJD88" s="163"/>
      <c r="MJE88" s="163"/>
      <c r="MJF88" s="163"/>
      <c r="MJG88" s="163"/>
      <c r="MJH88" s="163"/>
      <c r="MJI88" s="163"/>
      <c r="MJJ88" s="163"/>
      <c r="MJK88" s="163"/>
      <c r="MJL88" s="163"/>
      <c r="MJM88" s="163"/>
      <c r="MJN88" s="163"/>
      <c r="MJO88" s="163"/>
      <c r="MJP88" s="163"/>
      <c r="MJQ88" s="163"/>
      <c r="MJR88" s="163"/>
      <c r="MJS88" s="163"/>
      <c r="MJT88" s="163"/>
      <c r="MJU88" s="163"/>
      <c r="MJV88" s="163"/>
      <c r="MJW88" s="163"/>
      <c r="MJX88" s="163"/>
      <c r="MJY88" s="163"/>
      <c r="MJZ88" s="163"/>
      <c r="MKA88" s="163"/>
      <c r="MKB88" s="163"/>
      <c r="MKC88" s="163"/>
      <c r="MKD88" s="163"/>
      <c r="MKE88" s="163"/>
      <c r="MKF88" s="163"/>
      <c r="MKG88" s="163"/>
      <c r="MKH88" s="163"/>
      <c r="MKI88" s="163"/>
      <c r="MKJ88" s="163"/>
      <c r="MKK88" s="163"/>
      <c r="MKL88" s="163"/>
      <c r="MKM88" s="163"/>
      <c r="MKN88" s="163"/>
      <c r="MKO88" s="163"/>
      <c r="MKP88" s="163"/>
      <c r="MKQ88" s="163"/>
      <c r="MKR88" s="163"/>
      <c r="MKS88" s="163"/>
      <c r="MKT88" s="163"/>
      <c r="MKU88" s="163"/>
      <c r="MKV88" s="163"/>
      <c r="MKW88" s="163"/>
      <c r="MKX88" s="163"/>
      <c r="MKY88" s="163"/>
      <c r="MKZ88" s="163"/>
      <c r="MLA88" s="163"/>
      <c r="MLB88" s="163"/>
      <c r="MLC88" s="163"/>
      <c r="MLD88" s="163"/>
      <c r="MLE88" s="163"/>
      <c r="MLF88" s="163"/>
      <c r="MLG88" s="163"/>
      <c r="MLH88" s="163"/>
      <c r="MLI88" s="163"/>
      <c r="MLJ88" s="163"/>
      <c r="MLK88" s="163"/>
      <c r="MLL88" s="163"/>
      <c r="MLM88" s="163"/>
      <c r="MLN88" s="163"/>
      <c r="MLO88" s="163"/>
      <c r="MLP88" s="163"/>
      <c r="MLQ88" s="163"/>
      <c r="MLR88" s="163"/>
      <c r="MLS88" s="163"/>
      <c r="MLT88" s="163"/>
      <c r="MLU88" s="163"/>
      <c r="MLV88" s="163"/>
      <c r="MLW88" s="163"/>
      <c r="MLX88" s="163"/>
      <c r="MLY88" s="163"/>
      <c r="MLZ88" s="163"/>
      <c r="MMA88" s="163"/>
      <c r="MMB88" s="163"/>
      <c r="MMC88" s="163"/>
      <c r="MMD88" s="163"/>
      <c r="MME88" s="163"/>
      <c r="MMF88" s="163"/>
      <c r="MMG88" s="163"/>
      <c r="MMH88" s="163"/>
      <c r="MMI88" s="163"/>
      <c r="MMJ88" s="163"/>
      <c r="MMK88" s="163"/>
      <c r="MML88" s="163"/>
      <c r="MMM88" s="163"/>
      <c r="MMN88" s="163"/>
      <c r="MMO88" s="163"/>
      <c r="MMP88" s="163"/>
      <c r="MMQ88" s="163"/>
      <c r="MMR88" s="163"/>
      <c r="MMS88" s="163"/>
      <c r="MMT88" s="163"/>
      <c r="MMU88" s="163"/>
      <c r="MMV88" s="163"/>
      <c r="MMW88" s="163"/>
      <c r="MMX88" s="163"/>
      <c r="MMY88" s="163"/>
      <c r="MMZ88" s="163"/>
      <c r="MNA88" s="163"/>
      <c r="MNB88" s="163"/>
      <c r="MNC88" s="163"/>
      <c r="MND88" s="163"/>
      <c r="MNE88" s="163"/>
      <c r="MNF88" s="163"/>
      <c r="MNG88" s="163"/>
      <c r="MNH88" s="163"/>
      <c r="MNI88" s="163"/>
      <c r="MNJ88" s="163"/>
      <c r="MNK88" s="163"/>
      <c r="MNL88" s="163"/>
      <c r="MNM88" s="163"/>
      <c r="MNN88" s="163"/>
      <c r="MNO88" s="163"/>
      <c r="MNP88" s="163"/>
      <c r="MNQ88" s="163"/>
      <c r="MNR88" s="163"/>
      <c r="MNS88" s="163"/>
      <c r="MNT88" s="163"/>
      <c r="MNU88" s="163"/>
      <c r="MNV88" s="163"/>
      <c r="MNW88" s="163"/>
      <c r="MNX88" s="163"/>
      <c r="MNY88" s="163"/>
      <c r="MNZ88" s="163"/>
      <c r="MOA88" s="163"/>
      <c r="MOB88" s="163"/>
      <c r="MOC88" s="163"/>
      <c r="MOD88" s="163"/>
      <c r="MOE88" s="163"/>
      <c r="MOF88" s="163"/>
      <c r="MOG88" s="163"/>
      <c r="MOH88" s="163"/>
      <c r="MOI88" s="163"/>
      <c r="MOJ88" s="163"/>
      <c r="MOK88" s="163"/>
      <c r="MOL88" s="163"/>
      <c r="MOM88" s="163"/>
      <c r="MON88" s="163"/>
      <c r="MOO88" s="163"/>
      <c r="MOP88" s="163"/>
      <c r="MOQ88" s="163"/>
      <c r="MOR88" s="163"/>
      <c r="MOS88" s="163"/>
      <c r="MOT88" s="163"/>
      <c r="MOU88" s="163"/>
      <c r="MOV88" s="163"/>
      <c r="MOW88" s="163"/>
      <c r="MOX88" s="163"/>
      <c r="MOY88" s="163"/>
      <c r="MOZ88" s="163"/>
      <c r="MPA88" s="163"/>
      <c r="MPB88" s="163"/>
      <c r="MPC88" s="163"/>
      <c r="MPD88" s="163"/>
      <c r="MPE88" s="163"/>
      <c r="MPF88" s="163"/>
      <c r="MPG88" s="163"/>
      <c r="MPH88" s="163"/>
      <c r="MPI88" s="163"/>
      <c r="MPJ88" s="163"/>
      <c r="MPK88" s="163"/>
      <c r="MPL88" s="163"/>
      <c r="MPM88" s="163"/>
      <c r="MPN88" s="163"/>
      <c r="MPO88" s="163"/>
      <c r="MPP88" s="163"/>
      <c r="MPQ88" s="163"/>
      <c r="MPR88" s="163"/>
      <c r="MPS88" s="163"/>
      <c r="MPT88" s="163"/>
      <c r="MPU88" s="163"/>
      <c r="MPV88" s="163"/>
      <c r="MPW88" s="163"/>
      <c r="MPX88" s="163"/>
      <c r="MPY88" s="163"/>
      <c r="MPZ88" s="163"/>
      <c r="MQA88" s="163"/>
      <c r="MQB88" s="163"/>
      <c r="MQC88" s="163"/>
      <c r="MQD88" s="163"/>
      <c r="MQE88" s="163"/>
      <c r="MQF88" s="163"/>
      <c r="MQG88" s="163"/>
      <c r="MQH88" s="163"/>
      <c r="MQI88" s="163"/>
      <c r="MQJ88" s="163"/>
      <c r="MQK88" s="163"/>
      <c r="MQL88" s="163"/>
      <c r="MQM88" s="163"/>
      <c r="MQN88" s="163"/>
      <c r="MQO88" s="163"/>
      <c r="MQP88" s="163"/>
      <c r="MQQ88" s="163"/>
      <c r="MQR88" s="163"/>
      <c r="MQS88" s="163"/>
      <c r="MQT88" s="163"/>
      <c r="MQU88" s="163"/>
      <c r="MQV88" s="163"/>
      <c r="MQW88" s="163"/>
      <c r="MQX88" s="163"/>
      <c r="MQY88" s="163"/>
      <c r="MQZ88" s="163"/>
      <c r="MRA88" s="163"/>
      <c r="MRB88" s="163"/>
      <c r="MRC88" s="163"/>
      <c r="MRD88" s="163"/>
      <c r="MRE88" s="163"/>
      <c r="MRF88" s="163"/>
      <c r="MRG88" s="163"/>
      <c r="MRH88" s="163"/>
      <c r="MRI88" s="163"/>
      <c r="MRJ88" s="163"/>
      <c r="MRK88" s="163"/>
      <c r="MRL88" s="163"/>
      <c r="MRM88" s="163"/>
      <c r="MRN88" s="163"/>
      <c r="MRO88" s="163"/>
      <c r="MRP88" s="163"/>
      <c r="MRQ88" s="163"/>
      <c r="MRR88" s="163"/>
      <c r="MRS88" s="163"/>
      <c r="MRT88" s="163"/>
      <c r="MRU88" s="163"/>
      <c r="MRV88" s="163"/>
      <c r="MRW88" s="163"/>
      <c r="MRX88" s="163"/>
      <c r="MRY88" s="163"/>
      <c r="MRZ88" s="163"/>
      <c r="MSA88" s="163"/>
      <c r="MSB88" s="163"/>
      <c r="MSC88" s="163"/>
      <c r="MSD88" s="163"/>
      <c r="MSE88" s="163"/>
      <c r="MSF88" s="163"/>
      <c r="MSG88" s="163"/>
      <c r="MSH88" s="163"/>
      <c r="MSI88" s="163"/>
      <c r="MSJ88" s="163"/>
      <c r="MSK88" s="163"/>
      <c r="MSL88" s="163"/>
      <c r="MSM88" s="163"/>
      <c r="MSN88" s="163"/>
      <c r="MSO88" s="163"/>
      <c r="MSP88" s="163"/>
      <c r="MSQ88" s="163"/>
      <c r="MSR88" s="163"/>
      <c r="MSS88" s="163"/>
      <c r="MST88" s="163"/>
      <c r="MSU88" s="163"/>
      <c r="MSV88" s="163"/>
      <c r="MSW88" s="163"/>
      <c r="MSX88" s="163"/>
      <c r="MSY88" s="163"/>
      <c r="MSZ88" s="163"/>
      <c r="MTA88" s="163"/>
      <c r="MTB88" s="163"/>
      <c r="MTC88" s="163"/>
      <c r="MTD88" s="163"/>
      <c r="MTE88" s="163"/>
      <c r="MTF88" s="163"/>
      <c r="MTG88" s="163"/>
      <c r="MTH88" s="163"/>
      <c r="MTI88" s="163"/>
      <c r="MTJ88" s="163"/>
      <c r="MTK88" s="163"/>
      <c r="MTL88" s="163"/>
      <c r="MTM88" s="163"/>
      <c r="MTN88" s="163"/>
      <c r="MTO88" s="163"/>
      <c r="MTP88" s="163"/>
      <c r="MTQ88" s="163"/>
      <c r="MTR88" s="163"/>
      <c r="MTS88" s="163"/>
      <c r="MTT88" s="163"/>
      <c r="MTU88" s="163"/>
      <c r="MTV88" s="163"/>
      <c r="MTW88" s="163"/>
      <c r="MTX88" s="163"/>
      <c r="MTY88" s="163"/>
      <c r="MTZ88" s="163"/>
      <c r="MUA88" s="163"/>
      <c r="MUB88" s="163"/>
      <c r="MUC88" s="163"/>
      <c r="MUD88" s="163"/>
      <c r="MUE88" s="163"/>
      <c r="MUF88" s="163"/>
      <c r="MUG88" s="163"/>
      <c r="MUH88" s="163"/>
      <c r="MUI88" s="163"/>
      <c r="MUJ88" s="163"/>
      <c r="MUK88" s="163"/>
      <c r="MUL88" s="163"/>
      <c r="MUM88" s="163"/>
      <c r="MUN88" s="163"/>
      <c r="MUO88" s="163"/>
      <c r="MUP88" s="163"/>
      <c r="MUQ88" s="163"/>
      <c r="MUR88" s="163"/>
      <c r="MUS88" s="163"/>
      <c r="MUT88" s="163"/>
      <c r="MUU88" s="163"/>
      <c r="MUV88" s="163"/>
      <c r="MUW88" s="163"/>
      <c r="MUX88" s="163"/>
      <c r="MUY88" s="163"/>
      <c r="MUZ88" s="163"/>
      <c r="MVA88" s="163"/>
      <c r="MVB88" s="163"/>
      <c r="MVC88" s="163"/>
      <c r="MVD88" s="163"/>
      <c r="MVE88" s="163"/>
      <c r="MVF88" s="163"/>
      <c r="MVG88" s="163"/>
      <c r="MVH88" s="163"/>
      <c r="MVI88" s="163"/>
      <c r="MVJ88" s="163"/>
      <c r="MVK88" s="163"/>
      <c r="MVL88" s="163"/>
      <c r="MVM88" s="163"/>
      <c r="MVN88" s="163"/>
      <c r="MVO88" s="163"/>
      <c r="MVP88" s="163"/>
      <c r="MVQ88" s="163"/>
      <c r="MVR88" s="163"/>
      <c r="MVS88" s="163"/>
      <c r="MVT88" s="163"/>
      <c r="MVU88" s="163"/>
      <c r="MVV88" s="163"/>
      <c r="MVW88" s="163"/>
      <c r="MVX88" s="163"/>
      <c r="MVY88" s="163"/>
      <c r="MVZ88" s="163"/>
      <c r="MWA88" s="163"/>
      <c r="MWB88" s="163"/>
      <c r="MWC88" s="163"/>
      <c r="MWD88" s="163"/>
      <c r="MWE88" s="163"/>
      <c r="MWF88" s="163"/>
      <c r="MWG88" s="163"/>
      <c r="MWH88" s="163"/>
      <c r="MWI88" s="163"/>
      <c r="MWJ88" s="163"/>
      <c r="MWK88" s="163"/>
      <c r="MWL88" s="163"/>
      <c r="MWM88" s="163"/>
      <c r="MWN88" s="163"/>
      <c r="MWO88" s="163"/>
      <c r="MWP88" s="163"/>
      <c r="MWQ88" s="163"/>
      <c r="MWR88" s="163"/>
      <c r="MWS88" s="163"/>
      <c r="MWT88" s="163"/>
      <c r="MWU88" s="163"/>
      <c r="MWV88" s="163"/>
      <c r="MWW88" s="163"/>
      <c r="MWX88" s="163"/>
      <c r="MWY88" s="163"/>
      <c r="MWZ88" s="163"/>
      <c r="MXA88" s="163"/>
      <c r="MXB88" s="163"/>
      <c r="MXC88" s="163"/>
      <c r="MXD88" s="163"/>
      <c r="MXE88" s="163"/>
      <c r="MXF88" s="163"/>
      <c r="MXG88" s="163"/>
      <c r="MXH88" s="163"/>
      <c r="MXI88" s="163"/>
      <c r="MXJ88" s="163"/>
      <c r="MXK88" s="163"/>
      <c r="MXL88" s="163"/>
      <c r="MXM88" s="163"/>
      <c r="MXN88" s="163"/>
      <c r="MXO88" s="163"/>
      <c r="MXP88" s="163"/>
      <c r="MXQ88" s="163"/>
      <c r="MXR88" s="163"/>
      <c r="MXS88" s="163"/>
      <c r="MXT88" s="163"/>
      <c r="MXU88" s="163"/>
      <c r="MXV88" s="163"/>
      <c r="MXW88" s="163"/>
      <c r="MXX88" s="163"/>
      <c r="MXY88" s="163"/>
      <c r="MXZ88" s="163"/>
      <c r="MYA88" s="163"/>
      <c r="MYB88" s="163"/>
      <c r="MYC88" s="163"/>
      <c r="MYD88" s="163"/>
      <c r="MYE88" s="163"/>
      <c r="MYF88" s="163"/>
      <c r="MYG88" s="163"/>
      <c r="MYH88" s="163"/>
      <c r="MYI88" s="163"/>
      <c r="MYJ88" s="163"/>
      <c r="MYK88" s="163"/>
      <c r="MYL88" s="163"/>
      <c r="MYM88" s="163"/>
      <c r="MYN88" s="163"/>
      <c r="MYO88" s="163"/>
      <c r="MYP88" s="163"/>
      <c r="MYQ88" s="163"/>
      <c r="MYR88" s="163"/>
      <c r="MYS88" s="163"/>
      <c r="MYT88" s="163"/>
      <c r="MYU88" s="163"/>
      <c r="MYV88" s="163"/>
      <c r="MYW88" s="163"/>
      <c r="MYX88" s="163"/>
      <c r="MYY88" s="163"/>
      <c r="MYZ88" s="163"/>
      <c r="MZA88" s="163"/>
      <c r="MZB88" s="163"/>
      <c r="MZC88" s="163"/>
      <c r="MZD88" s="163"/>
      <c r="MZE88" s="163"/>
      <c r="MZF88" s="163"/>
      <c r="MZG88" s="163"/>
      <c r="MZH88" s="163"/>
      <c r="MZI88" s="163"/>
      <c r="MZJ88" s="163"/>
      <c r="MZK88" s="163"/>
      <c r="MZL88" s="163"/>
      <c r="MZM88" s="163"/>
      <c r="MZN88" s="163"/>
      <c r="MZO88" s="163"/>
      <c r="MZP88" s="163"/>
      <c r="MZQ88" s="163"/>
      <c r="MZR88" s="163"/>
      <c r="MZS88" s="163"/>
      <c r="MZT88" s="163"/>
      <c r="MZU88" s="163"/>
      <c r="MZV88" s="163"/>
      <c r="MZW88" s="163"/>
      <c r="MZX88" s="163"/>
      <c r="MZY88" s="163"/>
      <c r="MZZ88" s="163"/>
      <c r="NAA88" s="163"/>
      <c r="NAB88" s="163"/>
      <c r="NAC88" s="163"/>
      <c r="NAD88" s="163"/>
      <c r="NAE88" s="163"/>
      <c r="NAF88" s="163"/>
      <c r="NAG88" s="163"/>
      <c r="NAH88" s="163"/>
      <c r="NAI88" s="163"/>
      <c r="NAJ88" s="163"/>
      <c r="NAK88" s="163"/>
      <c r="NAL88" s="163"/>
      <c r="NAM88" s="163"/>
      <c r="NAN88" s="163"/>
      <c r="NAO88" s="163"/>
      <c r="NAP88" s="163"/>
      <c r="NAQ88" s="163"/>
      <c r="NAR88" s="163"/>
      <c r="NAS88" s="163"/>
      <c r="NAT88" s="163"/>
      <c r="NAU88" s="163"/>
      <c r="NAV88" s="163"/>
      <c r="NAW88" s="163"/>
      <c r="NAX88" s="163"/>
      <c r="NAY88" s="163"/>
      <c r="NAZ88" s="163"/>
      <c r="NBA88" s="163"/>
      <c r="NBB88" s="163"/>
      <c r="NBC88" s="163"/>
      <c r="NBD88" s="163"/>
      <c r="NBE88" s="163"/>
      <c r="NBF88" s="163"/>
      <c r="NBG88" s="163"/>
      <c r="NBH88" s="163"/>
      <c r="NBI88" s="163"/>
      <c r="NBJ88" s="163"/>
      <c r="NBK88" s="163"/>
      <c r="NBL88" s="163"/>
      <c r="NBM88" s="163"/>
      <c r="NBN88" s="163"/>
      <c r="NBO88" s="163"/>
      <c r="NBP88" s="163"/>
      <c r="NBQ88" s="163"/>
      <c r="NBR88" s="163"/>
      <c r="NBS88" s="163"/>
      <c r="NBT88" s="163"/>
      <c r="NBU88" s="163"/>
      <c r="NBV88" s="163"/>
      <c r="NBW88" s="163"/>
      <c r="NBX88" s="163"/>
      <c r="NBY88" s="163"/>
      <c r="NBZ88" s="163"/>
      <c r="NCA88" s="163"/>
      <c r="NCB88" s="163"/>
      <c r="NCC88" s="163"/>
      <c r="NCD88" s="163"/>
      <c r="NCE88" s="163"/>
      <c r="NCF88" s="163"/>
      <c r="NCG88" s="163"/>
      <c r="NCH88" s="163"/>
      <c r="NCI88" s="163"/>
      <c r="NCJ88" s="163"/>
      <c r="NCK88" s="163"/>
      <c r="NCL88" s="163"/>
      <c r="NCM88" s="163"/>
      <c r="NCN88" s="163"/>
      <c r="NCO88" s="163"/>
      <c r="NCP88" s="163"/>
      <c r="NCQ88" s="163"/>
      <c r="NCR88" s="163"/>
      <c r="NCS88" s="163"/>
      <c r="NCT88" s="163"/>
      <c r="NCU88" s="163"/>
      <c r="NCV88" s="163"/>
      <c r="NCW88" s="163"/>
      <c r="NCX88" s="163"/>
      <c r="NCY88" s="163"/>
      <c r="NCZ88" s="163"/>
      <c r="NDA88" s="163"/>
      <c r="NDB88" s="163"/>
      <c r="NDC88" s="163"/>
      <c r="NDD88" s="163"/>
      <c r="NDE88" s="163"/>
      <c r="NDF88" s="163"/>
      <c r="NDG88" s="163"/>
      <c r="NDH88" s="163"/>
      <c r="NDI88" s="163"/>
      <c r="NDJ88" s="163"/>
      <c r="NDK88" s="163"/>
      <c r="NDL88" s="163"/>
      <c r="NDM88" s="163"/>
      <c r="NDN88" s="163"/>
      <c r="NDO88" s="163"/>
      <c r="NDP88" s="163"/>
      <c r="NDQ88" s="163"/>
      <c r="NDR88" s="163"/>
      <c r="NDS88" s="163"/>
      <c r="NDT88" s="163"/>
      <c r="NDU88" s="163"/>
      <c r="NDV88" s="163"/>
      <c r="NDW88" s="163"/>
      <c r="NDX88" s="163"/>
      <c r="NDY88" s="163"/>
      <c r="NDZ88" s="163"/>
      <c r="NEA88" s="163"/>
      <c r="NEB88" s="163"/>
      <c r="NEC88" s="163"/>
      <c r="NED88" s="163"/>
      <c r="NEE88" s="163"/>
      <c r="NEF88" s="163"/>
      <c r="NEG88" s="163"/>
      <c r="NEH88" s="163"/>
      <c r="NEI88" s="163"/>
      <c r="NEJ88" s="163"/>
      <c r="NEK88" s="163"/>
      <c r="NEL88" s="163"/>
      <c r="NEM88" s="163"/>
      <c r="NEN88" s="163"/>
      <c r="NEO88" s="163"/>
      <c r="NEP88" s="163"/>
      <c r="NEQ88" s="163"/>
      <c r="NER88" s="163"/>
      <c r="NES88" s="163"/>
      <c r="NET88" s="163"/>
      <c r="NEU88" s="163"/>
      <c r="NEV88" s="163"/>
      <c r="NEW88" s="163"/>
      <c r="NEX88" s="163"/>
      <c r="NEY88" s="163"/>
      <c r="NEZ88" s="163"/>
      <c r="NFA88" s="163"/>
      <c r="NFB88" s="163"/>
      <c r="NFC88" s="163"/>
      <c r="NFD88" s="163"/>
      <c r="NFE88" s="163"/>
      <c r="NFF88" s="163"/>
      <c r="NFG88" s="163"/>
      <c r="NFH88" s="163"/>
      <c r="NFI88" s="163"/>
      <c r="NFJ88" s="163"/>
      <c r="NFK88" s="163"/>
      <c r="NFL88" s="163"/>
      <c r="NFM88" s="163"/>
      <c r="NFN88" s="163"/>
      <c r="NFO88" s="163"/>
      <c r="NFP88" s="163"/>
      <c r="NFQ88" s="163"/>
      <c r="NFR88" s="163"/>
      <c r="NFS88" s="163"/>
      <c r="NFT88" s="163"/>
      <c r="NFU88" s="163"/>
      <c r="NFV88" s="163"/>
      <c r="NFW88" s="163"/>
      <c r="NFX88" s="163"/>
      <c r="NFY88" s="163"/>
      <c r="NFZ88" s="163"/>
      <c r="NGA88" s="163"/>
      <c r="NGB88" s="163"/>
      <c r="NGC88" s="163"/>
      <c r="NGD88" s="163"/>
      <c r="NGE88" s="163"/>
      <c r="NGF88" s="163"/>
      <c r="NGG88" s="163"/>
      <c r="NGH88" s="163"/>
      <c r="NGI88" s="163"/>
      <c r="NGJ88" s="163"/>
      <c r="NGK88" s="163"/>
      <c r="NGL88" s="163"/>
      <c r="NGM88" s="163"/>
      <c r="NGN88" s="163"/>
      <c r="NGO88" s="163"/>
      <c r="NGP88" s="163"/>
      <c r="NGQ88" s="163"/>
      <c r="NGR88" s="163"/>
      <c r="NGS88" s="163"/>
      <c r="NGT88" s="163"/>
      <c r="NGU88" s="163"/>
      <c r="NGV88" s="163"/>
      <c r="NGW88" s="163"/>
      <c r="NGX88" s="163"/>
      <c r="NGY88" s="163"/>
      <c r="NGZ88" s="163"/>
      <c r="NHA88" s="163"/>
      <c r="NHB88" s="163"/>
      <c r="NHC88" s="163"/>
      <c r="NHD88" s="163"/>
      <c r="NHE88" s="163"/>
      <c r="NHF88" s="163"/>
      <c r="NHG88" s="163"/>
      <c r="NHH88" s="163"/>
      <c r="NHI88" s="163"/>
      <c r="NHJ88" s="163"/>
      <c r="NHK88" s="163"/>
      <c r="NHL88" s="163"/>
      <c r="NHM88" s="163"/>
      <c r="NHN88" s="163"/>
      <c r="NHO88" s="163"/>
      <c r="NHP88" s="163"/>
      <c r="NHQ88" s="163"/>
      <c r="NHR88" s="163"/>
      <c r="NHS88" s="163"/>
      <c r="NHT88" s="163"/>
      <c r="NHU88" s="163"/>
      <c r="NHV88" s="163"/>
      <c r="NHW88" s="163"/>
      <c r="NHX88" s="163"/>
      <c r="NHY88" s="163"/>
      <c r="NHZ88" s="163"/>
      <c r="NIA88" s="163"/>
      <c r="NIB88" s="163"/>
      <c r="NIC88" s="163"/>
      <c r="NID88" s="163"/>
      <c r="NIE88" s="163"/>
      <c r="NIF88" s="163"/>
      <c r="NIG88" s="163"/>
      <c r="NIH88" s="163"/>
      <c r="NII88" s="163"/>
      <c r="NIJ88" s="163"/>
      <c r="NIK88" s="163"/>
      <c r="NIL88" s="163"/>
      <c r="NIM88" s="163"/>
      <c r="NIN88" s="163"/>
      <c r="NIO88" s="163"/>
      <c r="NIP88" s="163"/>
      <c r="NIQ88" s="163"/>
      <c r="NIR88" s="163"/>
      <c r="NIS88" s="163"/>
      <c r="NIT88" s="163"/>
      <c r="NIU88" s="163"/>
      <c r="NIV88" s="163"/>
      <c r="NIW88" s="163"/>
      <c r="NIX88" s="163"/>
      <c r="NIY88" s="163"/>
      <c r="NIZ88" s="163"/>
      <c r="NJA88" s="163"/>
      <c r="NJB88" s="163"/>
      <c r="NJC88" s="163"/>
      <c r="NJD88" s="163"/>
      <c r="NJE88" s="163"/>
      <c r="NJF88" s="163"/>
      <c r="NJG88" s="163"/>
      <c r="NJH88" s="163"/>
      <c r="NJI88" s="163"/>
      <c r="NJJ88" s="163"/>
      <c r="NJK88" s="163"/>
      <c r="NJL88" s="163"/>
      <c r="NJM88" s="163"/>
      <c r="NJN88" s="163"/>
      <c r="NJO88" s="163"/>
      <c r="NJP88" s="163"/>
      <c r="NJQ88" s="163"/>
      <c r="NJR88" s="163"/>
      <c r="NJS88" s="163"/>
      <c r="NJT88" s="163"/>
      <c r="NJU88" s="163"/>
      <c r="NJV88" s="163"/>
      <c r="NJW88" s="163"/>
      <c r="NJX88" s="163"/>
      <c r="NJY88" s="163"/>
      <c r="NJZ88" s="163"/>
      <c r="NKA88" s="163"/>
      <c r="NKB88" s="163"/>
      <c r="NKC88" s="163"/>
      <c r="NKD88" s="163"/>
      <c r="NKE88" s="163"/>
      <c r="NKF88" s="163"/>
      <c r="NKG88" s="163"/>
      <c r="NKH88" s="163"/>
      <c r="NKI88" s="163"/>
      <c r="NKJ88" s="163"/>
      <c r="NKK88" s="163"/>
      <c r="NKL88" s="163"/>
      <c r="NKM88" s="163"/>
      <c r="NKN88" s="163"/>
      <c r="NKO88" s="163"/>
      <c r="NKP88" s="163"/>
      <c r="NKQ88" s="163"/>
      <c r="NKR88" s="163"/>
      <c r="NKS88" s="163"/>
      <c r="NKT88" s="163"/>
      <c r="NKU88" s="163"/>
      <c r="NKV88" s="163"/>
      <c r="NKW88" s="163"/>
      <c r="NKX88" s="163"/>
      <c r="NKY88" s="163"/>
      <c r="NKZ88" s="163"/>
      <c r="NLA88" s="163"/>
      <c r="NLB88" s="163"/>
      <c r="NLC88" s="163"/>
      <c r="NLD88" s="163"/>
      <c r="NLE88" s="163"/>
      <c r="NLF88" s="163"/>
      <c r="NLG88" s="163"/>
      <c r="NLH88" s="163"/>
      <c r="NLI88" s="163"/>
      <c r="NLJ88" s="163"/>
      <c r="NLK88" s="163"/>
      <c r="NLL88" s="163"/>
      <c r="NLM88" s="163"/>
      <c r="NLN88" s="163"/>
      <c r="NLO88" s="163"/>
      <c r="NLP88" s="163"/>
      <c r="NLQ88" s="163"/>
      <c r="NLR88" s="163"/>
      <c r="NLS88" s="163"/>
      <c r="NLT88" s="163"/>
      <c r="NLU88" s="163"/>
      <c r="NLV88" s="163"/>
      <c r="NLW88" s="163"/>
      <c r="NLX88" s="163"/>
      <c r="NLY88" s="163"/>
      <c r="NLZ88" s="163"/>
      <c r="NMA88" s="163"/>
      <c r="NMB88" s="163"/>
      <c r="NMC88" s="163"/>
      <c r="NMD88" s="163"/>
      <c r="NME88" s="163"/>
      <c r="NMF88" s="163"/>
      <c r="NMG88" s="163"/>
      <c r="NMH88" s="163"/>
      <c r="NMI88" s="163"/>
      <c r="NMJ88" s="163"/>
      <c r="NMK88" s="163"/>
      <c r="NML88" s="163"/>
      <c r="NMM88" s="163"/>
      <c r="NMN88" s="163"/>
      <c r="NMO88" s="163"/>
      <c r="NMP88" s="163"/>
      <c r="NMQ88" s="163"/>
      <c r="NMR88" s="163"/>
      <c r="NMS88" s="163"/>
      <c r="NMT88" s="163"/>
      <c r="NMU88" s="163"/>
      <c r="NMV88" s="163"/>
      <c r="NMW88" s="163"/>
      <c r="NMX88" s="163"/>
      <c r="NMY88" s="163"/>
      <c r="NMZ88" s="163"/>
      <c r="NNA88" s="163"/>
      <c r="NNB88" s="163"/>
      <c r="NNC88" s="163"/>
      <c r="NND88" s="163"/>
      <c r="NNE88" s="163"/>
      <c r="NNF88" s="163"/>
      <c r="NNG88" s="163"/>
      <c r="NNH88" s="163"/>
      <c r="NNI88" s="163"/>
      <c r="NNJ88" s="163"/>
      <c r="NNK88" s="163"/>
      <c r="NNL88" s="163"/>
      <c r="NNM88" s="163"/>
      <c r="NNN88" s="163"/>
      <c r="NNO88" s="163"/>
      <c r="NNP88" s="163"/>
      <c r="NNQ88" s="163"/>
      <c r="NNR88" s="163"/>
      <c r="NNS88" s="163"/>
      <c r="NNT88" s="163"/>
      <c r="NNU88" s="163"/>
      <c r="NNV88" s="163"/>
      <c r="NNW88" s="163"/>
      <c r="NNX88" s="163"/>
      <c r="NNY88" s="163"/>
      <c r="NNZ88" s="163"/>
      <c r="NOA88" s="163"/>
      <c r="NOB88" s="163"/>
      <c r="NOC88" s="163"/>
      <c r="NOD88" s="163"/>
      <c r="NOE88" s="163"/>
      <c r="NOF88" s="163"/>
      <c r="NOG88" s="163"/>
      <c r="NOH88" s="163"/>
      <c r="NOI88" s="163"/>
      <c r="NOJ88" s="163"/>
      <c r="NOK88" s="163"/>
      <c r="NOL88" s="163"/>
      <c r="NOM88" s="163"/>
      <c r="NON88" s="163"/>
      <c r="NOO88" s="163"/>
      <c r="NOP88" s="163"/>
      <c r="NOQ88" s="163"/>
      <c r="NOR88" s="163"/>
      <c r="NOS88" s="163"/>
      <c r="NOT88" s="163"/>
      <c r="NOU88" s="163"/>
      <c r="NOV88" s="163"/>
      <c r="NOW88" s="163"/>
      <c r="NOX88" s="163"/>
      <c r="NOY88" s="163"/>
      <c r="NOZ88" s="163"/>
      <c r="NPA88" s="163"/>
      <c r="NPB88" s="163"/>
      <c r="NPC88" s="163"/>
      <c r="NPD88" s="163"/>
      <c r="NPE88" s="163"/>
      <c r="NPF88" s="163"/>
      <c r="NPG88" s="163"/>
      <c r="NPH88" s="163"/>
      <c r="NPI88" s="163"/>
      <c r="NPJ88" s="163"/>
      <c r="NPK88" s="163"/>
      <c r="NPL88" s="163"/>
      <c r="NPM88" s="163"/>
      <c r="NPN88" s="163"/>
      <c r="NPO88" s="163"/>
      <c r="NPP88" s="163"/>
      <c r="NPQ88" s="163"/>
      <c r="NPR88" s="163"/>
      <c r="NPS88" s="163"/>
      <c r="NPT88" s="163"/>
      <c r="NPU88" s="163"/>
      <c r="NPV88" s="163"/>
      <c r="NPW88" s="163"/>
      <c r="NPX88" s="163"/>
      <c r="NPY88" s="163"/>
      <c r="NPZ88" s="163"/>
      <c r="NQA88" s="163"/>
      <c r="NQB88" s="163"/>
      <c r="NQC88" s="163"/>
      <c r="NQD88" s="163"/>
      <c r="NQE88" s="163"/>
      <c r="NQF88" s="163"/>
      <c r="NQG88" s="163"/>
      <c r="NQH88" s="163"/>
      <c r="NQI88" s="163"/>
      <c r="NQJ88" s="163"/>
      <c r="NQK88" s="163"/>
      <c r="NQL88" s="163"/>
      <c r="NQM88" s="163"/>
      <c r="NQN88" s="163"/>
      <c r="NQO88" s="163"/>
      <c r="NQP88" s="163"/>
      <c r="NQQ88" s="163"/>
      <c r="NQR88" s="163"/>
      <c r="NQS88" s="163"/>
      <c r="NQT88" s="163"/>
      <c r="NQU88" s="163"/>
      <c r="NQV88" s="163"/>
      <c r="NQW88" s="163"/>
      <c r="NQX88" s="163"/>
      <c r="NQY88" s="163"/>
      <c r="NQZ88" s="163"/>
      <c r="NRA88" s="163"/>
      <c r="NRB88" s="163"/>
      <c r="NRC88" s="163"/>
      <c r="NRD88" s="163"/>
      <c r="NRE88" s="163"/>
      <c r="NRF88" s="163"/>
      <c r="NRG88" s="163"/>
      <c r="NRH88" s="163"/>
      <c r="NRI88" s="163"/>
      <c r="NRJ88" s="163"/>
      <c r="NRK88" s="163"/>
      <c r="NRL88" s="163"/>
      <c r="NRM88" s="163"/>
      <c r="NRN88" s="163"/>
      <c r="NRO88" s="163"/>
      <c r="NRP88" s="163"/>
      <c r="NRQ88" s="163"/>
      <c r="NRR88" s="163"/>
      <c r="NRS88" s="163"/>
      <c r="NRT88" s="163"/>
      <c r="NRU88" s="163"/>
      <c r="NRV88" s="163"/>
      <c r="NRW88" s="163"/>
      <c r="NRX88" s="163"/>
      <c r="NRY88" s="163"/>
      <c r="NRZ88" s="163"/>
      <c r="NSA88" s="163"/>
      <c r="NSB88" s="163"/>
      <c r="NSC88" s="163"/>
      <c r="NSD88" s="163"/>
      <c r="NSE88" s="163"/>
      <c r="NSF88" s="163"/>
      <c r="NSG88" s="163"/>
      <c r="NSH88" s="163"/>
      <c r="NSI88" s="163"/>
      <c r="NSJ88" s="163"/>
      <c r="NSK88" s="163"/>
      <c r="NSL88" s="163"/>
      <c r="NSM88" s="163"/>
      <c r="NSN88" s="163"/>
      <c r="NSO88" s="163"/>
      <c r="NSP88" s="163"/>
      <c r="NSQ88" s="163"/>
      <c r="NSR88" s="163"/>
      <c r="NSS88" s="163"/>
      <c r="NST88" s="163"/>
      <c r="NSU88" s="163"/>
      <c r="NSV88" s="163"/>
      <c r="NSW88" s="163"/>
      <c r="NSX88" s="163"/>
      <c r="NSY88" s="163"/>
      <c r="NSZ88" s="163"/>
      <c r="NTA88" s="163"/>
      <c r="NTB88" s="163"/>
      <c r="NTC88" s="163"/>
      <c r="NTD88" s="163"/>
      <c r="NTE88" s="163"/>
      <c r="NTF88" s="163"/>
      <c r="NTG88" s="163"/>
      <c r="NTH88" s="163"/>
      <c r="NTI88" s="163"/>
      <c r="NTJ88" s="163"/>
      <c r="NTK88" s="163"/>
      <c r="NTL88" s="163"/>
      <c r="NTM88" s="163"/>
      <c r="NTN88" s="163"/>
      <c r="NTO88" s="163"/>
      <c r="NTP88" s="163"/>
      <c r="NTQ88" s="163"/>
      <c r="NTR88" s="163"/>
      <c r="NTS88" s="163"/>
      <c r="NTT88" s="163"/>
      <c r="NTU88" s="163"/>
      <c r="NTV88" s="163"/>
      <c r="NTW88" s="163"/>
      <c r="NTX88" s="163"/>
      <c r="NTY88" s="163"/>
      <c r="NTZ88" s="163"/>
      <c r="NUA88" s="163"/>
      <c r="NUB88" s="163"/>
      <c r="NUC88" s="163"/>
      <c r="NUD88" s="163"/>
      <c r="NUE88" s="163"/>
      <c r="NUF88" s="163"/>
      <c r="NUG88" s="163"/>
      <c r="NUH88" s="163"/>
      <c r="NUI88" s="163"/>
      <c r="NUJ88" s="163"/>
      <c r="NUK88" s="163"/>
      <c r="NUL88" s="163"/>
      <c r="NUM88" s="163"/>
      <c r="NUN88" s="163"/>
      <c r="NUO88" s="163"/>
      <c r="NUP88" s="163"/>
      <c r="NUQ88" s="163"/>
      <c r="NUR88" s="163"/>
      <c r="NUS88" s="163"/>
      <c r="NUT88" s="163"/>
      <c r="NUU88" s="163"/>
      <c r="NUV88" s="163"/>
      <c r="NUW88" s="163"/>
      <c r="NUX88" s="163"/>
      <c r="NUY88" s="163"/>
      <c r="NUZ88" s="163"/>
      <c r="NVA88" s="163"/>
      <c r="NVB88" s="163"/>
      <c r="NVC88" s="163"/>
      <c r="NVD88" s="163"/>
      <c r="NVE88" s="163"/>
      <c r="NVF88" s="163"/>
      <c r="NVG88" s="163"/>
      <c r="NVH88" s="163"/>
      <c r="NVI88" s="163"/>
      <c r="NVJ88" s="163"/>
      <c r="NVK88" s="163"/>
      <c r="NVL88" s="163"/>
      <c r="NVM88" s="163"/>
      <c r="NVN88" s="163"/>
      <c r="NVO88" s="163"/>
      <c r="NVP88" s="163"/>
      <c r="NVQ88" s="163"/>
      <c r="NVR88" s="163"/>
      <c r="NVS88" s="163"/>
      <c r="NVT88" s="163"/>
      <c r="NVU88" s="163"/>
      <c r="NVV88" s="163"/>
      <c r="NVW88" s="163"/>
      <c r="NVX88" s="163"/>
      <c r="NVY88" s="163"/>
      <c r="NVZ88" s="163"/>
      <c r="NWA88" s="163"/>
      <c r="NWB88" s="163"/>
      <c r="NWC88" s="163"/>
      <c r="NWD88" s="163"/>
      <c r="NWE88" s="163"/>
      <c r="NWF88" s="163"/>
      <c r="NWG88" s="163"/>
      <c r="NWH88" s="163"/>
      <c r="NWI88" s="163"/>
      <c r="NWJ88" s="163"/>
      <c r="NWK88" s="163"/>
      <c r="NWL88" s="163"/>
      <c r="NWM88" s="163"/>
      <c r="NWN88" s="163"/>
      <c r="NWO88" s="163"/>
      <c r="NWP88" s="163"/>
      <c r="NWQ88" s="163"/>
      <c r="NWR88" s="163"/>
      <c r="NWS88" s="163"/>
      <c r="NWT88" s="163"/>
      <c r="NWU88" s="163"/>
      <c r="NWV88" s="163"/>
      <c r="NWW88" s="163"/>
      <c r="NWX88" s="163"/>
      <c r="NWY88" s="163"/>
      <c r="NWZ88" s="163"/>
      <c r="NXA88" s="163"/>
      <c r="NXB88" s="163"/>
      <c r="NXC88" s="163"/>
      <c r="NXD88" s="163"/>
      <c r="NXE88" s="163"/>
      <c r="NXF88" s="163"/>
      <c r="NXG88" s="163"/>
      <c r="NXH88" s="163"/>
      <c r="NXI88" s="163"/>
      <c r="NXJ88" s="163"/>
      <c r="NXK88" s="163"/>
      <c r="NXL88" s="163"/>
      <c r="NXM88" s="163"/>
      <c r="NXN88" s="163"/>
      <c r="NXO88" s="163"/>
      <c r="NXP88" s="163"/>
      <c r="NXQ88" s="163"/>
      <c r="NXR88" s="163"/>
      <c r="NXS88" s="163"/>
      <c r="NXT88" s="163"/>
      <c r="NXU88" s="163"/>
      <c r="NXV88" s="163"/>
      <c r="NXW88" s="163"/>
      <c r="NXX88" s="163"/>
      <c r="NXY88" s="163"/>
      <c r="NXZ88" s="163"/>
      <c r="NYA88" s="163"/>
      <c r="NYB88" s="163"/>
      <c r="NYC88" s="163"/>
      <c r="NYD88" s="163"/>
      <c r="NYE88" s="163"/>
      <c r="NYF88" s="163"/>
      <c r="NYG88" s="163"/>
      <c r="NYH88" s="163"/>
      <c r="NYI88" s="163"/>
      <c r="NYJ88" s="163"/>
      <c r="NYK88" s="163"/>
      <c r="NYL88" s="163"/>
      <c r="NYM88" s="163"/>
      <c r="NYN88" s="163"/>
      <c r="NYO88" s="163"/>
      <c r="NYP88" s="163"/>
      <c r="NYQ88" s="163"/>
      <c r="NYR88" s="163"/>
      <c r="NYS88" s="163"/>
      <c r="NYT88" s="163"/>
      <c r="NYU88" s="163"/>
      <c r="NYV88" s="163"/>
      <c r="NYW88" s="163"/>
      <c r="NYX88" s="163"/>
      <c r="NYY88" s="163"/>
      <c r="NYZ88" s="163"/>
      <c r="NZA88" s="163"/>
      <c r="NZB88" s="163"/>
      <c r="NZC88" s="163"/>
      <c r="NZD88" s="163"/>
      <c r="NZE88" s="163"/>
      <c r="NZF88" s="163"/>
      <c r="NZG88" s="163"/>
      <c r="NZH88" s="163"/>
      <c r="NZI88" s="163"/>
      <c r="NZJ88" s="163"/>
      <c r="NZK88" s="163"/>
      <c r="NZL88" s="163"/>
      <c r="NZM88" s="163"/>
      <c r="NZN88" s="163"/>
      <c r="NZO88" s="163"/>
      <c r="NZP88" s="163"/>
      <c r="NZQ88" s="163"/>
      <c r="NZR88" s="163"/>
      <c r="NZS88" s="163"/>
      <c r="NZT88" s="163"/>
      <c r="NZU88" s="163"/>
      <c r="NZV88" s="163"/>
      <c r="NZW88" s="163"/>
      <c r="NZX88" s="163"/>
      <c r="NZY88" s="163"/>
      <c r="NZZ88" s="163"/>
      <c r="OAA88" s="163"/>
      <c r="OAB88" s="163"/>
      <c r="OAC88" s="163"/>
      <c r="OAD88" s="163"/>
      <c r="OAE88" s="163"/>
      <c r="OAF88" s="163"/>
      <c r="OAG88" s="163"/>
      <c r="OAH88" s="163"/>
      <c r="OAI88" s="163"/>
      <c r="OAJ88" s="163"/>
      <c r="OAK88" s="163"/>
      <c r="OAL88" s="163"/>
      <c r="OAM88" s="163"/>
      <c r="OAN88" s="163"/>
      <c r="OAO88" s="163"/>
      <c r="OAP88" s="163"/>
      <c r="OAQ88" s="163"/>
      <c r="OAR88" s="163"/>
      <c r="OAS88" s="163"/>
      <c r="OAT88" s="163"/>
      <c r="OAU88" s="163"/>
      <c r="OAV88" s="163"/>
      <c r="OAW88" s="163"/>
      <c r="OAX88" s="163"/>
      <c r="OAY88" s="163"/>
      <c r="OAZ88" s="163"/>
      <c r="OBA88" s="163"/>
      <c r="OBB88" s="163"/>
      <c r="OBC88" s="163"/>
      <c r="OBD88" s="163"/>
      <c r="OBE88" s="163"/>
      <c r="OBF88" s="163"/>
      <c r="OBG88" s="163"/>
      <c r="OBH88" s="163"/>
      <c r="OBI88" s="163"/>
      <c r="OBJ88" s="163"/>
      <c r="OBK88" s="163"/>
      <c r="OBL88" s="163"/>
      <c r="OBM88" s="163"/>
      <c r="OBN88" s="163"/>
      <c r="OBO88" s="163"/>
      <c r="OBP88" s="163"/>
      <c r="OBQ88" s="163"/>
      <c r="OBR88" s="163"/>
      <c r="OBS88" s="163"/>
      <c r="OBT88" s="163"/>
      <c r="OBU88" s="163"/>
      <c r="OBV88" s="163"/>
      <c r="OBW88" s="163"/>
      <c r="OBX88" s="163"/>
      <c r="OBY88" s="163"/>
      <c r="OBZ88" s="163"/>
      <c r="OCA88" s="163"/>
      <c r="OCB88" s="163"/>
      <c r="OCC88" s="163"/>
      <c r="OCD88" s="163"/>
      <c r="OCE88" s="163"/>
      <c r="OCF88" s="163"/>
      <c r="OCG88" s="163"/>
      <c r="OCH88" s="163"/>
      <c r="OCI88" s="163"/>
      <c r="OCJ88" s="163"/>
      <c r="OCK88" s="163"/>
      <c r="OCL88" s="163"/>
      <c r="OCM88" s="163"/>
      <c r="OCN88" s="163"/>
      <c r="OCO88" s="163"/>
      <c r="OCP88" s="163"/>
      <c r="OCQ88" s="163"/>
      <c r="OCR88" s="163"/>
      <c r="OCS88" s="163"/>
      <c r="OCT88" s="163"/>
      <c r="OCU88" s="163"/>
      <c r="OCV88" s="163"/>
      <c r="OCW88" s="163"/>
      <c r="OCX88" s="163"/>
      <c r="OCY88" s="163"/>
      <c r="OCZ88" s="163"/>
      <c r="ODA88" s="163"/>
      <c r="ODB88" s="163"/>
      <c r="ODC88" s="163"/>
      <c r="ODD88" s="163"/>
      <c r="ODE88" s="163"/>
      <c r="ODF88" s="163"/>
      <c r="ODG88" s="163"/>
      <c r="ODH88" s="163"/>
      <c r="ODI88" s="163"/>
      <c r="ODJ88" s="163"/>
      <c r="ODK88" s="163"/>
      <c r="ODL88" s="163"/>
      <c r="ODM88" s="163"/>
      <c r="ODN88" s="163"/>
      <c r="ODO88" s="163"/>
      <c r="ODP88" s="163"/>
      <c r="ODQ88" s="163"/>
      <c r="ODR88" s="163"/>
      <c r="ODS88" s="163"/>
      <c r="ODT88" s="163"/>
      <c r="ODU88" s="163"/>
      <c r="ODV88" s="163"/>
      <c r="ODW88" s="163"/>
      <c r="ODX88" s="163"/>
      <c r="ODY88" s="163"/>
      <c r="ODZ88" s="163"/>
      <c r="OEA88" s="163"/>
      <c r="OEB88" s="163"/>
      <c r="OEC88" s="163"/>
      <c r="OED88" s="163"/>
      <c r="OEE88" s="163"/>
      <c r="OEF88" s="163"/>
      <c r="OEG88" s="163"/>
      <c r="OEH88" s="163"/>
      <c r="OEI88" s="163"/>
      <c r="OEJ88" s="163"/>
      <c r="OEK88" s="163"/>
      <c r="OEL88" s="163"/>
      <c r="OEM88" s="163"/>
      <c r="OEN88" s="163"/>
      <c r="OEO88" s="163"/>
      <c r="OEP88" s="163"/>
      <c r="OEQ88" s="163"/>
      <c r="OER88" s="163"/>
      <c r="OES88" s="163"/>
      <c r="OET88" s="163"/>
      <c r="OEU88" s="163"/>
      <c r="OEV88" s="163"/>
      <c r="OEW88" s="163"/>
      <c r="OEX88" s="163"/>
      <c r="OEY88" s="163"/>
      <c r="OEZ88" s="163"/>
      <c r="OFA88" s="163"/>
      <c r="OFB88" s="163"/>
      <c r="OFC88" s="163"/>
      <c r="OFD88" s="163"/>
      <c r="OFE88" s="163"/>
      <c r="OFF88" s="163"/>
      <c r="OFG88" s="163"/>
      <c r="OFH88" s="163"/>
      <c r="OFI88" s="163"/>
      <c r="OFJ88" s="163"/>
      <c r="OFK88" s="163"/>
      <c r="OFL88" s="163"/>
      <c r="OFM88" s="163"/>
      <c r="OFN88" s="163"/>
      <c r="OFO88" s="163"/>
      <c r="OFP88" s="163"/>
      <c r="OFQ88" s="163"/>
      <c r="OFR88" s="163"/>
      <c r="OFS88" s="163"/>
      <c r="OFT88" s="163"/>
      <c r="OFU88" s="163"/>
      <c r="OFV88" s="163"/>
      <c r="OFW88" s="163"/>
      <c r="OFX88" s="163"/>
      <c r="OFY88" s="163"/>
      <c r="OFZ88" s="163"/>
      <c r="OGA88" s="163"/>
      <c r="OGB88" s="163"/>
      <c r="OGC88" s="163"/>
      <c r="OGD88" s="163"/>
      <c r="OGE88" s="163"/>
      <c r="OGF88" s="163"/>
      <c r="OGG88" s="163"/>
      <c r="OGH88" s="163"/>
      <c r="OGI88" s="163"/>
      <c r="OGJ88" s="163"/>
      <c r="OGK88" s="163"/>
      <c r="OGL88" s="163"/>
      <c r="OGM88" s="163"/>
      <c r="OGN88" s="163"/>
      <c r="OGO88" s="163"/>
      <c r="OGP88" s="163"/>
      <c r="OGQ88" s="163"/>
      <c r="OGR88" s="163"/>
      <c r="OGS88" s="163"/>
      <c r="OGT88" s="163"/>
      <c r="OGU88" s="163"/>
      <c r="OGV88" s="163"/>
      <c r="OGW88" s="163"/>
      <c r="OGX88" s="163"/>
      <c r="OGY88" s="163"/>
      <c r="OGZ88" s="163"/>
      <c r="OHA88" s="163"/>
      <c r="OHB88" s="163"/>
      <c r="OHC88" s="163"/>
      <c r="OHD88" s="163"/>
      <c r="OHE88" s="163"/>
      <c r="OHF88" s="163"/>
      <c r="OHG88" s="163"/>
      <c r="OHH88" s="163"/>
      <c r="OHI88" s="163"/>
      <c r="OHJ88" s="163"/>
      <c r="OHK88" s="163"/>
      <c r="OHL88" s="163"/>
      <c r="OHM88" s="163"/>
      <c r="OHN88" s="163"/>
      <c r="OHO88" s="163"/>
      <c r="OHP88" s="163"/>
      <c r="OHQ88" s="163"/>
      <c r="OHR88" s="163"/>
      <c r="OHS88" s="163"/>
      <c r="OHT88" s="163"/>
      <c r="OHU88" s="163"/>
      <c r="OHV88" s="163"/>
      <c r="OHW88" s="163"/>
      <c r="OHX88" s="163"/>
      <c r="OHY88" s="163"/>
      <c r="OHZ88" s="163"/>
      <c r="OIA88" s="163"/>
      <c r="OIB88" s="163"/>
      <c r="OIC88" s="163"/>
      <c r="OID88" s="163"/>
      <c r="OIE88" s="163"/>
      <c r="OIF88" s="163"/>
      <c r="OIG88" s="163"/>
      <c r="OIH88" s="163"/>
      <c r="OII88" s="163"/>
      <c r="OIJ88" s="163"/>
      <c r="OIK88" s="163"/>
      <c r="OIL88" s="163"/>
      <c r="OIM88" s="163"/>
      <c r="OIN88" s="163"/>
      <c r="OIO88" s="163"/>
      <c r="OIP88" s="163"/>
      <c r="OIQ88" s="163"/>
      <c r="OIR88" s="163"/>
      <c r="OIS88" s="163"/>
      <c r="OIT88" s="163"/>
      <c r="OIU88" s="163"/>
      <c r="OIV88" s="163"/>
      <c r="OIW88" s="163"/>
      <c r="OIX88" s="163"/>
      <c r="OIY88" s="163"/>
      <c r="OIZ88" s="163"/>
      <c r="OJA88" s="163"/>
      <c r="OJB88" s="163"/>
      <c r="OJC88" s="163"/>
      <c r="OJD88" s="163"/>
      <c r="OJE88" s="163"/>
      <c r="OJF88" s="163"/>
      <c r="OJG88" s="163"/>
      <c r="OJH88" s="163"/>
      <c r="OJI88" s="163"/>
      <c r="OJJ88" s="163"/>
      <c r="OJK88" s="163"/>
      <c r="OJL88" s="163"/>
      <c r="OJM88" s="163"/>
      <c r="OJN88" s="163"/>
      <c r="OJO88" s="163"/>
      <c r="OJP88" s="163"/>
      <c r="OJQ88" s="163"/>
      <c r="OJR88" s="163"/>
      <c r="OJS88" s="163"/>
      <c r="OJT88" s="163"/>
      <c r="OJU88" s="163"/>
      <c r="OJV88" s="163"/>
      <c r="OJW88" s="163"/>
      <c r="OJX88" s="163"/>
      <c r="OJY88" s="163"/>
      <c r="OJZ88" s="163"/>
      <c r="OKA88" s="163"/>
      <c r="OKB88" s="163"/>
      <c r="OKC88" s="163"/>
      <c r="OKD88" s="163"/>
      <c r="OKE88" s="163"/>
      <c r="OKF88" s="163"/>
      <c r="OKG88" s="163"/>
      <c r="OKH88" s="163"/>
      <c r="OKI88" s="163"/>
      <c r="OKJ88" s="163"/>
      <c r="OKK88" s="163"/>
      <c r="OKL88" s="163"/>
      <c r="OKM88" s="163"/>
      <c r="OKN88" s="163"/>
      <c r="OKO88" s="163"/>
      <c r="OKP88" s="163"/>
      <c r="OKQ88" s="163"/>
      <c r="OKR88" s="163"/>
      <c r="OKS88" s="163"/>
      <c r="OKT88" s="163"/>
      <c r="OKU88" s="163"/>
      <c r="OKV88" s="163"/>
      <c r="OKW88" s="163"/>
      <c r="OKX88" s="163"/>
      <c r="OKY88" s="163"/>
      <c r="OKZ88" s="163"/>
      <c r="OLA88" s="163"/>
      <c r="OLB88" s="163"/>
      <c r="OLC88" s="163"/>
      <c r="OLD88" s="163"/>
      <c r="OLE88" s="163"/>
      <c r="OLF88" s="163"/>
      <c r="OLG88" s="163"/>
      <c r="OLH88" s="163"/>
      <c r="OLI88" s="163"/>
      <c r="OLJ88" s="163"/>
      <c r="OLK88" s="163"/>
      <c r="OLL88" s="163"/>
      <c r="OLM88" s="163"/>
      <c r="OLN88" s="163"/>
      <c r="OLO88" s="163"/>
      <c r="OLP88" s="163"/>
      <c r="OLQ88" s="163"/>
      <c r="OLR88" s="163"/>
      <c r="OLS88" s="163"/>
      <c r="OLT88" s="163"/>
      <c r="OLU88" s="163"/>
      <c r="OLV88" s="163"/>
      <c r="OLW88" s="163"/>
      <c r="OLX88" s="163"/>
      <c r="OLY88" s="163"/>
      <c r="OLZ88" s="163"/>
      <c r="OMA88" s="163"/>
      <c r="OMB88" s="163"/>
      <c r="OMC88" s="163"/>
      <c r="OMD88" s="163"/>
      <c r="OME88" s="163"/>
      <c r="OMF88" s="163"/>
      <c r="OMG88" s="163"/>
      <c r="OMH88" s="163"/>
      <c r="OMI88" s="163"/>
      <c r="OMJ88" s="163"/>
      <c r="OMK88" s="163"/>
      <c r="OML88" s="163"/>
      <c r="OMM88" s="163"/>
      <c r="OMN88" s="163"/>
      <c r="OMO88" s="163"/>
      <c r="OMP88" s="163"/>
      <c r="OMQ88" s="163"/>
      <c r="OMR88" s="163"/>
      <c r="OMS88" s="163"/>
      <c r="OMT88" s="163"/>
      <c r="OMU88" s="163"/>
      <c r="OMV88" s="163"/>
      <c r="OMW88" s="163"/>
      <c r="OMX88" s="163"/>
      <c r="OMY88" s="163"/>
      <c r="OMZ88" s="163"/>
      <c r="ONA88" s="163"/>
      <c r="ONB88" s="163"/>
      <c r="ONC88" s="163"/>
      <c r="OND88" s="163"/>
      <c r="ONE88" s="163"/>
      <c r="ONF88" s="163"/>
      <c r="ONG88" s="163"/>
      <c r="ONH88" s="163"/>
      <c r="ONI88" s="163"/>
      <c r="ONJ88" s="163"/>
      <c r="ONK88" s="163"/>
      <c r="ONL88" s="163"/>
      <c r="ONM88" s="163"/>
      <c r="ONN88" s="163"/>
      <c r="ONO88" s="163"/>
      <c r="ONP88" s="163"/>
      <c r="ONQ88" s="163"/>
      <c r="ONR88" s="163"/>
      <c r="ONS88" s="163"/>
      <c r="ONT88" s="163"/>
      <c r="ONU88" s="163"/>
      <c r="ONV88" s="163"/>
      <c r="ONW88" s="163"/>
      <c r="ONX88" s="163"/>
      <c r="ONY88" s="163"/>
      <c r="ONZ88" s="163"/>
      <c r="OOA88" s="163"/>
      <c r="OOB88" s="163"/>
      <c r="OOC88" s="163"/>
      <c r="OOD88" s="163"/>
      <c r="OOE88" s="163"/>
      <c r="OOF88" s="163"/>
      <c r="OOG88" s="163"/>
      <c r="OOH88" s="163"/>
      <c r="OOI88" s="163"/>
      <c r="OOJ88" s="163"/>
      <c r="OOK88" s="163"/>
      <c r="OOL88" s="163"/>
      <c r="OOM88" s="163"/>
      <c r="OON88" s="163"/>
      <c r="OOO88" s="163"/>
      <c r="OOP88" s="163"/>
      <c r="OOQ88" s="163"/>
      <c r="OOR88" s="163"/>
      <c r="OOS88" s="163"/>
      <c r="OOT88" s="163"/>
      <c r="OOU88" s="163"/>
      <c r="OOV88" s="163"/>
      <c r="OOW88" s="163"/>
      <c r="OOX88" s="163"/>
      <c r="OOY88" s="163"/>
      <c r="OOZ88" s="163"/>
      <c r="OPA88" s="163"/>
      <c r="OPB88" s="163"/>
      <c r="OPC88" s="163"/>
      <c r="OPD88" s="163"/>
      <c r="OPE88" s="163"/>
      <c r="OPF88" s="163"/>
      <c r="OPG88" s="163"/>
      <c r="OPH88" s="163"/>
      <c r="OPI88" s="163"/>
      <c r="OPJ88" s="163"/>
      <c r="OPK88" s="163"/>
      <c r="OPL88" s="163"/>
      <c r="OPM88" s="163"/>
      <c r="OPN88" s="163"/>
      <c r="OPO88" s="163"/>
      <c r="OPP88" s="163"/>
      <c r="OPQ88" s="163"/>
      <c r="OPR88" s="163"/>
      <c r="OPS88" s="163"/>
      <c r="OPT88" s="163"/>
      <c r="OPU88" s="163"/>
      <c r="OPV88" s="163"/>
      <c r="OPW88" s="163"/>
      <c r="OPX88" s="163"/>
      <c r="OPY88" s="163"/>
      <c r="OPZ88" s="163"/>
      <c r="OQA88" s="163"/>
      <c r="OQB88" s="163"/>
      <c r="OQC88" s="163"/>
      <c r="OQD88" s="163"/>
      <c r="OQE88" s="163"/>
      <c r="OQF88" s="163"/>
      <c r="OQG88" s="163"/>
      <c r="OQH88" s="163"/>
      <c r="OQI88" s="163"/>
      <c r="OQJ88" s="163"/>
      <c r="OQK88" s="163"/>
      <c r="OQL88" s="163"/>
      <c r="OQM88" s="163"/>
      <c r="OQN88" s="163"/>
      <c r="OQO88" s="163"/>
      <c r="OQP88" s="163"/>
      <c r="OQQ88" s="163"/>
      <c r="OQR88" s="163"/>
      <c r="OQS88" s="163"/>
      <c r="OQT88" s="163"/>
      <c r="OQU88" s="163"/>
      <c r="OQV88" s="163"/>
      <c r="OQW88" s="163"/>
      <c r="OQX88" s="163"/>
      <c r="OQY88" s="163"/>
      <c r="OQZ88" s="163"/>
      <c r="ORA88" s="163"/>
      <c r="ORB88" s="163"/>
      <c r="ORC88" s="163"/>
      <c r="ORD88" s="163"/>
      <c r="ORE88" s="163"/>
      <c r="ORF88" s="163"/>
      <c r="ORG88" s="163"/>
      <c r="ORH88" s="163"/>
      <c r="ORI88" s="163"/>
      <c r="ORJ88" s="163"/>
      <c r="ORK88" s="163"/>
      <c r="ORL88" s="163"/>
      <c r="ORM88" s="163"/>
      <c r="ORN88" s="163"/>
      <c r="ORO88" s="163"/>
      <c r="ORP88" s="163"/>
      <c r="ORQ88" s="163"/>
      <c r="ORR88" s="163"/>
      <c r="ORS88" s="163"/>
      <c r="ORT88" s="163"/>
      <c r="ORU88" s="163"/>
      <c r="ORV88" s="163"/>
      <c r="ORW88" s="163"/>
      <c r="ORX88" s="163"/>
      <c r="ORY88" s="163"/>
      <c r="ORZ88" s="163"/>
      <c r="OSA88" s="163"/>
      <c r="OSB88" s="163"/>
      <c r="OSC88" s="163"/>
      <c r="OSD88" s="163"/>
      <c r="OSE88" s="163"/>
      <c r="OSF88" s="163"/>
      <c r="OSG88" s="163"/>
      <c r="OSH88" s="163"/>
      <c r="OSI88" s="163"/>
      <c r="OSJ88" s="163"/>
      <c r="OSK88" s="163"/>
      <c r="OSL88" s="163"/>
      <c r="OSM88" s="163"/>
      <c r="OSN88" s="163"/>
      <c r="OSO88" s="163"/>
      <c r="OSP88" s="163"/>
      <c r="OSQ88" s="163"/>
      <c r="OSR88" s="163"/>
      <c r="OSS88" s="163"/>
      <c r="OST88" s="163"/>
      <c r="OSU88" s="163"/>
      <c r="OSV88" s="163"/>
      <c r="OSW88" s="163"/>
      <c r="OSX88" s="163"/>
      <c r="OSY88" s="163"/>
      <c r="OSZ88" s="163"/>
      <c r="OTA88" s="163"/>
      <c r="OTB88" s="163"/>
      <c r="OTC88" s="163"/>
      <c r="OTD88" s="163"/>
      <c r="OTE88" s="163"/>
      <c r="OTF88" s="163"/>
      <c r="OTG88" s="163"/>
      <c r="OTH88" s="163"/>
      <c r="OTI88" s="163"/>
      <c r="OTJ88" s="163"/>
      <c r="OTK88" s="163"/>
      <c r="OTL88" s="163"/>
      <c r="OTM88" s="163"/>
      <c r="OTN88" s="163"/>
      <c r="OTO88" s="163"/>
      <c r="OTP88" s="163"/>
      <c r="OTQ88" s="163"/>
      <c r="OTR88" s="163"/>
      <c r="OTS88" s="163"/>
      <c r="OTT88" s="163"/>
      <c r="OTU88" s="163"/>
      <c r="OTV88" s="163"/>
      <c r="OTW88" s="163"/>
      <c r="OTX88" s="163"/>
      <c r="OTY88" s="163"/>
      <c r="OTZ88" s="163"/>
      <c r="OUA88" s="163"/>
      <c r="OUB88" s="163"/>
      <c r="OUC88" s="163"/>
      <c r="OUD88" s="163"/>
      <c r="OUE88" s="163"/>
      <c r="OUF88" s="163"/>
      <c r="OUG88" s="163"/>
      <c r="OUH88" s="163"/>
      <c r="OUI88" s="163"/>
      <c r="OUJ88" s="163"/>
      <c r="OUK88" s="163"/>
      <c r="OUL88" s="163"/>
      <c r="OUM88" s="163"/>
      <c r="OUN88" s="163"/>
      <c r="OUO88" s="163"/>
      <c r="OUP88" s="163"/>
      <c r="OUQ88" s="163"/>
      <c r="OUR88" s="163"/>
      <c r="OUS88" s="163"/>
      <c r="OUT88" s="163"/>
      <c r="OUU88" s="163"/>
      <c r="OUV88" s="163"/>
      <c r="OUW88" s="163"/>
      <c r="OUX88" s="163"/>
      <c r="OUY88" s="163"/>
      <c r="OUZ88" s="163"/>
      <c r="OVA88" s="163"/>
      <c r="OVB88" s="163"/>
      <c r="OVC88" s="163"/>
      <c r="OVD88" s="163"/>
      <c r="OVE88" s="163"/>
      <c r="OVF88" s="163"/>
      <c r="OVG88" s="163"/>
      <c r="OVH88" s="163"/>
      <c r="OVI88" s="163"/>
      <c r="OVJ88" s="163"/>
      <c r="OVK88" s="163"/>
      <c r="OVL88" s="163"/>
      <c r="OVM88" s="163"/>
      <c r="OVN88" s="163"/>
      <c r="OVO88" s="163"/>
      <c r="OVP88" s="163"/>
      <c r="OVQ88" s="163"/>
      <c r="OVR88" s="163"/>
      <c r="OVS88" s="163"/>
      <c r="OVT88" s="163"/>
      <c r="OVU88" s="163"/>
      <c r="OVV88" s="163"/>
      <c r="OVW88" s="163"/>
      <c r="OVX88" s="163"/>
      <c r="OVY88" s="163"/>
      <c r="OVZ88" s="163"/>
      <c r="OWA88" s="163"/>
      <c r="OWB88" s="163"/>
      <c r="OWC88" s="163"/>
      <c r="OWD88" s="163"/>
      <c r="OWE88" s="163"/>
      <c r="OWF88" s="163"/>
      <c r="OWG88" s="163"/>
      <c r="OWH88" s="163"/>
      <c r="OWI88" s="163"/>
      <c r="OWJ88" s="163"/>
      <c r="OWK88" s="163"/>
      <c r="OWL88" s="163"/>
      <c r="OWM88" s="163"/>
      <c r="OWN88" s="163"/>
      <c r="OWO88" s="163"/>
      <c r="OWP88" s="163"/>
      <c r="OWQ88" s="163"/>
      <c r="OWR88" s="163"/>
      <c r="OWS88" s="163"/>
      <c r="OWT88" s="163"/>
      <c r="OWU88" s="163"/>
      <c r="OWV88" s="163"/>
      <c r="OWW88" s="163"/>
      <c r="OWX88" s="163"/>
      <c r="OWY88" s="163"/>
      <c r="OWZ88" s="163"/>
      <c r="OXA88" s="163"/>
      <c r="OXB88" s="163"/>
      <c r="OXC88" s="163"/>
      <c r="OXD88" s="163"/>
      <c r="OXE88" s="163"/>
      <c r="OXF88" s="163"/>
      <c r="OXG88" s="163"/>
      <c r="OXH88" s="163"/>
      <c r="OXI88" s="163"/>
      <c r="OXJ88" s="163"/>
      <c r="OXK88" s="163"/>
      <c r="OXL88" s="163"/>
      <c r="OXM88" s="163"/>
      <c r="OXN88" s="163"/>
      <c r="OXO88" s="163"/>
      <c r="OXP88" s="163"/>
      <c r="OXQ88" s="163"/>
      <c r="OXR88" s="163"/>
      <c r="OXS88" s="163"/>
      <c r="OXT88" s="163"/>
      <c r="OXU88" s="163"/>
      <c r="OXV88" s="163"/>
      <c r="OXW88" s="163"/>
      <c r="OXX88" s="163"/>
      <c r="OXY88" s="163"/>
      <c r="OXZ88" s="163"/>
      <c r="OYA88" s="163"/>
      <c r="OYB88" s="163"/>
      <c r="OYC88" s="163"/>
      <c r="OYD88" s="163"/>
      <c r="OYE88" s="163"/>
      <c r="OYF88" s="163"/>
      <c r="OYG88" s="163"/>
      <c r="OYH88" s="163"/>
      <c r="OYI88" s="163"/>
      <c r="OYJ88" s="163"/>
      <c r="OYK88" s="163"/>
      <c r="OYL88" s="163"/>
      <c r="OYM88" s="163"/>
      <c r="OYN88" s="163"/>
      <c r="OYO88" s="163"/>
      <c r="OYP88" s="163"/>
      <c r="OYQ88" s="163"/>
      <c r="OYR88" s="163"/>
      <c r="OYS88" s="163"/>
      <c r="OYT88" s="163"/>
      <c r="OYU88" s="163"/>
      <c r="OYV88" s="163"/>
      <c r="OYW88" s="163"/>
      <c r="OYX88" s="163"/>
      <c r="OYY88" s="163"/>
      <c r="OYZ88" s="163"/>
      <c r="OZA88" s="163"/>
      <c r="OZB88" s="163"/>
      <c r="OZC88" s="163"/>
      <c r="OZD88" s="163"/>
      <c r="OZE88" s="163"/>
      <c r="OZF88" s="163"/>
      <c r="OZG88" s="163"/>
      <c r="OZH88" s="163"/>
      <c r="OZI88" s="163"/>
      <c r="OZJ88" s="163"/>
      <c r="OZK88" s="163"/>
      <c r="OZL88" s="163"/>
      <c r="OZM88" s="163"/>
      <c r="OZN88" s="163"/>
      <c r="OZO88" s="163"/>
      <c r="OZP88" s="163"/>
      <c r="OZQ88" s="163"/>
      <c r="OZR88" s="163"/>
      <c r="OZS88" s="163"/>
      <c r="OZT88" s="163"/>
      <c r="OZU88" s="163"/>
      <c r="OZV88" s="163"/>
      <c r="OZW88" s="163"/>
      <c r="OZX88" s="163"/>
      <c r="OZY88" s="163"/>
      <c r="OZZ88" s="163"/>
      <c r="PAA88" s="163"/>
      <c r="PAB88" s="163"/>
      <c r="PAC88" s="163"/>
      <c r="PAD88" s="163"/>
      <c r="PAE88" s="163"/>
      <c r="PAF88" s="163"/>
      <c r="PAG88" s="163"/>
      <c r="PAH88" s="163"/>
      <c r="PAI88" s="163"/>
      <c r="PAJ88" s="163"/>
      <c r="PAK88" s="163"/>
      <c r="PAL88" s="163"/>
      <c r="PAM88" s="163"/>
      <c r="PAN88" s="163"/>
      <c r="PAO88" s="163"/>
      <c r="PAP88" s="163"/>
      <c r="PAQ88" s="163"/>
      <c r="PAR88" s="163"/>
      <c r="PAS88" s="163"/>
      <c r="PAT88" s="163"/>
      <c r="PAU88" s="163"/>
      <c r="PAV88" s="163"/>
      <c r="PAW88" s="163"/>
      <c r="PAX88" s="163"/>
      <c r="PAY88" s="163"/>
      <c r="PAZ88" s="163"/>
      <c r="PBA88" s="163"/>
      <c r="PBB88" s="163"/>
      <c r="PBC88" s="163"/>
      <c r="PBD88" s="163"/>
      <c r="PBE88" s="163"/>
      <c r="PBF88" s="163"/>
      <c r="PBG88" s="163"/>
      <c r="PBH88" s="163"/>
      <c r="PBI88" s="163"/>
      <c r="PBJ88" s="163"/>
      <c r="PBK88" s="163"/>
      <c r="PBL88" s="163"/>
      <c r="PBM88" s="163"/>
      <c r="PBN88" s="163"/>
      <c r="PBO88" s="163"/>
      <c r="PBP88" s="163"/>
      <c r="PBQ88" s="163"/>
      <c r="PBR88" s="163"/>
      <c r="PBS88" s="163"/>
      <c r="PBT88" s="163"/>
      <c r="PBU88" s="163"/>
      <c r="PBV88" s="163"/>
      <c r="PBW88" s="163"/>
      <c r="PBX88" s="163"/>
      <c r="PBY88" s="163"/>
      <c r="PBZ88" s="163"/>
      <c r="PCA88" s="163"/>
      <c r="PCB88" s="163"/>
      <c r="PCC88" s="163"/>
      <c r="PCD88" s="163"/>
      <c r="PCE88" s="163"/>
      <c r="PCF88" s="163"/>
      <c r="PCG88" s="163"/>
      <c r="PCH88" s="163"/>
      <c r="PCI88" s="163"/>
      <c r="PCJ88" s="163"/>
      <c r="PCK88" s="163"/>
      <c r="PCL88" s="163"/>
      <c r="PCM88" s="163"/>
      <c r="PCN88" s="163"/>
      <c r="PCO88" s="163"/>
      <c r="PCP88" s="163"/>
      <c r="PCQ88" s="163"/>
      <c r="PCR88" s="163"/>
      <c r="PCS88" s="163"/>
      <c r="PCT88" s="163"/>
      <c r="PCU88" s="163"/>
      <c r="PCV88" s="163"/>
      <c r="PCW88" s="163"/>
      <c r="PCX88" s="163"/>
      <c r="PCY88" s="163"/>
      <c r="PCZ88" s="163"/>
      <c r="PDA88" s="163"/>
      <c r="PDB88" s="163"/>
      <c r="PDC88" s="163"/>
      <c r="PDD88" s="163"/>
      <c r="PDE88" s="163"/>
      <c r="PDF88" s="163"/>
      <c r="PDG88" s="163"/>
      <c r="PDH88" s="163"/>
      <c r="PDI88" s="163"/>
      <c r="PDJ88" s="163"/>
      <c r="PDK88" s="163"/>
      <c r="PDL88" s="163"/>
      <c r="PDM88" s="163"/>
      <c r="PDN88" s="163"/>
      <c r="PDO88" s="163"/>
      <c r="PDP88" s="163"/>
      <c r="PDQ88" s="163"/>
      <c r="PDR88" s="163"/>
      <c r="PDS88" s="163"/>
      <c r="PDT88" s="163"/>
      <c r="PDU88" s="163"/>
      <c r="PDV88" s="163"/>
      <c r="PDW88" s="163"/>
      <c r="PDX88" s="163"/>
      <c r="PDY88" s="163"/>
      <c r="PDZ88" s="163"/>
      <c r="PEA88" s="163"/>
      <c r="PEB88" s="163"/>
      <c r="PEC88" s="163"/>
      <c r="PED88" s="163"/>
      <c r="PEE88" s="163"/>
      <c r="PEF88" s="163"/>
      <c r="PEG88" s="163"/>
      <c r="PEH88" s="163"/>
      <c r="PEI88" s="163"/>
      <c r="PEJ88" s="163"/>
      <c r="PEK88" s="163"/>
      <c r="PEL88" s="163"/>
      <c r="PEM88" s="163"/>
      <c r="PEN88" s="163"/>
      <c r="PEO88" s="163"/>
      <c r="PEP88" s="163"/>
      <c r="PEQ88" s="163"/>
      <c r="PER88" s="163"/>
      <c r="PES88" s="163"/>
      <c r="PET88" s="163"/>
      <c r="PEU88" s="163"/>
      <c r="PEV88" s="163"/>
      <c r="PEW88" s="163"/>
      <c r="PEX88" s="163"/>
      <c r="PEY88" s="163"/>
      <c r="PEZ88" s="163"/>
      <c r="PFA88" s="163"/>
      <c r="PFB88" s="163"/>
      <c r="PFC88" s="163"/>
      <c r="PFD88" s="163"/>
      <c r="PFE88" s="163"/>
      <c r="PFF88" s="163"/>
      <c r="PFG88" s="163"/>
      <c r="PFH88" s="163"/>
      <c r="PFI88" s="163"/>
      <c r="PFJ88" s="163"/>
      <c r="PFK88" s="163"/>
      <c r="PFL88" s="163"/>
      <c r="PFM88" s="163"/>
      <c r="PFN88" s="163"/>
      <c r="PFO88" s="163"/>
      <c r="PFP88" s="163"/>
      <c r="PFQ88" s="163"/>
      <c r="PFR88" s="163"/>
      <c r="PFS88" s="163"/>
      <c r="PFT88" s="163"/>
      <c r="PFU88" s="163"/>
      <c r="PFV88" s="163"/>
      <c r="PFW88" s="163"/>
      <c r="PFX88" s="163"/>
      <c r="PFY88" s="163"/>
      <c r="PFZ88" s="163"/>
      <c r="PGA88" s="163"/>
      <c r="PGB88" s="163"/>
      <c r="PGC88" s="163"/>
      <c r="PGD88" s="163"/>
      <c r="PGE88" s="163"/>
      <c r="PGF88" s="163"/>
      <c r="PGG88" s="163"/>
      <c r="PGH88" s="163"/>
      <c r="PGI88" s="163"/>
      <c r="PGJ88" s="163"/>
      <c r="PGK88" s="163"/>
      <c r="PGL88" s="163"/>
      <c r="PGM88" s="163"/>
      <c r="PGN88" s="163"/>
      <c r="PGO88" s="163"/>
      <c r="PGP88" s="163"/>
      <c r="PGQ88" s="163"/>
      <c r="PGR88" s="163"/>
      <c r="PGS88" s="163"/>
      <c r="PGT88" s="163"/>
      <c r="PGU88" s="163"/>
      <c r="PGV88" s="163"/>
      <c r="PGW88" s="163"/>
      <c r="PGX88" s="163"/>
      <c r="PGY88" s="163"/>
      <c r="PGZ88" s="163"/>
      <c r="PHA88" s="163"/>
      <c r="PHB88" s="163"/>
      <c r="PHC88" s="163"/>
      <c r="PHD88" s="163"/>
      <c r="PHE88" s="163"/>
      <c r="PHF88" s="163"/>
      <c r="PHG88" s="163"/>
      <c r="PHH88" s="163"/>
      <c r="PHI88" s="163"/>
      <c r="PHJ88" s="163"/>
      <c r="PHK88" s="163"/>
      <c r="PHL88" s="163"/>
      <c r="PHM88" s="163"/>
      <c r="PHN88" s="163"/>
      <c r="PHO88" s="163"/>
      <c r="PHP88" s="163"/>
      <c r="PHQ88" s="163"/>
      <c r="PHR88" s="163"/>
      <c r="PHS88" s="163"/>
      <c r="PHT88" s="163"/>
      <c r="PHU88" s="163"/>
      <c r="PHV88" s="163"/>
      <c r="PHW88" s="163"/>
      <c r="PHX88" s="163"/>
      <c r="PHY88" s="163"/>
      <c r="PHZ88" s="163"/>
      <c r="PIA88" s="163"/>
      <c r="PIB88" s="163"/>
      <c r="PIC88" s="163"/>
      <c r="PID88" s="163"/>
      <c r="PIE88" s="163"/>
      <c r="PIF88" s="163"/>
      <c r="PIG88" s="163"/>
      <c r="PIH88" s="163"/>
      <c r="PII88" s="163"/>
      <c r="PIJ88" s="163"/>
      <c r="PIK88" s="163"/>
      <c r="PIL88" s="163"/>
      <c r="PIM88" s="163"/>
      <c r="PIN88" s="163"/>
      <c r="PIO88" s="163"/>
      <c r="PIP88" s="163"/>
      <c r="PIQ88" s="163"/>
      <c r="PIR88" s="163"/>
      <c r="PIS88" s="163"/>
      <c r="PIT88" s="163"/>
      <c r="PIU88" s="163"/>
      <c r="PIV88" s="163"/>
      <c r="PIW88" s="163"/>
      <c r="PIX88" s="163"/>
      <c r="PIY88" s="163"/>
      <c r="PIZ88" s="163"/>
      <c r="PJA88" s="163"/>
      <c r="PJB88" s="163"/>
      <c r="PJC88" s="163"/>
      <c r="PJD88" s="163"/>
      <c r="PJE88" s="163"/>
      <c r="PJF88" s="163"/>
      <c r="PJG88" s="163"/>
      <c r="PJH88" s="163"/>
      <c r="PJI88" s="163"/>
      <c r="PJJ88" s="163"/>
      <c r="PJK88" s="163"/>
      <c r="PJL88" s="163"/>
      <c r="PJM88" s="163"/>
      <c r="PJN88" s="163"/>
      <c r="PJO88" s="163"/>
      <c r="PJP88" s="163"/>
      <c r="PJQ88" s="163"/>
      <c r="PJR88" s="163"/>
      <c r="PJS88" s="163"/>
      <c r="PJT88" s="163"/>
      <c r="PJU88" s="163"/>
      <c r="PJV88" s="163"/>
      <c r="PJW88" s="163"/>
      <c r="PJX88" s="163"/>
      <c r="PJY88" s="163"/>
      <c r="PJZ88" s="163"/>
      <c r="PKA88" s="163"/>
      <c r="PKB88" s="163"/>
      <c r="PKC88" s="163"/>
      <c r="PKD88" s="163"/>
      <c r="PKE88" s="163"/>
      <c r="PKF88" s="163"/>
      <c r="PKG88" s="163"/>
      <c r="PKH88" s="163"/>
      <c r="PKI88" s="163"/>
      <c r="PKJ88" s="163"/>
      <c r="PKK88" s="163"/>
      <c r="PKL88" s="163"/>
      <c r="PKM88" s="163"/>
      <c r="PKN88" s="163"/>
      <c r="PKO88" s="163"/>
      <c r="PKP88" s="163"/>
      <c r="PKQ88" s="163"/>
      <c r="PKR88" s="163"/>
      <c r="PKS88" s="163"/>
      <c r="PKT88" s="163"/>
      <c r="PKU88" s="163"/>
      <c r="PKV88" s="163"/>
      <c r="PKW88" s="163"/>
      <c r="PKX88" s="163"/>
      <c r="PKY88" s="163"/>
      <c r="PKZ88" s="163"/>
      <c r="PLA88" s="163"/>
      <c r="PLB88" s="163"/>
      <c r="PLC88" s="163"/>
      <c r="PLD88" s="163"/>
      <c r="PLE88" s="163"/>
      <c r="PLF88" s="163"/>
      <c r="PLG88" s="163"/>
      <c r="PLH88" s="163"/>
      <c r="PLI88" s="163"/>
      <c r="PLJ88" s="163"/>
      <c r="PLK88" s="163"/>
      <c r="PLL88" s="163"/>
      <c r="PLM88" s="163"/>
      <c r="PLN88" s="163"/>
      <c r="PLO88" s="163"/>
      <c r="PLP88" s="163"/>
      <c r="PLQ88" s="163"/>
      <c r="PLR88" s="163"/>
      <c r="PLS88" s="163"/>
      <c r="PLT88" s="163"/>
      <c r="PLU88" s="163"/>
      <c r="PLV88" s="163"/>
      <c r="PLW88" s="163"/>
      <c r="PLX88" s="163"/>
      <c r="PLY88" s="163"/>
      <c r="PLZ88" s="163"/>
      <c r="PMA88" s="163"/>
      <c r="PMB88" s="163"/>
      <c r="PMC88" s="163"/>
      <c r="PMD88" s="163"/>
      <c r="PME88" s="163"/>
      <c r="PMF88" s="163"/>
      <c r="PMG88" s="163"/>
      <c r="PMH88" s="163"/>
      <c r="PMI88" s="163"/>
      <c r="PMJ88" s="163"/>
      <c r="PMK88" s="163"/>
      <c r="PML88" s="163"/>
      <c r="PMM88" s="163"/>
      <c r="PMN88" s="163"/>
      <c r="PMO88" s="163"/>
      <c r="PMP88" s="163"/>
      <c r="PMQ88" s="163"/>
      <c r="PMR88" s="163"/>
      <c r="PMS88" s="163"/>
      <c r="PMT88" s="163"/>
      <c r="PMU88" s="163"/>
      <c r="PMV88" s="163"/>
      <c r="PMW88" s="163"/>
      <c r="PMX88" s="163"/>
      <c r="PMY88" s="163"/>
      <c r="PMZ88" s="163"/>
      <c r="PNA88" s="163"/>
      <c r="PNB88" s="163"/>
      <c r="PNC88" s="163"/>
      <c r="PND88" s="163"/>
      <c r="PNE88" s="163"/>
      <c r="PNF88" s="163"/>
      <c r="PNG88" s="163"/>
      <c r="PNH88" s="163"/>
      <c r="PNI88" s="163"/>
      <c r="PNJ88" s="163"/>
      <c r="PNK88" s="163"/>
      <c r="PNL88" s="163"/>
      <c r="PNM88" s="163"/>
      <c r="PNN88" s="163"/>
      <c r="PNO88" s="163"/>
      <c r="PNP88" s="163"/>
      <c r="PNQ88" s="163"/>
      <c r="PNR88" s="163"/>
      <c r="PNS88" s="163"/>
      <c r="PNT88" s="163"/>
      <c r="PNU88" s="163"/>
      <c r="PNV88" s="163"/>
      <c r="PNW88" s="163"/>
      <c r="PNX88" s="163"/>
      <c r="PNY88" s="163"/>
      <c r="PNZ88" s="163"/>
      <c r="POA88" s="163"/>
      <c r="POB88" s="163"/>
      <c r="POC88" s="163"/>
      <c r="POD88" s="163"/>
      <c r="POE88" s="163"/>
      <c r="POF88" s="163"/>
      <c r="POG88" s="163"/>
      <c r="POH88" s="163"/>
      <c r="POI88" s="163"/>
      <c r="POJ88" s="163"/>
      <c r="POK88" s="163"/>
      <c r="POL88" s="163"/>
      <c r="POM88" s="163"/>
      <c r="PON88" s="163"/>
      <c r="POO88" s="163"/>
      <c r="POP88" s="163"/>
      <c r="POQ88" s="163"/>
      <c r="POR88" s="163"/>
      <c r="POS88" s="163"/>
      <c r="POT88" s="163"/>
      <c r="POU88" s="163"/>
      <c r="POV88" s="163"/>
      <c r="POW88" s="163"/>
      <c r="POX88" s="163"/>
      <c r="POY88" s="163"/>
      <c r="POZ88" s="163"/>
      <c r="PPA88" s="163"/>
      <c r="PPB88" s="163"/>
      <c r="PPC88" s="163"/>
      <c r="PPD88" s="163"/>
      <c r="PPE88" s="163"/>
      <c r="PPF88" s="163"/>
      <c r="PPG88" s="163"/>
      <c r="PPH88" s="163"/>
      <c r="PPI88" s="163"/>
      <c r="PPJ88" s="163"/>
      <c r="PPK88" s="163"/>
      <c r="PPL88" s="163"/>
      <c r="PPM88" s="163"/>
      <c r="PPN88" s="163"/>
      <c r="PPO88" s="163"/>
      <c r="PPP88" s="163"/>
      <c r="PPQ88" s="163"/>
      <c r="PPR88" s="163"/>
      <c r="PPS88" s="163"/>
      <c r="PPT88" s="163"/>
      <c r="PPU88" s="163"/>
      <c r="PPV88" s="163"/>
      <c r="PPW88" s="163"/>
      <c r="PPX88" s="163"/>
      <c r="PPY88" s="163"/>
      <c r="PPZ88" s="163"/>
      <c r="PQA88" s="163"/>
      <c r="PQB88" s="163"/>
      <c r="PQC88" s="163"/>
      <c r="PQD88" s="163"/>
      <c r="PQE88" s="163"/>
      <c r="PQF88" s="163"/>
      <c r="PQG88" s="163"/>
      <c r="PQH88" s="163"/>
      <c r="PQI88" s="163"/>
      <c r="PQJ88" s="163"/>
      <c r="PQK88" s="163"/>
      <c r="PQL88" s="163"/>
      <c r="PQM88" s="163"/>
      <c r="PQN88" s="163"/>
      <c r="PQO88" s="163"/>
      <c r="PQP88" s="163"/>
      <c r="PQQ88" s="163"/>
      <c r="PQR88" s="163"/>
      <c r="PQS88" s="163"/>
      <c r="PQT88" s="163"/>
      <c r="PQU88" s="163"/>
      <c r="PQV88" s="163"/>
      <c r="PQW88" s="163"/>
      <c r="PQX88" s="163"/>
      <c r="PQY88" s="163"/>
      <c r="PQZ88" s="163"/>
      <c r="PRA88" s="163"/>
      <c r="PRB88" s="163"/>
      <c r="PRC88" s="163"/>
      <c r="PRD88" s="163"/>
      <c r="PRE88" s="163"/>
      <c r="PRF88" s="163"/>
      <c r="PRG88" s="163"/>
      <c r="PRH88" s="163"/>
      <c r="PRI88" s="163"/>
      <c r="PRJ88" s="163"/>
      <c r="PRK88" s="163"/>
      <c r="PRL88" s="163"/>
      <c r="PRM88" s="163"/>
      <c r="PRN88" s="163"/>
      <c r="PRO88" s="163"/>
      <c r="PRP88" s="163"/>
      <c r="PRQ88" s="163"/>
      <c r="PRR88" s="163"/>
      <c r="PRS88" s="163"/>
      <c r="PRT88" s="163"/>
      <c r="PRU88" s="163"/>
      <c r="PRV88" s="163"/>
      <c r="PRW88" s="163"/>
      <c r="PRX88" s="163"/>
      <c r="PRY88" s="163"/>
      <c r="PRZ88" s="163"/>
      <c r="PSA88" s="163"/>
      <c r="PSB88" s="163"/>
      <c r="PSC88" s="163"/>
      <c r="PSD88" s="163"/>
      <c r="PSE88" s="163"/>
      <c r="PSF88" s="163"/>
      <c r="PSG88" s="163"/>
      <c r="PSH88" s="163"/>
      <c r="PSI88" s="163"/>
      <c r="PSJ88" s="163"/>
      <c r="PSK88" s="163"/>
      <c r="PSL88" s="163"/>
      <c r="PSM88" s="163"/>
      <c r="PSN88" s="163"/>
      <c r="PSO88" s="163"/>
      <c r="PSP88" s="163"/>
      <c r="PSQ88" s="163"/>
      <c r="PSR88" s="163"/>
      <c r="PSS88" s="163"/>
      <c r="PST88" s="163"/>
      <c r="PSU88" s="163"/>
      <c r="PSV88" s="163"/>
      <c r="PSW88" s="163"/>
      <c r="PSX88" s="163"/>
      <c r="PSY88" s="163"/>
      <c r="PSZ88" s="163"/>
      <c r="PTA88" s="163"/>
      <c r="PTB88" s="163"/>
      <c r="PTC88" s="163"/>
      <c r="PTD88" s="163"/>
      <c r="PTE88" s="163"/>
      <c r="PTF88" s="163"/>
      <c r="PTG88" s="163"/>
      <c r="PTH88" s="163"/>
      <c r="PTI88" s="163"/>
      <c r="PTJ88" s="163"/>
      <c r="PTK88" s="163"/>
      <c r="PTL88" s="163"/>
      <c r="PTM88" s="163"/>
      <c r="PTN88" s="163"/>
      <c r="PTO88" s="163"/>
      <c r="PTP88" s="163"/>
      <c r="PTQ88" s="163"/>
      <c r="PTR88" s="163"/>
      <c r="PTS88" s="163"/>
      <c r="PTT88" s="163"/>
      <c r="PTU88" s="163"/>
      <c r="PTV88" s="163"/>
      <c r="PTW88" s="163"/>
      <c r="PTX88" s="163"/>
      <c r="PTY88" s="163"/>
      <c r="PTZ88" s="163"/>
      <c r="PUA88" s="163"/>
      <c r="PUB88" s="163"/>
      <c r="PUC88" s="163"/>
      <c r="PUD88" s="163"/>
      <c r="PUE88" s="163"/>
      <c r="PUF88" s="163"/>
      <c r="PUG88" s="163"/>
      <c r="PUH88" s="163"/>
      <c r="PUI88" s="163"/>
      <c r="PUJ88" s="163"/>
      <c r="PUK88" s="163"/>
      <c r="PUL88" s="163"/>
      <c r="PUM88" s="163"/>
      <c r="PUN88" s="163"/>
      <c r="PUO88" s="163"/>
      <c r="PUP88" s="163"/>
      <c r="PUQ88" s="163"/>
      <c r="PUR88" s="163"/>
      <c r="PUS88" s="163"/>
      <c r="PUT88" s="163"/>
      <c r="PUU88" s="163"/>
      <c r="PUV88" s="163"/>
      <c r="PUW88" s="163"/>
      <c r="PUX88" s="163"/>
      <c r="PUY88" s="163"/>
      <c r="PUZ88" s="163"/>
      <c r="PVA88" s="163"/>
      <c r="PVB88" s="163"/>
      <c r="PVC88" s="163"/>
      <c r="PVD88" s="163"/>
      <c r="PVE88" s="163"/>
      <c r="PVF88" s="163"/>
      <c r="PVG88" s="163"/>
      <c r="PVH88" s="163"/>
      <c r="PVI88" s="163"/>
      <c r="PVJ88" s="163"/>
      <c r="PVK88" s="163"/>
      <c r="PVL88" s="163"/>
      <c r="PVM88" s="163"/>
      <c r="PVN88" s="163"/>
      <c r="PVO88" s="163"/>
      <c r="PVP88" s="163"/>
      <c r="PVQ88" s="163"/>
      <c r="PVR88" s="163"/>
      <c r="PVS88" s="163"/>
      <c r="PVT88" s="163"/>
      <c r="PVU88" s="163"/>
      <c r="PVV88" s="163"/>
      <c r="PVW88" s="163"/>
      <c r="PVX88" s="163"/>
      <c r="PVY88" s="163"/>
      <c r="PVZ88" s="163"/>
      <c r="PWA88" s="163"/>
      <c r="PWB88" s="163"/>
      <c r="PWC88" s="163"/>
      <c r="PWD88" s="163"/>
      <c r="PWE88" s="163"/>
      <c r="PWF88" s="163"/>
      <c r="PWG88" s="163"/>
      <c r="PWH88" s="163"/>
      <c r="PWI88" s="163"/>
      <c r="PWJ88" s="163"/>
      <c r="PWK88" s="163"/>
      <c r="PWL88" s="163"/>
      <c r="PWM88" s="163"/>
      <c r="PWN88" s="163"/>
      <c r="PWO88" s="163"/>
      <c r="PWP88" s="163"/>
      <c r="PWQ88" s="163"/>
      <c r="PWR88" s="163"/>
      <c r="PWS88" s="163"/>
      <c r="PWT88" s="163"/>
      <c r="PWU88" s="163"/>
      <c r="PWV88" s="163"/>
      <c r="PWW88" s="163"/>
      <c r="PWX88" s="163"/>
      <c r="PWY88" s="163"/>
      <c r="PWZ88" s="163"/>
      <c r="PXA88" s="163"/>
      <c r="PXB88" s="163"/>
      <c r="PXC88" s="163"/>
      <c r="PXD88" s="163"/>
      <c r="PXE88" s="163"/>
      <c r="PXF88" s="163"/>
      <c r="PXG88" s="163"/>
      <c r="PXH88" s="163"/>
      <c r="PXI88" s="163"/>
      <c r="PXJ88" s="163"/>
      <c r="PXK88" s="163"/>
      <c r="PXL88" s="163"/>
      <c r="PXM88" s="163"/>
      <c r="PXN88" s="163"/>
      <c r="PXO88" s="163"/>
      <c r="PXP88" s="163"/>
      <c r="PXQ88" s="163"/>
      <c r="PXR88" s="163"/>
      <c r="PXS88" s="163"/>
      <c r="PXT88" s="163"/>
      <c r="PXU88" s="163"/>
      <c r="PXV88" s="163"/>
      <c r="PXW88" s="163"/>
      <c r="PXX88" s="163"/>
      <c r="PXY88" s="163"/>
      <c r="PXZ88" s="163"/>
      <c r="PYA88" s="163"/>
      <c r="PYB88" s="163"/>
      <c r="PYC88" s="163"/>
      <c r="PYD88" s="163"/>
      <c r="PYE88" s="163"/>
      <c r="PYF88" s="163"/>
      <c r="PYG88" s="163"/>
      <c r="PYH88" s="163"/>
      <c r="PYI88" s="163"/>
      <c r="PYJ88" s="163"/>
      <c r="PYK88" s="163"/>
      <c r="PYL88" s="163"/>
      <c r="PYM88" s="163"/>
      <c r="PYN88" s="163"/>
      <c r="PYO88" s="163"/>
      <c r="PYP88" s="163"/>
      <c r="PYQ88" s="163"/>
      <c r="PYR88" s="163"/>
      <c r="PYS88" s="163"/>
      <c r="PYT88" s="163"/>
      <c r="PYU88" s="163"/>
      <c r="PYV88" s="163"/>
      <c r="PYW88" s="163"/>
      <c r="PYX88" s="163"/>
      <c r="PYY88" s="163"/>
      <c r="PYZ88" s="163"/>
      <c r="PZA88" s="163"/>
      <c r="PZB88" s="163"/>
      <c r="PZC88" s="163"/>
      <c r="PZD88" s="163"/>
      <c r="PZE88" s="163"/>
      <c r="PZF88" s="163"/>
      <c r="PZG88" s="163"/>
      <c r="PZH88" s="163"/>
      <c r="PZI88" s="163"/>
      <c r="PZJ88" s="163"/>
      <c r="PZK88" s="163"/>
      <c r="PZL88" s="163"/>
      <c r="PZM88" s="163"/>
      <c r="PZN88" s="163"/>
      <c r="PZO88" s="163"/>
      <c r="PZP88" s="163"/>
      <c r="PZQ88" s="163"/>
      <c r="PZR88" s="163"/>
      <c r="PZS88" s="163"/>
      <c r="PZT88" s="163"/>
      <c r="PZU88" s="163"/>
      <c r="PZV88" s="163"/>
      <c r="PZW88" s="163"/>
      <c r="PZX88" s="163"/>
      <c r="PZY88" s="163"/>
      <c r="PZZ88" s="163"/>
      <c r="QAA88" s="163"/>
      <c r="QAB88" s="163"/>
      <c r="QAC88" s="163"/>
      <c r="QAD88" s="163"/>
      <c r="QAE88" s="163"/>
      <c r="QAF88" s="163"/>
      <c r="QAG88" s="163"/>
      <c r="QAH88" s="163"/>
      <c r="QAI88" s="163"/>
      <c r="QAJ88" s="163"/>
      <c r="QAK88" s="163"/>
      <c r="QAL88" s="163"/>
      <c r="QAM88" s="163"/>
      <c r="QAN88" s="163"/>
      <c r="QAO88" s="163"/>
      <c r="QAP88" s="163"/>
      <c r="QAQ88" s="163"/>
      <c r="QAR88" s="163"/>
      <c r="QAS88" s="163"/>
      <c r="QAT88" s="163"/>
      <c r="QAU88" s="163"/>
      <c r="QAV88" s="163"/>
      <c r="QAW88" s="163"/>
      <c r="QAX88" s="163"/>
      <c r="QAY88" s="163"/>
      <c r="QAZ88" s="163"/>
      <c r="QBA88" s="163"/>
      <c r="QBB88" s="163"/>
      <c r="QBC88" s="163"/>
      <c r="QBD88" s="163"/>
      <c r="QBE88" s="163"/>
      <c r="QBF88" s="163"/>
      <c r="QBG88" s="163"/>
      <c r="QBH88" s="163"/>
      <c r="QBI88" s="163"/>
      <c r="QBJ88" s="163"/>
      <c r="QBK88" s="163"/>
      <c r="QBL88" s="163"/>
      <c r="QBM88" s="163"/>
      <c r="QBN88" s="163"/>
      <c r="QBO88" s="163"/>
      <c r="QBP88" s="163"/>
      <c r="QBQ88" s="163"/>
      <c r="QBR88" s="163"/>
      <c r="QBS88" s="163"/>
      <c r="QBT88" s="163"/>
      <c r="QBU88" s="163"/>
      <c r="QBV88" s="163"/>
      <c r="QBW88" s="163"/>
      <c r="QBX88" s="163"/>
      <c r="QBY88" s="163"/>
      <c r="QBZ88" s="163"/>
      <c r="QCA88" s="163"/>
      <c r="QCB88" s="163"/>
      <c r="QCC88" s="163"/>
      <c r="QCD88" s="163"/>
      <c r="QCE88" s="163"/>
      <c r="QCF88" s="163"/>
      <c r="QCG88" s="163"/>
      <c r="QCH88" s="163"/>
      <c r="QCI88" s="163"/>
      <c r="QCJ88" s="163"/>
      <c r="QCK88" s="163"/>
      <c r="QCL88" s="163"/>
      <c r="QCM88" s="163"/>
      <c r="QCN88" s="163"/>
      <c r="QCO88" s="163"/>
      <c r="QCP88" s="163"/>
      <c r="QCQ88" s="163"/>
      <c r="QCR88" s="163"/>
      <c r="QCS88" s="163"/>
      <c r="QCT88" s="163"/>
      <c r="QCU88" s="163"/>
      <c r="QCV88" s="163"/>
      <c r="QCW88" s="163"/>
      <c r="QCX88" s="163"/>
      <c r="QCY88" s="163"/>
      <c r="QCZ88" s="163"/>
      <c r="QDA88" s="163"/>
      <c r="QDB88" s="163"/>
      <c r="QDC88" s="163"/>
      <c r="QDD88" s="163"/>
      <c r="QDE88" s="163"/>
      <c r="QDF88" s="163"/>
      <c r="QDG88" s="163"/>
      <c r="QDH88" s="163"/>
      <c r="QDI88" s="163"/>
      <c r="QDJ88" s="163"/>
      <c r="QDK88" s="163"/>
      <c r="QDL88" s="163"/>
      <c r="QDM88" s="163"/>
      <c r="QDN88" s="163"/>
      <c r="QDO88" s="163"/>
      <c r="QDP88" s="163"/>
      <c r="QDQ88" s="163"/>
      <c r="QDR88" s="163"/>
      <c r="QDS88" s="163"/>
      <c r="QDT88" s="163"/>
      <c r="QDU88" s="163"/>
      <c r="QDV88" s="163"/>
      <c r="QDW88" s="163"/>
      <c r="QDX88" s="163"/>
      <c r="QDY88" s="163"/>
      <c r="QDZ88" s="163"/>
      <c r="QEA88" s="163"/>
      <c r="QEB88" s="163"/>
      <c r="QEC88" s="163"/>
      <c r="QED88" s="163"/>
      <c r="QEE88" s="163"/>
      <c r="QEF88" s="163"/>
      <c r="QEG88" s="163"/>
      <c r="QEH88" s="163"/>
      <c r="QEI88" s="163"/>
      <c r="QEJ88" s="163"/>
      <c r="QEK88" s="163"/>
      <c r="QEL88" s="163"/>
      <c r="QEM88" s="163"/>
      <c r="QEN88" s="163"/>
      <c r="QEO88" s="163"/>
      <c r="QEP88" s="163"/>
      <c r="QEQ88" s="163"/>
      <c r="QER88" s="163"/>
      <c r="QES88" s="163"/>
      <c r="QET88" s="163"/>
      <c r="QEU88" s="163"/>
      <c r="QEV88" s="163"/>
      <c r="QEW88" s="163"/>
      <c r="QEX88" s="163"/>
      <c r="QEY88" s="163"/>
      <c r="QEZ88" s="163"/>
      <c r="QFA88" s="163"/>
      <c r="QFB88" s="163"/>
      <c r="QFC88" s="163"/>
      <c r="QFD88" s="163"/>
      <c r="QFE88" s="163"/>
      <c r="QFF88" s="163"/>
      <c r="QFG88" s="163"/>
      <c r="QFH88" s="163"/>
      <c r="QFI88" s="163"/>
      <c r="QFJ88" s="163"/>
      <c r="QFK88" s="163"/>
      <c r="QFL88" s="163"/>
      <c r="QFM88" s="163"/>
      <c r="QFN88" s="163"/>
      <c r="QFO88" s="163"/>
      <c r="QFP88" s="163"/>
      <c r="QFQ88" s="163"/>
      <c r="QFR88" s="163"/>
      <c r="QFS88" s="163"/>
      <c r="QFT88" s="163"/>
      <c r="QFU88" s="163"/>
      <c r="QFV88" s="163"/>
      <c r="QFW88" s="163"/>
      <c r="QFX88" s="163"/>
      <c r="QFY88" s="163"/>
      <c r="QFZ88" s="163"/>
      <c r="QGA88" s="163"/>
      <c r="QGB88" s="163"/>
      <c r="QGC88" s="163"/>
      <c r="QGD88" s="163"/>
      <c r="QGE88" s="163"/>
      <c r="QGF88" s="163"/>
      <c r="QGG88" s="163"/>
      <c r="QGH88" s="163"/>
      <c r="QGI88" s="163"/>
      <c r="QGJ88" s="163"/>
      <c r="QGK88" s="163"/>
      <c r="QGL88" s="163"/>
      <c r="QGM88" s="163"/>
      <c r="QGN88" s="163"/>
      <c r="QGO88" s="163"/>
      <c r="QGP88" s="163"/>
      <c r="QGQ88" s="163"/>
      <c r="QGR88" s="163"/>
      <c r="QGS88" s="163"/>
      <c r="QGT88" s="163"/>
      <c r="QGU88" s="163"/>
      <c r="QGV88" s="163"/>
      <c r="QGW88" s="163"/>
      <c r="QGX88" s="163"/>
      <c r="QGY88" s="163"/>
      <c r="QGZ88" s="163"/>
      <c r="QHA88" s="163"/>
      <c r="QHB88" s="163"/>
      <c r="QHC88" s="163"/>
      <c r="QHD88" s="163"/>
      <c r="QHE88" s="163"/>
      <c r="QHF88" s="163"/>
      <c r="QHG88" s="163"/>
      <c r="QHH88" s="163"/>
      <c r="QHI88" s="163"/>
      <c r="QHJ88" s="163"/>
      <c r="QHK88" s="163"/>
      <c r="QHL88" s="163"/>
      <c r="QHM88" s="163"/>
      <c r="QHN88" s="163"/>
      <c r="QHO88" s="163"/>
      <c r="QHP88" s="163"/>
      <c r="QHQ88" s="163"/>
      <c r="QHR88" s="163"/>
      <c r="QHS88" s="163"/>
      <c r="QHT88" s="163"/>
      <c r="QHU88" s="163"/>
      <c r="QHV88" s="163"/>
      <c r="QHW88" s="163"/>
      <c r="QHX88" s="163"/>
      <c r="QHY88" s="163"/>
      <c r="QHZ88" s="163"/>
      <c r="QIA88" s="163"/>
      <c r="QIB88" s="163"/>
      <c r="QIC88" s="163"/>
      <c r="QID88" s="163"/>
      <c r="QIE88" s="163"/>
      <c r="QIF88" s="163"/>
      <c r="QIG88" s="163"/>
      <c r="QIH88" s="163"/>
      <c r="QII88" s="163"/>
      <c r="QIJ88" s="163"/>
      <c r="QIK88" s="163"/>
      <c r="QIL88" s="163"/>
      <c r="QIM88" s="163"/>
      <c r="QIN88" s="163"/>
      <c r="QIO88" s="163"/>
      <c r="QIP88" s="163"/>
      <c r="QIQ88" s="163"/>
      <c r="QIR88" s="163"/>
      <c r="QIS88" s="163"/>
      <c r="QIT88" s="163"/>
      <c r="QIU88" s="163"/>
      <c r="QIV88" s="163"/>
      <c r="QIW88" s="163"/>
      <c r="QIX88" s="163"/>
      <c r="QIY88" s="163"/>
      <c r="QIZ88" s="163"/>
      <c r="QJA88" s="163"/>
      <c r="QJB88" s="163"/>
      <c r="QJC88" s="163"/>
      <c r="QJD88" s="163"/>
      <c r="QJE88" s="163"/>
      <c r="QJF88" s="163"/>
      <c r="QJG88" s="163"/>
      <c r="QJH88" s="163"/>
      <c r="QJI88" s="163"/>
      <c r="QJJ88" s="163"/>
      <c r="QJK88" s="163"/>
      <c r="QJL88" s="163"/>
      <c r="QJM88" s="163"/>
      <c r="QJN88" s="163"/>
      <c r="QJO88" s="163"/>
      <c r="QJP88" s="163"/>
      <c r="QJQ88" s="163"/>
      <c r="QJR88" s="163"/>
      <c r="QJS88" s="163"/>
      <c r="QJT88" s="163"/>
      <c r="QJU88" s="163"/>
      <c r="QJV88" s="163"/>
      <c r="QJW88" s="163"/>
      <c r="QJX88" s="163"/>
      <c r="QJY88" s="163"/>
      <c r="QJZ88" s="163"/>
      <c r="QKA88" s="163"/>
      <c r="QKB88" s="163"/>
      <c r="QKC88" s="163"/>
      <c r="QKD88" s="163"/>
      <c r="QKE88" s="163"/>
      <c r="QKF88" s="163"/>
      <c r="QKG88" s="163"/>
      <c r="QKH88" s="163"/>
      <c r="QKI88" s="163"/>
      <c r="QKJ88" s="163"/>
      <c r="QKK88" s="163"/>
      <c r="QKL88" s="163"/>
      <c r="QKM88" s="163"/>
      <c r="QKN88" s="163"/>
      <c r="QKO88" s="163"/>
      <c r="QKP88" s="163"/>
      <c r="QKQ88" s="163"/>
      <c r="QKR88" s="163"/>
      <c r="QKS88" s="163"/>
      <c r="QKT88" s="163"/>
      <c r="QKU88" s="163"/>
      <c r="QKV88" s="163"/>
      <c r="QKW88" s="163"/>
      <c r="QKX88" s="163"/>
      <c r="QKY88" s="163"/>
      <c r="QKZ88" s="163"/>
      <c r="QLA88" s="163"/>
      <c r="QLB88" s="163"/>
      <c r="QLC88" s="163"/>
      <c r="QLD88" s="163"/>
      <c r="QLE88" s="163"/>
      <c r="QLF88" s="163"/>
      <c r="QLG88" s="163"/>
      <c r="QLH88" s="163"/>
      <c r="QLI88" s="163"/>
      <c r="QLJ88" s="163"/>
      <c r="QLK88" s="163"/>
      <c r="QLL88" s="163"/>
      <c r="QLM88" s="163"/>
      <c r="QLN88" s="163"/>
      <c r="QLO88" s="163"/>
      <c r="QLP88" s="163"/>
      <c r="QLQ88" s="163"/>
      <c r="QLR88" s="163"/>
      <c r="QLS88" s="163"/>
      <c r="QLT88" s="163"/>
      <c r="QLU88" s="163"/>
      <c r="QLV88" s="163"/>
      <c r="QLW88" s="163"/>
      <c r="QLX88" s="163"/>
      <c r="QLY88" s="163"/>
      <c r="QLZ88" s="163"/>
      <c r="QMA88" s="163"/>
      <c r="QMB88" s="163"/>
      <c r="QMC88" s="163"/>
      <c r="QMD88" s="163"/>
      <c r="QME88" s="163"/>
      <c r="QMF88" s="163"/>
      <c r="QMG88" s="163"/>
      <c r="QMH88" s="163"/>
      <c r="QMI88" s="163"/>
      <c r="QMJ88" s="163"/>
      <c r="QMK88" s="163"/>
      <c r="QML88" s="163"/>
      <c r="QMM88" s="163"/>
      <c r="QMN88" s="163"/>
      <c r="QMO88" s="163"/>
      <c r="QMP88" s="163"/>
      <c r="QMQ88" s="163"/>
      <c r="QMR88" s="163"/>
      <c r="QMS88" s="163"/>
      <c r="QMT88" s="163"/>
      <c r="QMU88" s="163"/>
      <c r="QMV88" s="163"/>
      <c r="QMW88" s="163"/>
      <c r="QMX88" s="163"/>
      <c r="QMY88" s="163"/>
      <c r="QMZ88" s="163"/>
      <c r="QNA88" s="163"/>
      <c r="QNB88" s="163"/>
      <c r="QNC88" s="163"/>
      <c r="QND88" s="163"/>
      <c r="QNE88" s="163"/>
      <c r="QNF88" s="163"/>
      <c r="QNG88" s="163"/>
      <c r="QNH88" s="163"/>
      <c r="QNI88" s="163"/>
      <c r="QNJ88" s="163"/>
      <c r="QNK88" s="163"/>
      <c r="QNL88" s="163"/>
      <c r="QNM88" s="163"/>
      <c r="QNN88" s="163"/>
      <c r="QNO88" s="163"/>
      <c r="QNP88" s="163"/>
      <c r="QNQ88" s="163"/>
      <c r="QNR88" s="163"/>
      <c r="QNS88" s="163"/>
      <c r="QNT88" s="163"/>
      <c r="QNU88" s="163"/>
      <c r="QNV88" s="163"/>
      <c r="QNW88" s="163"/>
      <c r="QNX88" s="163"/>
      <c r="QNY88" s="163"/>
      <c r="QNZ88" s="163"/>
      <c r="QOA88" s="163"/>
      <c r="QOB88" s="163"/>
      <c r="QOC88" s="163"/>
      <c r="QOD88" s="163"/>
      <c r="QOE88" s="163"/>
      <c r="QOF88" s="163"/>
      <c r="QOG88" s="163"/>
      <c r="QOH88" s="163"/>
      <c r="QOI88" s="163"/>
      <c r="QOJ88" s="163"/>
      <c r="QOK88" s="163"/>
      <c r="QOL88" s="163"/>
      <c r="QOM88" s="163"/>
      <c r="QON88" s="163"/>
      <c r="QOO88" s="163"/>
      <c r="QOP88" s="163"/>
      <c r="QOQ88" s="163"/>
      <c r="QOR88" s="163"/>
      <c r="QOS88" s="163"/>
      <c r="QOT88" s="163"/>
      <c r="QOU88" s="163"/>
      <c r="QOV88" s="163"/>
      <c r="QOW88" s="163"/>
      <c r="QOX88" s="163"/>
      <c r="QOY88" s="163"/>
      <c r="QOZ88" s="163"/>
      <c r="QPA88" s="163"/>
      <c r="QPB88" s="163"/>
      <c r="QPC88" s="163"/>
      <c r="QPD88" s="163"/>
      <c r="QPE88" s="163"/>
      <c r="QPF88" s="163"/>
      <c r="QPG88" s="163"/>
      <c r="QPH88" s="163"/>
      <c r="QPI88" s="163"/>
      <c r="QPJ88" s="163"/>
      <c r="QPK88" s="163"/>
      <c r="QPL88" s="163"/>
      <c r="QPM88" s="163"/>
      <c r="QPN88" s="163"/>
      <c r="QPO88" s="163"/>
      <c r="QPP88" s="163"/>
      <c r="QPQ88" s="163"/>
      <c r="QPR88" s="163"/>
      <c r="QPS88" s="163"/>
      <c r="QPT88" s="163"/>
      <c r="QPU88" s="163"/>
      <c r="QPV88" s="163"/>
      <c r="QPW88" s="163"/>
      <c r="QPX88" s="163"/>
      <c r="QPY88" s="163"/>
      <c r="QPZ88" s="163"/>
      <c r="QQA88" s="163"/>
      <c r="QQB88" s="163"/>
      <c r="QQC88" s="163"/>
      <c r="QQD88" s="163"/>
      <c r="QQE88" s="163"/>
      <c r="QQF88" s="163"/>
      <c r="QQG88" s="163"/>
      <c r="QQH88" s="163"/>
      <c r="QQI88" s="163"/>
      <c r="QQJ88" s="163"/>
      <c r="QQK88" s="163"/>
      <c r="QQL88" s="163"/>
      <c r="QQM88" s="163"/>
      <c r="QQN88" s="163"/>
      <c r="QQO88" s="163"/>
      <c r="QQP88" s="163"/>
      <c r="QQQ88" s="163"/>
      <c r="QQR88" s="163"/>
      <c r="QQS88" s="163"/>
      <c r="QQT88" s="163"/>
      <c r="QQU88" s="163"/>
      <c r="QQV88" s="163"/>
      <c r="QQW88" s="163"/>
      <c r="QQX88" s="163"/>
      <c r="QQY88" s="163"/>
      <c r="QQZ88" s="163"/>
      <c r="QRA88" s="163"/>
      <c r="QRB88" s="163"/>
      <c r="QRC88" s="163"/>
      <c r="QRD88" s="163"/>
      <c r="QRE88" s="163"/>
      <c r="QRF88" s="163"/>
      <c r="QRG88" s="163"/>
      <c r="QRH88" s="163"/>
      <c r="QRI88" s="163"/>
      <c r="QRJ88" s="163"/>
      <c r="QRK88" s="163"/>
      <c r="QRL88" s="163"/>
      <c r="QRM88" s="163"/>
      <c r="QRN88" s="163"/>
      <c r="QRO88" s="163"/>
      <c r="QRP88" s="163"/>
      <c r="QRQ88" s="163"/>
      <c r="QRR88" s="163"/>
      <c r="QRS88" s="163"/>
      <c r="QRT88" s="163"/>
      <c r="QRU88" s="163"/>
      <c r="QRV88" s="163"/>
      <c r="QRW88" s="163"/>
      <c r="QRX88" s="163"/>
      <c r="QRY88" s="163"/>
      <c r="QRZ88" s="163"/>
      <c r="QSA88" s="163"/>
      <c r="QSB88" s="163"/>
      <c r="QSC88" s="163"/>
      <c r="QSD88" s="163"/>
      <c r="QSE88" s="163"/>
      <c r="QSF88" s="163"/>
      <c r="QSG88" s="163"/>
      <c r="QSH88" s="163"/>
      <c r="QSI88" s="163"/>
      <c r="QSJ88" s="163"/>
      <c r="QSK88" s="163"/>
      <c r="QSL88" s="163"/>
      <c r="QSM88" s="163"/>
      <c r="QSN88" s="163"/>
      <c r="QSO88" s="163"/>
      <c r="QSP88" s="163"/>
      <c r="QSQ88" s="163"/>
      <c r="QSR88" s="163"/>
      <c r="QSS88" s="163"/>
      <c r="QST88" s="163"/>
      <c r="QSU88" s="163"/>
      <c r="QSV88" s="163"/>
      <c r="QSW88" s="163"/>
      <c r="QSX88" s="163"/>
      <c r="QSY88" s="163"/>
      <c r="QSZ88" s="163"/>
      <c r="QTA88" s="163"/>
      <c r="QTB88" s="163"/>
      <c r="QTC88" s="163"/>
      <c r="QTD88" s="163"/>
      <c r="QTE88" s="163"/>
      <c r="QTF88" s="163"/>
      <c r="QTG88" s="163"/>
      <c r="QTH88" s="163"/>
      <c r="QTI88" s="163"/>
      <c r="QTJ88" s="163"/>
      <c r="QTK88" s="163"/>
      <c r="QTL88" s="163"/>
      <c r="QTM88" s="163"/>
      <c r="QTN88" s="163"/>
      <c r="QTO88" s="163"/>
      <c r="QTP88" s="163"/>
      <c r="QTQ88" s="163"/>
      <c r="QTR88" s="163"/>
      <c r="QTS88" s="163"/>
      <c r="QTT88" s="163"/>
      <c r="QTU88" s="163"/>
      <c r="QTV88" s="163"/>
      <c r="QTW88" s="163"/>
      <c r="QTX88" s="163"/>
      <c r="QTY88" s="163"/>
      <c r="QTZ88" s="163"/>
      <c r="QUA88" s="163"/>
      <c r="QUB88" s="163"/>
      <c r="QUC88" s="163"/>
      <c r="QUD88" s="163"/>
      <c r="QUE88" s="163"/>
      <c r="QUF88" s="163"/>
      <c r="QUG88" s="163"/>
      <c r="QUH88" s="163"/>
      <c r="QUI88" s="163"/>
      <c r="QUJ88" s="163"/>
      <c r="QUK88" s="163"/>
      <c r="QUL88" s="163"/>
      <c r="QUM88" s="163"/>
      <c r="QUN88" s="163"/>
      <c r="QUO88" s="163"/>
      <c r="QUP88" s="163"/>
      <c r="QUQ88" s="163"/>
      <c r="QUR88" s="163"/>
      <c r="QUS88" s="163"/>
      <c r="QUT88" s="163"/>
      <c r="QUU88" s="163"/>
      <c r="QUV88" s="163"/>
      <c r="QUW88" s="163"/>
      <c r="QUX88" s="163"/>
      <c r="QUY88" s="163"/>
      <c r="QUZ88" s="163"/>
      <c r="QVA88" s="163"/>
      <c r="QVB88" s="163"/>
      <c r="QVC88" s="163"/>
      <c r="QVD88" s="163"/>
      <c r="QVE88" s="163"/>
      <c r="QVF88" s="163"/>
      <c r="QVG88" s="163"/>
      <c r="QVH88" s="163"/>
      <c r="QVI88" s="163"/>
      <c r="QVJ88" s="163"/>
      <c r="QVK88" s="163"/>
      <c r="QVL88" s="163"/>
      <c r="QVM88" s="163"/>
      <c r="QVN88" s="163"/>
      <c r="QVO88" s="163"/>
      <c r="QVP88" s="163"/>
      <c r="QVQ88" s="163"/>
      <c r="QVR88" s="163"/>
      <c r="QVS88" s="163"/>
      <c r="QVT88" s="163"/>
      <c r="QVU88" s="163"/>
      <c r="QVV88" s="163"/>
      <c r="QVW88" s="163"/>
      <c r="QVX88" s="163"/>
      <c r="QVY88" s="163"/>
      <c r="QVZ88" s="163"/>
      <c r="QWA88" s="163"/>
      <c r="QWB88" s="163"/>
      <c r="QWC88" s="163"/>
      <c r="QWD88" s="163"/>
      <c r="QWE88" s="163"/>
      <c r="QWF88" s="163"/>
      <c r="QWG88" s="163"/>
      <c r="QWH88" s="163"/>
      <c r="QWI88" s="163"/>
      <c r="QWJ88" s="163"/>
      <c r="QWK88" s="163"/>
      <c r="QWL88" s="163"/>
      <c r="QWM88" s="163"/>
      <c r="QWN88" s="163"/>
      <c r="QWO88" s="163"/>
      <c r="QWP88" s="163"/>
      <c r="QWQ88" s="163"/>
      <c r="QWR88" s="163"/>
      <c r="QWS88" s="163"/>
      <c r="QWT88" s="163"/>
      <c r="QWU88" s="163"/>
      <c r="QWV88" s="163"/>
      <c r="QWW88" s="163"/>
      <c r="QWX88" s="163"/>
      <c r="QWY88" s="163"/>
      <c r="QWZ88" s="163"/>
      <c r="QXA88" s="163"/>
      <c r="QXB88" s="163"/>
      <c r="QXC88" s="163"/>
      <c r="QXD88" s="163"/>
      <c r="QXE88" s="163"/>
      <c r="QXF88" s="163"/>
      <c r="QXG88" s="163"/>
      <c r="QXH88" s="163"/>
      <c r="QXI88" s="163"/>
      <c r="QXJ88" s="163"/>
      <c r="QXK88" s="163"/>
      <c r="QXL88" s="163"/>
      <c r="QXM88" s="163"/>
      <c r="QXN88" s="163"/>
      <c r="QXO88" s="163"/>
      <c r="QXP88" s="163"/>
      <c r="QXQ88" s="163"/>
      <c r="QXR88" s="163"/>
      <c r="QXS88" s="163"/>
      <c r="QXT88" s="163"/>
      <c r="QXU88" s="163"/>
      <c r="QXV88" s="163"/>
      <c r="QXW88" s="163"/>
      <c r="QXX88" s="163"/>
      <c r="QXY88" s="163"/>
      <c r="QXZ88" s="163"/>
      <c r="QYA88" s="163"/>
      <c r="QYB88" s="163"/>
      <c r="QYC88" s="163"/>
      <c r="QYD88" s="163"/>
      <c r="QYE88" s="163"/>
      <c r="QYF88" s="163"/>
      <c r="QYG88" s="163"/>
      <c r="QYH88" s="163"/>
      <c r="QYI88" s="163"/>
      <c r="QYJ88" s="163"/>
      <c r="QYK88" s="163"/>
      <c r="QYL88" s="163"/>
      <c r="QYM88" s="163"/>
      <c r="QYN88" s="163"/>
      <c r="QYO88" s="163"/>
      <c r="QYP88" s="163"/>
      <c r="QYQ88" s="163"/>
      <c r="QYR88" s="163"/>
      <c r="QYS88" s="163"/>
      <c r="QYT88" s="163"/>
      <c r="QYU88" s="163"/>
      <c r="QYV88" s="163"/>
      <c r="QYW88" s="163"/>
      <c r="QYX88" s="163"/>
      <c r="QYY88" s="163"/>
      <c r="QYZ88" s="163"/>
      <c r="QZA88" s="163"/>
      <c r="QZB88" s="163"/>
      <c r="QZC88" s="163"/>
      <c r="QZD88" s="163"/>
      <c r="QZE88" s="163"/>
      <c r="QZF88" s="163"/>
      <c r="QZG88" s="163"/>
      <c r="QZH88" s="163"/>
      <c r="QZI88" s="163"/>
      <c r="QZJ88" s="163"/>
      <c r="QZK88" s="163"/>
      <c r="QZL88" s="163"/>
      <c r="QZM88" s="163"/>
      <c r="QZN88" s="163"/>
      <c r="QZO88" s="163"/>
      <c r="QZP88" s="163"/>
      <c r="QZQ88" s="163"/>
      <c r="QZR88" s="163"/>
      <c r="QZS88" s="163"/>
      <c r="QZT88" s="163"/>
      <c r="QZU88" s="163"/>
      <c r="QZV88" s="163"/>
      <c r="QZW88" s="163"/>
      <c r="QZX88" s="163"/>
      <c r="QZY88" s="163"/>
      <c r="QZZ88" s="163"/>
      <c r="RAA88" s="163"/>
      <c r="RAB88" s="163"/>
      <c r="RAC88" s="163"/>
      <c r="RAD88" s="163"/>
      <c r="RAE88" s="163"/>
      <c r="RAF88" s="163"/>
      <c r="RAG88" s="163"/>
      <c r="RAH88" s="163"/>
      <c r="RAI88" s="163"/>
      <c r="RAJ88" s="163"/>
      <c r="RAK88" s="163"/>
      <c r="RAL88" s="163"/>
      <c r="RAM88" s="163"/>
      <c r="RAN88" s="163"/>
      <c r="RAO88" s="163"/>
      <c r="RAP88" s="163"/>
      <c r="RAQ88" s="163"/>
      <c r="RAR88" s="163"/>
      <c r="RAS88" s="163"/>
      <c r="RAT88" s="163"/>
      <c r="RAU88" s="163"/>
      <c r="RAV88" s="163"/>
      <c r="RAW88" s="163"/>
      <c r="RAX88" s="163"/>
      <c r="RAY88" s="163"/>
      <c r="RAZ88" s="163"/>
      <c r="RBA88" s="163"/>
      <c r="RBB88" s="163"/>
      <c r="RBC88" s="163"/>
      <c r="RBD88" s="163"/>
      <c r="RBE88" s="163"/>
      <c r="RBF88" s="163"/>
      <c r="RBG88" s="163"/>
      <c r="RBH88" s="163"/>
      <c r="RBI88" s="163"/>
      <c r="RBJ88" s="163"/>
      <c r="RBK88" s="163"/>
      <c r="RBL88" s="163"/>
      <c r="RBM88" s="163"/>
      <c r="RBN88" s="163"/>
      <c r="RBO88" s="163"/>
      <c r="RBP88" s="163"/>
      <c r="RBQ88" s="163"/>
      <c r="RBR88" s="163"/>
      <c r="RBS88" s="163"/>
      <c r="RBT88" s="163"/>
      <c r="RBU88" s="163"/>
      <c r="RBV88" s="163"/>
      <c r="RBW88" s="163"/>
      <c r="RBX88" s="163"/>
      <c r="RBY88" s="163"/>
      <c r="RBZ88" s="163"/>
      <c r="RCA88" s="163"/>
      <c r="RCB88" s="163"/>
      <c r="RCC88" s="163"/>
      <c r="RCD88" s="163"/>
      <c r="RCE88" s="163"/>
      <c r="RCF88" s="163"/>
      <c r="RCG88" s="163"/>
      <c r="RCH88" s="163"/>
      <c r="RCI88" s="163"/>
      <c r="RCJ88" s="163"/>
      <c r="RCK88" s="163"/>
      <c r="RCL88" s="163"/>
      <c r="RCM88" s="163"/>
      <c r="RCN88" s="163"/>
      <c r="RCO88" s="163"/>
      <c r="RCP88" s="163"/>
      <c r="RCQ88" s="163"/>
      <c r="RCR88" s="163"/>
      <c r="RCS88" s="163"/>
      <c r="RCT88" s="163"/>
      <c r="RCU88" s="163"/>
      <c r="RCV88" s="163"/>
      <c r="RCW88" s="163"/>
      <c r="RCX88" s="163"/>
      <c r="RCY88" s="163"/>
      <c r="RCZ88" s="163"/>
      <c r="RDA88" s="163"/>
      <c r="RDB88" s="163"/>
      <c r="RDC88" s="163"/>
      <c r="RDD88" s="163"/>
      <c r="RDE88" s="163"/>
      <c r="RDF88" s="163"/>
      <c r="RDG88" s="163"/>
      <c r="RDH88" s="163"/>
      <c r="RDI88" s="163"/>
      <c r="RDJ88" s="163"/>
      <c r="RDK88" s="163"/>
      <c r="RDL88" s="163"/>
      <c r="RDM88" s="163"/>
      <c r="RDN88" s="163"/>
      <c r="RDO88" s="163"/>
      <c r="RDP88" s="163"/>
      <c r="RDQ88" s="163"/>
      <c r="RDR88" s="163"/>
      <c r="RDS88" s="163"/>
      <c r="RDT88" s="163"/>
      <c r="RDU88" s="163"/>
      <c r="RDV88" s="163"/>
      <c r="RDW88" s="163"/>
      <c r="RDX88" s="163"/>
      <c r="RDY88" s="163"/>
      <c r="RDZ88" s="163"/>
      <c r="REA88" s="163"/>
      <c r="REB88" s="163"/>
      <c r="REC88" s="163"/>
      <c r="RED88" s="163"/>
      <c r="REE88" s="163"/>
      <c r="REF88" s="163"/>
      <c r="REG88" s="163"/>
      <c r="REH88" s="163"/>
      <c r="REI88" s="163"/>
      <c r="REJ88" s="163"/>
      <c r="REK88" s="163"/>
      <c r="REL88" s="163"/>
      <c r="REM88" s="163"/>
      <c r="REN88" s="163"/>
      <c r="REO88" s="163"/>
      <c r="REP88" s="163"/>
      <c r="REQ88" s="163"/>
      <c r="RER88" s="163"/>
      <c r="RES88" s="163"/>
      <c r="RET88" s="163"/>
      <c r="REU88" s="163"/>
      <c r="REV88" s="163"/>
      <c r="REW88" s="163"/>
      <c r="REX88" s="163"/>
      <c r="REY88" s="163"/>
      <c r="REZ88" s="163"/>
      <c r="RFA88" s="163"/>
      <c r="RFB88" s="163"/>
      <c r="RFC88" s="163"/>
      <c r="RFD88" s="163"/>
      <c r="RFE88" s="163"/>
      <c r="RFF88" s="163"/>
      <c r="RFG88" s="163"/>
      <c r="RFH88" s="163"/>
      <c r="RFI88" s="163"/>
      <c r="RFJ88" s="163"/>
      <c r="RFK88" s="163"/>
      <c r="RFL88" s="163"/>
      <c r="RFM88" s="163"/>
      <c r="RFN88" s="163"/>
      <c r="RFO88" s="163"/>
      <c r="RFP88" s="163"/>
      <c r="RFQ88" s="163"/>
      <c r="RFR88" s="163"/>
      <c r="RFS88" s="163"/>
      <c r="RFT88" s="163"/>
      <c r="RFU88" s="163"/>
      <c r="RFV88" s="163"/>
      <c r="RFW88" s="163"/>
      <c r="RFX88" s="163"/>
      <c r="RFY88" s="163"/>
      <c r="RFZ88" s="163"/>
      <c r="RGA88" s="163"/>
      <c r="RGB88" s="163"/>
      <c r="RGC88" s="163"/>
      <c r="RGD88" s="163"/>
      <c r="RGE88" s="163"/>
      <c r="RGF88" s="163"/>
      <c r="RGG88" s="163"/>
      <c r="RGH88" s="163"/>
      <c r="RGI88" s="163"/>
      <c r="RGJ88" s="163"/>
      <c r="RGK88" s="163"/>
      <c r="RGL88" s="163"/>
      <c r="RGM88" s="163"/>
      <c r="RGN88" s="163"/>
      <c r="RGO88" s="163"/>
      <c r="RGP88" s="163"/>
      <c r="RGQ88" s="163"/>
      <c r="RGR88" s="163"/>
      <c r="RGS88" s="163"/>
      <c r="RGT88" s="163"/>
      <c r="RGU88" s="163"/>
      <c r="RGV88" s="163"/>
      <c r="RGW88" s="163"/>
      <c r="RGX88" s="163"/>
      <c r="RGY88" s="163"/>
      <c r="RGZ88" s="163"/>
      <c r="RHA88" s="163"/>
      <c r="RHB88" s="163"/>
      <c r="RHC88" s="163"/>
      <c r="RHD88" s="163"/>
      <c r="RHE88" s="163"/>
      <c r="RHF88" s="163"/>
      <c r="RHG88" s="163"/>
      <c r="RHH88" s="163"/>
      <c r="RHI88" s="163"/>
      <c r="RHJ88" s="163"/>
      <c r="RHK88" s="163"/>
      <c r="RHL88" s="163"/>
      <c r="RHM88" s="163"/>
      <c r="RHN88" s="163"/>
      <c r="RHO88" s="163"/>
      <c r="RHP88" s="163"/>
      <c r="RHQ88" s="163"/>
      <c r="RHR88" s="163"/>
      <c r="RHS88" s="163"/>
      <c r="RHT88" s="163"/>
      <c r="RHU88" s="163"/>
      <c r="RHV88" s="163"/>
      <c r="RHW88" s="163"/>
      <c r="RHX88" s="163"/>
      <c r="RHY88" s="163"/>
      <c r="RHZ88" s="163"/>
      <c r="RIA88" s="163"/>
      <c r="RIB88" s="163"/>
      <c r="RIC88" s="163"/>
      <c r="RID88" s="163"/>
      <c r="RIE88" s="163"/>
      <c r="RIF88" s="163"/>
      <c r="RIG88" s="163"/>
      <c r="RIH88" s="163"/>
      <c r="RII88" s="163"/>
      <c r="RIJ88" s="163"/>
      <c r="RIK88" s="163"/>
      <c r="RIL88" s="163"/>
      <c r="RIM88" s="163"/>
      <c r="RIN88" s="163"/>
      <c r="RIO88" s="163"/>
      <c r="RIP88" s="163"/>
      <c r="RIQ88" s="163"/>
      <c r="RIR88" s="163"/>
      <c r="RIS88" s="163"/>
      <c r="RIT88" s="163"/>
      <c r="RIU88" s="163"/>
      <c r="RIV88" s="163"/>
      <c r="RIW88" s="163"/>
      <c r="RIX88" s="163"/>
      <c r="RIY88" s="163"/>
      <c r="RIZ88" s="163"/>
      <c r="RJA88" s="163"/>
      <c r="RJB88" s="163"/>
      <c r="RJC88" s="163"/>
      <c r="RJD88" s="163"/>
      <c r="RJE88" s="163"/>
      <c r="RJF88" s="163"/>
      <c r="RJG88" s="163"/>
      <c r="RJH88" s="163"/>
      <c r="RJI88" s="163"/>
      <c r="RJJ88" s="163"/>
      <c r="RJK88" s="163"/>
      <c r="RJL88" s="163"/>
      <c r="RJM88" s="163"/>
      <c r="RJN88" s="163"/>
      <c r="RJO88" s="163"/>
      <c r="RJP88" s="163"/>
      <c r="RJQ88" s="163"/>
      <c r="RJR88" s="163"/>
      <c r="RJS88" s="163"/>
      <c r="RJT88" s="163"/>
      <c r="RJU88" s="163"/>
      <c r="RJV88" s="163"/>
      <c r="RJW88" s="163"/>
      <c r="RJX88" s="163"/>
      <c r="RJY88" s="163"/>
      <c r="RJZ88" s="163"/>
      <c r="RKA88" s="163"/>
      <c r="RKB88" s="163"/>
      <c r="RKC88" s="163"/>
      <c r="RKD88" s="163"/>
      <c r="RKE88" s="163"/>
      <c r="RKF88" s="163"/>
      <c r="RKG88" s="163"/>
      <c r="RKH88" s="163"/>
      <c r="RKI88" s="163"/>
      <c r="RKJ88" s="163"/>
      <c r="RKK88" s="163"/>
      <c r="RKL88" s="163"/>
      <c r="RKM88" s="163"/>
      <c r="RKN88" s="163"/>
      <c r="RKO88" s="163"/>
      <c r="RKP88" s="163"/>
      <c r="RKQ88" s="163"/>
      <c r="RKR88" s="163"/>
      <c r="RKS88" s="163"/>
      <c r="RKT88" s="163"/>
      <c r="RKU88" s="163"/>
      <c r="RKV88" s="163"/>
      <c r="RKW88" s="163"/>
      <c r="RKX88" s="163"/>
      <c r="RKY88" s="163"/>
      <c r="RKZ88" s="163"/>
      <c r="RLA88" s="163"/>
      <c r="RLB88" s="163"/>
      <c r="RLC88" s="163"/>
      <c r="RLD88" s="163"/>
      <c r="RLE88" s="163"/>
      <c r="RLF88" s="163"/>
      <c r="RLG88" s="163"/>
      <c r="RLH88" s="163"/>
      <c r="RLI88" s="163"/>
      <c r="RLJ88" s="163"/>
      <c r="RLK88" s="163"/>
      <c r="RLL88" s="163"/>
      <c r="RLM88" s="163"/>
      <c r="RLN88" s="163"/>
      <c r="RLO88" s="163"/>
      <c r="RLP88" s="163"/>
      <c r="RLQ88" s="163"/>
      <c r="RLR88" s="163"/>
      <c r="RLS88" s="163"/>
      <c r="RLT88" s="163"/>
      <c r="RLU88" s="163"/>
      <c r="RLV88" s="163"/>
      <c r="RLW88" s="163"/>
      <c r="RLX88" s="163"/>
      <c r="RLY88" s="163"/>
      <c r="RLZ88" s="163"/>
      <c r="RMA88" s="163"/>
      <c r="RMB88" s="163"/>
      <c r="RMC88" s="163"/>
      <c r="RMD88" s="163"/>
      <c r="RME88" s="163"/>
      <c r="RMF88" s="163"/>
      <c r="RMG88" s="163"/>
      <c r="RMH88" s="163"/>
      <c r="RMI88" s="163"/>
      <c r="RMJ88" s="163"/>
      <c r="RMK88" s="163"/>
      <c r="RML88" s="163"/>
      <c r="RMM88" s="163"/>
      <c r="RMN88" s="163"/>
      <c r="RMO88" s="163"/>
      <c r="RMP88" s="163"/>
      <c r="RMQ88" s="163"/>
      <c r="RMR88" s="163"/>
      <c r="RMS88" s="163"/>
      <c r="RMT88" s="163"/>
      <c r="RMU88" s="163"/>
      <c r="RMV88" s="163"/>
      <c r="RMW88" s="163"/>
      <c r="RMX88" s="163"/>
      <c r="RMY88" s="163"/>
      <c r="RMZ88" s="163"/>
      <c r="RNA88" s="163"/>
      <c r="RNB88" s="163"/>
      <c r="RNC88" s="163"/>
      <c r="RND88" s="163"/>
      <c r="RNE88" s="163"/>
      <c r="RNF88" s="163"/>
      <c r="RNG88" s="163"/>
      <c r="RNH88" s="163"/>
      <c r="RNI88" s="163"/>
      <c r="RNJ88" s="163"/>
      <c r="RNK88" s="163"/>
      <c r="RNL88" s="163"/>
      <c r="RNM88" s="163"/>
      <c r="RNN88" s="163"/>
      <c r="RNO88" s="163"/>
      <c r="RNP88" s="163"/>
      <c r="RNQ88" s="163"/>
      <c r="RNR88" s="163"/>
      <c r="RNS88" s="163"/>
      <c r="RNT88" s="163"/>
      <c r="RNU88" s="163"/>
      <c r="RNV88" s="163"/>
      <c r="RNW88" s="163"/>
      <c r="RNX88" s="163"/>
      <c r="RNY88" s="163"/>
      <c r="RNZ88" s="163"/>
      <c r="ROA88" s="163"/>
      <c r="ROB88" s="163"/>
      <c r="ROC88" s="163"/>
      <c r="ROD88" s="163"/>
      <c r="ROE88" s="163"/>
      <c r="ROF88" s="163"/>
      <c r="ROG88" s="163"/>
      <c r="ROH88" s="163"/>
      <c r="ROI88" s="163"/>
      <c r="ROJ88" s="163"/>
      <c r="ROK88" s="163"/>
      <c r="ROL88" s="163"/>
      <c r="ROM88" s="163"/>
      <c r="RON88" s="163"/>
      <c r="ROO88" s="163"/>
      <c r="ROP88" s="163"/>
      <c r="ROQ88" s="163"/>
      <c r="ROR88" s="163"/>
      <c r="ROS88" s="163"/>
      <c r="ROT88" s="163"/>
      <c r="ROU88" s="163"/>
      <c r="ROV88" s="163"/>
      <c r="ROW88" s="163"/>
      <c r="ROX88" s="163"/>
      <c r="ROY88" s="163"/>
      <c r="ROZ88" s="163"/>
      <c r="RPA88" s="163"/>
      <c r="RPB88" s="163"/>
      <c r="RPC88" s="163"/>
      <c r="RPD88" s="163"/>
      <c r="RPE88" s="163"/>
      <c r="RPF88" s="163"/>
      <c r="RPG88" s="163"/>
      <c r="RPH88" s="163"/>
      <c r="RPI88" s="163"/>
      <c r="RPJ88" s="163"/>
      <c r="RPK88" s="163"/>
      <c r="RPL88" s="163"/>
      <c r="RPM88" s="163"/>
      <c r="RPN88" s="163"/>
      <c r="RPO88" s="163"/>
      <c r="RPP88" s="163"/>
      <c r="RPQ88" s="163"/>
      <c r="RPR88" s="163"/>
      <c r="RPS88" s="163"/>
      <c r="RPT88" s="163"/>
      <c r="RPU88" s="163"/>
      <c r="RPV88" s="163"/>
      <c r="RPW88" s="163"/>
      <c r="RPX88" s="163"/>
      <c r="RPY88" s="163"/>
      <c r="RPZ88" s="163"/>
      <c r="RQA88" s="163"/>
      <c r="RQB88" s="163"/>
      <c r="RQC88" s="163"/>
      <c r="RQD88" s="163"/>
      <c r="RQE88" s="163"/>
      <c r="RQF88" s="163"/>
      <c r="RQG88" s="163"/>
      <c r="RQH88" s="163"/>
      <c r="RQI88" s="163"/>
      <c r="RQJ88" s="163"/>
      <c r="RQK88" s="163"/>
      <c r="RQL88" s="163"/>
      <c r="RQM88" s="163"/>
      <c r="RQN88" s="163"/>
      <c r="RQO88" s="163"/>
      <c r="RQP88" s="163"/>
      <c r="RQQ88" s="163"/>
      <c r="RQR88" s="163"/>
      <c r="RQS88" s="163"/>
      <c r="RQT88" s="163"/>
      <c r="RQU88" s="163"/>
      <c r="RQV88" s="163"/>
      <c r="RQW88" s="163"/>
      <c r="RQX88" s="163"/>
      <c r="RQY88" s="163"/>
      <c r="RQZ88" s="163"/>
      <c r="RRA88" s="163"/>
      <c r="RRB88" s="163"/>
      <c r="RRC88" s="163"/>
      <c r="RRD88" s="163"/>
      <c r="RRE88" s="163"/>
      <c r="RRF88" s="163"/>
      <c r="RRG88" s="163"/>
      <c r="RRH88" s="163"/>
      <c r="RRI88" s="163"/>
      <c r="RRJ88" s="163"/>
      <c r="RRK88" s="163"/>
      <c r="RRL88" s="163"/>
      <c r="RRM88" s="163"/>
      <c r="RRN88" s="163"/>
      <c r="RRO88" s="163"/>
      <c r="RRP88" s="163"/>
      <c r="RRQ88" s="163"/>
      <c r="RRR88" s="163"/>
      <c r="RRS88" s="163"/>
      <c r="RRT88" s="163"/>
      <c r="RRU88" s="163"/>
      <c r="RRV88" s="163"/>
      <c r="RRW88" s="163"/>
      <c r="RRX88" s="163"/>
      <c r="RRY88" s="163"/>
      <c r="RRZ88" s="163"/>
      <c r="RSA88" s="163"/>
      <c r="RSB88" s="163"/>
      <c r="RSC88" s="163"/>
      <c r="RSD88" s="163"/>
      <c r="RSE88" s="163"/>
      <c r="RSF88" s="163"/>
      <c r="RSG88" s="163"/>
      <c r="RSH88" s="163"/>
      <c r="RSI88" s="163"/>
      <c r="RSJ88" s="163"/>
      <c r="RSK88" s="163"/>
      <c r="RSL88" s="163"/>
      <c r="RSM88" s="163"/>
      <c r="RSN88" s="163"/>
      <c r="RSO88" s="163"/>
      <c r="RSP88" s="163"/>
      <c r="RSQ88" s="163"/>
      <c r="RSR88" s="163"/>
      <c r="RSS88" s="163"/>
      <c r="RST88" s="163"/>
      <c r="RSU88" s="163"/>
      <c r="RSV88" s="163"/>
      <c r="RSW88" s="163"/>
      <c r="RSX88" s="163"/>
      <c r="RSY88" s="163"/>
      <c r="RSZ88" s="163"/>
      <c r="RTA88" s="163"/>
      <c r="RTB88" s="163"/>
      <c r="RTC88" s="163"/>
      <c r="RTD88" s="163"/>
      <c r="RTE88" s="163"/>
      <c r="RTF88" s="163"/>
      <c r="RTG88" s="163"/>
      <c r="RTH88" s="163"/>
      <c r="RTI88" s="163"/>
      <c r="RTJ88" s="163"/>
      <c r="RTK88" s="163"/>
      <c r="RTL88" s="163"/>
      <c r="RTM88" s="163"/>
      <c r="RTN88" s="163"/>
      <c r="RTO88" s="163"/>
      <c r="RTP88" s="163"/>
      <c r="RTQ88" s="163"/>
      <c r="RTR88" s="163"/>
      <c r="RTS88" s="163"/>
      <c r="RTT88" s="163"/>
      <c r="RTU88" s="163"/>
      <c r="RTV88" s="163"/>
      <c r="RTW88" s="163"/>
      <c r="RTX88" s="163"/>
      <c r="RTY88" s="163"/>
      <c r="RTZ88" s="163"/>
      <c r="RUA88" s="163"/>
      <c r="RUB88" s="163"/>
      <c r="RUC88" s="163"/>
      <c r="RUD88" s="163"/>
      <c r="RUE88" s="163"/>
      <c r="RUF88" s="163"/>
      <c r="RUG88" s="163"/>
      <c r="RUH88" s="163"/>
      <c r="RUI88" s="163"/>
      <c r="RUJ88" s="163"/>
      <c r="RUK88" s="163"/>
      <c r="RUL88" s="163"/>
      <c r="RUM88" s="163"/>
      <c r="RUN88" s="163"/>
      <c r="RUO88" s="163"/>
      <c r="RUP88" s="163"/>
      <c r="RUQ88" s="163"/>
      <c r="RUR88" s="163"/>
      <c r="RUS88" s="163"/>
      <c r="RUT88" s="163"/>
      <c r="RUU88" s="163"/>
      <c r="RUV88" s="163"/>
      <c r="RUW88" s="163"/>
      <c r="RUX88" s="163"/>
      <c r="RUY88" s="163"/>
      <c r="RUZ88" s="163"/>
      <c r="RVA88" s="163"/>
      <c r="RVB88" s="163"/>
      <c r="RVC88" s="163"/>
      <c r="RVD88" s="163"/>
      <c r="RVE88" s="163"/>
      <c r="RVF88" s="163"/>
      <c r="RVG88" s="163"/>
      <c r="RVH88" s="163"/>
      <c r="RVI88" s="163"/>
      <c r="RVJ88" s="163"/>
      <c r="RVK88" s="163"/>
      <c r="RVL88" s="163"/>
      <c r="RVM88" s="163"/>
      <c r="RVN88" s="163"/>
      <c r="RVO88" s="163"/>
      <c r="RVP88" s="163"/>
      <c r="RVQ88" s="163"/>
      <c r="RVR88" s="163"/>
      <c r="RVS88" s="163"/>
      <c r="RVT88" s="163"/>
      <c r="RVU88" s="163"/>
      <c r="RVV88" s="163"/>
      <c r="RVW88" s="163"/>
      <c r="RVX88" s="163"/>
      <c r="RVY88" s="163"/>
      <c r="RVZ88" s="163"/>
      <c r="RWA88" s="163"/>
      <c r="RWB88" s="163"/>
      <c r="RWC88" s="163"/>
      <c r="RWD88" s="163"/>
      <c r="RWE88" s="163"/>
      <c r="RWF88" s="163"/>
      <c r="RWG88" s="163"/>
      <c r="RWH88" s="163"/>
      <c r="RWI88" s="163"/>
      <c r="RWJ88" s="163"/>
      <c r="RWK88" s="163"/>
      <c r="RWL88" s="163"/>
      <c r="RWM88" s="163"/>
      <c r="RWN88" s="163"/>
      <c r="RWO88" s="163"/>
      <c r="RWP88" s="163"/>
      <c r="RWQ88" s="163"/>
      <c r="RWR88" s="163"/>
      <c r="RWS88" s="163"/>
      <c r="RWT88" s="163"/>
      <c r="RWU88" s="163"/>
      <c r="RWV88" s="163"/>
      <c r="RWW88" s="163"/>
      <c r="RWX88" s="163"/>
      <c r="RWY88" s="163"/>
      <c r="RWZ88" s="163"/>
      <c r="RXA88" s="163"/>
      <c r="RXB88" s="163"/>
      <c r="RXC88" s="163"/>
      <c r="RXD88" s="163"/>
      <c r="RXE88" s="163"/>
      <c r="RXF88" s="163"/>
      <c r="RXG88" s="163"/>
      <c r="RXH88" s="163"/>
      <c r="RXI88" s="163"/>
      <c r="RXJ88" s="163"/>
      <c r="RXK88" s="163"/>
      <c r="RXL88" s="163"/>
      <c r="RXM88" s="163"/>
      <c r="RXN88" s="163"/>
      <c r="RXO88" s="163"/>
      <c r="RXP88" s="163"/>
      <c r="RXQ88" s="163"/>
      <c r="RXR88" s="163"/>
      <c r="RXS88" s="163"/>
      <c r="RXT88" s="163"/>
      <c r="RXU88" s="163"/>
      <c r="RXV88" s="163"/>
      <c r="RXW88" s="163"/>
      <c r="RXX88" s="163"/>
      <c r="RXY88" s="163"/>
      <c r="RXZ88" s="163"/>
      <c r="RYA88" s="163"/>
      <c r="RYB88" s="163"/>
      <c r="RYC88" s="163"/>
      <c r="RYD88" s="163"/>
      <c r="RYE88" s="163"/>
      <c r="RYF88" s="163"/>
      <c r="RYG88" s="163"/>
      <c r="RYH88" s="163"/>
      <c r="RYI88" s="163"/>
      <c r="RYJ88" s="163"/>
      <c r="RYK88" s="163"/>
      <c r="RYL88" s="163"/>
      <c r="RYM88" s="163"/>
      <c r="RYN88" s="163"/>
      <c r="RYO88" s="163"/>
      <c r="RYP88" s="163"/>
      <c r="RYQ88" s="163"/>
      <c r="RYR88" s="163"/>
      <c r="RYS88" s="163"/>
      <c r="RYT88" s="163"/>
      <c r="RYU88" s="163"/>
      <c r="RYV88" s="163"/>
      <c r="RYW88" s="163"/>
      <c r="RYX88" s="163"/>
      <c r="RYY88" s="163"/>
      <c r="RYZ88" s="163"/>
      <c r="RZA88" s="163"/>
      <c r="RZB88" s="163"/>
      <c r="RZC88" s="163"/>
      <c r="RZD88" s="163"/>
      <c r="RZE88" s="163"/>
      <c r="RZF88" s="163"/>
      <c r="RZG88" s="163"/>
      <c r="RZH88" s="163"/>
      <c r="RZI88" s="163"/>
      <c r="RZJ88" s="163"/>
      <c r="RZK88" s="163"/>
      <c r="RZL88" s="163"/>
      <c r="RZM88" s="163"/>
      <c r="RZN88" s="163"/>
      <c r="RZO88" s="163"/>
      <c r="RZP88" s="163"/>
      <c r="RZQ88" s="163"/>
      <c r="RZR88" s="163"/>
      <c r="RZS88" s="163"/>
      <c r="RZT88" s="163"/>
      <c r="RZU88" s="163"/>
      <c r="RZV88" s="163"/>
      <c r="RZW88" s="163"/>
      <c r="RZX88" s="163"/>
      <c r="RZY88" s="163"/>
      <c r="RZZ88" s="163"/>
      <c r="SAA88" s="163"/>
      <c r="SAB88" s="163"/>
      <c r="SAC88" s="163"/>
      <c r="SAD88" s="163"/>
      <c r="SAE88" s="163"/>
      <c r="SAF88" s="163"/>
      <c r="SAG88" s="163"/>
      <c r="SAH88" s="163"/>
      <c r="SAI88" s="163"/>
      <c r="SAJ88" s="163"/>
      <c r="SAK88" s="163"/>
      <c r="SAL88" s="163"/>
      <c r="SAM88" s="163"/>
      <c r="SAN88" s="163"/>
      <c r="SAO88" s="163"/>
      <c r="SAP88" s="163"/>
      <c r="SAQ88" s="163"/>
      <c r="SAR88" s="163"/>
      <c r="SAS88" s="163"/>
      <c r="SAT88" s="163"/>
      <c r="SAU88" s="163"/>
      <c r="SAV88" s="163"/>
      <c r="SAW88" s="163"/>
      <c r="SAX88" s="163"/>
      <c r="SAY88" s="163"/>
      <c r="SAZ88" s="163"/>
      <c r="SBA88" s="163"/>
      <c r="SBB88" s="163"/>
      <c r="SBC88" s="163"/>
      <c r="SBD88" s="163"/>
      <c r="SBE88" s="163"/>
      <c r="SBF88" s="163"/>
      <c r="SBG88" s="163"/>
      <c r="SBH88" s="163"/>
      <c r="SBI88" s="163"/>
      <c r="SBJ88" s="163"/>
      <c r="SBK88" s="163"/>
      <c r="SBL88" s="163"/>
      <c r="SBM88" s="163"/>
      <c r="SBN88" s="163"/>
      <c r="SBO88" s="163"/>
      <c r="SBP88" s="163"/>
      <c r="SBQ88" s="163"/>
      <c r="SBR88" s="163"/>
      <c r="SBS88" s="163"/>
      <c r="SBT88" s="163"/>
      <c r="SBU88" s="163"/>
      <c r="SBV88" s="163"/>
      <c r="SBW88" s="163"/>
      <c r="SBX88" s="163"/>
      <c r="SBY88" s="163"/>
      <c r="SBZ88" s="163"/>
      <c r="SCA88" s="163"/>
      <c r="SCB88" s="163"/>
      <c r="SCC88" s="163"/>
      <c r="SCD88" s="163"/>
      <c r="SCE88" s="163"/>
      <c r="SCF88" s="163"/>
      <c r="SCG88" s="163"/>
      <c r="SCH88" s="163"/>
      <c r="SCI88" s="163"/>
      <c r="SCJ88" s="163"/>
      <c r="SCK88" s="163"/>
      <c r="SCL88" s="163"/>
      <c r="SCM88" s="163"/>
      <c r="SCN88" s="163"/>
      <c r="SCO88" s="163"/>
      <c r="SCP88" s="163"/>
      <c r="SCQ88" s="163"/>
      <c r="SCR88" s="163"/>
      <c r="SCS88" s="163"/>
      <c r="SCT88" s="163"/>
      <c r="SCU88" s="163"/>
      <c r="SCV88" s="163"/>
      <c r="SCW88" s="163"/>
      <c r="SCX88" s="163"/>
      <c r="SCY88" s="163"/>
      <c r="SCZ88" s="163"/>
      <c r="SDA88" s="163"/>
      <c r="SDB88" s="163"/>
      <c r="SDC88" s="163"/>
      <c r="SDD88" s="163"/>
      <c r="SDE88" s="163"/>
      <c r="SDF88" s="163"/>
      <c r="SDG88" s="163"/>
      <c r="SDH88" s="163"/>
      <c r="SDI88" s="163"/>
      <c r="SDJ88" s="163"/>
      <c r="SDK88" s="163"/>
      <c r="SDL88" s="163"/>
      <c r="SDM88" s="163"/>
      <c r="SDN88" s="163"/>
      <c r="SDO88" s="163"/>
      <c r="SDP88" s="163"/>
      <c r="SDQ88" s="163"/>
      <c r="SDR88" s="163"/>
      <c r="SDS88" s="163"/>
      <c r="SDT88" s="163"/>
      <c r="SDU88" s="163"/>
      <c r="SDV88" s="163"/>
      <c r="SDW88" s="163"/>
      <c r="SDX88" s="163"/>
      <c r="SDY88" s="163"/>
      <c r="SDZ88" s="163"/>
      <c r="SEA88" s="163"/>
      <c r="SEB88" s="163"/>
      <c r="SEC88" s="163"/>
      <c r="SED88" s="163"/>
      <c r="SEE88" s="163"/>
      <c r="SEF88" s="163"/>
      <c r="SEG88" s="163"/>
      <c r="SEH88" s="163"/>
      <c r="SEI88" s="163"/>
      <c r="SEJ88" s="163"/>
      <c r="SEK88" s="163"/>
      <c r="SEL88" s="163"/>
      <c r="SEM88" s="163"/>
      <c r="SEN88" s="163"/>
      <c r="SEO88" s="163"/>
      <c r="SEP88" s="163"/>
      <c r="SEQ88" s="163"/>
      <c r="SER88" s="163"/>
      <c r="SES88" s="163"/>
      <c r="SET88" s="163"/>
      <c r="SEU88" s="163"/>
      <c r="SEV88" s="163"/>
      <c r="SEW88" s="163"/>
      <c r="SEX88" s="163"/>
      <c r="SEY88" s="163"/>
      <c r="SEZ88" s="163"/>
      <c r="SFA88" s="163"/>
      <c r="SFB88" s="163"/>
      <c r="SFC88" s="163"/>
      <c r="SFD88" s="163"/>
      <c r="SFE88" s="163"/>
      <c r="SFF88" s="163"/>
      <c r="SFG88" s="163"/>
      <c r="SFH88" s="163"/>
      <c r="SFI88" s="163"/>
      <c r="SFJ88" s="163"/>
      <c r="SFK88" s="163"/>
      <c r="SFL88" s="163"/>
      <c r="SFM88" s="163"/>
      <c r="SFN88" s="163"/>
      <c r="SFO88" s="163"/>
      <c r="SFP88" s="163"/>
      <c r="SFQ88" s="163"/>
      <c r="SFR88" s="163"/>
      <c r="SFS88" s="163"/>
      <c r="SFT88" s="163"/>
      <c r="SFU88" s="163"/>
      <c r="SFV88" s="163"/>
      <c r="SFW88" s="163"/>
      <c r="SFX88" s="163"/>
      <c r="SFY88" s="163"/>
      <c r="SFZ88" s="163"/>
      <c r="SGA88" s="163"/>
      <c r="SGB88" s="163"/>
      <c r="SGC88" s="163"/>
      <c r="SGD88" s="163"/>
      <c r="SGE88" s="163"/>
      <c r="SGF88" s="163"/>
      <c r="SGG88" s="163"/>
      <c r="SGH88" s="163"/>
      <c r="SGI88" s="163"/>
      <c r="SGJ88" s="163"/>
      <c r="SGK88" s="163"/>
      <c r="SGL88" s="163"/>
      <c r="SGM88" s="163"/>
      <c r="SGN88" s="163"/>
      <c r="SGO88" s="163"/>
      <c r="SGP88" s="163"/>
      <c r="SGQ88" s="163"/>
      <c r="SGR88" s="163"/>
      <c r="SGS88" s="163"/>
      <c r="SGT88" s="163"/>
      <c r="SGU88" s="163"/>
      <c r="SGV88" s="163"/>
      <c r="SGW88" s="163"/>
      <c r="SGX88" s="163"/>
      <c r="SGY88" s="163"/>
      <c r="SGZ88" s="163"/>
      <c r="SHA88" s="163"/>
      <c r="SHB88" s="163"/>
      <c r="SHC88" s="163"/>
      <c r="SHD88" s="163"/>
      <c r="SHE88" s="163"/>
      <c r="SHF88" s="163"/>
      <c r="SHG88" s="163"/>
      <c r="SHH88" s="163"/>
      <c r="SHI88" s="163"/>
      <c r="SHJ88" s="163"/>
      <c r="SHK88" s="163"/>
      <c r="SHL88" s="163"/>
      <c r="SHM88" s="163"/>
      <c r="SHN88" s="163"/>
      <c r="SHO88" s="163"/>
      <c r="SHP88" s="163"/>
      <c r="SHQ88" s="163"/>
      <c r="SHR88" s="163"/>
      <c r="SHS88" s="163"/>
      <c r="SHT88" s="163"/>
      <c r="SHU88" s="163"/>
      <c r="SHV88" s="163"/>
      <c r="SHW88" s="163"/>
      <c r="SHX88" s="163"/>
      <c r="SHY88" s="163"/>
      <c r="SHZ88" s="163"/>
      <c r="SIA88" s="163"/>
      <c r="SIB88" s="163"/>
      <c r="SIC88" s="163"/>
      <c r="SID88" s="163"/>
      <c r="SIE88" s="163"/>
      <c r="SIF88" s="163"/>
      <c r="SIG88" s="163"/>
      <c r="SIH88" s="163"/>
      <c r="SII88" s="163"/>
      <c r="SIJ88" s="163"/>
      <c r="SIK88" s="163"/>
      <c r="SIL88" s="163"/>
      <c r="SIM88" s="163"/>
      <c r="SIN88" s="163"/>
      <c r="SIO88" s="163"/>
      <c r="SIP88" s="163"/>
      <c r="SIQ88" s="163"/>
      <c r="SIR88" s="163"/>
      <c r="SIS88" s="163"/>
      <c r="SIT88" s="163"/>
      <c r="SIU88" s="163"/>
      <c r="SIV88" s="163"/>
      <c r="SIW88" s="163"/>
      <c r="SIX88" s="163"/>
      <c r="SIY88" s="163"/>
      <c r="SIZ88" s="163"/>
      <c r="SJA88" s="163"/>
      <c r="SJB88" s="163"/>
      <c r="SJC88" s="163"/>
      <c r="SJD88" s="163"/>
      <c r="SJE88" s="163"/>
      <c r="SJF88" s="163"/>
      <c r="SJG88" s="163"/>
      <c r="SJH88" s="163"/>
      <c r="SJI88" s="163"/>
      <c r="SJJ88" s="163"/>
      <c r="SJK88" s="163"/>
      <c r="SJL88" s="163"/>
      <c r="SJM88" s="163"/>
      <c r="SJN88" s="163"/>
      <c r="SJO88" s="163"/>
      <c r="SJP88" s="163"/>
      <c r="SJQ88" s="163"/>
      <c r="SJR88" s="163"/>
      <c r="SJS88" s="163"/>
      <c r="SJT88" s="163"/>
      <c r="SJU88" s="163"/>
      <c r="SJV88" s="163"/>
      <c r="SJW88" s="163"/>
      <c r="SJX88" s="163"/>
      <c r="SJY88" s="163"/>
      <c r="SJZ88" s="163"/>
      <c r="SKA88" s="163"/>
      <c r="SKB88" s="163"/>
      <c r="SKC88" s="163"/>
      <c r="SKD88" s="163"/>
      <c r="SKE88" s="163"/>
      <c r="SKF88" s="163"/>
      <c r="SKG88" s="163"/>
      <c r="SKH88" s="163"/>
      <c r="SKI88" s="163"/>
      <c r="SKJ88" s="163"/>
      <c r="SKK88" s="163"/>
      <c r="SKL88" s="163"/>
      <c r="SKM88" s="163"/>
      <c r="SKN88" s="163"/>
      <c r="SKO88" s="163"/>
      <c r="SKP88" s="163"/>
      <c r="SKQ88" s="163"/>
      <c r="SKR88" s="163"/>
      <c r="SKS88" s="163"/>
      <c r="SKT88" s="163"/>
      <c r="SKU88" s="163"/>
      <c r="SKV88" s="163"/>
      <c r="SKW88" s="163"/>
      <c r="SKX88" s="163"/>
      <c r="SKY88" s="163"/>
      <c r="SKZ88" s="163"/>
      <c r="SLA88" s="163"/>
      <c r="SLB88" s="163"/>
      <c r="SLC88" s="163"/>
      <c r="SLD88" s="163"/>
      <c r="SLE88" s="163"/>
      <c r="SLF88" s="163"/>
      <c r="SLG88" s="163"/>
      <c r="SLH88" s="163"/>
      <c r="SLI88" s="163"/>
      <c r="SLJ88" s="163"/>
      <c r="SLK88" s="163"/>
      <c r="SLL88" s="163"/>
      <c r="SLM88" s="163"/>
      <c r="SLN88" s="163"/>
      <c r="SLO88" s="163"/>
      <c r="SLP88" s="163"/>
      <c r="SLQ88" s="163"/>
      <c r="SLR88" s="163"/>
      <c r="SLS88" s="163"/>
      <c r="SLT88" s="163"/>
      <c r="SLU88" s="163"/>
      <c r="SLV88" s="163"/>
      <c r="SLW88" s="163"/>
      <c r="SLX88" s="163"/>
      <c r="SLY88" s="163"/>
      <c r="SLZ88" s="163"/>
      <c r="SMA88" s="163"/>
      <c r="SMB88" s="163"/>
      <c r="SMC88" s="163"/>
      <c r="SMD88" s="163"/>
      <c r="SME88" s="163"/>
      <c r="SMF88" s="163"/>
      <c r="SMG88" s="163"/>
      <c r="SMH88" s="163"/>
      <c r="SMI88" s="163"/>
      <c r="SMJ88" s="163"/>
      <c r="SMK88" s="163"/>
      <c r="SML88" s="163"/>
      <c r="SMM88" s="163"/>
      <c r="SMN88" s="163"/>
      <c r="SMO88" s="163"/>
      <c r="SMP88" s="163"/>
      <c r="SMQ88" s="163"/>
      <c r="SMR88" s="163"/>
      <c r="SMS88" s="163"/>
      <c r="SMT88" s="163"/>
      <c r="SMU88" s="163"/>
      <c r="SMV88" s="163"/>
      <c r="SMW88" s="163"/>
      <c r="SMX88" s="163"/>
      <c r="SMY88" s="163"/>
      <c r="SMZ88" s="163"/>
      <c r="SNA88" s="163"/>
      <c r="SNB88" s="163"/>
      <c r="SNC88" s="163"/>
      <c r="SND88" s="163"/>
      <c r="SNE88" s="163"/>
      <c r="SNF88" s="163"/>
      <c r="SNG88" s="163"/>
      <c r="SNH88" s="163"/>
      <c r="SNI88" s="163"/>
      <c r="SNJ88" s="163"/>
      <c r="SNK88" s="163"/>
      <c r="SNL88" s="163"/>
      <c r="SNM88" s="163"/>
      <c r="SNN88" s="163"/>
      <c r="SNO88" s="163"/>
      <c r="SNP88" s="163"/>
      <c r="SNQ88" s="163"/>
      <c r="SNR88" s="163"/>
      <c r="SNS88" s="163"/>
      <c r="SNT88" s="163"/>
      <c r="SNU88" s="163"/>
      <c r="SNV88" s="163"/>
      <c r="SNW88" s="163"/>
      <c r="SNX88" s="163"/>
      <c r="SNY88" s="163"/>
      <c r="SNZ88" s="163"/>
      <c r="SOA88" s="163"/>
      <c r="SOB88" s="163"/>
      <c r="SOC88" s="163"/>
      <c r="SOD88" s="163"/>
      <c r="SOE88" s="163"/>
      <c r="SOF88" s="163"/>
      <c r="SOG88" s="163"/>
      <c r="SOH88" s="163"/>
      <c r="SOI88" s="163"/>
      <c r="SOJ88" s="163"/>
      <c r="SOK88" s="163"/>
      <c r="SOL88" s="163"/>
      <c r="SOM88" s="163"/>
      <c r="SON88" s="163"/>
      <c r="SOO88" s="163"/>
      <c r="SOP88" s="163"/>
      <c r="SOQ88" s="163"/>
      <c r="SOR88" s="163"/>
      <c r="SOS88" s="163"/>
      <c r="SOT88" s="163"/>
      <c r="SOU88" s="163"/>
      <c r="SOV88" s="163"/>
      <c r="SOW88" s="163"/>
      <c r="SOX88" s="163"/>
      <c r="SOY88" s="163"/>
      <c r="SOZ88" s="163"/>
      <c r="SPA88" s="163"/>
      <c r="SPB88" s="163"/>
      <c r="SPC88" s="163"/>
      <c r="SPD88" s="163"/>
      <c r="SPE88" s="163"/>
      <c r="SPF88" s="163"/>
      <c r="SPG88" s="163"/>
      <c r="SPH88" s="163"/>
      <c r="SPI88" s="163"/>
      <c r="SPJ88" s="163"/>
      <c r="SPK88" s="163"/>
      <c r="SPL88" s="163"/>
      <c r="SPM88" s="163"/>
      <c r="SPN88" s="163"/>
      <c r="SPO88" s="163"/>
      <c r="SPP88" s="163"/>
      <c r="SPQ88" s="163"/>
      <c r="SPR88" s="163"/>
      <c r="SPS88" s="163"/>
      <c r="SPT88" s="163"/>
      <c r="SPU88" s="163"/>
      <c r="SPV88" s="163"/>
      <c r="SPW88" s="163"/>
      <c r="SPX88" s="163"/>
      <c r="SPY88" s="163"/>
      <c r="SPZ88" s="163"/>
      <c r="SQA88" s="163"/>
      <c r="SQB88" s="163"/>
      <c r="SQC88" s="163"/>
      <c r="SQD88" s="163"/>
      <c r="SQE88" s="163"/>
      <c r="SQF88" s="163"/>
      <c r="SQG88" s="163"/>
      <c r="SQH88" s="163"/>
      <c r="SQI88" s="163"/>
      <c r="SQJ88" s="163"/>
      <c r="SQK88" s="163"/>
      <c r="SQL88" s="163"/>
      <c r="SQM88" s="163"/>
      <c r="SQN88" s="163"/>
      <c r="SQO88" s="163"/>
      <c r="SQP88" s="163"/>
      <c r="SQQ88" s="163"/>
      <c r="SQR88" s="163"/>
      <c r="SQS88" s="163"/>
      <c r="SQT88" s="163"/>
      <c r="SQU88" s="163"/>
      <c r="SQV88" s="163"/>
      <c r="SQW88" s="163"/>
      <c r="SQX88" s="163"/>
      <c r="SQY88" s="163"/>
      <c r="SQZ88" s="163"/>
      <c r="SRA88" s="163"/>
      <c r="SRB88" s="163"/>
      <c r="SRC88" s="163"/>
      <c r="SRD88" s="163"/>
      <c r="SRE88" s="163"/>
      <c r="SRF88" s="163"/>
      <c r="SRG88" s="163"/>
      <c r="SRH88" s="163"/>
      <c r="SRI88" s="163"/>
      <c r="SRJ88" s="163"/>
      <c r="SRK88" s="163"/>
      <c r="SRL88" s="163"/>
      <c r="SRM88" s="163"/>
      <c r="SRN88" s="163"/>
      <c r="SRO88" s="163"/>
      <c r="SRP88" s="163"/>
      <c r="SRQ88" s="163"/>
      <c r="SRR88" s="163"/>
      <c r="SRS88" s="163"/>
      <c r="SRT88" s="163"/>
      <c r="SRU88" s="163"/>
      <c r="SRV88" s="163"/>
      <c r="SRW88" s="163"/>
      <c r="SRX88" s="163"/>
      <c r="SRY88" s="163"/>
      <c r="SRZ88" s="163"/>
      <c r="SSA88" s="163"/>
      <c r="SSB88" s="163"/>
      <c r="SSC88" s="163"/>
      <c r="SSD88" s="163"/>
      <c r="SSE88" s="163"/>
      <c r="SSF88" s="163"/>
      <c r="SSG88" s="163"/>
      <c r="SSH88" s="163"/>
      <c r="SSI88" s="163"/>
      <c r="SSJ88" s="163"/>
      <c r="SSK88" s="163"/>
      <c r="SSL88" s="163"/>
      <c r="SSM88" s="163"/>
      <c r="SSN88" s="163"/>
      <c r="SSO88" s="163"/>
      <c r="SSP88" s="163"/>
      <c r="SSQ88" s="163"/>
      <c r="SSR88" s="163"/>
      <c r="SSS88" s="163"/>
      <c r="SST88" s="163"/>
      <c r="SSU88" s="163"/>
      <c r="SSV88" s="163"/>
      <c r="SSW88" s="163"/>
      <c r="SSX88" s="163"/>
      <c r="SSY88" s="163"/>
      <c r="SSZ88" s="163"/>
      <c r="STA88" s="163"/>
      <c r="STB88" s="163"/>
      <c r="STC88" s="163"/>
      <c r="STD88" s="163"/>
      <c r="STE88" s="163"/>
      <c r="STF88" s="163"/>
      <c r="STG88" s="163"/>
      <c r="STH88" s="163"/>
      <c r="STI88" s="163"/>
      <c r="STJ88" s="163"/>
      <c r="STK88" s="163"/>
      <c r="STL88" s="163"/>
      <c r="STM88" s="163"/>
      <c r="STN88" s="163"/>
      <c r="STO88" s="163"/>
      <c r="STP88" s="163"/>
      <c r="STQ88" s="163"/>
      <c r="STR88" s="163"/>
      <c r="STS88" s="163"/>
      <c r="STT88" s="163"/>
      <c r="STU88" s="163"/>
      <c r="STV88" s="163"/>
      <c r="STW88" s="163"/>
      <c r="STX88" s="163"/>
      <c r="STY88" s="163"/>
      <c r="STZ88" s="163"/>
      <c r="SUA88" s="163"/>
      <c r="SUB88" s="163"/>
      <c r="SUC88" s="163"/>
      <c r="SUD88" s="163"/>
      <c r="SUE88" s="163"/>
      <c r="SUF88" s="163"/>
      <c r="SUG88" s="163"/>
      <c r="SUH88" s="163"/>
      <c r="SUI88" s="163"/>
      <c r="SUJ88" s="163"/>
      <c r="SUK88" s="163"/>
      <c r="SUL88" s="163"/>
      <c r="SUM88" s="163"/>
      <c r="SUN88" s="163"/>
      <c r="SUO88" s="163"/>
      <c r="SUP88" s="163"/>
      <c r="SUQ88" s="163"/>
      <c r="SUR88" s="163"/>
      <c r="SUS88" s="163"/>
      <c r="SUT88" s="163"/>
      <c r="SUU88" s="163"/>
      <c r="SUV88" s="163"/>
      <c r="SUW88" s="163"/>
      <c r="SUX88" s="163"/>
      <c r="SUY88" s="163"/>
      <c r="SUZ88" s="163"/>
      <c r="SVA88" s="163"/>
      <c r="SVB88" s="163"/>
      <c r="SVC88" s="163"/>
      <c r="SVD88" s="163"/>
      <c r="SVE88" s="163"/>
      <c r="SVF88" s="163"/>
      <c r="SVG88" s="163"/>
      <c r="SVH88" s="163"/>
      <c r="SVI88" s="163"/>
      <c r="SVJ88" s="163"/>
      <c r="SVK88" s="163"/>
      <c r="SVL88" s="163"/>
      <c r="SVM88" s="163"/>
      <c r="SVN88" s="163"/>
      <c r="SVO88" s="163"/>
      <c r="SVP88" s="163"/>
      <c r="SVQ88" s="163"/>
      <c r="SVR88" s="163"/>
      <c r="SVS88" s="163"/>
      <c r="SVT88" s="163"/>
      <c r="SVU88" s="163"/>
      <c r="SVV88" s="163"/>
      <c r="SVW88" s="163"/>
      <c r="SVX88" s="163"/>
      <c r="SVY88" s="163"/>
      <c r="SVZ88" s="163"/>
      <c r="SWA88" s="163"/>
      <c r="SWB88" s="163"/>
      <c r="SWC88" s="163"/>
      <c r="SWD88" s="163"/>
      <c r="SWE88" s="163"/>
      <c r="SWF88" s="163"/>
      <c r="SWG88" s="163"/>
      <c r="SWH88" s="163"/>
      <c r="SWI88" s="163"/>
      <c r="SWJ88" s="163"/>
      <c r="SWK88" s="163"/>
      <c r="SWL88" s="163"/>
      <c r="SWM88" s="163"/>
      <c r="SWN88" s="163"/>
      <c r="SWO88" s="163"/>
      <c r="SWP88" s="163"/>
      <c r="SWQ88" s="163"/>
      <c r="SWR88" s="163"/>
      <c r="SWS88" s="163"/>
      <c r="SWT88" s="163"/>
      <c r="SWU88" s="163"/>
      <c r="SWV88" s="163"/>
      <c r="SWW88" s="163"/>
      <c r="SWX88" s="163"/>
      <c r="SWY88" s="163"/>
      <c r="SWZ88" s="163"/>
      <c r="SXA88" s="163"/>
      <c r="SXB88" s="163"/>
      <c r="SXC88" s="163"/>
      <c r="SXD88" s="163"/>
      <c r="SXE88" s="163"/>
      <c r="SXF88" s="163"/>
      <c r="SXG88" s="163"/>
      <c r="SXH88" s="163"/>
      <c r="SXI88" s="163"/>
      <c r="SXJ88" s="163"/>
      <c r="SXK88" s="163"/>
      <c r="SXL88" s="163"/>
      <c r="SXM88" s="163"/>
      <c r="SXN88" s="163"/>
      <c r="SXO88" s="163"/>
      <c r="SXP88" s="163"/>
      <c r="SXQ88" s="163"/>
      <c r="SXR88" s="163"/>
      <c r="SXS88" s="163"/>
      <c r="SXT88" s="163"/>
      <c r="SXU88" s="163"/>
      <c r="SXV88" s="163"/>
      <c r="SXW88" s="163"/>
      <c r="SXX88" s="163"/>
      <c r="SXY88" s="163"/>
      <c r="SXZ88" s="163"/>
      <c r="SYA88" s="163"/>
      <c r="SYB88" s="163"/>
      <c r="SYC88" s="163"/>
      <c r="SYD88" s="163"/>
      <c r="SYE88" s="163"/>
      <c r="SYF88" s="163"/>
      <c r="SYG88" s="163"/>
      <c r="SYH88" s="163"/>
      <c r="SYI88" s="163"/>
      <c r="SYJ88" s="163"/>
      <c r="SYK88" s="163"/>
      <c r="SYL88" s="163"/>
      <c r="SYM88" s="163"/>
      <c r="SYN88" s="163"/>
      <c r="SYO88" s="163"/>
      <c r="SYP88" s="163"/>
      <c r="SYQ88" s="163"/>
      <c r="SYR88" s="163"/>
      <c r="SYS88" s="163"/>
      <c r="SYT88" s="163"/>
      <c r="SYU88" s="163"/>
      <c r="SYV88" s="163"/>
      <c r="SYW88" s="163"/>
      <c r="SYX88" s="163"/>
      <c r="SYY88" s="163"/>
      <c r="SYZ88" s="163"/>
      <c r="SZA88" s="163"/>
      <c r="SZB88" s="163"/>
      <c r="SZC88" s="163"/>
      <c r="SZD88" s="163"/>
      <c r="SZE88" s="163"/>
      <c r="SZF88" s="163"/>
      <c r="SZG88" s="163"/>
      <c r="SZH88" s="163"/>
      <c r="SZI88" s="163"/>
      <c r="SZJ88" s="163"/>
      <c r="SZK88" s="163"/>
      <c r="SZL88" s="163"/>
      <c r="SZM88" s="163"/>
      <c r="SZN88" s="163"/>
      <c r="SZO88" s="163"/>
      <c r="SZP88" s="163"/>
      <c r="SZQ88" s="163"/>
      <c r="SZR88" s="163"/>
      <c r="SZS88" s="163"/>
      <c r="SZT88" s="163"/>
      <c r="SZU88" s="163"/>
      <c r="SZV88" s="163"/>
      <c r="SZW88" s="163"/>
      <c r="SZX88" s="163"/>
      <c r="SZY88" s="163"/>
      <c r="SZZ88" s="163"/>
      <c r="TAA88" s="163"/>
      <c r="TAB88" s="163"/>
      <c r="TAC88" s="163"/>
      <c r="TAD88" s="163"/>
      <c r="TAE88" s="163"/>
      <c r="TAF88" s="163"/>
      <c r="TAG88" s="163"/>
      <c r="TAH88" s="163"/>
      <c r="TAI88" s="163"/>
      <c r="TAJ88" s="163"/>
      <c r="TAK88" s="163"/>
      <c r="TAL88" s="163"/>
      <c r="TAM88" s="163"/>
      <c r="TAN88" s="163"/>
      <c r="TAO88" s="163"/>
      <c r="TAP88" s="163"/>
      <c r="TAQ88" s="163"/>
      <c r="TAR88" s="163"/>
      <c r="TAS88" s="163"/>
      <c r="TAT88" s="163"/>
      <c r="TAU88" s="163"/>
      <c r="TAV88" s="163"/>
      <c r="TAW88" s="163"/>
      <c r="TAX88" s="163"/>
      <c r="TAY88" s="163"/>
      <c r="TAZ88" s="163"/>
      <c r="TBA88" s="163"/>
      <c r="TBB88" s="163"/>
      <c r="TBC88" s="163"/>
      <c r="TBD88" s="163"/>
      <c r="TBE88" s="163"/>
      <c r="TBF88" s="163"/>
      <c r="TBG88" s="163"/>
      <c r="TBH88" s="163"/>
      <c r="TBI88" s="163"/>
      <c r="TBJ88" s="163"/>
      <c r="TBK88" s="163"/>
      <c r="TBL88" s="163"/>
      <c r="TBM88" s="163"/>
      <c r="TBN88" s="163"/>
      <c r="TBO88" s="163"/>
      <c r="TBP88" s="163"/>
      <c r="TBQ88" s="163"/>
      <c r="TBR88" s="163"/>
      <c r="TBS88" s="163"/>
      <c r="TBT88" s="163"/>
      <c r="TBU88" s="163"/>
      <c r="TBV88" s="163"/>
      <c r="TBW88" s="163"/>
      <c r="TBX88" s="163"/>
      <c r="TBY88" s="163"/>
      <c r="TBZ88" s="163"/>
      <c r="TCA88" s="163"/>
      <c r="TCB88" s="163"/>
      <c r="TCC88" s="163"/>
      <c r="TCD88" s="163"/>
      <c r="TCE88" s="163"/>
      <c r="TCF88" s="163"/>
      <c r="TCG88" s="163"/>
      <c r="TCH88" s="163"/>
      <c r="TCI88" s="163"/>
      <c r="TCJ88" s="163"/>
      <c r="TCK88" s="163"/>
      <c r="TCL88" s="163"/>
      <c r="TCM88" s="163"/>
      <c r="TCN88" s="163"/>
      <c r="TCO88" s="163"/>
      <c r="TCP88" s="163"/>
      <c r="TCQ88" s="163"/>
      <c r="TCR88" s="163"/>
      <c r="TCS88" s="163"/>
      <c r="TCT88" s="163"/>
      <c r="TCU88" s="163"/>
      <c r="TCV88" s="163"/>
      <c r="TCW88" s="163"/>
      <c r="TCX88" s="163"/>
      <c r="TCY88" s="163"/>
      <c r="TCZ88" s="163"/>
      <c r="TDA88" s="163"/>
      <c r="TDB88" s="163"/>
      <c r="TDC88" s="163"/>
      <c r="TDD88" s="163"/>
      <c r="TDE88" s="163"/>
      <c r="TDF88" s="163"/>
      <c r="TDG88" s="163"/>
      <c r="TDH88" s="163"/>
      <c r="TDI88" s="163"/>
      <c r="TDJ88" s="163"/>
      <c r="TDK88" s="163"/>
      <c r="TDL88" s="163"/>
      <c r="TDM88" s="163"/>
      <c r="TDN88" s="163"/>
      <c r="TDO88" s="163"/>
      <c r="TDP88" s="163"/>
      <c r="TDQ88" s="163"/>
      <c r="TDR88" s="163"/>
      <c r="TDS88" s="163"/>
      <c r="TDT88" s="163"/>
      <c r="TDU88" s="163"/>
      <c r="TDV88" s="163"/>
      <c r="TDW88" s="163"/>
      <c r="TDX88" s="163"/>
      <c r="TDY88" s="163"/>
      <c r="TDZ88" s="163"/>
      <c r="TEA88" s="163"/>
      <c r="TEB88" s="163"/>
      <c r="TEC88" s="163"/>
      <c r="TED88" s="163"/>
      <c r="TEE88" s="163"/>
      <c r="TEF88" s="163"/>
      <c r="TEG88" s="163"/>
      <c r="TEH88" s="163"/>
      <c r="TEI88" s="163"/>
      <c r="TEJ88" s="163"/>
      <c r="TEK88" s="163"/>
      <c r="TEL88" s="163"/>
      <c r="TEM88" s="163"/>
      <c r="TEN88" s="163"/>
      <c r="TEO88" s="163"/>
      <c r="TEP88" s="163"/>
      <c r="TEQ88" s="163"/>
      <c r="TER88" s="163"/>
      <c r="TES88" s="163"/>
      <c r="TET88" s="163"/>
      <c r="TEU88" s="163"/>
      <c r="TEV88" s="163"/>
      <c r="TEW88" s="163"/>
      <c r="TEX88" s="163"/>
      <c r="TEY88" s="163"/>
      <c r="TEZ88" s="163"/>
      <c r="TFA88" s="163"/>
      <c r="TFB88" s="163"/>
      <c r="TFC88" s="163"/>
      <c r="TFD88" s="163"/>
      <c r="TFE88" s="163"/>
      <c r="TFF88" s="163"/>
      <c r="TFG88" s="163"/>
      <c r="TFH88" s="163"/>
      <c r="TFI88" s="163"/>
      <c r="TFJ88" s="163"/>
      <c r="TFK88" s="163"/>
      <c r="TFL88" s="163"/>
      <c r="TFM88" s="163"/>
      <c r="TFN88" s="163"/>
      <c r="TFO88" s="163"/>
      <c r="TFP88" s="163"/>
      <c r="TFQ88" s="163"/>
      <c r="TFR88" s="163"/>
      <c r="TFS88" s="163"/>
      <c r="TFT88" s="163"/>
      <c r="TFU88" s="163"/>
      <c r="TFV88" s="163"/>
      <c r="TFW88" s="163"/>
      <c r="TFX88" s="163"/>
      <c r="TFY88" s="163"/>
      <c r="TFZ88" s="163"/>
      <c r="TGA88" s="163"/>
      <c r="TGB88" s="163"/>
      <c r="TGC88" s="163"/>
      <c r="TGD88" s="163"/>
      <c r="TGE88" s="163"/>
      <c r="TGF88" s="163"/>
      <c r="TGG88" s="163"/>
      <c r="TGH88" s="163"/>
      <c r="TGI88" s="163"/>
      <c r="TGJ88" s="163"/>
      <c r="TGK88" s="163"/>
      <c r="TGL88" s="163"/>
      <c r="TGM88" s="163"/>
      <c r="TGN88" s="163"/>
      <c r="TGO88" s="163"/>
      <c r="TGP88" s="163"/>
      <c r="TGQ88" s="163"/>
      <c r="TGR88" s="163"/>
      <c r="TGS88" s="163"/>
      <c r="TGT88" s="163"/>
      <c r="TGU88" s="163"/>
      <c r="TGV88" s="163"/>
      <c r="TGW88" s="163"/>
      <c r="TGX88" s="163"/>
      <c r="TGY88" s="163"/>
      <c r="TGZ88" s="163"/>
      <c r="THA88" s="163"/>
      <c r="THB88" s="163"/>
      <c r="THC88" s="163"/>
      <c r="THD88" s="163"/>
      <c r="THE88" s="163"/>
      <c r="THF88" s="163"/>
      <c r="THG88" s="163"/>
      <c r="THH88" s="163"/>
      <c r="THI88" s="163"/>
      <c r="THJ88" s="163"/>
      <c r="THK88" s="163"/>
      <c r="THL88" s="163"/>
      <c r="THM88" s="163"/>
      <c r="THN88" s="163"/>
      <c r="THO88" s="163"/>
      <c r="THP88" s="163"/>
      <c r="THQ88" s="163"/>
      <c r="THR88" s="163"/>
      <c r="THS88" s="163"/>
      <c r="THT88" s="163"/>
      <c r="THU88" s="163"/>
      <c r="THV88" s="163"/>
      <c r="THW88" s="163"/>
      <c r="THX88" s="163"/>
      <c r="THY88" s="163"/>
      <c r="THZ88" s="163"/>
      <c r="TIA88" s="163"/>
      <c r="TIB88" s="163"/>
      <c r="TIC88" s="163"/>
      <c r="TID88" s="163"/>
      <c r="TIE88" s="163"/>
      <c r="TIF88" s="163"/>
      <c r="TIG88" s="163"/>
      <c r="TIH88" s="163"/>
      <c r="TII88" s="163"/>
      <c r="TIJ88" s="163"/>
      <c r="TIK88" s="163"/>
      <c r="TIL88" s="163"/>
      <c r="TIM88" s="163"/>
      <c r="TIN88" s="163"/>
      <c r="TIO88" s="163"/>
      <c r="TIP88" s="163"/>
      <c r="TIQ88" s="163"/>
      <c r="TIR88" s="163"/>
      <c r="TIS88" s="163"/>
      <c r="TIT88" s="163"/>
      <c r="TIU88" s="163"/>
      <c r="TIV88" s="163"/>
      <c r="TIW88" s="163"/>
      <c r="TIX88" s="163"/>
      <c r="TIY88" s="163"/>
      <c r="TIZ88" s="163"/>
      <c r="TJA88" s="163"/>
      <c r="TJB88" s="163"/>
      <c r="TJC88" s="163"/>
      <c r="TJD88" s="163"/>
      <c r="TJE88" s="163"/>
      <c r="TJF88" s="163"/>
      <c r="TJG88" s="163"/>
      <c r="TJH88" s="163"/>
      <c r="TJI88" s="163"/>
      <c r="TJJ88" s="163"/>
      <c r="TJK88" s="163"/>
      <c r="TJL88" s="163"/>
      <c r="TJM88" s="163"/>
      <c r="TJN88" s="163"/>
      <c r="TJO88" s="163"/>
      <c r="TJP88" s="163"/>
      <c r="TJQ88" s="163"/>
      <c r="TJR88" s="163"/>
      <c r="TJS88" s="163"/>
      <c r="TJT88" s="163"/>
      <c r="TJU88" s="163"/>
      <c r="TJV88" s="163"/>
      <c r="TJW88" s="163"/>
      <c r="TJX88" s="163"/>
      <c r="TJY88" s="163"/>
      <c r="TJZ88" s="163"/>
      <c r="TKA88" s="163"/>
      <c r="TKB88" s="163"/>
      <c r="TKC88" s="163"/>
      <c r="TKD88" s="163"/>
      <c r="TKE88" s="163"/>
      <c r="TKF88" s="163"/>
      <c r="TKG88" s="163"/>
      <c r="TKH88" s="163"/>
      <c r="TKI88" s="163"/>
      <c r="TKJ88" s="163"/>
      <c r="TKK88" s="163"/>
      <c r="TKL88" s="163"/>
      <c r="TKM88" s="163"/>
      <c r="TKN88" s="163"/>
      <c r="TKO88" s="163"/>
      <c r="TKP88" s="163"/>
      <c r="TKQ88" s="163"/>
      <c r="TKR88" s="163"/>
      <c r="TKS88" s="163"/>
      <c r="TKT88" s="163"/>
      <c r="TKU88" s="163"/>
      <c r="TKV88" s="163"/>
      <c r="TKW88" s="163"/>
      <c r="TKX88" s="163"/>
      <c r="TKY88" s="163"/>
      <c r="TKZ88" s="163"/>
      <c r="TLA88" s="163"/>
      <c r="TLB88" s="163"/>
      <c r="TLC88" s="163"/>
      <c r="TLD88" s="163"/>
      <c r="TLE88" s="163"/>
      <c r="TLF88" s="163"/>
      <c r="TLG88" s="163"/>
      <c r="TLH88" s="163"/>
      <c r="TLI88" s="163"/>
      <c r="TLJ88" s="163"/>
      <c r="TLK88" s="163"/>
      <c r="TLL88" s="163"/>
      <c r="TLM88" s="163"/>
      <c r="TLN88" s="163"/>
      <c r="TLO88" s="163"/>
      <c r="TLP88" s="163"/>
      <c r="TLQ88" s="163"/>
      <c r="TLR88" s="163"/>
      <c r="TLS88" s="163"/>
      <c r="TLT88" s="163"/>
      <c r="TLU88" s="163"/>
      <c r="TLV88" s="163"/>
      <c r="TLW88" s="163"/>
      <c r="TLX88" s="163"/>
      <c r="TLY88" s="163"/>
      <c r="TLZ88" s="163"/>
      <c r="TMA88" s="163"/>
      <c r="TMB88" s="163"/>
      <c r="TMC88" s="163"/>
      <c r="TMD88" s="163"/>
      <c r="TME88" s="163"/>
      <c r="TMF88" s="163"/>
      <c r="TMG88" s="163"/>
      <c r="TMH88" s="163"/>
      <c r="TMI88" s="163"/>
      <c r="TMJ88" s="163"/>
      <c r="TMK88" s="163"/>
      <c r="TML88" s="163"/>
      <c r="TMM88" s="163"/>
      <c r="TMN88" s="163"/>
      <c r="TMO88" s="163"/>
      <c r="TMP88" s="163"/>
      <c r="TMQ88" s="163"/>
      <c r="TMR88" s="163"/>
      <c r="TMS88" s="163"/>
      <c r="TMT88" s="163"/>
      <c r="TMU88" s="163"/>
      <c r="TMV88" s="163"/>
      <c r="TMW88" s="163"/>
      <c r="TMX88" s="163"/>
      <c r="TMY88" s="163"/>
      <c r="TMZ88" s="163"/>
      <c r="TNA88" s="163"/>
      <c r="TNB88" s="163"/>
      <c r="TNC88" s="163"/>
      <c r="TND88" s="163"/>
      <c r="TNE88" s="163"/>
      <c r="TNF88" s="163"/>
      <c r="TNG88" s="163"/>
      <c r="TNH88" s="163"/>
      <c r="TNI88" s="163"/>
      <c r="TNJ88" s="163"/>
      <c r="TNK88" s="163"/>
      <c r="TNL88" s="163"/>
      <c r="TNM88" s="163"/>
      <c r="TNN88" s="163"/>
      <c r="TNO88" s="163"/>
      <c r="TNP88" s="163"/>
      <c r="TNQ88" s="163"/>
      <c r="TNR88" s="163"/>
      <c r="TNS88" s="163"/>
      <c r="TNT88" s="163"/>
      <c r="TNU88" s="163"/>
      <c r="TNV88" s="163"/>
      <c r="TNW88" s="163"/>
      <c r="TNX88" s="163"/>
      <c r="TNY88" s="163"/>
      <c r="TNZ88" s="163"/>
      <c r="TOA88" s="163"/>
      <c r="TOB88" s="163"/>
      <c r="TOC88" s="163"/>
      <c r="TOD88" s="163"/>
      <c r="TOE88" s="163"/>
      <c r="TOF88" s="163"/>
      <c r="TOG88" s="163"/>
      <c r="TOH88" s="163"/>
      <c r="TOI88" s="163"/>
      <c r="TOJ88" s="163"/>
      <c r="TOK88" s="163"/>
      <c r="TOL88" s="163"/>
      <c r="TOM88" s="163"/>
      <c r="TON88" s="163"/>
      <c r="TOO88" s="163"/>
      <c r="TOP88" s="163"/>
      <c r="TOQ88" s="163"/>
      <c r="TOR88" s="163"/>
      <c r="TOS88" s="163"/>
      <c r="TOT88" s="163"/>
      <c r="TOU88" s="163"/>
      <c r="TOV88" s="163"/>
      <c r="TOW88" s="163"/>
      <c r="TOX88" s="163"/>
      <c r="TOY88" s="163"/>
      <c r="TOZ88" s="163"/>
      <c r="TPA88" s="163"/>
      <c r="TPB88" s="163"/>
      <c r="TPC88" s="163"/>
      <c r="TPD88" s="163"/>
      <c r="TPE88" s="163"/>
      <c r="TPF88" s="163"/>
      <c r="TPG88" s="163"/>
      <c r="TPH88" s="163"/>
      <c r="TPI88" s="163"/>
      <c r="TPJ88" s="163"/>
      <c r="TPK88" s="163"/>
      <c r="TPL88" s="163"/>
      <c r="TPM88" s="163"/>
      <c r="TPN88" s="163"/>
      <c r="TPO88" s="163"/>
      <c r="TPP88" s="163"/>
      <c r="TPQ88" s="163"/>
      <c r="TPR88" s="163"/>
      <c r="TPS88" s="163"/>
      <c r="TPT88" s="163"/>
      <c r="TPU88" s="163"/>
      <c r="TPV88" s="163"/>
      <c r="TPW88" s="163"/>
      <c r="TPX88" s="163"/>
      <c r="TPY88" s="163"/>
      <c r="TPZ88" s="163"/>
      <c r="TQA88" s="163"/>
      <c r="TQB88" s="163"/>
      <c r="TQC88" s="163"/>
      <c r="TQD88" s="163"/>
      <c r="TQE88" s="163"/>
      <c r="TQF88" s="163"/>
      <c r="TQG88" s="163"/>
      <c r="TQH88" s="163"/>
      <c r="TQI88" s="163"/>
      <c r="TQJ88" s="163"/>
      <c r="TQK88" s="163"/>
      <c r="TQL88" s="163"/>
      <c r="TQM88" s="163"/>
      <c r="TQN88" s="163"/>
      <c r="TQO88" s="163"/>
      <c r="TQP88" s="163"/>
      <c r="TQQ88" s="163"/>
      <c r="TQR88" s="163"/>
      <c r="TQS88" s="163"/>
      <c r="TQT88" s="163"/>
      <c r="TQU88" s="163"/>
      <c r="TQV88" s="163"/>
      <c r="TQW88" s="163"/>
      <c r="TQX88" s="163"/>
      <c r="TQY88" s="163"/>
      <c r="TQZ88" s="163"/>
      <c r="TRA88" s="163"/>
      <c r="TRB88" s="163"/>
      <c r="TRC88" s="163"/>
      <c r="TRD88" s="163"/>
      <c r="TRE88" s="163"/>
      <c r="TRF88" s="163"/>
      <c r="TRG88" s="163"/>
      <c r="TRH88" s="163"/>
      <c r="TRI88" s="163"/>
      <c r="TRJ88" s="163"/>
      <c r="TRK88" s="163"/>
      <c r="TRL88" s="163"/>
      <c r="TRM88" s="163"/>
      <c r="TRN88" s="163"/>
      <c r="TRO88" s="163"/>
      <c r="TRP88" s="163"/>
      <c r="TRQ88" s="163"/>
      <c r="TRR88" s="163"/>
      <c r="TRS88" s="163"/>
      <c r="TRT88" s="163"/>
      <c r="TRU88" s="163"/>
      <c r="TRV88" s="163"/>
      <c r="TRW88" s="163"/>
      <c r="TRX88" s="163"/>
      <c r="TRY88" s="163"/>
      <c r="TRZ88" s="163"/>
      <c r="TSA88" s="163"/>
      <c r="TSB88" s="163"/>
      <c r="TSC88" s="163"/>
      <c r="TSD88" s="163"/>
      <c r="TSE88" s="163"/>
      <c r="TSF88" s="163"/>
      <c r="TSG88" s="163"/>
      <c r="TSH88" s="163"/>
      <c r="TSI88" s="163"/>
      <c r="TSJ88" s="163"/>
      <c r="TSK88" s="163"/>
      <c r="TSL88" s="163"/>
      <c r="TSM88" s="163"/>
      <c r="TSN88" s="163"/>
      <c r="TSO88" s="163"/>
      <c r="TSP88" s="163"/>
      <c r="TSQ88" s="163"/>
      <c r="TSR88" s="163"/>
      <c r="TSS88" s="163"/>
      <c r="TST88" s="163"/>
      <c r="TSU88" s="163"/>
      <c r="TSV88" s="163"/>
      <c r="TSW88" s="163"/>
      <c r="TSX88" s="163"/>
      <c r="TSY88" s="163"/>
      <c r="TSZ88" s="163"/>
      <c r="TTA88" s="163"/>
      <c r="TTB88" s="163"/>
      <c r="TTC88" s="163"/>
      <c r="TTD88" s="163"/>
      <c r="TTE88" s="163"/>
      <c r="TTF88" s="163"/>
      <c r="TTG88" s="163"/>
      <c r="TTH88" s="163"/>
      <c r="TTI88" s="163"/>
      <c r="TTJ88" s="163"/>
      <c r="TTK88" s="163"/>
      <c r="TTL88" s="163"/>
      <c r="TTM88" s="163"/>
      <c r="TTN88" s="163"/>
      <c r="TTO88" s="163"/>
      <c r="TTP88" s="163"/>
      <c r="TTQ88" s="163"/>
      <c r="TTR88" s="163"/>
      <c r="TTS88" s="163"/>
      <c r="TTT88" s="163"/>
      <c r="TTU88" s="163"/>
      <c r="TTV88" s="163"/>
      <c r="TTW88" s="163"/>
      <c r="TTX88" s="163"/>
      <c r="TTY88" s="163"/>
      <c r="TTZ88" s="163"/>
      <c r="TUA88" s="163"/>
      <c r="TUB88" s="163"/>
      <c r="TUC88" s="163"/>
      <c r="TUD88" s="163"/>
      <c r="TUE88" s="163"/>
      <c r="TUF88" s="163"/>
      <c r="TUG88" s="163"/>
      <c r="TUH88" s="163"/>
      <c r="TUI88" s="163"/>
      <c r="TUJ88" s="163"/>
      <c r="TUK88" s="163"/>
      <c r="TUL88" s="163"/>
      <c r="TUM88" s="163"/>
      <c r="TUN88" s="163"/>
      <c r="TUO88" s="163"/>
      <c r="TUP88" s="163"/>
      <c r="TUQ88" s="163"/>
      <c r="TUR88" s="163"/>
      <c r="TUS88" s="163"/>
      <c r="TUT88" s="163"/>
      <c r="TUU88" s="163"/>
      <c r="TUV88" s="163"/>
      <c r="TUW88" s="163"/>
      <c r="TUX88" s="163"/>
      <c r="TUY88" s="163"/>
      <c r="TUZ88" s="163"/>
      <c r="TVA88" s="163"/>
      <c r="TVB88" s="163"/>
      <c r="TVC88" s="163"/>
      <c r="TVD88" s="163"/>
      <c r="TVE88" s="163"/>
      <c r="TVF88" s="163"/>
      <c r="TVG88" s="163"/>
      <c r="TVH88" s="163"/>
      <c r="TVI88" s="163"/>
      <c r="TVJ88" s="163"/>
      <c r="TVK88" s="163"/>
      <c r="TVL88" s="163"/>
      <c r="TVM88" s="163"/>
      <c r="TVN88" s="163"/>
      <c r="TVO88" s="163"/>
      <c r="TVP88" s="163"/>
      <c r="TVQ88" s="163"/>
      <c r="TVR88" s="163"/>
      <c r="TVS88" s="163"/>
      <c r="TVT88" s="163"/>
      <c r="TVU88" s="163"/>
      <c r="TVV88" s="163"/>
      <c r="TVW88" s="163"/>
      <c r="TVX88" s="163"/>
      <c r="TVY88" s="163"/>
      <c r="TVZ88" s="163"/>
      <c r="TWA88" s="163"/>
      <c r="TWB88" s="163"/>
      <c r="TWC88" s="163"/>
      <c r="TWD88" s="163"/>
      <c r="TWE88" s="163"/>
      <c r="TWF88" s="163"/>
      <c r="TWG88" s="163"/>
      <c r="TWH88" s="163"/>
      <c r="TWI88" s="163"/>
      <c r="TWJ88" s="163"/>
      <c r="TWK88" s="163"/>
      <c r="TWL88" s="163"/>
      <c r="TWM88" s="163"/>
      <c r="TWN88" s="163"/>
      <c r="TWO88" s="163"/>
      <c r="TWP88" s="163"/>
      <c r="TWQ88" s="163"/>
      <c r="TWR88" s="163"/>
      <c r="TWS88" s="163"/>
      <c r="TWT88" s="163"/>
      <c r="TWU88" s="163"/>
      <c r="TWV88" s="163"/>
      <c r="TWW88" s="163"/>
      <c r="TWX88" s="163"/>
      <c r="TWY88" s="163"/>
      <c r="TWZ88" s="163"/>
      <c r="TXA88" s="163"/>
      <c r="TXB88" s="163"/>
      <c r="TXC88" s="163"/>
      <c r="TXD88" s="163"/>
      <c r="TXE88" s="163"/>
      <c r="TXF88" s="163"/>
      <c r="TXG88" s="163"/>
      <c r="TXH88" s="163"/>
      <c r="TXI88" s="163"/>
      <c r="TXJ88" s="163"/>
      <c r="TXK88" s="163"/>
      <c r="TXL88" s="163"/>
      <c r="TXM88" s="163"/>
      <c r="TXN88" s="163"/>
      <c r="TXO88" s="163"/>
      <c r="TXP88" s="163"/>
      <c r="TXQ88" s="163"/>
      <c r="TXR88" s="163"/>
      <c r="TXS88" s="163"/>
      <c r="TXT88" s="163"/>
      <c r="TXU88" s="163"/>
      <c r="TXV88" s="163"/>
      <c r="TXW88" s="163"/>
      <c r="TXX88" s="163"/>
      <c r="TXY88" s="163"/>
      <c r="TXZ88" s="163"/>
      <c r="TYA88" s="163"/>
      <c r="TYB88" s="163"/>
      <c r="TYC88" s="163"/>
      <c r="TYD88" s="163"/>
      <c r="TYE88" s="163"/>
      <c r="TYF88" s="163"/>
      <c r="TYG88" s="163"/>
      <c r="TYH88" s="163"/>
      <c r="TYI88" s="163"/>
      <c r="TYJ88" s="163"/>
      <c r="TYK88" s="163"/>
      <c r="TYL88" s="163"/>
      <c r="TYM88" s="163"/>
      <c r="TYN88" s="163"/>
      <c r="TYO88" s="163"/>
      <c r="TYP88" s="163"/>
      <c r="TYQ88" s="163"/>
      <c r="TYR88" s="163"/>
      <c r="TYS88" s="163"/>
      <c r="TYT88" s="163"/>
      <c r="TYU88" s="163"/>
      <c r="TYV88" s="163"/>
      <c r="TYW88" s="163"/>
      <c r="TYX88" s="163"/>
      <c r="TYY88" s="163"/>
      <c r="TYZ88" s="163"/>
      <c r="TZA88" s="163"/>
      <c r="TZB88" s="163"/>
      <c r="TZC88" s="163"/>
      <c r="TZD88" s="163"/>
      <c r="TZE88" s="163"/>
      <c r="TZF88" s="163"/>
      <c r="TZG88" s="163"/>
      <c r="TZH88" s="163"/>
      <c r="TZI88" s="163"/>
      <c r="TZJ88" s="163"/>
      <c r="TZK88" s="163"/>
      <c r="TZL88" s="163"/>
      <c r="TZM88" s="163"/>
      <c r="TZN88" s="163"/>
      <c r="TZO88" s="163"/>
      <c r="TZP88" s="163"/>
      <c r="TZQ88" s="163"/>
      <c r="TZR88" s="163"/>
      <c r="TZS88" s="163"/>
      <c r="TZT88" s="163"/>
      <c r="TZU88" s="163"/>
      <c r="TZV88" s="163"/>
      <c r="TZW88" s="163"/>
      <c r="TZX88" s="163"/>
      <c r="TZY88" s="163"/>
      <c r="TZZ88" s="163"/>
      <c r="UAA88" s="163"/>
      <c r="UAB88" s="163"/>
      <c r="UAC88" s="163"/>
      <c r="UAD88" s="163"/>
      <c r="UAE88" s="163"/>
      <c r="UAF88" s="163"/>
      <c r="UAG88" s="163"/>
      <c r="UAH88" s="163"/>
      <c r="UAI88" s="163"/>
      <c r="UAJ88" s="163"/>
      <c r="UAK88" s="163"/>
      <c r="UAL88" s="163"/>
      <c r="UAM88" s="163"/>
      <c r="UAN88" s="163"/>
      <c r="UAO88" s="163"/>
      <c r="UAP88" s="163"/>
      <c r="UAQ88" s="163"/>
      <c r="UAR88" s="163"/>
      <c r="UAS88" s="163"/>
      <c r="UAT88" s="163"/>
      <c r="UAU88" s="163"/>
      <c r="UAV88" s="163"/>
      <c r="UAW88" s="163"/>
      <c r="UAX88" s="163"/>
      <c r="UAY88" s="163"/>
      <c r="UAZ88" s="163"/>
      <c r="UBA88" s="163"/>
      <c r="UBB88" s="163"/>
      <c r="UBC88" s="163"/>
      <c r="UBD88" s="163"/>
      <c r="UBE88" s="163"/>
      <c r="UBF88" s="163"/>
      <c r="UBG88" s="163"/>
      <c r="UBH88" s="163"/>
      <c r="UBI88" s="163"/>
      <c r="UBJ88" s="163"/>
      <c r="UBK88" s="163"/>
      <c r="UBL88" s="163"/>
      <c r="UBM88" s="163"/>
      <c r="UBN88" s="163"/>
      <c r="UBO88" s="163"/>
      <c r="UBP88" s="163"/>
      <c r="UBQ88" s="163"/>
      <c r="UBR88" s="163"/>
      <c r="UBS88" s="163"/>
      <c r="UBT88" s="163"/>
      <c r="UBU88" s="163"/>
      <c r="UBV88" s="163"/>
      <c r="UBW88" s="163"/>
      <c r="UBX88" s="163"/>
      <c r="UBY88" s="163"/>
      <c r="UBZ88" s="163"/>
      <c r="UCA88" s="163"/>
      <c r="UCB88" s="163"/>
      <c r="UCC88" s="163"/>
      <c r="UCD88" s="163"/>
      <c r="UCE88" s="163"/>
      <c r="UCF88" s="163"/>
      <c r="UCG88" s="163"/>
      <c r="UCH88" s="163"/>
      <c r="UCI88" s="163"/>
      <c r="UCJ88" s="163"/>
      <c r="UCK88" s="163"/>
      <c r="UCL88" s="163"/>
      <c r="UCM88" s="163"/>
      <c r="UCN88" s="163"/>
      <c r="UCO88" s="163"/>
      <c r="UCP88" s="163"/>
      <c r="UCQ88" s="163"/>
      <c r="UCR88" s="163"/>
      <c r="UCS88" s="163"/>
      <c r="UCT88" s="163"/>
      <c r="UCU88" s="163"/>
      <c r="UCV88" s="163"/>
      <c r="UCW88" s="163"/>
      <c r="UCX88" s="163"/>
      <c r="UCY88" s="163"/>
      <c r="UCZ88" s="163"/>
      <c r="UDA88" s="163"/>
      <c r="UDB88" s="163"/>
      <c r="UDC88" s="163"/>
      <c r="UDD88" s="163"/>
      <c r="UDE88" s="163"/>
      <c r="UDF88" s="163"/>
      <c r="UDG88" s="163"/>
      <c r="UDH88" s="163"/>
      <c r="UDI88" s="163"/>
      <c r="UDJ88" s="163"/>
      <c r="UDK88" s="163"/>
      <c r="UDL88" s="163"/>
      <c r="UDM88" s="163"/>
      <c r="UDN88" s="163"/>
      <c r="UDO88" s="163"/>
      <c r="UDP88" s="163"/>
      <c r="UDQ88" s="163"/>
      <c r="UDR88" s="163"/>
      <c r="UDS88" s="163"/>
      <c r="UDT88" s="163"/>
      <c r="UDU88" s="163"/>
      <c r="UDV88" s="163"/>
      <c r="UDW88" s="163"/>
      <c r="UDX88" s="163"/>
      <c r="UDY88" s="163"/>
      <c r="UDZ88" s="163"/>
      <c r="UEA88" s="163"/>
      <c r="UEB88" s="163"/>
      <c r="UEC88" s="163"/>
      <c r="UED88" s="163"/>
      <c r="UEE88" s="163"/>
      <c r="UEF88" s="163"/>
      <c r="UEG88" s="163"/>
      <c r="UEH88" s="163"/>
      <c r="UEI88" s="163"/>
      <c r="UEJ88" s="163"/>
      <c r="UEK88" s="163"/>
      <c r="UEL88" s="163"/>
      <c r="UEM88" s="163"/>
      <c r="UEN88" s="163"/>
      <c r="UEO88" s="163"/>
      <c r="UEP88" s="163"/>
      <c r="UEQ88" s="163"/>
      <c r="UER88" s="163"/>
      <c r="UES88" s="163"/>
      <c r="UET88" s="163"/>
      <c r="UEU88" s="163"/>
      <c r="UEV88" s="163"/>
      <c r="UEW88" s="163"/>
      <c r="UEX88" s="163"/>
      <c r="UEY88" s="163"/>
      <c r="UEZ88" s="163"/>
      <c r="UFA88" s="163"/>
      <c r="UFB88" s="163"/>
      <c r="UFC88" s="163"/>
      <c r="UFD88" s="163"/>
      <c r="UFE88" s="163"/>
      <c r="UFF88" s="163"/>
      <c r="UFG88" s="163"/>
      <c r="UFH88" s="163"/>
      <c r="UFI88" s="163"/>
      <c r="UFJ88" s="163"/>
      <c r="UFK88" s="163"/>
      <c r="UFL88" s="163"/>
      <c r="UFM88" s="163"/>
      <c r="UFN88" s="163"/>
      <c r="UFO88" s="163"/>
      <c r="UFP88" s="163"/>
      <c r="UFQ88" s="163"/>
      <c r="UFR88" s="163"/>
      <c r="UFS88" s="163"/>
      <c r="UFT88" s="163"/>
      <c r="UFU88" s="163"/>
      <c r="UFV88" s="163"/>
      <c r="UFW88" s="163"/>
      <c r="UFX88" s="163"/>
      <c r="UFY88" s="163"/>
      <c r="UFZ88" s="163"/>
      <c r="UGA88" s="163"/>
      <c r="UGB88" s="163"/>
      <c r="UGC88" s="163"/>
      <c r="UGD88" s="163"/>
      <c r="UGE88" s="163"/>
      <c r="UGF88" s="163"/>
      <c r="UGG88" s="163"/>
      <c r="UGH88" s="163"/>
      <c r="UGI88" s="163"/>
      <c r="UGJ88" s="163"/>
      <c r="UGK88" s="163"/>
      <c r="UGL88" s="163"/>
      <c r="UGM88" s="163"/>
      <c r="UGN88" s="163"/>
      <c r="UGO88" s="163"/>
      <c r="UGP88" s="163"/>
      <c r="UGQ88" s="163"/>
      <c r="UGR88" s="163"/>
      <c r="UGS88" s="163"/>
      <c r="UGT88" s="163"/>
      <c r="UGU88" s="163"/>
      <c r="UGV88" s="163"/>
      <c r="UGW88" s="163"/>
      <c r="UGX88" s="163"/>
      <c r="UGY88" s="163"/>
      <c r="UGZ88" s="163"/>
      <c r="UHA88" s="163"/>
      <c r="UHB88" s="163"/>
      <c r="UHC88" s="163"/>
      <c r="UHD88" s="163"/>
      <c r="UHE88" s="163"/>
      <c r="UHF88" s="163"/>
      <c r="UHG88" s="163"/>
      <c r="UHH88" s="163"/>
      <c r="UHI88" s="163"/>
      <c r="UHJ88" s="163"/>
      <c r="UHK88" s="163"/>
      <c r="UHL88" s="163"/>
      <c r="UHM88" s="163"/>
      <c r="UHN88" s="163"/>
      <c r="UHO88" s="163"/>
      <c r="UHP88" s="163"/>
      <c r="UHQ88" s="163"/>
      <c r="UHR88" s="163"/>
      <c r="UHS88" s="163"/>
      <c r="UHT88" s="163"/>
      <c r="UHU88" s="163"/>
      <c r="UHV88" s="163"/>
      <c r="UHW88" s="163"/>
      <c r="UHX88" s="163"/>
      <c r="UHY88" s="163"/>
      <c r="UHZ88" s="163"/>
      <c r="UIA88" s="163"/>
      <c r="UIB88" s="163"/>
      <c r="UIC88" s="163"/>
      <c r="UID88" s="163"/>
      <c r="UIE88" s="163"/>
      <c r="UIF88" s="163"/>
      <c r="UIG88" s="163"/>
      <c r="UIH88" s="163"/>
      <c r="UII88" s="163"/>
      <c r="UIJ88" s="163"/>
      <c r="UIK88" s="163"/>
      <c r="UIL88" s="163"/>
      <c r="UIM88" s="163"/>
      <c r="UIN88" s="163"/>
      <c r="UIO88" s="163"/>
      <c r="UIP88" s="163"/>
      <c r="UIQ88" s="163"/>
      <c r="UIR88" s="163"/>
      <c r="UIS88" s="163"/>
      <c r="UIT88" s="163"/>
      <c r="UIU88" s="163"/>
      <c r="UIV88" s="163"/>
      <c r="UIW88" s="163"/>
      <c r="UIX88" s="163"/>
      <c r="UIY88" s="163"/>
      <c r="UIZ88" s="163"/>
      <c r="UJA88" s="163"/>
      <c r="UJB88" s="163"/>
      <c r="UJC88" s="163"/>
      <c r="UJD88" s="163"/>
      <c r="UJE88" s="163"/>
      <c r="UJF88" s="163"/>
      <c r="UJG88" s="163"/>
      <c r="UJH88" s="163"/>
      <c r="UJI88" s="163"/>
      <c r="UJJ88" s="163"/>
      <c r="UJK88" s="163"/>
      <c r="UJL88" s="163"/>
      <c r="UJM88" s="163"/>
      <c r="UJN88" s="163"/>
      <c r="UJO88" s="163"/>
      <c r="UJP88" s="163"/>
      <c r="UJQ88" s="163"/>
      <c r="UJR88" s="163"/>
      <c r="UJS88" s="163"/>
      <c r="UJT88" s="163"/>
      <c r="UJU88" s="163"/>
      <c r="UJV88" s="163"/>
      <c r="UJW88" s="163"/>
      <c r="UJX88" s="163"/>
      <c r="UJY88" s="163"/>
      <c r="UJZ88" s="163"/>
      <c r="UKA88" s="163"/>
      <c r="UKB88" s="163"/>
      <c r="UKC88" s="163"/>
      <c r="UKD88" s="163"/>
      <c r="UKE88" s="163"/>
      <c r="UKF88" s="163"/>
      <c r="UKG88" s="163"/>
      <c r="UKH88" s="163"/>
      <c r="UKI88" s="163"/>
      <c r="UKJ88" s="163"/>
      <c r="UKK88" s="163"/>
      <c r="UKL88" s="163"/>
      <c r="UKM88" s="163"/>
      <c r="UKN88" s="163"/>
      <c r="UKO88" s="163"/>
      <c r="UKP88" s="163"/>
      <c r="UKQ88" s="163"/>
      <c r="UKR88" s="163"/>
      <c r="UKS88" s="163"/>
      <c r="UKT88" s="163"/>
      <c r="UKU88" s="163"/>
      <c r="UKV88" s="163"/>
      <c r="UKW88" s="163"/>
      <c r="UKX88" s="163"/>
      <c r="UKY88" s="163"/>
      <c r="UKZ88" s="163"/>
      <c r="ULA88" s="163"/>
      <c r="ULB88" s="163"/>
      <c r="ULC88" s="163"/>
      <c r="ULD88" s="163"/>
      <c r="ULE88" s="163"/>
      <c r="ULF88" s="163"/>
      <c r="ULG88" s="163"/>
      <c r="ULH88" s="163"/>
      <c r="ULI88" s="163"/>
      <c r="ULJ88" s="163"/>
      <c r="ULK88" s="163"/>
      <c r="ULL88" s="163"/>
      <c r="ULM88" s="163"/>
      <c r="ULN88" s="163"/>
      <c r="ULO88" s="163"/>
      <c r="ULP88" s="163"/>
      <c r="ULQ88" s="163"/>
      <c r="ULR88" s="163"/>
      <c r="ULS88" s="163"/>
      <c r="ULT88" s="163"/>
      <c r="ULU88" s="163"/>
      <c r="ULV88" s="163"/>
      <c r="ULW88" s="163"/>
      <c r="ULX88" s="163"/>
      <c r="ULY88" s="163"/>
      <c r="ULZ88" s="163"/>
      <c r="UMA88" s="163"/>
      <c r="UMB88" s="163"/>
      <c r="UMC88" s="163"/>
      <c r="UMD88" s="163"/>
      <c r="UME88" s="163"/>
      <c r="UMF88" s="163"/>
      <c r="UMG88" s="163"/>
      <c r="UMH88" s="163"/>
      <c r="UMI88" s="163"/>
      <c r="UMJ88" s="163"/>
      <c r="UMK88" s="163"/>
      <c r="UML88" s="163"/>
      <c r="UMM88" s="163"/>
      <c r="UMN88" s="163"/>
      <c r="UMO88" s="163"/>
      <c r="UMP88" s="163"/>
      <c r="UMQ88" s="163"/>
      <c r="UMR88" s="163"/>
      <c r="UMS88" s="163"/>
      <c r="UMT88" s="163"/>
      <c r="UMU88" s="163"/>
      <c r="UMV88" s="163"/>
      <c r="UMW88" s="163"/>
      <c r="UMX88" s="163"/>
      <c r="UMY88" s="163"/>
      <c r="UMZ88" s="163"/>
      <c r="UNA88" s="163"/>
      <c r="UNB88" s="163"/>
      <c r="UNC88" s="163"/>
      <c r="UND88" s="163"/>
      <c r="UNE88" s="163"/>
      <c r="UNF88" s="163"/>
      <c r="UNG88" s="163"/>
      <c r="UNH88" s="163"/>
      <c r="UNI88" s="163"/>
      <c r="UNJ88" s="163"/>
      <c r="UNK88" s="163"/>
      <c r="UNL88" s="163"/>
      <c r="UNM88" s="163"/>
      <c r="UNN88" s="163"/>
      <c r="UNO88" s="163"/>
      <c r="UNP88" s="163"/>
      <c r="UNQ88" s="163"/>
      <c r="UNR88" s="163"/>
      <c r="UNS88" s="163"/>
      <c r="UNT88" s="163"/>
      <c r="UNU88" s="163"/>
      <c r="UNV88" s="163"/>
      <c r="UNW88" s="163"/>
      <c r="UNX88" s="163"/>
      <c r="UNY88" s="163"/>
      <c r="UNZ88" s="163"/>
      <c r="UOA88" s="163"/>
      <c r="UOB88" s="163"/>
      <c r="UOC88" s="163"/>
      <c r="UOD88" s="163"/>
      <c r="UOE88" s="163"/>
      <c r="UOF88" s="163"/>
      <c r="UOG88" s="163"/>
      <c r="UOH88" s="163"/>
      <c r="UOI88" s="163"/>
      <c r="UOJ88" s="163"/>
      <c r="UOK88" s="163"/>
      <c r="UOL88" s="163"/>
      <c r="UOM88" s="163"/>
      <c r="UON88" s="163"/>
      <c r="UOO88" s="163"/>
      <c r="UOP88" s="163"/>
      <c r="UOQ88" s="163"/>
      <c r="UOR88" s="163"/>
      <c r="UOS88" s="163"/>
      <c r="UOT88" s="163"/>
      <c r="UOU88" s="163"/>
      <c r="UOV88" s="163"/>
      <c r="UOW88" s="163"/>
      <c r="UOX88" s="163"/>
      <c r="UOY88" s="163"/>
      <c r="UOZ88" s="163"/>
      <c r="UPA88" s="163"/>
      <c r="UPB88" s="163"/>
      <c r="UPC88" s="163"/>
      <c r="UPD88" s="163"/>
      <c r="UPE88" s="163"/>
      <c r="UPF88" s="163"/>
      <c r="UPG88" s="163"/>
      <c r="UPH88" s="163"/>
      <c r="UPI88" s="163"/>
      <c r="UPJ88" s="163"/>
      <c r="UPK88" s="163"/>
      <c r="UPL88" s="163"/>
      <c r="UPM88" s="163"/>
      <c r="UPN88" s="163"/>
      <c r="UPO88" s="163"/>
      <c r="UPP88" s="163"/>
      <c r="UPQ88" s="163"/>
      <c r="UPR88" s="163"/>
      <c r="UPS88" s="163"/>
      <c r="UPT88" s="163"/>
      <c r="UPU88" s="163"/>
      <c r="UPV88" s="163"/>
      <c r="UPW88" s="163"/>
      <c r="UPX88" s="163"/>
      <c r="UPY88" s="163"/>
      <c r="UPZ88" s="163"/>
      <c r="UQA88" s="163"/>
      <c r="UQB88" s="163"/>
      <c r="UQC88" s="163"/>
      <c r="UQD88" s="163"/>
      <c r="UQE88" s="163"/>
      <c r="UQF88" s="163"/>
      <c r="UQG88" s="163"/>
      <c r="UQH88" s="163"/>
      <c r="UQI88" s="163"/>
      <c r="UQJ88" s="163"/>
      <c r="UQK88" s="163"/>
      <c r="UQL88" s="163"/>
      <c r="UQM88" s="163"/>
      <c r="UQN88" s="163"/>
      <c r="UQO88" s="163"/>
      <c r="UQP88" s="163"/>
      <c r="UQQ88" s="163"/>
      <c r="UQR88" s="163"/>
      <c r="UQS88" s="163"/>
      <c r="UQT88" s="163"/>
      <c r="UQU88" s="163"/>
      <c r="UQV88" s="163"/>
      <c r="UQW88" s="163"/>
      <c r="UQX88" s="163"/>
      <c r="UQY88" s="163"/>
      <c r="UQZ88" s="163"/>
      <c r="URA88" s="163"/>
      <c r="URB88" s="163"/>
      <c r="URC88" s="163"/>
      <c r="URD88" s="163"/>
      <c r="URE88" s="163"/>
      <c r="URF88" s="163"/>
      <c r="URG88" s="163"/>
      <c r="URH88" s="163"/>
      <c r="URI88" s="163"/>
      <c r="URJ88" s="163"/>
      <c r="URK88" s="163"/>
      <c r="URL88" s="163"/>
      <c r="URM88" s="163"/>
      <c r="URN88" s="163"/>
      <c r="URO88" s="163"/>
      <c r="URP88" s="163"/>
      <c r="URQ88" s="163"/>
      <c r="URR88" s="163"/>
      <c r="URS88" s="163"/>
      <c r="URT88" s="163"/>
      <c r="URU88" s="163"/>
      <c r="URV88" s="163"/>
      <c r="URW88" s="163"/>
      <c r="URX88" s="163"/>
      <c r="URY88" s="163"/>
      <c r="URZ88" s="163"/>
      <c r="USA88" s="163"/>
      <c r="USB88" s="163"/>
      <c r="USC88" s="163"/>
      <c r="USD88" s="163"/>
      <c r="USE88" s="163"/>
      <c r="USF88" s="163"/>
      <c r="USG88" s="163"/>
      <c r="USH88" s="163"/>
      <c r="USI88" s="163"/>
      <c r="USJ88" s="163"/>
      <c r="USK88" s="163"/>
      <c r="USL88" s="163"/>
      <c r="USM88" s="163"/>
      <c r="USN88" s="163"/>
      <c r="USO88" s="163"/>
      <c r="USP88" s="163"/>
      <c r="USQ88" s="163"/>
      <c r="USR88" s="163"/>
      <c r="USS88" s="163"/>
      <c r="UST88" s="163"/>
      <c r="USU88" s="163"/>
      <c r="USV88" s="163"/>
      <c r="USW88" s="163"/>
      <c r="USX88" s="163"/>
      <c r="USY88" s="163"/>
      <c r="USZ88" s="163"/>
      <c r="UTA88" s="163"/>
      <c r="UTB88" s="163"/>
      <c r="UTC88" s="163"/>
      <c r="UTD88" s="163"/>
      <c r="UTE88" s="163"/>
      <c r="UTF88" s="163"/>
      <c r="UTG88" s="163"/>
      <c r="UTH88" s="163"/>
      <c r="UTI88" s="163"/>
      <c r="UTJ88" s="163"/>
      <c r="UTK88" s="163"/>
      <c r="UTL88" s="163"/>
      <c r="UTM88" s="163"/>
      <c r="UTN88" s="163"/>
      <c r="UTO88" s="163"/>
      <c r="UTP88" s="163"/>
      <c r="UTQ88" s="163"/>
      <c r="UTR88" s="163"/>
      <c r="UTS88" s="163"/>
      <c r="UTT88" s="163"/>
      <c r="UTU88" s="163"/>
      <c r="UTV88" s="163"/>
      <c r="UTW88" s="163"/>
      <c r="UTX88" s="163"/>
      <c r="UTY88" s="163"/>
      <c r="UTZ88" s="163"/>
      <c r="UUA88" s="163"/>
      <c r="UUB88" s="163"/>
      <c r="UUC88" s="163"/>
      <c r="UUD88" s="163"/>
      <c r="UUE88" s="163"/>
      <c r="UUF88" s="163"/>
      <c r="UUG88" s="163"/>
      <c r="UUH88" s="163"/>
      <c r="UUI88" s="163"/>
      <c r="UUJ88" s="163"/>
      <c r="UUK88" s="163"/>
      <c r="UUL88" s="163"/>
      <c r="UUM88" s="163"/>
      <c r="UUN88" s="163"/>
      <c r="UUO88" s="163"/>
      <c r="UUP88" s="163"/>
      <c r="UUQ88" s="163"/>
      <c r="UUR88" s="163"/>
      <c r="UUS88" s="163"/>
      <c r="UUT88" s="163"/>
      <c r="UUU88" s="163"/>
      <c r="UUV88" s="163"/>
      <c r="UUW88" s="163"/>
      <c r="UUX88" s="163"/>
      <c r="UUY88" s="163"/>
      <c r="UUZ88" s="163"/>
      <c r="UVA88" s="163"/>
      <c r="UVB88" s="163"/>
      <c r="UVC88" s="163"/>
      <c r="UVD88" s="163"/>
      <c r="UVE88" s="163"/>
      <c r="UVF88" s="163"/>
      <c r="UVG88" s="163"/>
      <c r="UVH88" s="163"/>
      <c r="UVI88" s="163"/>
      <c r="UVJ88" s="163"/>
      <c r="UVK88" s="163"/>
      <c r="UVL88" s="163"/>
      <c r="UVM88" s="163"/>
      <c r="UVN88" s="163"/>
      <c r="UVO88" s="163"/>
      <c r="UVP88" s="163"/>
      <c r="UVQ88" s="163"/>
      <c r="UVR88" s="163"/>
      <c r="UVS88" s="163"/>
      <c r="UVT88" s="163"/>
      <c r="UVU88" s="163"/>
      <c r="UVV88" s="163"/>
      <c r="UVW88" s="163"/>
      <c r="UVX88" s="163"/>
      <c r="UVY88" s="163"/>
      <c r="UVZ88" s="163"/>
      <c r="UWA88" s="163"/>
      <c r="UWB88" s="163"/>
      <c r="UWC88" s="163"/>
      <c r="UWD88" s="163"/>
      <c r="UWE88" s="163"/>
      <c r="UWF88" s="163"/>
      <c r="UWG88" s="163"/>
      <c r="UWH88" s="163"/>
      <c r="UWI88" s="163"/>
      <c r="UWJ88" s="163"/>
      <c r="UWK88" s="163"/>
      <c r="UWL88" s="163"/>
      <c r="UWM88" s="163"/>
      <c r="UWN88" s="163"/>
      <c r="UWO88" s="163"/>
      <c r="UWP88" s="163"/>
      <c r="UWQ88" s="163"/>
      <c r="UWR88" s="163"/>
      <c r="UWS88" s="163"/>
      <c r="UWT88" s="163"/>
      <c r="UWU88" s="163"/>
      <c r="UWV88" s="163"/>
      <c r="UWW88" s="163"/>
      <c r="UWX88" s="163"/>
      <c r="UWY88" s="163"/>
      <c r="UWZ88" s="163"/>
      <c r="UXA88" s="163"/>
      <c r="UXB88" s="163"/>
      <c r="UXC88" s="163"/>
      <c r="UXD88" s="163"/>
      <c r="UXE88" s="163"/>
      <c r="UXF88" s="163"/>
      <c r="UXG88" s="163"/>
      <c r="UXH88" s="163"/>
      <c r="UXI88" s="163"/>
      <c r="UXJ88" s="163"/>
      <c r="UXK88" s="163"/>
      <c r="UXL88" s="163"/>
      <c r="UXM88" s="163"/>
      <c r="UXN88" s="163"/>
      <c r="UXO88" s="163"/>
      <c r="UXP88" s="163"/>
      <c r="UXQ88" s="163"/>
      <c r="UXR88" s="163"/>
      <c r="UXS88" s="163"/>
      <c r="UXT88" s="163"/>
      <c r="UXU88" s="163"/>
      <c r="UXV88" s="163"/>
      <c r="UXW88" s="163"/>
      <c r="UXX88" s="163"/>
      <c r="UXY88" s="163"/>
      <c r="UXZ88" s="163"/>
      <c r="UYA88" s="163"/>
      <c r="UYB88" s="163"/>
      <c r="UYC88" s="163"/>
      <c r="UYD88" s="163"/>
      <c r="UYE88" s="163"/>
      <c r="UYF88" s="163"/>
      <c r="UYG88" s="163"/>
      <c r="UYH88" s="163"/>
      <c r="UYI88" s="163"/>
      <c r="UYJ88" s="163"/>
      <c r="UYK88" s="163"/>
      <c r="UYL88" s="163"/>
      <c r="UYM88" s="163"/>
      <c r="UYN88" s="163"/>
      <c r="UYO88" s="163"/>
      <c r="UYP88" s="163"/>
      <c r="UYQ88" s="163"/>
      <c r="UYR88" s="163"/>
      <c r="UYS88" s="163"/>
      <c r="UYT88" s="163"/>
      <c r="UYU88" s="163"/>
      <c r="UYV88" s="163"/>
      <c r="UYW88" s="163"/>
      <c r="UYX88" s="163"/>
      <c r="UYY88" s="163"/>
      <c r="UYZ88" s="163"/>
      <c r="UZA88" s="163"/>
      <c r="UZB88" s="163"/>
      <c r="UZC88" s="163"/>
      <c r="UZD88" s="163"/>
      <c r="UZE88" s="163"/>
      <c r="UZF88" s="163"/>
      <c r="UZG88" s="163"/>
      <c r="UZH88" s="163"/>
      <c r="UZI88" s="163"/>
      <c r="UZJ88" s="163"/>
      <c r="UZK88" s="163"/>
      <c r="UZL88" s="163"/>
      <c r="UZM88" s="163"/>
      <c r="UZN88" s="163"/>
      <c r="UZO88" s="163"/>
      <c r="UZP88" s="163"/>
      <c r="UZQ88" s="163"/>
      <c r="UZR88" s="163"/>
      <c r="UZS88" s="163"/>
      <c r="UZT88" s="163"/>
      <c r="UZU88" s="163"/>
      <c r="UZV88" s="163"/>
      <c r="UZW88" s="163"/>
      <c r="UZX88" s="163"/>
      <c r="UZY88" s="163"/>
      <c r="UZZ88" s="163"/>
      <c r="VAA88" s="163"/>
      <c r="VAB88" s="163"/>
      <c r="VAC88" s="163"/>
      <c r="VAD88" s="163"/>
      <c r="VAE88" s="163"/>
      <c r="VAF88" s="163"/>
      <c r="VAG88" s="163"/>
      <c r="VAH88" s="163"/>
      <c r="VAI88" s="163"/>
      <c r="VAJ88" s="163"/>
      <c r="VAK88" s="163"/>
      <c r="VAL88" s="163"/>
      <c r="VAM88" s="163"/>
      <c r="VAN88" s="163"/>
      <c r="VAO88" s="163"/>
      <c r="VAP88" s="163"/>
      <c r="VAQ88" s="163"/>
      <c r="VAR88" s="163"/>
      <c r="VAS88" s="163"/>
      <c r="VAT88" s="163"/>
      <c r="VAU88" s="163"/>
      <c r="VAV88" s="163"/>
      <c r="VAW88" s="163"/>
      <c r="VAX88" s="163"/>
      <c r="VAY88" s="163"/>
      <c r="VAZ88" s="163"/>
      <c r="VBA88" s="163"/>
      <c r="VBB88" s="163"/>
      <c r="VBC88" s="163"/>
      <c r="VBD88" s="163"/>
      <c r="VBE88" s="163"/>
      <c r="VBF88" s="163"/>
      <c r="VBG88" s="163"/>
      <c r="VBH88" s="163"/>
      <c r="VBI88" s="163"/>
      <c r="VBJ88" s="163"/>
      <c r="VBK88" s="163"/>
      <c r="VBL88" s="163"/>
      <c r="VBM88" s="163"/>
      <c r="VBN88" s="163"/>
      <c r="VBO88" s="163"/>
      <c r="VBP88" s="163"/>
      <c r="VBQ88" s="163"/>
      <c r="VBR88" s="163"/>
      <c r="VBS88" s="163"/>
      <c r="VBT88" s="163"/>
      <c r="VBU88" s="163"/>
      <c r="VBV88" s="163"/>
      <c r="VBW88" s="163"/>
      <c r="VBX88" s="163"/>
      <c r="VBY88" s="163"/>
      <c r="VBZ88" s="163"/>
      <c r="VCA88" s="163"/>
      <c r="VCB88" s="163"/>
      <c r="VCC88" s="163"/>
      <c r="VCD88" s="163"/>
      <c r="VCE88" s="163"/>
      <c r="VCF88" s="163"/>
      <c r="VCG88" s="163"/>
      <c r="VCH88" s="163"/>
      <c r="VCI88" s="163"/>
      <c r="VCJ88" s="163"/>
      <c r="VCK88" s="163"/>
      <c r="VCL88" s="163"/>
      <c r="VCM88" s="163"/>
      <c r="VCN88" s="163"/>
      <c r="VCO88" s="163"/>
      <c r="VCP88" s="163"/>
      <c r="VCQ88" s="163"/>
      <c r="VCR88" s="163"/>
      <c r="VCS88" s="163"/>
      <c r="VCT88" s="163"/>
      <c r="VCU88" s="163"/>
      <c r="VCV88" s="163"/>
      <c r="VCW88" s="163"/>
      <c r="VCX88" s="163"/>
      <c r="VCY88" s="163"/>
      <c r="VCZ88" s="163"/>
      <c r="VDA88" s="163"/>
      <c r="VDB88" s="163"/>
      <c r="VDC88" s="163"/>
      <c r="VDD88" s="163"/>
      <c r="VDE88" s="163"/>
      <c r="VDF88" s="163"/>
      <c r="VDG88" s="163"/>
      <c r="VDH88" s="163"/>
      <c r="VDI88" s="163"/>
      <c r="VDJ88" s="163"/>
      <c r="VDK88" s="163"/>
      <c r="VDL88" s="163"/>
      <c r="VDM88" s="163"/>
      <c r="VDN88" s="163"/>
      <c r="VDO88" s="163"/>
      <c r="VDP88" s="163"/>
      <c r="VDQ88" s="163"/>
      <c r="VDR88" s="163"/>
      <c r="VDS88" s="163"/>
      <c r="VDT88" s="163"/>
      <c r="VDU88" s="163"/>
      <c r="VDV88" s="163"/>
      <c r="VDW88" s="163"/>
      <c r="VDX88" s="163"/>
      <c r="VDY88" s="163"/>
      <c r="VDZ88" s="163"/>
      <c r="VEA88" s="163"/>
      <c r="VEB88" s="163"/>
      <c r="VEC88" s="163"/>
      <c r="VED88" s="163"/>
      <c r="VEE88" s="163"/>
      <c r="VEF88" s="163"/>
      <c r="VEG88" s="163"/>
      <c r="VEH88" s="163"/>
      <c r="VEI88" s="163"/>
      <c r="VEJ88" s="163"/>
      <c r="VEK88" s="163"/>
      <c r="VEL88" s="163"/>
      <c r="VEM88" s="163"/>
      <c r="VEN88" s="163"/>
      <c r="VEO88" s="163"/>
      <c r="VEP88" s="163"/>
      <c r="VEQ88" s="163"/>
      <c r="VER88" s="163"/>
      <c r="VES88" s="163"/>
      <c r="VET88" s="163"/>
      <c r="VEU88" s="163"/>
      <c r="VEV88" s="163"/>
      <c r="VEW88" s="163"/>
      <c r="VEX88" s="163"/>
      <c r="VEY88" s="163"/>
      <c r="VEZ88" s="163"/>
      <c r="VFA88" s="163"/>
      <c r="VFB88" s="163"/>
      <c r="VFC88" s="163"/>
      <c r="VFD88" s="163"/>
      <c r="VFE88" s="163"/>
      <c r="VFF88" s="163"/>
      <c r="VFG88" s="163"/>
      <c r="VFH88" s="163"/>
      <c r="VFI88" s="163"/>
      <c r="VFJ88" s="163"/>
      <c r="VFK88" s="163"/>
      <c r="VFL88" s="163"/>
      <c r="VFM88" s="163"/>
      <c r="VFN88" s="163"/>
      <c r="VFO88" s="163"/>
      <c r="VFP88" s="163"/>
      <c r="VFQ88" s="163"/>
      <c r="VFR88" s="163"/>
      <c r="VFS88" s="163"/>
      <c r="VFT88" s="163"/>
      <c r="VFU88" s="163"/>
      <c r="VFV88" s="163"/>
      <c r="VFW88" s="163"/>
      <c r="VFX88" s="163"/>
      <c r="VFY88" s="163"/>
      <c r="VFZ88" s="163"/>
      <c r="VGA88" s="163"/>
      <c r="VGB88" s="163"/>
      <c r="VGC88" s="163"/>
      <c r="VGD88" s="163"/>
      <c r="VGE88" s="163"/>
      <c r="VGF88" s="163"/>
      <c r="VGG88" s="163"/>
      <c r="VGH88" s="163"/>
      <c r="VGI88" s="163"/>
      <c r="VGJ88" s="163"/>
      <c r="VGK88" s="163"/>
      <c r="VGL88" s="163"/>
      <c r="VGM88" s="163"/>
      <c r="VGN88" s="163"/>
      <c r="VGO88" s="163"/>
      <c r="VGP88" s="163"/>
      <c r="VGQ88" s="163"/>
      <c r="VGR88" s="163"/>
      <c r="VGS88" s="163"/>
      <c r="VGT88" s="163"/>
      <c r="VGU88" s="163"/>
      <c r="VGV88" s="163"/>
      <c r="VGW88" s="163"/>
      <c r="VGX88" s="163"/>
      <c r="VGY88" s="163"/>
      <c r="VGZ88" s="163"/>
      <c r="VHA88" s="163"/>
      <c r="VHB88" s="163"/>
      <c r="VHC88" s="163"/>
      <c r="VHD88" s="163"/>
      <c r="VHE88" s="163"/>
      <c r="VHF88" s="163"/>
      <c r="VHG88" s="163"/>
      <c r="VHH88" s="163"/>
      <c r="VHI88" s="163"/>
      <c r="VHJ88" s="163"/>
      <c r="VHK88" s="163"/>
      <c r="VHL88" s="163"/>
      <c r="VHM88" s="163"/>
      <c r="VHN88" s="163"/>
      <c r="VHO88" s="163"/>
      <c r="VHP88" s="163"/>
      <c r="VHQ88" s="163"/>
      <c r="VHR88" s="163"/>
      <c r="VHS88" s="163"/>
      <c r="VHT88" s="163"/>
      <c r="VHU88" s="163"/>
      <c r="VHV88" s="163"/>
      <c r="VHW88" s="163"/>
      <c r="VHX88" s="163"/>
      <c r="VHY88" s="163"/>
      <c r="VHZ88" s="163"/>
      <c r="VIA88" s="163"/>
      <c r="VIB88" s="163"/>
      <c r="VIC88" s="163"/>
      <c r="VID88" s="163"/>
      <c r="VIE88" s="163"/>
      <c r="VIF88" s="163"/>
      <c r="VIG88" s="163"/>
      <c r="VIH88" s="163"/>
      <c r="VII88" s="163"/>
      <c r="VIJ88" s="163"/>
      <c r="VIK88" s="163"/>
      <c r="VIL88" s="163"/>
      <c r="VIM88" s="163"/>
      <c r="VIN88" s="163"/>
      <c r="VIO88" s="163"/>
      <c r="VIP88" s="163"/>
      <c r="VIQ88" s="163"/>
      <c r="VIR88" s="163"/>
      <c r="VIS88" s="163"/>
      <c r="VIT88" s="163"/>
      <c r="VIU88" s="163"/>
      <c r="VIV88" s="163"/>
      <c r="VIW88" s="163"/>
      <c r="VIX88" s="163"/>
      <c r="VIY88" s="163"/>
      <c r="VIZ88" s="163"/>
      <c r="VJA88" s="163"/>
      <c r="VJB88" s="163"/>
      <c r="VJC88" s="163"/>
      <c r="VJD88" s="163"/>
      <c r="VJE88" s="163"/>
      <c r="VJF88" s="163"/>
      <c r="VJG88" s="163"/>
      <c r="VJH88" s="163"/>
      <c r="VJI88" s="163"/>
      <c r="VJJ88" s="163"/>
      <c r="VJK88" s="163"/>
      <c r="VJL88" s="163"/>
      <c r="VJM88" s="163"/>
      <c r="VJN88" s="163"/>
      <c r="VJO88" s="163"/>
      <c r="VJP88" s="163"/>
      <c r="VJQ88" s="163"/>
      <c r="VJR88" s="163"/>
      <c r="VJS88" s="163"/>
      <c r="VJT88" s="163"/>
      <c r="VJU88" s="163"/>
      <c r="VJV88" s="163"/>
      <c r="VJW88" s="163"/>
      <c r="VJX88" s="163"/>
      <c r="VJY88" s="163"/>
      <c r="VJZ88" s="163"/>
      <c r="VKA88" s="163"/>
      <c r="VKB88" s="163"/>
      <c r="VKC88" s="163"/>
      <c r="VKD88" s="163"/>
      <c r="VKE88" s="163"/>
      <c r="VKF88" s="163"/>
      <c r="VKG88" s="163"/>
      <c r="VKH88" s="163"/>
      <c r="VKI88" s="163"/>
      <c r="VKJ88" s="163"/>
      <c r="VKK88" s="163"/>
      <c r="VKL88" s="163"/>
      <c r="VKM88" s="163"/>
      <c r="VKN88" s="163"/>
      <c r="VKO88" s="163"/>
      <c r="VKP88" s="163"/>
      <c r="VKQ88" s="163"/>
      <c r="VKR88" s="163"/>
      <c r="VKS88" s="163"/>
      <c r="VKT88" s="163"/>
      <c r="VKU88" s="163"/>
      <c r="VKV88" s="163"/>
      <c r="VKW88" s="163"/>
      <c r="VKX88" s="163"/>
      <c r="VKY88" s="163"/>
      <c r="VKZ88" s="163"/>
      <c r="VLA88" s="163"/>
      <c r="VLB88" s="163"/>
      <c r="VLC88" s="163"/>
      <c r="VLD88" s="163"/>
      <c r="VLE88" s="163"/>
      <c r="VLF88" s="163"/>
      <c r="VLG88" s="163"/>
      <c r="VLH88" s="163"/>
      <c r="VLI88" s="163"/>
      <c r="VLJ88" s="163"/>
      <c r="VLK88" s="163"/>
      <c r="VLL88" s="163"/>
      <c r="VLM88" s="163"/>
      <c r="VLN88" s="163"/>
      <c r="VLO88" s="163"/>
      <c r="VLP88" s="163"/>
      <c r="VLQ88" s="163"/>
      <c r="VLR88" s="163"/>
      <c r="VLS88" s="163"/>
      <c r="VLT88" s="163"/>
      <c r="VLU88" s="163"/>
      <c r="VLV88" s="163"/>
      <c r="VLW88" s="163"/>
      <c r="VLX88" s="163"/>
      <c r="VLY88" s="163"/>
      <c r="VLZ88" s="163"/>
      <c r="VMA88" s="163"/>
      <c r="VMB88" s="163"/>
      <c r="VMC88" s="163"/>
      <c r="VMD88" s="163"/>
      <c r="VME88" s="163"/>
      <c r="VMF88" s="163"/>
      <c r="VMG88" s="163"/>
      <c r="VMH88" s="163"/>
      <c r="VMI88" s="163"/>
      <c r="VMJ88" s="163"/>
      <c r="VMK88" s="163"/>
      <c r="VML88" s="163"/>
      <c r="VMM88" s="163"/>
      <c r="VMN88" s="163"/>
      <c r="VMO88" s="163"/>
      <c r="VMP88" s="163"/>
      <c r="VMQ88" s="163"/>
      <c r="VMR88" s="163"/>
      <c r="VMS88" s="163"/>
      <c r="VMT88" s="163"/>
      <c r="VMU88" s="163"/>
      <c r="VMV88" s="163"/>
      <c r="VMW88" s="163"/>
      <c r="VMX88" s="163"/>
      <c r="VMY88" s="163"/>
      <c r="VMZ88" s="163"/>
      <c r="VNA88" s="163"/>
      <c r="VNB88" s="163"/>
      <c r="VNC88" s="163"/>
      <c r="VND88" s="163"/>
      <c r="VNE88" s="163"/>
      <c r="VNF88" s="163"/>
      <c r="VNG88" s="163"/>
      <c r="VNH88" s="163"/>
      <c r="VNI88" s="163"/>
      <c r="VNJ88" s="163"/>
      <c r="VNK88" s="163"/>
      <c r="VNL88" s="163"/>
      <c r="VNM88" s="163"/>
      <c r="VNN88" s="163"/>
      <c r="VNO88" s="163"/>
      <c r="VNP88" s="163"/>
      <c r="VNQ88" s="163"/>
      <c r="VNR88" s="163"/>
      <c r="VNS88" s="163"/>
      <c r="VNT88" s="163"/>
      <c r="VNU88" s="163"/>
      <c r="VNV88" s="163"/>
      <c r="VNW88" s="163"/>
      <c r="VNX88" s="163"/>
      <c r="VNY88" s="163"/>
      <c r="VNZ88" s="163"/>
      <c r="VOA88" s="163"/>
      <c r="VOB88" s="163"/>
      <c r="VOC88" s="163"/>
      <c r="VOD88" s="163"/>
      <c r="VOE88" s="163"/>
      <c r="VOF88" s="163"/>
      <c r="VOG88" s="163"/>
      <c r="VOH88" s="163"/>
      <c r="VOI88" s="163"/>
      <c r="VOJ88" s="163"/>
      <c r="VOK88" s="163"/>
      <c r="VOL88" s="163"/>
      <c r="VOM88" s="163"/>
      <c r="VON88" s="163"/>
      <c r="VOO88" s="163"/>
      <c r="VOP88" s="163"/>
      <c r="VOQ88" s="163"/>
      <c r="VOR88" s="163"/>
      <c r="VOS88" s="163"/>
      <c r="VOT88" s="163"/>
      <c r="VOU88" s="163"/>
      <c r="VOV88" s="163"/>
      <c r="VOW88" s="163"/>
      <c r="VOX88" s="163"/>
      <c r="VOY88" s="163"/>
      <c r="VOZ88" s="163"/>
      <c r="VPA88" s="163"/>
      <c r="VPB88" s="163"/>
      <c r="VPC88" s="163"/>
      <c r="VPD88" s="163"/>
      <c r="VPE88" s="163"/>
      <c r="VPF88" s="163"/>
      <c r="VPG88" s="163"/>
      <c r="VPH88" s="163"/>
      <c r="VPI88" s="163"/>
      <c r="VPJ88" s="163"/>
      <c r="VPK88" s="163"/>
      <c r="VPL88" s="163"/>
      <c r="VPM88" s="163"/>
      <c r="VPN88" s="163"/>
      <c r="VPO88" s="163"/>
      <c r="VPP88" s="163"/>
      <c r="VPQ88" s="163"/>
      <c r="VPR88" s="163"/>
      <c r="VPS88" s="163"/>
      <c r="VPT88" s="163"/>
      <c r="VPU88" s="163"/>
      <c r="VPV88" s="163"/>
      <c r="VPW88" s="163"/>
      <c r="VPX88" s="163"/>
      <c r="VPY88" s="163"/>
      <c r="VPZ88" s="163"/>
      <c r="VQA88" s="163"/>
      <c r="VQB88" s="163"/>
      <c r="VQC88" s="163"/>
      <c r="VQD88" s="163"/>
      <c r="VQE88" s="163"/>
      <c r="VQF88" s="163"/>
      <c r="VQG88" s="163"/>
      <c r="VQH88" s="163"/>
      <c r="VQI88" s="163"/>
      <c r="VQJ88" s="163"/>
      <c r="VQK88" s="163"/>
      <c r="VQL88" s="163"/>
      <c r="VQM88" s="163"/>
      <c r="VQN88" s="163"/>
      <c r="VQO88" s="163"/>
      <c r="VQP88" s="163"/>
      <c r="VQQ88" s="163"/>
      <c r="VQR88" s="163"/>
      <c r="VQS88" s="163"/>
      <c r="VQT88" s="163"/>
      <c r="VQU88" s="163"/>
      <c r="VQV88" s="163"/>
      <c r="VQW88" s="163"/>
      <c r="VQX88" s="163"/>
      <c r="VQY88" s="163"/>
      <c r="VQZ88" s="163"/>
      <c r="VRA88" s="163"/>
      <c r="VRB88" s="163"/>
      <c r="VRC88" s="163"/>
      <c r="VRD88" s="163"/>
      <c r="VRE88" s="163"/>
      <c r="VRF88" s="163"/>
      <c r="VRG88" s="163"/>
      <c r="VRH88" s="163"/>
      <c r="VRI88" s="163"/>
      <c r="VRJ88" s="163"/>
      <c r="VRK88" s="163"/>
      <c r="VRL88" s="163"/>
      <c r="VRM88" s="163"/>
      <c r="VRN88" s="163"/>
      <c r="VRO88" s="163"/>
      <c r="VRP88" s="163"/>
      <c r="VRQ88" s="163"/>
      <c r="VRR88" s="163"/>
      <c r="VRS88" s="163"/>
      <c r="VRT88" s="163"/>
      <c r="VRU88" s="163"/>
      <c r="VRV88" s="163"/>
      <c r="VRW88" s="163"/>
      <c r="VRX88" s="163"/>
      <c r="VRY88" s="163"/>
      <c r="VRZ88" s="163"/>
      <c r="VSA88" s="163"/>
      <c r="VSB88" s="163"/>
      <c r="VSC88" s="163"/>
      <c r="VSD88" s="163"/>
      <c r="VSE88" s="163"/>
      <c r="VSF88" s="163"/>
      <c r="VSG88" s="163"/>
      <c r="VSH88" s="163"/>
      <c r="VSI88" s="163"/>
      <c r="VSJ88" s="163"/>
      <c r="VSK88" s="163"/>
      <c r="VSL88" s="163"/>
      <c r="VSM88" s="163"/>
      <c r="VSN88" s="163"/>
      <c r="VSO88" s="163"/>
      <c r="VSP88" s="163"/>
      <c r="VSQ88" s="163"/>
      <c r="VSR88" s="163"/>
      <c r="VSS88" s="163"/>
      <c r="VST88" s="163"/>
      <c r="VSU88" s="163"/>
      <c r="VSV88" s="163"/>
      <c r="VSW88" s="163"/>
      <c r="VSX88" s="163"/>
      <c r="VSY88" s="163"/>
      <c r="VSZ88" s="163"/>
      <c r="VTA88" s="163"/>
      <c r="VTB88" s="163"/>
      <c r="VTC88" s="163"/>
      <c r="VTD88" s="163"/>
      <c r="VTE88" s="163"/>
      <c r="VTF88" s="163"/>
      <c r="VTG88" s="163"/>
      <c r="VTH88" s="163"/>
      <c r="VTI88" s="163"/>
      <c r="VTJ88" s="163"/>
      <c r="VTK88" s="163"/>
      <c r="VTL88" s="163"/>
      <c r="VTM88" s="163"/>
      <c r="VTN88" s="163"/>
      <c r="VTO88" s="163"/>
      <c r="VTP88" s="163"/>
      <c r="VTQ88" s="163"/>
      <c r="VTR88" s="163"/>
      <c r="VTS88" s="163"/>
      <c r="VTT88" s="163"/>
      <c r="VTU88" s="163"/>
      <c r="VTV88" s="163"/>
      <c r="VTW88" s="163"/>
      <c r="VTX88" s="163"/>
      <c r="VTY88" s="163"/>
      <c r="VTZ88" s="163"/>
      <c r="VUA88" s="163"/>
      <c r="VUB88" s="163"/>
      <c r="VUC88" s="163"/>
      <c r="VUD88" s="163"/>
      <c r="VUE88" s="163"/>
      <c r="VUF88" s="163"/>
      <c r="VUG88" s="163"/>
      <c r="VUH88" s="163"/>
      <c r="VUI88" s="163"/>
      <c r="VUJ88" s="163"/>
      <c r="VUK88" s="163"/>
      <c r="VUL88" s="163"/>
      <c r="VUM88" s="163"/>
      <c r="VUN88" s="163"/>
      <c r="VUO88" s="163"/>
      <c r="VUP88" s="163"/>
      <c r="VUQ88" s="163"/>
      <c r="VUR88" s="163"/>
      <c r="VUS88" s="163"/>
      <c r="VUT88" s="163"/>
      <c r="VUU88" s="163"/>
      <c r="VUV88" s="163"/>
      <c r="VUW88" s="163"/>
      <c r="VUX88" s="163"/>
      <c r="VUY88" s="163"/>
      <c r="VUZ88" s="163"/>
      <c r="VVA88" s="163"/>
      <c r="VVB88" s="163"/>
      <c r="VVC88" s="163"/>
      <c r="VVD88" s="163"/>
      <c r="VVE88" s="163"/>
      <c r="VVF88" s="163"/>
      <c r="VVG88" s="163"/>
      <c r="VVH88" s="163"/>
      <c r="VVI88" s="163"/>
      <c r="VVJ88" s="163"/>
      <c r="VVK88" s="163"/>
      <c r="VVL88" s="163"/>
      <c r="VVM88" s="163"/>
      <c r="VVN88" s="163"/>
      <c r="VVO88" s="163"/>
      <c r="VVP88" s="163"/>
      <c r="VVQ88" s="163"/>
      <c r="VVR88" s="163"/>
      <c r="VVS88" s="163"/>
      <c r="VVT88" s="163"/>
      <c r="VVU88" s="163"/>
      <c r="VVV88" s="163"/>
      <c r="VVW88" s="163"/>
      <c r="VVX88" s="163"/>
      <c r="VVY88" s="163"/>
      <c r="VVZ88" s="163"/>
      <c r="VWA88" s="163"/>
      <c r="VWB88" s="163"/>
      <c r="VWC88" s="163"/>
      <c r="VWD88" s="163"/>
      <c r="VWE88" s="163"/>
      <c r="VWF88" s="163"/>
      <c r="VWG88" s="163"/>
      <c r="VWH88" s="163"/>
      <c r="VWI88" s="163"/>
      <c r="VWJ88" s="163"/>
      <c r="VWK88" s="163"/>
      <c r="VWL88" s="163"/>
      <c r="VWM88" s="163"/>
      <c r="VWN88" s="163"/>
      <c r="VWO88" s="163"/>
      <c r="VWP88" s="163"/>
      <c r="VWQ88" s="163"/>
      <c r="VWR88" s="163"/>
      <c r="VWS88" s="163"/>
      <c r="VWT88" s="163"/>
      <c r="VWU88" s="163"/>
      <c r="VWV88" s="163"/>
      <c r="VWW88" s="163"/>
      <c r="VWX88" s="163"/>
      <c r="VWY88" s="163"/>
      <c r="VWZ88" s="163"/>
      <c r="VXA88" s="163"/>
      <c r="VXB88" s="163"/>
      <c r="VXC88" s="163"/>
      <c r="VXD88" s="163"/>
      <c r="VXE88" s="163"/>
      <c r="VXF88" s="163"/>
      <c r="VXG88" s="163"/>
      <c r="VXH88" s="163"/>
      <c r="VXI88" s="163"/>
      <c r="VXJ88" s="163"/>
      <c r="VXK88" s="163"/>
      <c r="VXL88" s="163"/>
      <c r="VXM88" s="163"/>
      <c r="VXN88" s="163"/>
      <c r="VXO88" s="163"/>
      <c r="VXP88" s="163"/>
      <c r="VXQ88" s="163"/>
      <c r="VXR88" s="163"/>
      <c r="VXS88" s="163"/>
      <c r="VXT88" s="163"/>
      <c r="VXU88" s="163"/>
      <c r="VXV88" s="163"/>
      <c r="VXW88" s="163"/>
      <c r="VXX88" s="163"/>
      <c r="VXY88" s="163"/>
      <c r="VXZ88" s="163"/>
      <c r="VYA88" s="163"/>
      <c r="VYB88" s="163"/>
      <c r="VYC88" s="163"/>
      <c r="VYD88" s="163"/>
      <c r="VYE88" s="163"/>
      <c r="VYF88" s="163"/>
      <c r="VYG88" s="163"/>
      <c r="VYH88" s="163"/>
      <c r="VYI88" s="163"/>
      <c r="VYJ88" s="163"/>
      <c r="VYK88" s="163"/>
      <c r="VYL88" s="163"/>
      <c r="VYM88" s="163"/>
      <c r="VYN88" s="163"/>
      <c r="VYO88" s="163"/>
      <c r="VYP88" s="163"/>
      <c r="VYQ88" s="163"/>
      <c r="VYR88" s="163"/>
      <c r="VYS88" s="163"/>
      <c r="VYT88" s="163"/>
      <c r="VYU88" s="163"/>
      <c r="VYV88" s="163"/>
      <c r="VYW88" s="163"/>
      <c r="VYX88" s="163"/>
      <c r="VYY88" s="163"/>
      <c r="VYZ88" s="163"/>
      <c r="VZA88" s="163"/>
      <c r="VZB88" s="163"/>
      <c r="VZC88" s="163"/>
      <c r="VZD88" s="163"/>
      <c r="VZE88" s="163"/>
      <c r="VZF88" s="163"/>
      <c r="VZG88" s="163"/>
      <c r="VZH88" s="163"/>
      <c r="VZI88" s="163"/>
      <c r="VZJ88" s="163"/>
      <c r="VZK88" s="163"/>
      <c r="VZL88" s="163"/>
      <c r="VZM88" s="163"/>
      <c r="VZN88" s="163"/>
      <c r="VZO88" s="163"/>
      <c r="VZP88" s="163"/>
      <c r="VZQ88" s="163"/>
      <c r="VZR88" s="163"/>
      <c r="VZS88" s="163"/>
      <c r="VZT88" s="163"/>
      <c r="VZU88" s="163"/>
      <c r="VZV88" s="163"/>
      <c r="VZW88" s="163"/>
      <c r="VZX88" s="163"/>
      <c r="VZY88" s="163"/>
      <c r="VZZ88" s="163"/>
      <c r="WAA88" s="163"/>
      <c r="WAB88" s="163"/>
      <c r="WAC88" s="163"/>
      <c r="WAD88" s="163"/>
      <c r="WAE88" s="163"/>
      <c r="WAF88" s="163"/>
      <c r="WAG88" s="163"/>
      <c r="WAH88" s="163"/>
      <c r="WAI88" s="163"/>
      <c r="WAJ88" s="163"/>
      <c r="WAK88" s="163"/>
      <c r="WAL88" s="163"/>
      <c r="WAM88" s="163"/>
      <c r="WAN88" s="163"/>
      <c r="WAO88" s="163"/>
      <c r="WAP88" s="163"/>
      <c r="WAQ88" s="163"/>
      <c r="WAR88" s="163"/>
      <c r="WAS88" s="163"/>
      <c r="WAT88" s="163"/>
      <c r="WAU88" s="163"/>
      <c r="WAV88" s="163"/>
      <c r="WAW88" s="163"/>
      <c r="WAX88" s="163"/>
      <c r="WAY88" s="163"/>
      <c r="WAZ88" s="163"/>
      <c r="WBA88" s="163"/>
      <c r="WBB88" s="163"/>
      <c r="WBC88" s="163"/>
      <c r="WBD88" s="163"/>
      <c r="WBE88" s="163"/>
      <c r="WBF88" s="163"/>
      <c r="WBG88" s="163"/>
      <c r="WBH88" s="163"/>
      <c r="WBI88" s="163"/>
      <c r="WBJ88" s="163"/>
      <c r="WBK88" s="163"/>
      <c r="WBL88" s="163"/>
      <c r="WBM88" s="163"/>
      <c r="WBN88" s="163"/>
      <c r="WBO88" s="163"/>
      <c r="WBP88" s="163"/>
      <c r="WBQ88" s="163"/>
      <c r="WBR88" s="163"/>
      <c r="WBS88" s="163"/>
      <c r="WBT88" s="163"/>
      <c r="WBU88" s="163"/>
      <c r="WBV88" s="163"/>
      <c r="WBW88" s="163"/>
      <c r="WBX88" s="163"/>
      <c r="WBY88" s="163"/>
      <c r="WBZ88" s="163"/>
      <c r="WCA88" s="163"/>
      <c r="WCB88" s="163"/>
      <c r="WCC88" s="163"/>
      <c r="WCD88" s="163"/>
      <c r="WCE88" s="163"/>
      <c r="WCF88" s="163"/>
      <c r="WCG88" s="163"/>
      <c r="WCH88" s="163"/>
      <c r="WCI88" s="163"/>
      <c r="WCJ88" s="163"/>
      <c r="WCK88" s="163"/>
      <c r="WCL88" s="163"/>
      <c r="WCM88" s="163"/>
      <c r="WCN88" s="163"/>
      <c r="WCO88" s="163"/>
      <c r="WCP88" s="163"/>
      <c r="WCQ88" s="163"/>
      <c r="WCR88" s="163"/>
      <c r="WCS88" s="163"/>
      <c r="WCT88" s="163"/>
      <c r="WCU88" s="163"/>
      <c r="WCV88" s="163"/>
      <c r="WCW88" s="163"/>
      <c r="WCX88" s="163"/>
      <c r="WCY88" s="163"/>
      <c r="WCZ88" s="163"/>
      <c r="WDA88" s="163"/>
      <c r="WDB88" s="163"/>
      <c r="WDC88" s="163"/>
      <c r="WDD88" s="163"/>
      <c r="WDE88" s="163"/>
      <c r="WDF88" s="163"/>
      <c r="WDG88" s="163"/>
      <c r="WDH88" s="163"/>
      <c r="WDI88" s="163"/>
      <c r="WDJ88" s="163"/>
      <c r="WDK88" s="163"/>
      <c r="WDL88" s="163"/>
      <c r="WDM88" s="163"/>
      <c r="WDN88" s="163"/>
      <c r="WDO88" s="163"/>
      <c r="WDP88" s="163"/>
      <c r="WDQ88" s="163"/>
      <c r="WDR88" s="163"/>
      <c r="WDS88" s="163"/>
      <c r="WDT88" s="163"/>
      <c r="WDU88" s="163"/>
      <c r="WDV88" s="163"/>
      <c r="WDW88" s="163"/>
      <c r="WDX88" s="163"/>
      <c r="WDY88" s="163"/>
      <c r="WDZ88" s="163"/>
      <c r="WEA88" s="163"/>
      <c r="WEB88" s="163"/>
      <c r="WEC88" s="163"/>
      <c r="WED88" s="163"/>
      <c r="WEE88" s="163"/>
      <c r="WEF88" s="163"/>
      <c r="WEG88" s="163"/>
      <c r="WEH88" s="163"/>
      <c r="WEI88" s="163"/>
      <c r="WEJ88" s="163"/>
      <c r="WEK88" s="163"/>
      <c r="WEL88" s="163"/>
      <c r="WEM88" s="163"/>
      <c r="WEN88" s="163"/>
      <c r="WEO88" s="163"/>
      <c r="WEP88" s="163"/>
      <c r="WEQ88" s="163"/>
      <c r="WER88" s="163"/>
      <c r="WES88" s="163"/>
      <c r="WET88" s="163"/>
      <c r="WEU88" s="163"/>
      <c r="WEV88" s="163"/>
      <c r="WEW88" s="163"/>
      <c r="WEX88" s="163"/>
      <c r="WEY88" s="163"/>
      <c r="WEZ88" s="163"/>
      <c r="WFA88" s="163"/>
      <c r="WFB88" s="163"/>
      <c r="WFC88" s="163"/>
      <c r="WFD88" s="163"/>
      <c r="WFE88" s="163"/>
      <c r="WFF88" s="163"/>
      <c r="WFG88" s="163"/>
      <c r="WFH88" s="163"/>
      <c r="WFI88" s="163"/>
      <c r="WFJ88" s="163"/>
      <c r="WFK88" s="163"/>
      <c r="WFL88" s="163"/>
      <c r="WFM88" s="163"/>
      <c r="WFN88" s="163"/>
      <c r="WFO88" s="163"/>
      <c r="WFP88" s="163"/>
      <c r="WFQ88" s="163"/>
      <c r="WFR88" s="163"/>
      <c r="WFS88" s="163"/>
      <c r="WFT88" s="163"/>
      <c r="WFU88" s="163"/>
      <c r="WFV88" s="163"/>
      <c r="WFW88" s="163"/>
      <c r="WFX88" s="163"/>
      <c r="WFY88" s="163"/>
      <c r="WFZ88" s="163"/>
      <c r="WGA88" s="163"/>
      <c r="WGB88" s="163"/>
      <c r="WGC88" s="163"/>
      <c r="WGD88" s="163"/>
      <c r="WGE88" s="163"/>
      <c r="WGF88" s="163"/>
      <c r="WGG88" s="163"/>
      <c r="WGH88" s="163"/>
      <c r="WGI88" s="163"/>
      <c r="WGJ88" s="163"/>
      <c r="WGK88" s="163"/>
      <c r="WGL88" s="163"/>
      <c r="WGM88" s="163"/>
      <c r="WGN88" s="163"/>
      <c r="WGO88" s="163"/>
      <c r="WGP88" s="163"/>
      <c r="WGQ88" s="163"/>
      <c r="WGR88" s="163"/>
      <c r="WGS88" s="163"/>
      <c r="WGT88" s="163"/>
      <c r="WGU88" s="163"/>
      <c r="WGV88" s="163"/>
      <c r="WGW88" s="163"/>
      <c r="WGX88" s="163"/>
      <c r="WGY88" s="163"/>
      <c r="WGZ88" s="163"/>
      <c r="WHA88" s="163"/>
      <c r="WHB88" s="163"/>
      <c r="WHC88" s="163"/>
      <c r="WHD88" s="163"/>
      <c r="WHE88" s="163"/>
      <c r="WHF88" s="163"/>
      <c r="WHG88" s="163"/>
      <c r="WHH88" s="163"/>
      <c r="WHI88" s="163"/>
      <c r="WHJ88" s="163"/>
      <c r="WHK88" s="163"/>
      <c r="WHL88" s="163"/>
      <c r="WHM88" s="163"/>
      <c r="WHN88" s="163"/>
      <c r="WHO88" s="163"/>
      <c r="WHP88" s="163"/>
      <c r="WHQ88" s="163"/>
      <c r="WHR88" s="163"/>
      <c r="WHS88" s="163"/>
      <c r="WHT88" s="163"/>
      <c r="WHU88" s="163"/>
      <c r="WHV88" s="163"/>
      <c r="WHW88" s="163"/>
      <c r="WHX88" s="163"/>
      <c r="WHY88" s="163"/>
      <c r="WHZ88" s="163"/>
      <c r="WIA88" s="163"/>
      <c r="WIB88" s="163"/>
      <c r="WIC88" s="163"/>
      <c r="WID88" s="163"/>
      <c r="WIE88" s="163"/>
      <c r="WIF88" s="163"/>
      <c r="WIG88" s="163"/>
      <c r="WIH88" s="163"/>
      <c r="WII88" s="163"/>
      <c r="WIJ88" s="163"/>
      <c r="WIK88" s="163"/>
      <c r="WIL88" s="163"/>
      <c r="WIM88" s="163"/>
      <c r="WIN88" s="163"/>
      <c r="WIO88" s="163"/>
      <c r="WIP88" s="163"/>
      <c r="WIQ88" s="163"/>
      <c r="WIR88" s="163"/>
      <c r="WIS88" s="163"/>
      <c r="WIT88" s="163"/>
      <c r="WIU88" s="163"/>
      <c r="WIV88" s="163"/>
      <c r="WIW88" s="163"/>
      <c r="WIX88" s="163"/>
      <c r="WIY88" s="163"/>
      <c r="WIZ88" s="163"/>
      <c r="WJA88" s="163"/>
      <c r="WJB88" s="163"/>
      <c r="WJC88" s="163"/>
      <c r="WJD88" s="163"/>
      <c r="WJE88" s="163"/>
      <c r="WJF88" s="163"/>
      <c r="WJG88" s="163"/>
      <c r="WJH88" s="163"/>
      <c r="WJI88" s="163"/>
      <c r="WJJ88" s="163"/>
      <c r="WJK88" s="163"/>
      <c r="WJL88" s="163"/>
      <c r="WJM88" s="163"/>
      <c r="WJN88" s="163"/>
      <c r="WJO88" s="163"/>
      <c r="WJP88" s="163"/>
      <c r="WJQ88" s="163"/>
      <c r="WJR88" s="163"/>
      <c r="WJS88" s="163"/>
      <c r="WJT88" s="163"/>
      <c r="WJU88" s="163"/>
      <c r="WJV88" s="163"/>
      <c r="WJW88" s="163"/>
      <c r="WJX88" s="163"/>
      <c r="WJY88" s="163"/>
      <c r="WJZ88" s="163"/>
      <c r="WKA88" s="163"/>
      <c r="WKB88" s="163"/>
      <c r="WKC88" s="163"/>
      <c r="WKD88" s="163"/>
      <c r="WKE88" s="163"/>
      <c r="WKF88" s="163"/>
      <c r="WKG88" s="163"/>
      <c r="WKH88" s="163"/>
      <c r="WKI88" s="163"/>
      <c r="WKJ88" s="163"/>
      <c r="WKK88" s="163"/>
      <c r="WKL88" s="163"/>
      <c r="WKM88" s="163"/>
      <c r="WKN88" s="163"/>
      <c r="WKO88" s="163"/>
      <c r="WKP88" s="163"/>
      <c r="WKQ88" s="163"/>
      <c r="WKR88" s="163"/>
      <c r="WKS88" s="163"/>
      <c r="WKT88" s="163"/>
      <c r="WKU88" s="163"/>
      <c r="WKV88" s="163"/>
      <c r="WKW88" s="163"/>
      <c r="WKX88" s="163"/>
      <c r="WKY88" s="163"/>
      <c r="WKZ88" s="163"/>
      <c r="WLA88" s="163"/>
      <c r="WLB88" s="163"/>
      <c r="WLC88" s="163"/>
      <c r="WLD88" s="163"/>
      <c r="WLE88" s="163"/>
      <c r="WLF88" s="163"/>
      <c r="WLG88" s="163"/>
      <c r="WLH88" s="163"/>
      <c r="WLI88" s="163"/>
      <c r="WLJ88" s="163"/>
      <c r="WLK88" s="163"/>
      <c r="WLL88" s="163"/>
      <c r="WLM88" s="163"/>
      <c r="WLN88" s="163"/>
      <c r="WLO88" s="163"/>
      <c r="WLP88" s="163"/>
      <c r="WLQ88" s="163"/>
      <c r="WLR88" s="163"/>
      <c r="WLS88" s="163"/>
      <c r="WLT88" s="163"/>
      <c r="WLU88" s="163"/>
      <c r="WLV88" s="163"/>
      <c r="WLW88" s="163"/>
      <c r="WLX88" s="163"/>
      <c r="WLY88" s="163"/>
      <c r="WLZ88" s="163"/>
      <c r="WMA88" s="163"/>
      <c r="WMB88" s="163"/>
      <c r="WMC88" s="163"/>
      <c r="WMD88" s="163"/>
      <c r="WME88" s="163"/>
      <c r="WMF88" s="163"/>
      <c r="WMG88" s="163"/>
      <c r="WMH88" s="163"/>
      <c r="WMI88" s="163"/>
      <c r="WMJ88" s="163"/>
      <c r="WMK88" s="163"/>
      <c r="WML88" s="163"/>
      <c r="WMM88" s="163"/>
      <c r="WMN88" s="163"/>
      <c r="WMO88" s="163"/>
      <c r="WMP88" s="163"/>
      <c r="WMQ88" s="163"/>
      <c r="WMR88" s="163"/>
      <c r="WMS88" s="163"/>
      <c r="WMT88" s="163"/>
      <c r="WMU88" s="163"/>
      <c r="WMV88" s="163"/>
      <c r="WMW88" s="163"/>
      <c r="WMX88" s="163"/>
      <c r="WMY88" s="163"/>
      <c r="WMZ88" s="163"/>
      <c r="WNA88" s="163"/>
      <c r="WNB88" s="163"/>
      <c r="WNC88" s="163"/>
      <c r="WND88" s="163"/>
      <c r="WNE88" s="163"/>
      <c r="WNF88" s="163"/>
      <c r="WNG88" s="163"/>
      <c r="WNH88" s="163"/>
      <c r="WNI88" s="163"/>
      <c r="WNJ88" s="163"/>
      <c r="WNK88" s="163"/>
      <c r="WNL88" s="163"/>
      <c r="WNM88" s="163"/>
      <c r="WNN88" s="163"/>
      <c r="WNO88" s="163"/>
      <c r="WNP88" s="163"/>
      <c r="WNQ88" s="163"/>
      <c r="WNR88" s="163"/>
      <c r="WNS88" s="163"/>
      <c r="WNT88" s="163"/>
      <c r="WNU88" s="163"/>
      <c r="WNV88" s="163"/>
      <c r="WNW88" s="163"/>
      <c r="WNX88" s="163"/>
      <c r="WNY88" s="163"/>
      <c r="WNZ88" s="163"/>
      <c r="WOA88" s="163"/>
      <c r="WOB88" s="163"/>
      <c r="WOC88" s="163"/>
      <c r="WOD88" s="163"/>
      <c r="WOE88" s="163"/>
      <c r="WOF88" s="163"/>
      <c r="WOG88" s="163"/>
      <c r="WOH88" s="163"/>
      <c r="WOI88" s="163"/>
      <c r="WOJ88" s="163"/>
      <c r="WOK88" s="163"/>
      <c r="WOL88" s="163"/>
      <c r="WOM88" s="163"/>
      <c r="WON88" s="163"/>
      <c r="WOO88" s="163"/>
      <c r="WOP88" s="163"/>
      <c r="WOQ88" s="163"/>
      <c r="WOR88" s="163"/>
      <c r="WOS88" s="163"/>
      <c r="WOT88" s="163"/>
      <c r="WOU88" s="163"/>
      <c r="WOV88" s="163"/>
      <c r="WOW88" s="163"/>
      <c r="WOX88" s="163"/>
      <c r="WOY88" s="163"/>
      <c r="WOZ88" s="163"/>
      <c r="WPA88" s="163"/>
      <c r="WPB88" s="163"/>
      <c r="WPC88" s="163"/>
      <c r="WPD88" s="163"/>
      <c r="WPE88" s="163"/>
      <c r="WPF88" s="163"/>
      <c r="WPG88" s="163"/>
      <c r="WPH88" s="163"/>
      <c r="WPI88" s="163"/>
      <c r="WPJ88" s="163"/>
      <c r="WPK88" s="163"/>
      <c r="WPL88" s="163"/>
      <c r="WPM88" s="163"/>
      <c r="WPN88" s="163"/>
      <c r="WPO88" s="163"/>
      <c r="WPP88" s="163"/>
      <c r="WPQ88" s="163"/>
      <c r="WPR88" s="163"/>
      <c r="WPS88" s="163"/>
      <c r="WPT88" s="163"/>
      <c r="WPU88" s="163"/>
      <c r="WPV88" s="163"/>
      <c r="WPW88" s="163"/>
      <c r="WPX88" s="163"/>
      <c r="WPY88" s="163"/>
      <c r="WPZ88" s="163"/>
      <c r="WQA88" s="163"/>
      <c r="WQB88" s="163"/>
      <c r="WQC88" s="163"/>
      <c r="WQD88" s="163"/>
      <c r="WQE88" s="163"/>
      <c r="WQF88" s="163"/>
      <c r="WQG88" s="163"/>
      <c r="WQH88" s="163"/>
      <c r="WQI88" s="163"/>
      <c r="WQJ88" s="163"/>
      <c r="WQK88" s="163"/>
      <c r="WQL88" s="163"/>
      <c r="WQM88" s="163"/>
      <c r="WQN88" s="163"/>
      <c r="WQO88" s="163"/>
      <c r="WQP88" s="163"/>
      <c r="WQQ88" s="163"/>
      <c r="WQR88" s="163"/>
      <c r="WQS88" s="163"/>
      <c r="WQT88" s="163"/>
      <c r="WQU88" s="163"/>
      <c r="WQV88" s="163"/>
      <c r="WQW88" s="163"/>
      <c r="WQX88" s="163"/>
      <c r="WQY88" s="163"/>
      <c r="WQZ88" s="163"/>
      <c r="WRA88" s="163"/>
      <c r="WRB88" s="163"/>
      <c r="WRC88" s="163"/>
      <c r="WRD88" s="163"/>
      <c r="WRE88" s="163"/>
      <c r="WRF88" s="163"/>
      <c r="WRG88" s="163"/>
      <c r="WRH88" s="163"/>
      <c r="WRI88" s="163"/>
      <c r="WRJ88" s="163"/>
      <c r="WRK88" s="163"/>
      <c r="WRL88" s="163"/>
      <c r="WRM88" s="163"/>
      <c r="WRN88" s="163"/>
      <c r="WRO88" s="163"/>
      <c r="WRP88" s="163"/>
      <c r="WRQ88" s="163"/>
      <c r="WRR88" s="163"/>
      <c r="WRS88" s="163"/>
      <c r="WRT88" s="163"/>
      <c r="WRU88" s="163"/>
      <c r="WRV88" s="163"/>
      <c r="WRW88" s="163"/>
      <c r="WRX88" s="163"/>
      <c r="WRY88" s="163"/>
      <c r="WRZ88" s="163"/>
      <c r="WSA88" s="163"/>
      <c r="WSB88" s="163"/>
      <c r="WSC88" s="163"/>
      <c r="WSD88" s="163"/>
      <c r="WSE88" s="163"/>
      <c r="WSF88" s="163"/>
      <c r="WSG88" s="163"/>
      <c r="WSH88" s="163"/>
      <c r="WSI88" s="163"/>
      <c r="WSJ88" s="163"/>
      <c r="WSK88" s="163"/>
      <c r="WSL88" s="163"/>
      <c r="WSM88" s="163"/>
      <c r="WSN88" s="163"/>
      <c r="WSO88" s="163"/>
      <c r="WSP88" s="163"/>
      <c r="WSQ88" s="163"/>
      <c r="WSR88" s="163"/>
      <c r="WSS88" s="163"/>
      <c r="WST88" s="163"/>
      <c r="WSU88" s="163"/>
      <c r="WSV88" s="163"/>
      <c r="WSW88" s="163"/>
      <c r="WSX88" s="163"/>
      <c r="WSY88" s="163"/>
      <c r="WSZ88" s="163"/>
      <c r="WTA88" s="163"/>
      <c r="WTB88" s="163"/>
      <c r="WTC88" s="163"/>
      <c r="WTD88" s="163"/>
      <c r="WTE88" s="163"/>
      <c r="WTF88" s="163"/>
      <c r="WTG88" s="163"/>
      <c r="WTH88" s="163"/>
      <c r="WTI88" s="163"/>
      <c r="WTJ88" s="163"/>
      <c r="WTK88" s="163"/>
      <c r="WTL88" s="163"/>
      <c r="WTM88" s="163"/>
      <c r="WTN88" s="163"/>
      <c r="WTO88" s="163"/>
      <c r="WTP88" s="163"/>
      <c r="WTQ88" s="163"/>
      <c r="WTR88" s="163"/>
      <c r="WTS88" s="163"/>
      <c r="WTT88" s="163"/>
      <c r="WTU88" s="163"/>
      <c r="WTV88" s="163"/>
      <c r="WTW88" s="163"/>
      <c r="WTX88" s="163"/>
      <c r="WTY88" s="163"/>
      <c r="WTZ88" s="163"/>
      <c r="WUA88" s="163"/>
      <c r="WUB88" s="163"/>
      <c r="WUC88" s="163"/>
      <c r="WUD88" s="163"/>
      <c r="WUE88" s="163"/>
      <c r="WUF88" s="163"/>
      <c r="WUG88" s="163"/>
      <c r="WUH88" s="163"/>
      <c r="WUI88" s="163"/>
      <c r="WUJ88" s="163"/>
      <c r="WUK88" s="163"/>
      <c r="WUL88" s="163"/>
      <c r="WUM88" s="163"/>
      <c r="WUN88" s="163"/>
      <c r="WUO88" s="163"/>
      <c r="WUP88" s="163"/>
      <c r="WUQ88" s="163"/>
      <c r="WUR88" s="163"/>
      <c r="WUS88" s="163"/>
      <c r="WUT88" s="163"/>
      <c r="WUU88" s="163"/>
      <c r="WUV88" s="163"/>
      <c r="WUW88" s="163"/>
      <c r="WUX88" s="163"/>
      <c r="WUY88" s="163"/>
      <c r="WUZ88" s="163"/>
      <c r="WVA88" s="163"/>
      <c r="WVB88" s="163"/>
      <c r="WVC88" s="163"/>
      <c r="WVD88" s="163"/>
      <c r="WVE88" s="163"/>
      <c r="WVF88" s="163"/>
      <c r="WVG88" s="163"/>
      <c r="WVH88" s="163"/>
      <c r="WVI88" s="163"/>
      <c r="WVJ88" s="163"/>
      <c r="WVK88" s="163"/>
      <c r="WVL88" s="163"/>
      <c r="WVM88" s="163"/>
      <c r="WVN88" s="163"/>
      <c r="WVO88" s="163"/>
      <c r="WVP88" s="163"/>
      <c r="WVQ88" s="163"/>
      <c r="WVR88" s="163"/>
      <c r="WVS88" s="163"/>
      <c r="WVT88" s="163"/>
      <c r="WVU88" s="163"/>
      <c r="WVV88" s="163"/>
      <c r="WVW88" s="163"/>
      <c r="WVX88" s="163"/>
      <c r="WVY88" s="163"/>
      <c r="WVZ88" s="163"/>
      <c r="WWA88" s="163"/>
      <c r="WWB88" s="163"/>
      <c r="WWC88" s="163"/>
      <c r="WWD88" s="163"/>
      <c r="WWE88" s="163"/>
      <c r="WWF88" s="163"/>
      <c r="WWG88" s="163"/>
      <c r="WWH88" s="163"/>
      <c r="WWI88" s="163"/>
      <c r="WWJ88" s="163"/>
      <c r="WWK88" s="163"/>
      <c r="WWL88" s="163"/>
      <c r="WWM88" s="163"/>
      <c r="WWN88" s="163"/>
      <c r="WWO88" s="163"/>
      <c r="WWP88" s="163"/>
      <c r="WWQ88" s="163"/>
      <c r="WWR88" s="163"/>
      <c r="WWS88" s="163"/>
      <c r="WWT88" s="163"/>
      <c r="WWU88" s="163"/>
      <c r="WWV88" s="163"/>
      <c r="WWW88" s="163"/>
      <c r="WWX88" s="163"/>
      <c r="WWY88" s="163"/>
      <c r="WWZ88" s="163"/>
      <c r="WXA88" s="163"/>
      <c r="WXB88" s="163"/>
      <c r="WXC88" s="163"/>
      <c r="WXD88" s="163"/>
      <c r="WXE88" s="163"/>
      <c r="WXF88" s="163"/>
      <c r="WXG88" s="163"/>
      <c r="WXH88" s="163"/>
      <c r="WXI88" s="163"/>
      <c r="WXJ88" s="163"/>
      <c r="WXK88" s="163"/>
      <c r="WXL88" s="163"/>
      <c r="WXM88" s="163"/>
      <c r="WXN88" s="163"/>
      <c r="WXO88" s="163"/>
      <c r="WXP88" s="163"/>
      <c r="WXQ88" s="163"/>
      <c r="WXR88" s="163"/>
      <c r="WXS88" s="163"/>
      <c r="WXT88" s="163"/>
      <c r="WXU88" s="163"/>
      <c r="WXV88" s="163"/>
      <c r="WXW88" s="163"/>
      <c r="WXX88" s="163"/>
      <c r="WXY88" s="163"/>
      <c r="WXZ88" s="163"/>
      <c r="WYA88" s="163"/>
      <c r="WYB88" s="163"/>
      <c r="WYC88" s="163"/>
      <c r="WYD88" s="163"/>
      <c r="WYE88" s="163"/>
      <c r="WYF88" s="163"/>
      <c r="WYG88" s="163"/>
      <c r="WYH88" s="163"/>
      <c r="WYI88" s="163"/>
      <c r="WYJ88" s="163"/>
      <c r="WYK88" s="163"/>
      <c r="WYL88" s="163"/>
      <c r="WYM88" s="163"/>
      <c r="WYN88" s="163"/>
      <c r="WYO88" s="163"/>
      <c r="WYP88" s="163"/>
      <c r="WYQ88" s="163"/>
      <c r="WYR88" s="163"/>
      <c r="WYS88" s="163"/>
      <c r="WYT88" s="163"/>
      <c r="WYU88" s="163"/>
      <c r="WYV88" s="163"/>
      <c r="WYW88" s="163"/>
      <c r="WYX88" s="163"/>
      <c r="WYY88" s="163"/>
      <c r="WYZ88" s="163"/>
      <c r="WZA88" s="163"/>
      <c r="WZB88" s="163"/>
      <c r="WZC88" s="163"/>
      <c r="WZD88" s="163"/>
      <c r="WZE88" s="163"/>
      <c r="WZF88" s="163"/>
      <c r="WZG88" s="163"/>
      <c r="WZH88" s="163"/>
      <c r="WZI88" s="163"/>
      <c r="WZJ88" s="163"/>
      <c r="WZK88" s="163"/>
      <c r="WZL88" s="163"/>
      <c r="WZM88" s="163"/>
      <c r="WZN88" s="163"/>
      <c r="WZO88" s="163"/>
      <c r="WZP88" s="163"/>
      <c r="WZQ88" s="163"/>
      <c r="WZR88" s="163"/>
      <c r="WZS88" s="163"/>
      <c r="WZT88" s="163"/>
      <c r="WZU88" s="163"/>
      <c r="WZV88" s="163"/>
      <c r="WZW88" s="163"/>
      <c r="WZX88" s="163"/>
      <c r="WZY88" s="163"/>
      <c r="WZZ88" s="163"/>
      <c r="XAA88" s="163"/>
      <c r="XAB88" s="163"/>
      <c r="XAC88" s="163"/>
      <c r="XAD88" s="163"/>
      <c r="XAE88" s="163"/>
      <c r="XAF88" s="163"/>
      <c r="XAG88" s="163"/>
      <c r="XAH88" s="163"/>
      <c r="XAI88" s="163"/>
      <c r="XAJ88" s="163"/>
      <c r="XAK88" s="163"/>
      <c r="XAL88" s="163"/>
      <c r="XAM88" s="163"/>
      <c r="XAN88" s="163"/>
      <c r="XAO88" s="163"/>
      <c r="XAP88" s="163"/>
      <c r="XAQ88" s="163"/>
      <c r="XAR88" s="163"/>
      <c r="XAS88" s="163"/>
      <c r="XAT88" s="163"/>
      <c r="XAU88" s="163"/>
      <c r="XAV88" s="163"/>
      <c r="XAW88" s="163"/>
      <c r="XAX88" s="163"/>
      <c r="XAY88" s="163"/>
      <c r="XAZ88" s="163"/>
      <c r="XBA88" s="163"/>
      <c r="XBB88" s="163"/>
      <c r="XBC88" s="163"/>
      <c r="XBD88" s="163"/>
      <c r="XBE88" s="163"/>
      <c r="XBF88" s="163"/>
      <c r="XBG88" s="163"/>
      <c r="XBH88" s="163"/>
      <c r="XBI88" s="163"/>
      <c r="XBJ88" s="163"/>
      <c r="XBK88" s="163"/>
      <c r="XBL88" s="163"/>
      <c r="XBM88" s="163"/>
      <c r="XBN88" s="163"/>
      <c r="XBO88" s="163"/>
      <c r="XBP88" s="163"/>
      <c r="XBQ88" s="163"/>
      <c r="XBR88" s="163"/>
      <c r="XBS88" s="163"/>
      <c r="XBT88" s="163"/>
      <c r="XBU88" s="163"/>
      <c r="XBV88" s="163"/>
      <c r="XBW88" s="163"/>
      <c r="XBX88" s="163"/>
      <c r="XBY88" s="163"/>
      <c r="XBZ88" s="163"/>
      <c r="XCA88" s="163"/>
      <c r="XCB88" s="163"/>
      <c r="XCC88" s="163"/>
      <c r="XCD88" s="163"/>
      <c r="XCE88" s="163"/>
      <c r="XCF88" s="163"/>
      <c r="XCG88" s="163"/>
      <c r="XCH88" s="163"/>
      <c r="XCI88" s="163"/>
      <c r="XCJ88" s="163"/>
      <c r="XCK88" s="163"/>
      <c r="XCL88" s="163"/>
      <c r="XCM88" s="163"/>
      <c r="XCN88" s="163"/>
      <c r="XCO88" s="163"/>
      <c r="XCP88" s="163"/>
      <c r="XCQ88" s="163"/>
      <c r="XCR88" s="163"/>
      <c r="XCS88" s="163"/>
      <c r="XCT88" s="163"/>
      <c r="XCU88" s="163"/>
      <c r="XCV88" s="163"/>
      <c r="XCW88" s="163"/>
    </row>
    <row r="89" spans="1:16325" s="153" customFormat="1" hidden="1" x14ac:dyDescent="0.15">
      <c r="A89" s="6"/>
      <c r="B89" s="83" t="s">
        <v>95</v>
      </c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155">
        <f t="shared" ref="AS89:AY89" si="47">AS88+AS87</f>
        <v>40</v>
      </c>
      <c r="AT89" s="155">
        <f t="shared" si="47"/>
        <v>85</v>
      </c>
      <c r="AU89" s="156">
        <f t="shared" si="47"/>
        <v>125</v>
      </c>
      <c r="AV89" s="155">
        <f t="shared" si="47"/>
        <v>105</v>
      </c>
      <c r="AW89" s="155">
        <f t="shared" si="47"/>
        <v>130</v>
      </c>
      <c r="AX89" s="155">
        <f t="shared" si="47"/>
        <v>195</v>
      </c>
      <c r="AY89" s="155">
        <f t="shared" si="47"/>
        <v>225</v>
      </c>
      <c r="AZ89" s="156">
        <f>AZ88+AZ87</f>
        <v>655</v>
      </c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  <c r="WWI89" s="6"/>
      <c r="WWJ89" s="6"/>
      <c r="WWK89" s="6"/>
      <c r="WWL89" s="6"/>
      <c r="WWM89" s="6"/>
      <c r="WWN89" s="6"/>
      <c r="WWO89" s="6"/>
      <c r="WWP89" s="6"/>
      <c r="WWQ89" s="6"/>
      <c r="WWR89" s="6"/>
      <c r="WWS89" s="6"/>
      <c r="WWT89" s="6"/>
      <c r="WWU89" s="6"/>
      <c r="WWV89" s="6"/>
      <c r="WWW89" s="6"/>
      <c r="WWX89" s="6"/>
      <c r="WWY89" s="6"/>
      <c r="WWZ89" s="6"/>
      <c r="WXA89" s="6"/>
      <c r="WXB89" s="6"/>
      <c r="WXC89" s="6"/>
      <c r="WXD89" s="6"/>
      <c r="WXE89" s="6"/>
      <c r="WXF89" s="6"/>
      <c r="WXG89" s="6"/>
      <c r="WXH89" s="6"/>
      <c r="WXI89" s="6"/>
      <c r="WXJ89" s="6"/>
      <c r="WXK89" s="6"/>
      <c r="WXL89" s="6"/>
      <c r="WXM89" s="6"/>
      <c r="WXN89" s="6"/>
      <c r="WXO89" s="6"/>
      <c r="WXP89" s="6"/>
      <c r="WXQ89" s="6"/>
      <c r="WXR89" s="6"/>
      <c r="WXS89" s="6"/>
      <c r="WXT89" s="6"/>
      <c r="WXU89" s="6"/>
      <c r="WXV89" s="6"/>
      <c r="WXW89" s="6"/>
      <c r="WXX89" s="6"/>
      <c r="WXY89" s="6"/>
      <c r="WXZ89" s="6"/>
      <c r="WYA89" s="6"/>
      <c r="WYB89" s="6"/>
      <c r="WYC89" s="6"/>
      <c r="WYD89" s="6"/>
      <c r="WYE89" s="6"/>
      <c r="WYF89" s="6"/>
      <c r="WYG89" s="6"/>
      <c r="WYH89" s="6"/>
      <c r="WYI89" s="6"/>
      <c r="WYJ89" s="6"/>
      <c r="WYK89" s="6"/>
      <c r="WYL89" s="6"/>
      <c r="WYM89" s="6"/>
      <c r="WYN89" s="6"/>
      <c r="WYO89" s="6"/>
      <c r="WYP89" s="6"/>
      <c r="WYQ89" s="6"/>
      <c r="WYR89" s="6"/>
      <c r="WYS89" s="6"/>
      <c r="WYT89" s="6"/>
      <c r="WYU89" s="6"/>
      <c r="WYV89" s="6"/>
      <c r="WYW89" s="6"/>
      <c r="WYX89" s="6"/>
      <c r="WYY89" s="6"/>
      <c r="WYZ89" s="6"/>
      <c r="WZA89" s="6"/>
      <c r="WZB89" s="6"/>
      <c r="WZC89" s="6"/>
      <c r="WZD89" s="6"/>
      <c r="WZE89" s="6"/>
      <c r="WZF89" s="6"/>
      <c r="WZG89" s="6"/>
      <c r="WZH89" s="6"/>
      <c r="WZI89" s="6"/>
      <c r="WZJ89" s="6"/>
      <c r="WZK89" s="6"/>
      <c r="WZL89" s="6"/>
      <c r="WZM89" s="6"/>
      <c r="WZN89" s="6"/>
      <c r="WZO89" s="6"/>
      <c r="WZP89" s="6"/>
      <c r="WZQ89" s="6"/>
      <c r="WZR89" s="6"/>
      <c r="WZS89" s="6"/>
      <c r="WZT89" s="6"/>
      <c r="WZU89" s="6"/>
      <c r="WZV89" s="6"/>
      <c r="WZW89" s="6"/>
      <c r="WZX89" s="6"/>
      <c r="WZY89" s="6"/>
      <c r="WZZ89" s="6"/>
      <c r="XAA89" s="6"/>
      <c r="XAB89" s="6"/>
      <c r="XAC89" s="6"/>
      <c r="XAD89" s="6"/>
      <c r="XAE89" s="6"/>
      <c r="XAF89" s="6"/>
      <c r="XAG89" s="6"/>
      <c r="XAH89" s="6"/>
      <c r="XAI89" s="6"/>
      <c r="XAJ89" s="6"/>
      <c r="XAK89" s="6"/>
      <c r="XAL89" s="6"/>
      <c r="XAM89" s="6"/>
      <c r="XAN89" s="6"/>
      <c r="XAO89" s="6"/>
      <c r="XAP89" s="6"/>
      <c r="XAQ89" s="6"/>
      <c r="XAR89" s="6"/>
      <c r="XAS89" s="6"/>
      <c r="XAT89" s="6"/>
      <c r="XAU89" s="6"/>
      <c r="XAV89" s="6"/>
      <c r="XAW89" s="6"/>
      <c r="XAX89" s="6"/>
      <c r="XAY89" s="6"/>
      <c r="XAZ89" s="6"/>
      <c r="XBA89" s="6"/>
      <c r="XBB89" s="6"/>
      <c r="XBC89" s="6"/>
      <c r="XBD89" s="6"/>
      <c r="XBE89" s="6"/>
      <c r="XBF89" s="6"/>
      <c r="XBG89" s="6"/>
      <c r="XBH89" s="6"/>
      <c r="XBI89" s="6"/>
      <c r="XBJ89" s="6"/>
      <c r="XBK89" s="6"/>
      <c r="XBL89" s="6"/>
      <c r="XBM89" s="6"/>
      <c r="XBN89" s="6"/>
      <c r="XBO89" s="6"/>
      <c r="XBP89" s="6"/>
      <c r="XBQ89" s="6"/>
      <c r="XBR89" s="6"/>
      <c r="XBS89" s="6"/>
      <c r="XBT89" s="6"/>
      <c r="XBU89" s="6"/>
      <c r="XBV89" s="6"/>
      <c r="XBW89" s="6"/>
      <c r="XBX89" s="6"/>
      <c r="XBY89" s="6"/>
      <c r="XBZ89" s="6"/>
      <c r="XCA89" s="6"/>
      <c r="XCB89" s="6"/>
      <c r="XCC89" s="6"/>
      <c r="XCD89" s="6"/>
      <c r="XCE89" s="6"/>
      <c r="XCF89" s="6"/>
      <c r="XCG89" s="6"/>
      <c r="XCH89" s="6"/>
      <c r="XCI89" s="6"/>
      <c r="XCJ89" s="6"/>
      <c r="XCK89" s="6"/>
      <c r="XCL89" s="6"/>
      <c r="XCM89" s="6"/>
      <c r="XCN89" s="6"/>
      <c r="XCO89" s="6"/>
      <c r="XCP89" s="6"/>
      <c r="XCQ89" s="6"/>
      <c r="XCR89" s="6"/>
      <c r="XCS89" s="6"/>
      <c r="XCT89" s="6"/>
      <c r="XCU89" s="6"/>
      <c r="XCV89" s="6"/>
      <c r="XCW89" s="6"/>
    </row>
    <row r="90" spans="1:16325" s="153" customFormat="1" hidden="1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</row>
    <row r="91" spans="1:16325" s="153" customFormat="1" hidden="1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  <c r="WVT91" s="6"/>
      <c r="WVU91" s="6"/>
      <c r="WVV91" s="6"/>
      <c r="WVW91" s="6"/>
      <c r="WVX91" s="6"/>
      <c r="WVY91" s="6"/>
      <c r="WVZ91" s="6"/>
      <c r="WWA91" s="6"/>
      <c r="WWB91" s="6"/>
      <c r="WWC91" s="6"/>
      <c r="WWD91" s="6"/>
      <c r="WWE91" s="6"/>
      <c r="WWF91" s="6"/>
      <c r="WWG91" s="6"/>
      <c r="WWH91" s="6"/>
      <c r="WWI91" s="6"/>
      <c r="WWJ91" s="6"/>
      <c r="WWK91" s="6"/>
      <c r="WWL91" s="6"/>
      <c r="WWM91" s="6"/>
      <c r="WWN91" s="6"/>
      <c r="WWO91" s="6"/>
      <c r="WWP91" s="6"/>
      <c r="WWQ91" s="6"/>
      <c r="WWR91" s="6"/>
      <c r="WWS91" s="6"/>
      <c r="WWT91" s="6"/>
      <c r="WWU91" s="6"/>
      <c r="WWV91" s="6"/>
      <c r="WWW91" s="6"/>
      <c r="WWX91" s="6"/>
      <c r="WWY91" s="6"/>
      <c r="WWZ91" s="6"/>
      <c r="WXA91" s="6"/>
      <c r="WXB91" s="6"/>
      <c r="WXC91" s="6"/>
      <c r="WXD91" s="6"/>
      <c r="WXE91" s="6"/>
      <c r="WXF91" s="6"/>
      <c r="WXG91" s="6"/>
      <c r="WXH91" s="6"/>
      <c r="WXI91" s="6"/>
      <c r="WXJ91" s="6"/>
      <c r="WXK91" s="6"/>
      <c r="WXL91" s="6"/>
      <c r="WXM91" s="6"/>
      <c r="WXN91" s="6"/>
      <c r="WXO91" s="6"/>
      <c r="WXP91" s="6"/>
      <c r="WXQ91" s="6"/>
      <c r="WXR91" s="6"/>
      <c r="WXS91" s="6"/>
      <c r="WXT91" s="6"/>
      <c r="WXU91" s="6"/>
      <c r="WXV91" s="6"/>
      <c r="WXW91" s="6"/>
      <c r="WXX91" s="6"/>
      <c r="WXY91" s="6"/>
      <c r="WXZ91" s="6"/>
      <c r="WYA91" s="6"/>
      <c r="WYB91" s="6"/>
      <c r="WYC91" s="6"/>
      <c r="WYD91" s="6"/>
      <c r="WYE91" s="6"/>
      <c r="WYF91" s="6"/>
      <c r="WYG91" s="6"/>
      <c r="WYH91" s="6"/>
      <c r="WYI91" s="6"/>
      <c r="WYJ91" s="6"/>
      <c r="WYK91" s="6"/>
      <c r="WYL91" s="6"/>
      <c r="WYM91" s="6"/>
      <c r="WYN91" s="6"/>
      <c r="WYO91" s="6"/>
      <c r="WYP91" s="6"/>
      <c r="WYQ91" s="6"/>
      <c r="WYR91" s="6"/>
      <c r="WYS91" s="6"/>
      <c r="WYT91" s="6"/>
      <c r="WYU91" s="6"/>
      <c r="WYV91" s="6"/>
      <c r="WYW91" s="6"/>
      <c r="WYX91" s="6"/>
      <c r="WYY91" s="6"/>
      <c r="WYZ91" s="6"/>
      <c r="WZA91" s="6"/>
      <c r="WZB91" s="6"/>
      <c r="WZC91" s="6"/>
      <c r="WZD91" s="6"/>
      <c r="WZE91" s="6"/>
      <c r="WZF91" s="6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  <c r="XBI91" s="6"/>
      <c r="XBJ91" s="6"/>
      <c r="XBK91" s="6"/>
      <c r="XBL91" s="6"/>
      <c r="XBM91" s="6"/>
      <c r="XBN91" s="6"/>
      <c r="XBO91" s="6"/>
      <c r="XBP91" s="6"/>
      <c r="XBQ91" s="6"/>
      <c r="XBR91" s="6"/>
      <c r="XBS91" s="6"/>
      <c r="XBT91" s="6"/>
      <c r="XBU91" s="6"/>
      <c r="XBV91" s="6"/>
      <c r="XBW91" s="6"/>
      <c r="XBX91" s="6"/>
      <c r="XBY91" s="6"/>
      <c r="XBZ91" s="6"/>
      <c r="XCA91" s="6"/>
      <c r="XCB91" s="6"/>
      <c r="XCC91" s="6"/>
      <c r="XCD91" s="6"/>
      <c r="XCE91" s="6"/>
      <c r="XCF91" s="6"/>
      <c r="XCG91" s="6"/>
      <c r="XCH91" s="6"/>
      <c r="XCI91" s="6"/>
      <c r="XCJ91" s="6"/>
      <c r="XCK91" s="6"/>
      <c r="XCL91" s="6"/>
      <c r="XCM91" s="6"/>
      <c r="XCN91" s="6"/>
      <c r="XCO91" s="6"/>
      <c r="XCP91" s="6"/>
      <c r="XCQ91" s="6"/>
      <c r="XCR91" s="6"/>
      <c r="XCS91" s="6"/>
      <c r="XCT91" s="6"/>
      <c r="XCU91" s="6"/>
      <c r="XCV91" s="6"/>
      <c r="XCW91" s="6"/>
    </row>
    <row r="92" spans="1:16325" s="153" customFormat="1" hidden="1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</row>
    <row r="93" spans="1:16325" s="91" customFormat="1" hidden="1" x14ac:dyDescent="0.15">
      <c r="B93" s="69" t="s">
        <v>101</v>
      </c>
      <c r="AQ93" s="45"/>
      <c r="AR93" s="45"/>
      <c r="AS93" s="45"/>
      <c r="AT93" s="45"/>
      <c r="AU93" s="46">
        <f>'BS &amp; CF'!AG104</f>
        <v>1902.0000000000002</v>
      </c>
      <c r="AV93" s="28"/>
      <c r="AW93" s="28"/>
      <c r="AX93" s="28"/>
      <c r="AY93" s="28"/>
      <c r="AZ93" s="46">
        <f>'BS &amp; CF'!AL104</f>
        <v>1550.7</v>
      </c>
      <c r="BA93" s="28"/>
      <c r="BB93" s="28"/>
      <c r="BC93" s="28"/>
      <c r="BD93" s="28"/>
      <c r="BE93" s="46">
        <f>'BS &amp; CF'!AQ104</f>
        <v>2212.4</v>
      </c>
      <c r="BF93" s="28"/>
      <c r="BG93" s="28"/>
      <c r="BH93" s="28"/>
      <c r="BI93" s="28"/>
      <c r="BJ93" s="46">
        <f>'BS &amp; CF'!AV104</f>
        <v>2546.1999999999998</v>
      </c>
      <c r="BK93" s="28"/>
      <c r="BL93" s="28"/>
      <c r="BM93" s="28"/>
      <c r="BN93" s="28"/>
      <c r="BO93" s="46">
        <f>'BS &amp; CF'!BA104</f>
        <v>2479</v>
      </c>
      <c r="BP93" s="28"/>
      <c r="BQ93" s="28"/>
      <c r="BR93" s="28"/>
      <c r="BS93" s="28"/>
      <c r="BT93" s="46">
        <f>'BS &amp; CF'!BF104</f>
        <v>2348.3000000000002</v>
      </c>
      <c r="BU93" s="28"/>
      <c r="BV93" s="28"/>
      <c r="BW93" s="28"/>
      <c r="BX93" s="28"/>
      <c r="BY93" s="46">
        <f>'BS &amp; CF'!BU104</f>
        <v>0</v>
      </c>
      <c r="BZ93" s="28"/>
      <c r="CA93" s="28"/>
      <c r="CB93" s="28"/>
      <c r="CC93" s="28"/>
      <c r="CD93" s="46">
        <f>'BS &amp; CF'!BZ104</f>
        <v>0</v>
      </c>
    </row>
    <row r="94" spans="1:16325" s="91" customFormat="1" hidden="1" x14ac:dyDescent="0.15">
      <c r="B94" s="69"/>
      <c r="AQ94" s="45"/>
      <c r="AR94" s="45"/>
      <c r="AS94" s="45"/>
      <c r="AT94" s="45"/>
      <c r="AU94" s="45"/>
      <c r="AV94" s="28"/>
      <c r="AW94" s="28"/>
      <c r="AX94" s="28"/>
      <c r="AY94" s="28"/>
      <c r="AZ94" s="45"/>
      <c r="BA94" s="28"/>
      <c r="BB94" s="28"/>
      <c r="BC94" s="28"/>
      <c r="BD94" s="28"/>
      <c r="BE94" s="45"/>
      <c r="BF94" s="28"/>
      <c r="BG94" s="28"/>
      <c r="BH94" s="28"/>
      <c r="BI94" s="28"/>
      <c r="BJ94" s="45"/>
      <c r="BK94" s="28"/>
      <c r="BL94" s="28"/>
      <c r="BM94" s="28"/>
      <c r="BN94" s="28"/>
      <c r="BO94" s="45"/>
      <c r="BP94" s="28"/>
      <c r="BQ94" s="28"/>
      <c r="BR94" s="28"/>
      <c r="BS94" s="28"/>
      <c r="BT94" s="45"/>
      <c r="BU94" s="28"/>
      <c r="BV94" s="28"/>
      <c r="BW94" s="28"/>
      <c r="BX94" s="28"/>
      <c r="BY94" s="45"/>
      <c r="BZ94" s="28"/>
      <c r="CA94" s="28"/>
      <c r="CB94" s="28"/>
      <c r="CC94" s="28"/>
      <c r="CD94" s="45"/>
    </row>
    <row r="95" spans="1:16325" s="28" customFormat="1" ht="12" customHeight="1" x14ac:dyDescent="0.15">
      <c r="BB95" s="165"/>
    </row>
    <row r="96" spans="1:16325" s="47" customFormat="1" x14ac:dyDescent="0.15">
      <c r="B96" s="166" t="s">
        <v>102</v>
      </c>
      <c r="V96" s="167">
        <f>V20</f>
        <v>299.75099999999998</v>
      </c>
      <c r="W96" s="168">
        <f>W19+W36</f>
        <v>83.294999999999987</v>
      </c>
      <c r="X96" s="167">
        <f>X19+X36</f>
        <v>92.188000000000017</v>
      </c>
      <c r="Y96" s="167">
        <f>Y19+Y36</f>
        <v>112.40599999999998</v>
      </c>
      <c r="Z96" s="167">
        <f>Z19+Z36</f>
        <v>136.245</v>
      </c>
      <c r="AA96" s="169">
        <f>SUM(W96:Z96)</f>
        <v>424.13400000000001</v>
      </c>
      <c r="AB96" s="168">
        <f>AB19+AB36</f>
        <v>108.33100000000002</v>
      </c>
      <c r="AC96" s="167">
        <f>AC19+AC36</f>
        <v>109.626</v>
      </c>
      <c r="AD96" s="167">
        <f>AD19+AD36</f>
        <v>-126.27869999999993</v>
      </c>
      <c r="AE96" s="170">
        <f>AE20</f>
        <v>230.27099999999996</v>
      </c>
      <c r="AF96" s="169">
        <f>SUM(AB96:AE96)</f>
        <v>321.94930000000005</v>
      </c>
      <c r="AG96" s="168">
        <f>AG20</f>
        <v>283.41800000000006</v>
      </c>
      <c r="AH96" s="167">
        <f>AH20</f>
        <v>303.18899999999985</v>
      </c>
      <c r="AI96" s="167">
        <f>AI20</f>
        <v>299.18899999999996</v>
      </c>
      <c r="AJ96" s="170">
        <f>AJ20</f>
        <v>370.20099999999996</v>
      </c>
      <c r="AK96" s="169">
        <f>SUM(AG96:AJ96)</f>
        <v>1255.9969999999998</v>
      </c>
      <c r="AL96" s="168">
        <f>AL20</f>
        <v>443.71499999999992</v>
      </c>
      <c r="AM96" s="167">
        <f>AM20</f>
        <v>428.20200000000006</v>
      </c>
      <c r="AN96" s="167">
        <f>AN20</f>
        <v>475.23699999999997</v>
      </c>
      <c r="AO96" s="170">
        <f>AO20</f>
        <v>522.62500000000011</v>
      </c>
      <c r="AP96" s="169">
        <f>SUM(AL96:AO96)</f>
        <v>1869.779</v>
      </c>
      <c r="AQ96" s="167">
        <f>AQ20+'BS &amp; CF'!AC105</f>
        <v>571.29700000000003</v>
      </c>
      <c r="AR96" s="167">
        <f>AR20+'BS &amp; CF'!AD105</f>
        <v>587.09799999999984</v>
      </c>
      <c r="AS96" s="167">
        <f>AS20+'BS &amp; CF'!AE105</f>
        <v>760.85899999999981</v>
      </c>
      <c r="AT96" s="167">
        <f>AT20+'BS &amp; CF'!AF105</f>
        <v>1054.8890000000001</v>
      </c>
      <c r="AU96" s="171">
        <f>AU20</f>
        <v>2860.3369999999991</v>
      </c>
      <c r="AV96" s="167">
        <f>AV20+'BS &amp; CF'!AH105</f>
        <v>896.3</v>
      </c>
      <c r="AW96" s="167">
        <f>AW20+'BS &amp; CF'!AI105</f>
        <v>937.59999999999968</v>
      </c>
      <c r="AX96" s="167">
        <f>AX20+'BS &amp; CF'!AJ105</f>
        <v>1009.1000000000004</v>
      </c>
      <c r="AY96" s="167">
        <f>AY20+'BS &amp; CF'!AK105</f>
        <v>1190.0999999999999</v>
      </c>
      <c r="AZ96" s="171">
        <f>SUM(AV96:AY96)</f>
        <v>4033.1</v>
      </c>
      <c r="BA96" s="167">
        <f>BA20+'BS &amp; CF'!AM105</f>
        <v>1071.7000000000003</v>
      </c>
      <c r="BB96" s="167">
        <f>BB20+'BS &amp; CF'!AN105</f>
        <v>1381</v>
      </c>
      <c r="BC96" s="167">
        <f>BC20+'BS &amp; CF'!AO105</f>
        <v>1447</v>
      </c>
      <c r="BD96" s="167">
        <f>BD20+'BS &amp; CF'!AP105</f>
        <v>1379.9999999999995</v>
      </c>
      <c r="BE96" s="171">
        <f>BE20+'BS &amp; CF'!AQ105</f>
        <v>5279.7000000000007</v>
      </c>
      <c r="BF96" s="167">
        <f>BF20+'BS &amp; CF'!AR105+50</f>
        <v>1058.9731200000001</v>
      </c>
      <c r="BG96" s="167">
        <f>BG20+'BS &amp; CF'!AS105+50</f>
        <v>1409.4867420000005</v>
      </c>
      <c r="BH96" s="167">
        <f>BH20+'BS &amp; CF'!AT105+50</f>
        <v>1495.0711780000001</v>
      </c>
      <c r="BI96" s="167">
        <f>BI20+'BS &amp; CF'!AU105+50</f>
        <v>1626.7284390000002</v>
      </c>
      <c r="BJ96" s="171">
        <f>BJ20+'BS &amp; CF'!AV105+200</f>
        <v>5590.2594790000003</v>
      </c>
      <c r="BK96" s="172"/>
      <c r="BL96" s="172"/>
      <c r="BM96" s="172"/>
      <c r="BN96" s="172"/>
      <c r="BO96" s="173">
        <f>BO20+'BS &amp; CF'!BA105+200</f>
        <v>6033.6811345500028</v>
      </c>
      <c r="BP96" s="172">
        <f>BP20+'BS &amp; CF'!BB105+200</f>
        <v>200</v>
      </c>
      <c r="BQ96" s="172">
        <f>BQ20+'BS &amp; CF'!BC105+200</f>
        <v>200</v>
      </c>
      <c r="BR96" s="172">
        <f>BR20+'BS &amp; CF'!BD105+200</f>
        <v>200</v>
      </c>
      <c r="BS96" s="172">
        <f>BS20+'BS &amp; CF'!BE105+200</f>
        <v>200</v>
      </c>
      <c r="BT96" s="171">
        <f>BT20+'BS &amp; CF'!BF105+200</f>
        <v>6476.2228770882994</v>
      </c>
      <c r="BU96" s="172">
        <f>BU20+'BS &amp; CF'!BG105+200</f>
        <v>200</v>
      </c>
      <c r="BV96" s="172">
        <f>BV20+'BS &amp; CF'!BH105+200</f>
        <v>200</v>
      </c>
      <c r="BW96" s="172">
        <f>BW20+'BS &amp; CF'!BI105+200</f>
        <v>200</v>
      </c>
      <c r="BX96" s="172">
        <f>BX20+'BS &amp; CF'!BJ105+200</f>
        <v>200</v>
      </c>
      <c r="BY96" s="173">
        <f>BY20+'BS &amp; CF'!BK105+200</f>
        <v>6972.1256777861618</v>
      </c>
      <c r="BZ96" s="172">
        <f>BZ20+'BS &amp; CF'!BL105+200</f>
        <v>200</v>
      </c>
      <c r="CA96" s="172">
        <f>CA20+'BS &amp; CF'!BM105+200</f>
        <v>200</v>
      </c>
      <c r="CB96" s="172">
        <f>CB20+'BS &amp; CF'!BN105+200</f>
        <v>200</v>
      </c>
      <c r="CC96" s="172">
        <f>CC20+'BS &amp; CF'!BO105+200</f>
        <v>200</v>
      </c>
      <c r="CD96" s="171">
        <f>CD20+'BS &amp; CF'!BP105+200</f>
        <v>7338.176746250776</v>
      </c>
      <c r="CF96" s="174" t="s">
        <v>103</v>
      </c>
    </row>
    <row r="97" spans="2:84" s="28" customFormat="1" hidden="1" x14ac:dyDescent="0.15">
      <c r="B97" s="34" t="s">
        <v>104</v>
      </c>
      <c r="C97" s="35"/>
      <c r="D97" s="36"/>
      <c r="E97" s="36"/>
      <c r="F97" s="36"/>
      <c r="G97" s="34"/>
      <c r="H97" s="35"/>
      <c r="I97" s="36"/>
      <c r="J97" s="36"/>
      <c r="K97" s="36"/>
      <c r="L97" s="34"/>
      <c r="M97" s="35"/>
      <c r="N97" s="36"/>
      <c r="O97" s="36"/>
      <c r="P97" s="36"/>
      <c r="Q97" s="34"/>
      <c r="R97" s="35"/>
      <c r="S97" s="36"/>
      <c r="T97" s="36"/>
      <c r="U97" s="36"/>
      <c r="V97" s="34"/>
      <c r="W97" s="35"/>
      <c r="X97" s="36"/>
      <c r="Y97" s="36"/>
      <c r="Z97" s="36"/>
      <c r="AA97" s="34"/>
      <c r="AB97" s="35"/>
      <c r="AC97" s="36"/>
      <c r="AD97" s="36"/>
      <c r="AE97" s="36"/>
      <c r="AF97" s="34"/>
      <c r="AG97" s="35"/>
      <c r="AH97" s="36"/>
      <c r="AI97" s="36"/>
      <c r="AJ97" s="36"/>
      <c r="AK97" s="34"/>
      <c r="AL97" s="35"/>
      <c r="AM97" s="36"/>
      <c r="AN97" s="36"/>
      <c r="AO97" s="36"/>
      <c r="AP97" s="34"/>
      <c r="AQ97" s="35"/>
      <c r="AR97" s="36"/>
      <c r="AS97" s="36"/>
      <c r="AT97" s="36"/>
      <c r="AU97" s="34"/>
      <c r="AV97" s="35"/>
      <c r="AW97" s="36"/>
      <c r="AX97" s="36"/>
      <c r="AY97" s="36"/>
      <c r="AZ97" s="34"/>
      <c r="BA97" s="35"/>
      <c r="BB97" s="36"/>
      <c r="BC97" s="36"/>
      <c r="BD97" s="36"/>
      <c r="BE97" s="34"/>
      <c r="BF97" s="35"/>
      <c r="BG97" s="36"/>
      <c r="BH97" s="36"/>
      <c r="BI97" s="36"/>
      <c r="BJ97" s="34"/>
      <c r="BK97" s="35"/>
      <c r="BL97" s="36"/>
      <c r="BM97" s="36"/>
      <c r="BN97" s="36"/>
      <c r="BO97" s="34"/>
      <c r="BP97" s="35"/>
      <c r="BQ97" s="36"/>
      <c r="BR97" s="36"/>
      <c r="BS97" s="36"/>
      <c r="BT97" s="34"/>
      <c r="BU97" s="35"/>
      <c r="BV97" s="36"/>
      <c r="BW97" s="36"/>
      <c r="BX97" s="36"/>
      <c r="BY97" s="34"/>
      <c r="BZ97" s="35"/>
      <c r="CA97" s="36"/>
      <c r="CB97" s="36"/>
      <c r="CC97" s="36"/>
      <c r="CD97" s="34"/>
      <c r="CF97" s="37"/>
    </row>
    <row r="98" spans="2:84" s="119" customFormat="1" hidden="1" x14ac:dyDescent="0.15">
      <c r="B98" s="70" t="s">
        <v>105</v>
      </c>
      <c r="C98" s="120"/>
      <c r="D98" s="92"/>
      <c r="E98" s="92"/>
      <c r="F98" s="92"/>
      <c r="G98" s="121"/>
      <c r="H98" s="120" t="e">
        <f t="shared" ref="H98:AE98" si="48">H46/C46-1</f>
        <v>#DIV/0!</v>
      </c>
      <c r="I98" s="92" t="e">
        <f t="shared" si="48"/>
        <v>#DIV/0!</v>
      </c>
      <c r="J98" s="92" t="e">
        <f t="shared" si="48"/>
        <v>#DIV/0!</v>
      </c>
      <c r="K98" s="92" t="e">
        <f t="shared" si="48"/>
        <v>#DIV/0!</v>
      </c>
      <c r="L98" s="121" t="e">
        <f t="shared" si="48"/>
        <v>#DIV/0!</v>
      </c>
      <c r="M98" s="120" t="e">
        <f t="shared" si="48"/>
        <v>#DIV/0!</v>
      </c>
      <c r="N98" s="92" t="e">
        <f t="shared" si="48"/>
        <v>#DIV/0!</v>
      </c>
      <c r="O98" s="92" t="e">
        <f t="shared" si="48"/>
        <v>#DIV/0!</v>
      </c>
      <c r="P98" s="92" t="e">
        <f t="shared" si="48"/>
        <v>#DIV/0!</v>
      </c>
      <c r="Q98" s="121" t="e">
        <f t="shared" si="48"/>
        <v>#DIV/0!</v>
      </c>
      <c r="R98" s="92" t="e">
        <f t="shared" si="48"/>
        <v>#DIV/0!</v>
      </c>
      <c r="S98" s="92" t="e">
        <f t="shared" si="48"/>
        <v>#DIV/0!</v>
      </c>
      <c r="T98" s="92" t="e">
        <f t="shared" si="48"/>
        <v>#DIV/0!</v>
      </c>
      <c r="U98" s="92" t="e">
        <f t="shared" si="48"/>
        <v>#DIV/0!</v>
      </c>
      <c r="V98" s="121" t="e">
        <f t="shared" si="48"/>
        <v>#DIV/0!</v>
      </c>
      <c r="W98" s="92" t="e">
        <f t="shared" si="48"/>
        <v>#DIV/0!</v>
      </c>
      <c r="X98" s="92" t="e">
        <f t="shared" si="48"/>
        <v>#DIV/0!</v>
      </c>
      <c r="Y98" s="92" t="e">
        <f t="shared" si="48"/>
        <v>#DIV/0!</v>
      </c>
      <c r="Z98" s="92" t="e">
        <f t="shared" si="48"/>
        <v>#DIV/0!</v>
      </c>
      <c r="AA98" s="121" t="e">
        <f t="shared" si="48"/>
        <v>#DIV/0!</v>
      </c>
      <c r="AB98" s="92" t="e">
        <f t="shared" si="48"/>
        <v>#DIV/0!</v>
      </c>
      <c r="AC98" s="92" t="e">
        <f t="shared" si="48"/>
        <v>#DIV/0!</v>
      </c>
      <c r="AD98" s="92" t="e">
        <f t="shared" si="48"/>
        <v>#DIV/0!</v>
      </c>
      <c r="AE98" s="92" t="e">
        <f t="shared" si="48"/>
        <v>#DIV/0!</v>
      </c>
      <c r="AF98" s="121"/>
      <c r="AG98" s="92"/>
      <c r="AH98" s="92"/>
      <c r="AI98" s="92"/>
      <c r="AJ98" s="92"/>
      <c r="AK98" s="121"/>
      <c r="AL98" s="92"/>
      <c r="AM98" s="92"/>
      <c r="AN98" s="92"/>
      <c r="AO98" s="92"/>
      <c r="AP98" s="121"/>
      <c r="AQ98" s="92"/>
      <c r="AR98" s="92"/>
      <c r="AS98" s="92"/>
      <c r="AT98" s="92"/>
      <c r="AU98" s="121"/>
      <c r="AV98" s="92"/>
      <c r="AW98" s="92"/>
      <c r="AX98" s="92"/>
      <c r="AY98" s="92"/>
      <c r="AZ98" s="121"/>
      <c r="BA98" s="175">
        <v>61.713421000000004</v>
      </c>
      <c r="BB98" s="175">
        <v>61.255088999999998</v>
      </c>
      <c r="BC98" s="175">
        <v>62.283977999999998</v>
      </c>
      <c r="BD98" s="175">
        <v>67.882323067200005</v>
      </c>
      <c r="BE98" s="176">
        <f>SUM(BA98:BD98)</f>
        <v>253.13481106720002</v>
      </c>
      <c r="BF98" s="177"/>
      <c r="BG98" s="177"/>
      <c r="BH98" s="177"/>
      <c r="BI98" s="177"/>
      <c r="BJ98" s="176">
        <v>253.24152744358</v>
      </c>
      <c r="BK98" s="177"/>
      <c r="BL98" s="177"/>
      <c r="BM98" s="177"/>
      <c r="BN98" s="177"/>
      <c r="BO98" s="176">
        <v>256.55880439235756</v>
      </c>
      <c r="BP98" s="177"/>
      <c r="BQ98" s="177"/>
      <c r="BR98" s="177"/>
      <c r="BS98" s="177"/>
      <c r="BT98" s="176">
        <v>271.38522385165783</v>
      </c>
      <c r="BU98" s="177"/>
      <c r="BV98" s="177"/>
      <c r="BW98" s="177"/>
      <c r="BX98" s="177"/>
      <c r="BY98" s="176">
        <v>256.55880439235756</v>
      </c>
      <c r="BZ98" s="177"/>
      <c r="CA98" s="177"/>
      <c r="CB98" s="177"/>
      <c r="CC98" s="177"/>
      <c r="CD98" s="176">
        <v>271.38522385165783</v>
      </c>
      <c r="CF98" s="42"/>
    </row>
    <row r="99" spans="2:84" s="119" customFormat="1" hidden="1" x14ac:dyDescent="0.15">
      <c r="B99" s="70" t="s">
        <v>106</v>
      </c>
      <c r="C99" s="120"/>
      <c r="D99" s="92"/>
      <c r="E99" s="92"/>
      <c r="F99" s="92"/>
      <c r="G99" s="121"/>
      <c r="H99" s="120" t="e">
        <f t="shared" ref="H99:AE99" si="49">H50/C50-1</f>
        <v>#DIV/0!</v>
      </c>
      <c r="I99" s="92" t="e">
        <f t="shared" si="49"/>
        <v>#DIV/0!</v>
      </c>
      <c r="J99" s="92" t="e">
        <f t="shared" si="49"/>
        <v>#DIV/0!</v>
      </c>
      <c r="K99" s="92" t="e">
        <f t="shared" si="49"/>
        <v>#DIV/0!</v>
      </c>
      <c r="L99" s="121" t="e">
        <f t="shared" si="49"/>
        <v>#DIV/0!</v>
      </c>
      <c r="M99" s="120" t="e">
        <f t="shared" si="49"/>
        <v>#DIV/0!</v>
      </c>
      <c r="N99" s="92" t="e">
        <f t="shared" si="49"/>
        <v>#DIV/0!</v>
      </c>
      <c r="O99" s="92" t="e">
        <f t="shared" si="49"/>
        <v>#DIV/0!</v>
      </c>
      <c r="P99" s="92" t="e">
        <f t="shared" si="49"/>
        <v>#DIV/0!</v>
      </c>
      <c r="Q99" s="121" t="e">
        <f t="shared" si="49"/>
        <v>#DIV/0!</v>
      </c>
      <c r="R99" s="92" t="e">
        <f t="shared" si="49"/>
        <v>#DIV/0!</v>
      </c>
      <c r="S99" s="92" t="e">
        <f t="shared" si="49"/>
        <v>#DIV/0!</v>
      </c>
      <c r="T99" s="92" t="e">
        <f t="shared" si="49"/>
        <v>#DIV/0!</v>
      </c>
      <c r="U99" s="92" t="e">
        <f t="shared" si="49"/>
        <v>#DIV/0!</v>
      </c>
      <c r="V99" s="121" t="e">
        <f t="shared" si="49"/>
        <v>#DIV/0!</v>
      </c>
      <c r="W99" s="92" t="e">
        <f t="shared" si="49"/>
        <v>#DIV/0!</v>
      </c>
      <c r="X99" s="92" t="e">
        <f t="shared" si="49"/>
        <v>#DIV/0!</v>
      </c>
      <c r="Y99" s="92" t="e">
        <f t="shared" si="49"/>
        <v>#DIV/0!</v>
      </c>
      <c r="Z99" s="92" t="e">
        <f t="shared" si="49"/>
        <v>#DIV/0!</v>
      </c>
      <c r="AA99" s="121" t="e">
        <f t="shared" si="49"/>
        <v>#DIV/0!</v>
      </c>
      <c r="AB99" s="92" t="e">
        <f t="shared" si="49"/>
        <v>#DIV/0!</v>
      </c>
      <c r="AC99" s="92" t="e">
        <f t="shared" si="49"/>
        <v>#DIV/0!</v>
      </c>
      <c r="AD99" s="92" t="e">
        <f t="shared" si="49"/>
        <v>#DIV/0!</v>
      </c>
      <c r="AE99" s="92" t="e">
        <f t="shared" si="49"/>
        <v>#DIV/0!</v>
      </c>
      <c r="AF99" s="121"/>
      <c r="AG99" s="92"/>
      <c r="AH99" s="92"/>
      <c r="AI99" s="92"/>
      <c r="AJ99" s="92"/>
      <c r="AK99" s="121"/>
      <c r="AL99" s="92"/>
      <c r="AM99" s="92"/>
      <c r="AN99" s="92"/>
      <c r="AO99" s="92"/>
      <c r="AP99" s="121"/>
      <c r="AQ99" s="92"/>
      <c r="AR99" s="92"/>
      <c r="AS99" s="92"/>
      <c r="AT99" s="92"/>
      <c r="AU99" s="121"/>
      <c r="AV99" s="92"/>
      <c r="AW99" s="92"/>
      <c r="AX99" s="92"/>
      <c r="AY99" s="92"/>
      <c r="AZ99" s="121"/>
      <c r="BA99" s="175">
        <v>521.37200499999994</v>
      </c>
      <c r="BB99" s="175">
        <v>555.833215</v>
      </c>
      <c r="BC99" s="175">
        <v>530.56722000000002</v>
      </c>
      <c r="BD99" s="175">
        <v>553.11522499200009</v>
      </c>
      <c r="BE99" s="176">
        <f>SUM(BA99:BD99)</f>
        <v>2160.8876649919998</v>
      </c>
      <c r="BF99" s="177"/>
      <c r="BG99" s="177"/>
      <c r="BH99" s="177"/>
      <c r="BI99" s="177"/>
      <c r="BJ99" s="176">
        <v>2142.8129245226</v>
      </c>
      <c r="BK99" s="177"/>
      <c r="BL99" s="177"/>
      <c r="BM99" s="177"/>
      <c r="BN99" s="177"/>
      <c r="BO99" s="176">
        <v>2206.4057177742748</v>
      </c>
      <c r="BP99" s="177"/>
      <c r="BQ99" s="177"/>
      <c r="BR99" s="177"/>
      <c r="BS99" s="177"/>
      <c r="BT99" s="176">
        <v>2279.6358803539256</v>
      </c>
      <c r="BU99" s="177"/>
      <c r="BV99" s="177"/>
      <c r="BW99" s="177"/>
      <c r="BX99" s="177"/>
      <c r="BY99" s="176">
        <v>2206.4057177742748</v>
      </c>
      <c r="BZ99" s="177"/>
      <c r="CA99" s="177"/>
      <c r="CB99" s="177"/>
      <c r="CC99" s="177"/>
      <c r="CD99" s="176">
        <v>2279.6358803539256</v>
      </c>
      <c r="CF99" s="42"/>
    </row>
    <row r="100" spans="2:84" s="119" customFormat="1" hidden="1" x14ac:dyDescent="0.15">
      <c r="B100" s="70"/>
      <c r="C100" s="120"/>
      <c r="D100" s="92"/>
      <c r="E100" s="92"/>
      <c r="F100" s="92"/>
      <c r="G100" s="121"/>
      <c r="H100" s="120" t="e">
        <f t="shared" ref="H100:AE101" si="50">H52/C52-1</f>
        <v>#DIV/0!</v>
      </c>
      <c r="I100" s="92" t="e">
        <f t="shared" si="50"/>
        <v>#DIV/0!</v>
      </c>
      <c r="J100" s="92" t="e">
        <f t="shared" si="50"/>
        <v>#DIV/0!</v>
      </c>
      <c r="K100" s="92" t="e">
        <f t="shared" si="50"/>
        <v>#DIV/0!</v>
      </c>
      <c r="L100" s="121" t="e">
        <f t="shared" si="50"/>
        <v>#DIV/0!</v>
      </c>
      <c r="M100" s="120" t="e">
        <f t="shared" si="50"/>
        <v>#DIV/0!</v>
      </c>
      <c r="N100" s="92" t="e">
        <f t="shared" si="50"/>
        <v>#DIV/0!</v>
      </c>
      <c r="O100" s="92" t="e">
        <f t="shared" si="50"/>
        <v>#DIV/0!</v>
      </c>
      <c r="P100" s="92" t="e">
        <f t="shared" si="50"/>
        <v>#DIV/0!</v>
      </c>
      <c r="Q100" s="121" t="e">
        <f t="shared" si="50"/>
        <v>#DIV/0!</v>
      </c>
      <c r="R100" s="92" t="e">
        <f t="shared" si="50"/>
        <v>#DIV/0!</v>
      </c>
      <c r="S100" s="92" t="e">
        <f t="shared" si="50"/>
        <v>#DIV/0!</v>
      </c>
      <c r="T100" s="92" t="e">
        <f t="shared" si="50"/>
        <v>#DIV/0!</v>
      </c>
      <c r="U100" s="92" t="e">
        <f t="shared" si="50"/>
        <v>#DIV/0!</v>
      </c>
      <c r="V100" s="121" t="e">
        <f t="shared" si="50"/>
        <v>#DIV/0!</v>
      </c>
      <c r="W100" s="92" t="e">
        <f t="shared" si="50"/>
        <v>#DIV/0!</v>
      </c>
      <c r="X100" s="92" t="e">
        <f t="shared" si="50"/>
        <v>#DIV/0!</v>
      </c>
      <c r="Y100" s="92" t="e">
        <f t="shared" si="50"/>
        <v>#DIV/0!</v>
      </c>
      <c r="Z100" s="92" t="e">
        <f t="shared" si="50"/>
        <v>#DIV/0!</v>
      </c>
      <c r="AA100" s="121" t="e">
        <f t="shared" si="50"/>
        <v>#DIV/0!</v>
      </c>
      <c r="AB100" s="92" t="e">
        <f t="shared" si="50"/>
        <v>#DIV/0!</v>
      </c>
      <c r="AC100" s="92" t="e">
        <f t="shared" si="50"/>
        <v>#DIV/0!</v>
      </c>
      <c r="AD100" s="92" t="e">
        <f t="shared" si="50"/>
        <v>#DIV/0!</v>
      </c>
      <c r="AE100" s="92" t="e">
        <f t="shared" si="50"/>
        <v>#DIV/0!</v>
      </c>
      <c r="AF100" s="121"/>
      <c r="AG100" s="92"/>
      <c r="AH100" s="92"/>
      <c r="AI100" s="92"/>
      <c r="AJ100" s="92"/>
      <c r="AK100" s="121"/>
      <c r="AL100" s="92"/>
      <c r="AM100" s="92"/>
      <c r="AN100" s="92"/>
      <c r="AO100" s="92"/>
      <c r="AP100" s="121"/>
      <c r="AQ100" s="92"/>
      <c r="AR100" s="92"/>
      <c r="AS100" s="92"/>
      <c r="AT100" s="92"/>
      <c r="AU100" s="121"/>
      <c r="AV100" s="92"/>
      <c r="AW100" s="92"/>
      <c r="AX100" s="92"/>
      <c r="AY100" s="92"/>
      <c r="AZ100" s="121"/>
      <c r="BA100" s="175"/>
      <c r="BB100" s="175"/>
      <c r="BC100" s="175"/>
      <c r="BD100" s="175"/>
      <c r="BE100" s="176"/>
      <c r="BF100" s="177"/>
      <c r="BG100" s="177"/>
      <c r="BH100" s="177"/>
      <c r="BI100" s="177"/>
      <c r="BJ100" s="176"/>
      <c r="BK100" s="177"/>
      <c r="BL100" s="177"/>
      <c r="BM100" s="177"/>
      <c r="BN100" s="177"/>
      <c r="BO100" s="176"/>
      <c r="BP100" s="177"/>
      <c r="BQ100" s="177"/>
      <c r="BR100" s="177"/>
      <c r="BS100" s="177"/>
      <c r="BT100" s="176"/>
      <c r="BU100" s="177"/>
      <c r="BV100" s="177"/>
      <c r="BW100" s="177"/>
      <c r="BX100" s="177"/>
      <c r="BY100" s="176"/>
      <c r="BZ100" s="177"/>
      <c r="CA100" s="177"/>
      <c r="CB100" s="177"/>
      <c r="CC100" s="177"/>
      <c r="CD100" s="176"/>
      <c r="CF100" s="42"/>
    </row>
    <row r="101" spans="2:84" s="119" customFormat="1" hidden="1" x14ac:dyDescent="0.15">
      <c r="B101" s="70" t="s">
        <v>107</v>
      </c>
      <c r="C101" s="120"/>
      <c r="D101" s="92"/>
      <c r="E101" s="92"/>
      <c r="F101" s="92"/>
      <c r="G101" s="121"/>
      <c r="H101" s="120">
        <f t="shared" si="50"/>
        <v>2.167680340056366E-2</v>
      </c>
      <c r="I101" s="92">
        <f t="shared" si="50"/>
        <v>4.9220411473777759E-2</v>
      </c>
      <c r="J101" s="92">
        <f t="shared" si="50"/>
        <v>-4.307217417677589E-3</v>
      </c>
      <c r="K101" s="92">
        <f t="shared" si="50"/>
        <v>1.7963890326849308E-2</v>
      </c>
      <c r="L101" s="121">
        <f t="shared" si="50"/>
        <v>1.7546049697721333E-2</v>
      </c>
      <c r="M101" s="120">
        <f t="shared" si="50"/>
        <v>-6.0662463735909888E-3</v>
      </c>
      <c r="N101" s="92">
        <f t="shared" si="50"/>
        <v>-3.186537191288441E-2</v>
      </c>
      <c r="O101" s="92">
        <f t="shared" si="50"/>
        <v>-7.8254457032375657E-2</v>
      </c>
      <c r="P101" s="92">
        <f t="shared" si="50"/>
        <v>-0.16150066795008589</v>
      </c>
      <c r="Q101" s="121">
        <f t="shared" si="50"/>
        <v>-7.1800047284562352E-2</v>
      </c>
      <c r="R101" s="120">
        <f t="shared" si="50"/>
        <v>-3.8004236428571758E-2</v>
      </c>
      <c r="S101" s="92">
        <f t="shared" si="50"/>
        <v>4.4883035774686109E-2</v>
      </c>
      <c r="T101" s="92">
        <f t="shared" si="50"/>
        <v>6.8276186054132548E-3</v>
      </c>
      <c r="U101" s="92">
        <f t="shared" si="50"/>
        <v>2.6524390504275797E-2</v>
      </c>
      <c r="V101" s="121">
        <f t="shared" si="50"/>
        <v>6.803955353606117E-3</v>
      </c>
      <c r="W101" s="120">
        <f t="shared" si="50"/>
        <v>-1.3329368061021363E-3</v>
      </c>
      <c r="X101" s="92">
        <f t="shared" si="50"/>
        <v>-2.9923608972921234E-2</v>
      </c>
      <c r="Y101" s="92">
        <f t="shared" si="50"/>
        <v>3.2131070455283295E-2</v>
      </c>
      <c r="Z101" s="92">
        <f t="shared" si="50"/>
        <v>6.0719436901115031E-2</v>
      </c>
      <c r="AA101" s="121">
        <f t="shared" si="50"/>
        <v>1.5373695728692516E-2</v>
      </c>
      <c r="AB101" s="120">
        <f t="shared" si="50"/>
        <v>-1.3097380771466938E-2</v>
      </c>
      <c r="AC101" s="92">
        <f t="shared" si="50"/>
        <v>-1.2145153225570082E-2</v>
      </c>
      <c r="AD101" s="92">
        <f t="shared" si="50"/>
        <v>-7.8730774789859792E-2</v>
      </c>
      <c r="AE101" s="92">
        <f t="shared" si="50"/>
        <v>-8.975605596550329E-2</v>
      </c>
      <c r="AF101" s="121"/>
      <c r="AG101" s="120"/>
      <c r="AH101" s="92"/>
      <c r="AI101" s="92"/>
      <c r="AJ101" s="92"/>
      <c r="AK101" s="121"/>
      <c r="AL101" s="120"/>
      <c r="AM101" s="92"/>
      <c r="AN101" s="92"/>
      <c r="AO101" s="92"/>
      <c r="AP101" s="121"/>
      <c r="AQ101" s="120"/>
      <c r="AR101" s="92"/>
      <c r="AS101" s="92"/>
      <c r="AT101" s="92"/>
      <c r="AU101" s="121"/>
      <c r="AV101" s="120"/>
      <c r="AW101" s="92"/>
      <c r="AX101" s="92"/>
      <c r="AY101" s="92"/>
      <c r="AZ101" s="121"/>
      <c r="BA101" s="178"/>
      <c r="BB101" s="179">
        <v>64</v>
      </c>
      <c r="BC101" s="179">
        <v>64</v>
      </c>
      <c r="BD101" s="179">
        <v>64</v>
      </c>
      <c r="BE101" s="176">
        <f>SUM(BA101:BD101)</f>
        <v>192</v>
      </c>
      <c r="BF101" s="177"/>
      <c r="BG101" s="177"/>
      <c r="BH101" s="177"/>
      <c r="BI101" s="177"/>
      <c r="BJ101" s="180">
        <v>267</v>
      </c>
      <c r="BK101" s="181">
        <f t="shared" ref="BK101:BS101" si="51">0.33*BK103</f>
        <v>0</v>
      </c>
      <c r="BL101" s="181">
        <f t="shared" si="51"/>
        <v>0</v>
      </c>
      <c r="BM101" s="181">
        <f t="shared" si="51"/>
        <v>0</v>
      </c>
      <c r="BN101" s="181">
        <f t="shared" si="51"/>
        <v>0</v>
      </c>
      <c r="BO101" s="180">
        <v>290</v>
      </c>
      <c r="BP101" s="181">
        <f t="shared" si="51"/>
        <v>0</v>
      </c>
      <c r="BQ101" s="181">
        <f t="shared" si="51"/>
        <v>0</v>
      </c>
      <c r="BR101" s="181">
        <f t="shared" si="51"/>
        <v>0</v>
      </c>
      <c r="BS101" s="181">
        <f t="shared" si="51"/>
        <v>0</v>
      </c>
      <c r="BT101" s="180">
        <v>312</v>
      </c>
      <c r="BU101" s="181">
        <f>0.33*BU103</f>
        <v>0</v>
      </c>
      <c r="BV101" s="181">
        <f>0.33*BV103</f>
        <v>0</v>
      </c>
      <c r="BW101" s="181">
        <f>0.33*BW103</f>
        <v>0</v>
      </c>
      <c r="BX101" s="181">
        <f>0.33*BX103</f>
        <v>0</v>
      </c>
      <c r="BY101" s="180">
        <v>290</v>
      </c>
      <c r="BZ101" s="181">
        <f>0.33*BZ103</f>
        <v>0</v>
      </c>
      <c r="CA101" s="181">
        <f>0.33*CA103</f>
        <v>0</v>
      </c>
      <c r="CB101" s="181">
        <f>0.33*CB103</f>
        <v>0</v>
      </c>
      <c r="CC101" s="181">
        <f>0.33*CC103</f>
        <v>0</v>
      </c>
      <c r="CD101" s="180">
        <v>312</v>
      </c>
      <c r="CF101" s="42"/>
    </row>
    <row r="102" spans="2:84" s="119" customFormat="1" hidden="1" x14ac:dyDescent="0.15">
      <c r="B102" s="70" t="s">
        <v>108</v>
      </c>
      <c r="C102" s="120"/>
      <c r="D102" s="92"/>
      <c r="E102" s="92"/>
      <c r="F102" s="92"/>
      <c r="G102" s="121"/>
      <c r="H102" s="120">
        <f>H57/C58-1</f>
        <v>6.1519303120541906</v>
      </c>
      <c r="I102" s="92">
        <f>I57/D58-1</f>
        <v>6.8882341979245805</v>
      </c>
      <c r="J102" s="92">
        <f>J57/E58-1</f>
        <v>5.3306732338464498</v>
      </c>
      <c r="K102" s="92">
        <f>K57/F58-1</f>
        <v>5.1936953607844361</v>
      </c>
      <c r="L102" s="121">
        <f t="shared" ref="L102:AD102" si="52">L57/G57-1</f>
        <v>0.23952546967327804</v>
      </c>
      <c r="M102" s="120">
        <f t="shared" si="52"/>
        <v>0.2165297523233638</v>
      </c>
      <c r="N102" s="92">
        <f t="shared" si="52"/>
        <v>-5.4726140741072737E-2</v>
      </c>
      <c r="O102" s="92">
        <f t="shared" si="52"/>
        <v>-0.26797992517387192</v>
      </c>
      <c r="P102" s="92">
        <f t="shared" si="52"/>
        <v>-0.26647326329183141</v>
      </c>
      <c r="Q102" s="121">
        <f t="shared" si="52"/>
        <v>-0.13571700404198972</v>
      </c>
      <c r="R102" s="92">
        <f t="shared" si="52"/>
        <v>-0.12086726939542192</v>
      </c>
      <c r="S102" s="92">
        <f t="shared" si="52"/>
        <v>5.6337690291299758E-2</v>
      </c>
      <c r="T102" s="92">
        <f t="shared" si="52"/>
        <v>-4.0224392485954108E-2</v>
      </c>
      <c r="U102" s="92">
        <f t="shared" si="52"/>
        <v>-0.14917847106617366</v>
      </c>
      <c r="V102" s="121">
        <f t="shared" si="52"/>
        <v>-7.2233581925788215E-2</v>
      </c>
      <c r="W102" s="92">
        <f t="shared" si="52"/>
        <v>-7.946040816619504E-2</v>
      </c>
      <c r="X102" s="92">
        <f t="shared" si="52"/>
        <v>-0.15730107255215031</v>
      </c>
      <c r="Y102" s="92">
        <f t="shared" si="52"/>
        <v>-0.17426727032717693</v>
      </c>
      <c r="Z102" s="92">
        <f t="shared" si="52"/>
        <v>7.3901623421032347E-2</v>
      </c>
      <c r="AA102" s="121">
        <f t="shared" si="52"/>
        <v>-9.0526079422637018E-2</v>
      </c>
      <c r="AB102" s="92">
        <f t="shared" si="52"/>
        <v>-0.19024882664588538</v>
      </c>
      <c r="AC102" s="92">
        <f t="shared" si="52"/>
        <v>-0.14411877527520811</v>
      </c>
      <c r="AD102" s="92">
        <f t="shared" si="52"/>
        <v>-3.5767725621716675</v>
      </c>
      <c r="AE102" s="92">
        <f>AE58/Z57-1</f>
        <v>-0.76556126360843757</v>
      </c>
      <c r="AF102" s="121"/>
      <c r="AG102" s="92"/>
      <c r="AH102" s="92"/>
      <c r="AI102" s="92"/>
      <c r="AJ102" s="92"/>
      <c r="AK102" s="121"/>
      <c r="AL102" s="92"/>
      <c r="AM102" s="92"/>
      <c r="AN102" s="92"/>
      <c r="AO102" s="92"/>
      <c r="AP102" s="121"/>
      <c r="AQ102" s="92"/>
      <c r="AR102" s="92"/>
      <c r="AS102" s="92"/>
      <c r="AT102" s="92"/>
      <c r="AU102" s="121"/>
      <c r="AV102" s="92"/>
      <c r="AW102" s="92"/>
      <c r="AX102" s="92"/>
      <c r="AY102" s="92"/>
      <c r="AZ102" s="121"/>
      <c r="BA102" s="175"/>
      <c r="BB102" s="175">
        <f>BB103-BB101</f>
        <v>126</v>
      </c>
      <c r="BC102" s="175">
        <f>BC103-BC101</f>
        <v>126</v>
      </c>
      <c r="BD102" s="175">
        <f>BD103-BD101</f>
        <v>126</v>
      </c>
      <c r="BE102" s="176">
        <f>SUM(BA102:BD102)</f>
        <v>378</v>
      </c>
      <c r="BF102" s="177"/>
      <c r="BG102" s="177"/>
      <c r="BH102" s="177"/>
      <c r="BI102" s="177"/>
      <c r="BJ102" s="176">
        <f t="shared" ref="BJ102:CC102" si="53">BJ103-BJ101</f>
        <v>543</v>
      </c>
      <c r="BK102" s="177">
        <f t="shared" si="53"/>
        <v>0</v>
      </c>
      <c r="BL102" s="177">
        <f t="shared" si="53"/>
        <v>0</v>
      </c>
      <c r="BM102" s="177">
        <f t="shared" si="53"/>
        <v>0</v>
      </c>
      <c r="BN102" s="177">
        <f t="shared" si="53"/>
        <v>0</v>
      </c>
      <c r="BO102" s="176">
        <f t="shared" si="53"/>
        <v>584.80000000000007</v>
      </c>
      <c r="BP102" s="177">
        <f t="shared" si="53"/>
        <v>0</v>
      </c>
      <c r="BQ102" s="177">
        <f t="shared" si="53"/>
        <v>0</v>
      </c>
      <c r="BR102" s="177">
        <f t="shared" si="53"/>
        <v>0</v>
      </c>
      <c r="BS102" s="177">
        <f t="shared" si="53"/>
        <v>0</v>
      </c>
      <c r="BT102" s="176">
        <f t="shared" si="53"/>
        <v>632.78400000000011</v>
      </c>
      <c r="BU102" s="177">
        <f t="shared" si="53"/>
        <v>0</v>
      </c>
      <c r="BV102" s="177">
        <f t="shared" si="53"/>
        <v>0</v>
      </c>
      <c r="BW102" s="177">
        <f t="shared" si="53"/>
        <v>0</v>
      </c>
      <c r="BX102" s="177">
        <f t="shared" si="53"/>
        <v>0</v>
      </c>
      <c r="BY102" s="176">
        <f t="shared" si="53"/>
        <v>730.36672000000021</v>
      </c>
      <c r="BZ102" s="177">
        <f t="shared" si="53"/>
        <v>0</v>
      </c>
      <c r="CA102" s="177">
        <f t="shared" si="53"/>
        <v>0</v>
      </c>
      <c r="CB102" s="177">
        <f t="shared" si="53"/>
        <v>0</v>
      </c>
      <c r="CC102" s="177">
        <f t="shared" si="53"/>
        <v>0</v>
      </c>
      <c r="CD102" s="176">
        <f>CD103-CD101</f>
        <v>789.99605760000031</v>
      </c>
      <c r="CF102" s="42"/>
    </row>
    <row r="103" spans="2:84" s="119" customFormat="1" hidden="1" x14ac:dyDescent="0.15">
      <c r="B103" s="70" t="s">
        <v>109</v>
      </c>
      <c r="C103" s="120"/>
      <c r="D103" s="92"/>
      <c r="E103" s="92"/>
      <c r="F103" s="92"/>
      <c r="G103" s="121"/>
      <c r="H103" s="120"/>
      <c r="I103" s="92"/>
      <c r="J103" s="92"/>
      <c r="K103" s="92"/>
      <c r="L103" s="121"/>
      <c r="M103" s="120"/>
      <c r="N103" s="92"/>
      <c r="O103" s="92"/>
      <c r="P103" s="92"/>
      <c r="Q103" s="121"/>
      <c r="R103" s="92"/>
      <c r="S103" s="92"/>
      <c r="T103" s="92"/>
      <c r="U103" s="92"/>
      <c r="V103" s="121"/>
      <c r="W103" s="92"/>
      <c r="X103" s="92"/>
      <c r="Y103" s="92"/>
      <c r="Z103" s="92"/>
      <c r="AA103" s="121"/>
      <c r="AB103" s="92"/>
      <c r="AC103" s="92"/>
      <c r="AD103" s="92"/>
      <c r="AE103" s="92"/>
      <c r="AF103" s="121"/>
      <c r="AG103" s="92"/>
      <c r="AH103" s="92"/>
      <c r="AI103" s="92"/>
      <c r="AJ103" s="92"/>
      <c r="AK103" s="121"/>
      <c r="AL103" s="92"/>
      <c r="AM103" s="92"/>
      <c r="AN103" s="92"/>
      <c r="AO103" s="92"/>
      <c r="AP103" s="121"/>
      <c r="AQ103" s="92"/>
      <c r="AR103" s="92"/>
      <c r="AS103" s="92"/>
      <c r="AT103" s="92"/>
      <c r="AU103" s="121"/>
      <c r="AV103" s="92"/>
      <c r="AW103" s="92"/>
      <c r="AX103" s="92"/>
      <c r="AY103" s="92"/>
      <c r="AZ103" s="121"/>
      <c r="BA103" s="175"/>
      <c r="BB103" s="179">
        <v>190</v>
      </c>
      <c r="BC103" s="179">
        <v>190</v>
      </c>
      <c r="BD103" s="179">
        <v>190</v>
      </c>
      <c r="BE103" s="176">
        <f>SUM(BB103:BD103)</f>
        <v>570</v>
      </c>
      <c r="BF103" s="177"/>
      <c r="BG103" s="177"/>
      <c r="BH103" s="177"/>
      <c r="BI103" s="177"/>
      <c r="BJ103" s="180">
        <f>750*(1.08)</f>
        <v>810</v>
      </c>
      <c r="BK103" s="177"/>
      <c r="BL103" s="177"/>
      <c r="BM103" s="177"/>
      <c r="BN103" s="177"/>
      <c r="BO103" s="176">
        <f>BJ103*(1+BO104)</f>
        <v>874.80000000000007</v>
      </c>
      <c r="BP103" s="177"/>
      <c r="BQ103" s="177"/>
      <c r="BR103" s="177"/>
      <c r="BS103" s="177"/>
      <c r="BT103" s="176">
        <f>BO103*(1+BT104)</f>
        <v>944.78400000000011</v>
      </c>
      <c r="BU103" s="177"/>
      <c r="BV103" s="177"/>
      <c r="BW103" s="177"/>
      <c r="BX103" s="177"/>
      <c r="BY103" s="176">
        <f>BT103*(1+BY104)</f>
        <v>1020.3667200000002</v>
      </c>
      <c r="BZ103" s="177"/>
      <c r="CA103" s="177"/>
      <c r="CB103" s="177"/>
      <c r="CC103" s="177"/>
      <c r="CD103" s="176">
        <f>BY103*(1+CD104)</f>
        <v>1101.9960576000003</v>
      </c>
      <c r="CF103" s="42"/>
    </row>
    <row r="104" spans="2:84" s="119" customFormat="1" hidden="1" x14ac:dyDescent="0.15">
      <c r="B104" s="70" t="s">
        <v>110</v>
      </c>
      <c r="C104" s="120"/>
      <c r="D104" s="92"/>
      <c r="E104" s="92"/>
      <c r="F104" s="92"/>
      <c r="G104" s="121"/>
      <c r="H104" s="120"/>
      <c r="I104" s="92"/>
      <c r="J104" s="92"/>
      <c r="K104" s="92"/>
      <c r="L104" s="121"/>
      <c r="M104" s="120"/>
      <c r="N104" s="92"/>
      <c r="O104" s="92"/>
      <c r="P104" s="92"/>
      <c r="Q104" s="121"/>
      <c r="R104" s="92"/>
      <c r="S104" s="92"/>
      <c r="T104" s="92"/>
      <c r="U104" s="92"/>
      <c r="V104" s="121"/>
      <c r="W104" s="92"/>
      <c r="X104" s="92"/>
      <c r="Y104" s="92"/>
      <c r="Z104" s="92"/>
      <c r="AA104" s="121"/>
      <c r="AB104" s="92"/>
      <c r="AC104" s="92"/>
      <c r="AD104" s="92"/>
      <c r="AE104" s="92"/>
      <c r="AF104" s="121"/>
      <c r="AG104" s="92"/>
      <c r="AH104" s="92"/>
      <c r="AI104" s="92"/>
      <c r="AJ104" s="92"/>
      <c r="AK104" s="121"/>
      <c r="AL104" s="92"/>
      <c r="AM104" s="92"/>
      <c r="AN104" s="92"/>
      <c r="AO104" s="92"/>
      <c r="AP104" s="121"/>
      <c r="AQ104" s="92"/>
      <c r="AR104" s="92"/>
      <c r="AS104" s="92"/>
      <c r="AT104" s="92"/>
      <c r="AU104" s="121"/>
      <c r="AV104" s="92"/>
      <c r="AW104" s="92"/>
      <c r="AX104" s="92"/>
      <c r="AY104" s="92"/>
      <c r="AZ104" s="121"/>
      <c r="BA104" s="175"/>
      <c r="BB104" s="175"/>
      <c r="BC104" s="175"/>
      <c r="BD104" s="175"/>
      <c r="BE104" s="176"/>
      <c r="BF104" s="177"/>
      <c r="BG104" s="177"/>
      <c r="BH104" s="177"/>
      <c r="BI104" s="177"/>
      <c r="BJ104" s="182"/>
      <c r="BK104" s="183"/>
      <c r="BL104" s="183"/>
      <c r="BM104" s="183"/>
      <c r="BN104" s="183"/>
      <c r="BO104" s="184">
        <v>0.08</v>
      </c>
      <c r="BP104" s="185"/>
      <c r="BQ104" s="185"/>
      <c r="BR104" s="185"/>
      <c r="BS104" s="185"/>
      <c r="BT104" s="184">
        <v>0.08</v>
      </c>
      <c r="BU104" s="183"/>
      <c r="BV104" s="183"/>
      <c r="BW104" s="183"/>
      <c r="BX104" s="183"/>
      <c r="BY104" s="184">
        <v>0.08</v>
      </c>
      <c r="BZ104" s="185"/>
      <c r="CA104" s="185"/>
      <c r="CB104" s="185"/>
      <c r="CC104" s="185"/>
      <c r="CD104" s="184">
        <v>0.08</v>
      </c>
      <c r="CF104" s="42"/>
    </row>
    <row r="105" spans="2:84" s="119" customFormat="1" hidden="1" x14ac:dyDescent="0.15">
      <c r="B105" s="70"/>
      <c r="C105" s="120"/>
      <c r="D105" s="92"/>
      <c r="E105" s="92"/>
      <c r="F105" s="92"/>
      <c r="G105" s="121"/>
      <c r="H105" s="120"/>
      <c r="I105" s="92"/>
      <c r="J105" s="92"/>
      <c r="K105" s="92"/>
      <c r="L105" s="121"/>
      <c r="M105" s="120"/>
      <c r="N105" s="92"/>
      <c r="O105" s="92"/>
      <c r="P105" s="92"/>
      <c r="Q105" s="121"/>
      <c r="R105" s="92"/>
      <c r="S105" s="92"/>
      <c r="T105" s="92"/>
      <c r="U105" s="92"/>
      <c r="V105" s="121"/>
      <c r="W105" s="92"/>
      <c r="X105" s="92"/>
      <c r="Y105" s="92"/>
      <c r="Z105" s="92"/>
      <c r="AA105" s="121"/>
      <c r="AB105" s="92"/>
      <c r="AC105" s="92"/>
      <c r="AD105" s="92"/>
      <c r="AE105" s="92"/>
      <c r="AF105" s="121"/>
      <c r="AG105" s="92"/>
      <c r="AH105" s="92"/>
      <c r="AI105" s="92"/>
      <c r="AJ105" s="92"/>
      <c r="AK105" s="121"/>
      <c r="AL105" s="92"/>
      <c r="AM105" s="92"/>
      <c r="AN105" s="92"/>
      <c r="AO105" s="92"/>
      <c r="AP105" s="121"/>
      <c r="AQ105" s="92"/>
      <c r="AR105" s="92"/>
      <c r="AS105" s="92"/>
      <c r="AT105" s="92"/>
      <c r="AU105" s="121"/>
      <c r="AV105" s="92"/>
      <c r="AW105" s="92"/>
      <c r="AX105" s="92"/>
      <c r="AY105" s="92"/>
      <c r="AZ105" s="121"/>
      <c r="BA105" s="175"/>
      <c r="BB105" s="186"/>
      <c r="BC105" s="175"/>
      <c r="BD105" s="186"/>
      <c r="BE105" s="176"/>
      <c r="BF105" s="177"/>
      <c r="BG105" s="177"/>
      <c r="BH105" s="177"/>
      <c r="BI105" s="177"/>
      <c r="BJ105" s="176"/>
      <c r="BK105" s="177"/>
      <c r="BL105" s="177"/>
      <c r="BM105" s="177"/>
      <c r="BN105" s="177"/>
      <c r="BO105" s="180"/>
      <c r="BP105" s="181"/>
      <c r="BQ105" s="181"/>
      <c r="BR105" s="181"/>
      <c r="BS105" s="181"/>
      <c r="BT105" s="180"/>
      <c r="BU105" s="177"/>
      <c r="BV105" s="177"/>
      <c r="BW105" s="177"/>
      <c r="BX105" s="177"/>
      <c r="BY105" s="180"/>
      <c r="BZ105" s="181"/>
      <c r="CA105" s="181"/>
      <c r="CB105" s="181"/>
      <c r="CC105" s="181"/>
      <c r="CD105" s="180"/>
      <c r="CF105" s="42"/>
    </row>
    <row r="106" spans="2:84" s="119" customFormat="1" hidden="1" x14ac:dyDescent="0.15">
      <c r="B106" s="70" t="s">
        <v>111</v>
      </c>
      <c r="C106" s="120"/>
      <c r="D106" s="92"/>
      <c r="E106" s="92"/>
      <c r="F106" s="92"/>
      <c r="G106" s="121"/>
      <c r="H106" s="120"/>
      <c r="I106" s="92"/>
      <c r="J106" s="92"/>
      <c r="K106" s="92"/>
      <c r="L106" s="121"/>
      <c r="M106" s="120"/>
      <c r="N106" s="92"/>
      <c r="O106" s="92"/>
      <c r="P106" s="92"/>
      <c r="Q106" s="121"/>
      <c r="R106" s="92"/>
      <c r="S106" s="92"/>
      <c r="T106" s="92"/>
      <c r="U106" s="92"/>
      <c r="V106" s="121"/>
      <c r="W106" s="92"/>
      <c r="X106" s="92"/>
      <c r="Y106" s="92"/>
      <c r="Z106" s="92"/>
      <c r="AA106" s="121"/>
      <c r="AB106" s="92"/>
      <c r="AC106" s="92"/>
      <c r="AD106" s="92"/>
      <c r="AE106" s="92"/>
      <c r="AF106" s="121"/>
      <c r="AG106" s="92"/>
      <c r="AH106" s="92"/>
      <c r="AI106" s="92"/>
      <c r="AJ106" s="92"/>
      <c r="AK106" s="121"/>
      <c r="AL106" s="92"/>
      <c r="AM106" s="92"/>
      <c r="AN106" s="92"/>
      <c r="AO106" s="92"/>
      <c r="AP106" s="121"/>
      <c r="AQ106" s="92"/>
      <c r="AR106" s="92"/>
      <c r="AS106" s="92"/>
      <c r="AT106" s="92"/>
      <c r="AU106" s="121"/>
      <c r="AV106" s="92"/>
      <c r="AW106" s="92"/>
      <c r="AX106" s="92"/>
      <c r="AY106" s="92"/>
      <c r="AZ106" s="121"/>
      <c r="BA106" s="175"/>
      <c r="BB106" s="179">
        <v>40</v>
      </c>
      <c r="BC106" s="179">
        <v>41</v>
      </c>
      <c r="BD106" s="179">
        <v>42</v>
      </c>
      <c r="BE106" s="176">
        <f>SUM(BA106:BD106)</f>
        <v>123</v>
      </c>
      <c r="BF106" s="177"/>
      <c r="BG106" s="177"/>
      <c r="BH106" s="177"/>
      <c r="BI106" s="177"/>
      <c r="BJ106" s="180">
        <v>160</v>
      </c>
      <c r="BK106" s="181"/>
      <c r="BL106" s="181"/>
      <c r="BM106" s="181"/>
      <c r="BN106" s="181"/>
      <c r="BO106" s="180">
        <v>160</v>
      </c>
      <c r="BP106" s="181"/>
      <c r="BQ106" s="181"/>
      <c r="BR106" s="181"/>
      <c r="BS106" s="181"/>
      <c r="BT106" s="180">
        <v>160</v>
      </c>
      <c r="BU106" s="181"/>
      <c r="BV106" s="181"/>
      <c r="BW106" s="181"/>
      <c r="BX106" s="181"/>
      <c r="BY106" s="180">
        <v>160</v>
      </c>
      <c r="BZ106" s="181"/>
      <c r="CA106" s="181"/>
      <c r="CB106" s="181"/>
      <c r="CC106" s="181"/>
      <c r="CD106" s="180">
        <v>160</v>
      </c>
      <c r="CF106" s="42"/>
    </row>
    <row r="107" spans="2:84" s="119" customFormat="1" hidden="1" x14ac:dyDescent="0.15">
      <c r="B107" s="70" t="s">
        <v>112</v>
      </c>
      <c r="C107" s="120"/>
      <c r="D107" s="92"/>
      <c r="E107" s="92"/>
      <c r="F107" s="92"/>
      <c r="G107" s="121"/>
      <c r="H107" s="120"/>
      <c r="I107" s="92"/>
      <c r="J107" s="92"/>
      <c r="K107" s="92"/>
      <c r="L107" s="121"/>
      <c r="M107" s="120"/>
      <c r="N107" s="92"/>
      <c r="O107" s="92"/>
      <c r="P107" s="92"/>
      <c r="Q107" s="121"/>
      <c r="R107" s="92"/>
      <c r="S107" s="92"/>
      <c r="T107" s="92"/>
      <c r="U107" s="92"/>
      <c r="V107" s="121"/>
      <c r="W107" s="92"/>
      <c r="X107" s="92"/>
      <c r="Y107" s="92"/>
      <c r="Z107" s="92"/>
      <c r="AA107" s="121"/>
      <c r="AB107" s="92"/>
      <c r="AC107" s="92"/>
      <c r="AD107" s="92"/>
      <c r="AE107" s="92"/>
      <c r="AF107" s="121"/>
      <c r="AG107" s="92"/>
      <c r="AH107" s="92"/>
      <c r="AI107" s="92"/>
      <c r="AJ107" s="92"/>
      <c r="AK107" s="121"/>
      <c r="AL107" s="92"/>
      <c r="AM107" s="92"/>
      <c r="AN107" s="92"/>
      <c r="AO107" s="92"/>
      <c r="AP107" s="121"/>
      <c r="AQ107" s="92"/>
      <c r="AR107" s="92"/>
      <c r="AS107" s="92"/>
      <c r="AT107" s="92"/>
      <c r="AU107" s="121"/>
      <c r="AV107" s="92"/>
      <c r="AW107" s="92"/>
      <c r="AX107" s="92"/>
      <c r="AY107" s="92"/>
      <c r="AZ107" s="121"/>
      <c r="BA107" s="175"/>
      <c r="BB107" s="175">
        <f>BB108-BB106</f>
        <v>85</v>
      </c>
      <c r="BC107" s="175">
        <f>BC108-BC106</f>
        <v>86</v>
      </c>
      <c r="BD107" s="175">
        <f>BD108-BD106</f>
        <v>90</v>
      </c>
      <c r="BE107" s="176">
        <f>SUM(BA107:BD107)</f>
        <v>261</v>
      </c>
      <c r="BF107" s="177"/>
      <c r="BG107" s="177"/>
      <c r="BH107" s="177"/>
      <c r="BI107" s="177"/>
      <c r="BJ107" s="176">
        <f t="shared" ref="BJ107:CC107" si="54">BJ108-BJ106</f>
        <v>370</v>
      </c>
      <c r="BK107" s="177">
        <f t="shared" si="54"/>
        <v>0</v>
      </c>
      <c r="BL107" s="177">
        <f t="shared" si="54"/>
        <v>0</v>
      </c>
      <c r="BM107" s="177">
        <f t="shared" si="54"/>
        <v>0</v>
      </c>
      <c r="BN107" s="177">
        <f t="shared" si="54"/>
        <v>0</v>
      </c>
      <c r="BO107" s="176">
        <f t="shared" si="54"/>
        <v>370</v>
      </c>
      <c r="BP107" s="177">
        <f t="shared" si="54"/>
        <v>0</v>
      </c>
      <c r="BQ107" s="177">
        <f t="shared" si="54"/>
        <v>0</v>
      </c>
      <c r="BR107" s="177">
        <f t="shared" si="54"/>
        <v>0</v>
      </c>
      <c r="BS107" s="177">
        <f t="shared" si="54"/>
        <v>0</v>
      </c>
      <c r="BT107" s="176">
        <f t="shared" si="54"/>
        <v>370</v>
      </c>
      <c r="BU107" s="177">
        <f t="shared" si="54"/>
        <v>0</v>
      </c>
      <c r="BV107" s="177">
        <f t="shared" si="54"/>
        <v>0</v>
      </c>
      <c r="BW107" s="177">
        <f t="shared" si="54"/>
        <v>0</v>
      </c>
      <c r="BX107" s="177">
        <f t="shared" si="54"/>
        <v>0</v>
      </c>
      <c r="BY107" s="176">
        <f t="shared" si="54"/>
        <v>370</v>
      </c>
      <c r="BZ107" s="177">
        <f t="shared" si="54"/>
        <v>0</v>
      </c>
      <c r="CA107" s="177">
        <f t="shared" si="54"/>
        <v>0</v>
      </c>
      <c r="CB107" s="177">
        <f t="shared" si="54"/>
        <v>0</v>
      </c>
      <c r="CC107" s="177">
        <f t="shared" si="54"/>
        <v>0</v>
      </c>
      <c r="CD107" s="176">
        <f>CD108-CD106</f>
        <v>370</v>
      </c>
      <c r="CF107" s="42"/>
    </row>
    <row r="108" spans="2:84" s="119" customFormat="1" hidden="1" x14ac:dyDescent="0.15">
      <c r="B108" s="70" t="s">
        <v>113</v>
      </c>
      <c r="C108" s="120"/>
      <c r="D108" s="92"/>
      <c r="E108" s="92"/>
      <c r="F108" s="92"/>
      <c r="G108" s="121"/>
      <c r="H108" s="120"/>
      <c r="I108" s="92"/>
      <c r="J108" s="92"/>
      <c r="K108" s="92"/>
      <c r="L108" s="121"/>
      <c r="M108" s="120"/>
      <c r="N108" s="92"/>
      <c r="O108" s="92"/>
      <c r="P108" s="92"/>
      <c r="Q108" s="121"/>
      <c r="R108" s="92"/>
      <c r="S108" s="92"/>
      <c r="T108" s="92"/>
      <c r="U108" s="92"/>
      <c r="V108" s="121"/>
      <c r="W108" s="92"/>
      <c r="X108" s="92"/>
      <c r="Y108" s="92"/>
      <c r="Z108" s="92"/>
      <c r="AA108" s="121"/>
      <c r="AB108" s="92"/>
      <c r="AC108" s="92"/>
      <c r="AD108" s="92"/>
      <c r="AE108" s="92"/>
      <c r="AF108" s="121"/>
      <c r="AG108" s="92"/>
      <c r="AH108" s="92"/>
      <c r="AI108" s="92"/>
      <c r="AJ108" s="92"/>
      <c r="AK108" s="121"/>
      <c r="AL108" s="92"/>
      <c r="AM108" s="92"/>
      <c r="AN108" s="92"/>
      <c r="AO108" s="92"/>
      <c r="AP108" s="121"/>
      <c r="AQ108" s="92"/>
      <c r="AR108" s="92"/>
      <c r="AS108" s="92"/>
      <c r="AT108" s="92"/>
      <c r="AU108" s="121"/>
      <c r="AV108" s="92"/>
      <c r="AW108" s="92"/>
      <c r="AX108" s="92"/>
      <c r="AY108" s="92"/>
      <c r="AZ108" s="121"/>
      <c r="BA108" s="175"/>
      <c r="BB108" s="179">
        <v>125</v>
      </c>
      <c r="BC108" s="179">
        <v>127</v>
      </c>
      <c r="BD108" s="179">
        <v>132</v>
      </c>
      <c r="BE108" s="176">
        <f>SUM(BB108:BD108)</f>
        <v>384</v>
      </c>
      <c r="BF108" s="177"/>
      <c r="BG108" s="177"/>
      <c r="BH108" s="177"/>
      <c r="BI108" s="177"/>
      <c r="BJ108" s="180">
        <v>530</v>
      </c>
      <c r="BK108" s="181"/>
      <c r="BL108" s="181"/>
      <c r="BM108" s="181"/>
      <c r="BN108" s="181"/>
      <c r="BO108" s="180">
        <v>530</v>
      </c>
      <c r="BP108" s="181"/>
      <c r="BQ108" s="181"/>
      <c r="BR108" s="181"/>
      <c r="BS108" s="181"/>
      <c r="BT108" s="180">
        <v>530</v>
      </c>
      <c r="BU108" s="181"/>
      <c r="BV108" s="181"/>
      <c r="BW108" s="181"/>
      <c r="BX108" s="181"/>
      <c r="BY108" s="180">
        <v>530</v>
      </c>
      <c r="BZ108" s="181"/>
      <c r="CA108" s="181"/>
      <c r="CB108" s="181"/>
      <c r="CC108" s="181"/>
      <c r="CD108" s="180">
        <v>530</v>
      </c>
      <c r="CF108" s="42"/>
    </row>
    <row r="109" spans="2:84" s="119" customFormat="1" hidden="1" x14ac:dyDescent="0.15">
      <c r="B109" s="70"/>
      <c r="C109" s="120"/>
      <c r="D109" s="92"/>
      <c r="E109" s="92"/>
      <c r="F109" s="92"/>
      <c r="G109" s="121"/>
      <c r="H109" s="120"/>
      <c r="I109" s="92"/>
      <c r="J109" s="92"/>
      <c r="K109" s="92"/>
      <c r="L109" s="121"/>
      <c r="M109" s="120"/>
      <c r="N109" s="92"/>
      <c r="O109" s="92"/>
      <c r="P109" s="92"/>
      <c r="Q109" s="121"/>
      <c r="R109" s="92"/>
      <c r="S109" s="92"/>
      <c r="T109" s="92"/>
      <c r="U109" s="92"/>
      <c r="V109" s="121"/>
      <c r="W109" s="92"/>
      <c r="X109" s="92"/>
      <c r="Y109" s="92"/>
      <c r="Z109" s="92"/>
      <c r="AA109" s="121"/>
      <c r="AB109" s="92"/>
      <c r="AC109" s="92"/>
      <c r="AD109" s="92"/>
      <c r="AE109" s="92"/>
      <c r="AF109" s="121"/>
      <c r="AG109" s="92"/>
      <c r="AH109" s="92"/>
      <c r="AI109" s="92"/>
      <c r="AJ109" s="92"/>
      <c r="AK109" s="121"/>
      <c r="AL109" s="92"/>
      <c r="AM109" s="92"/>
      <c r="AN109" s="92"/>
      <c r="AO109" s="92"/>
      <c r="AP109" s="121"/>
      <c r="AQ109" s="92"/>
      <c r="AR109" s="92"/>
      <c r="AS109" s="92"/>
      <c r="AT109" s="92"/>
      <c r="AU109" s="121"/>
      <c r="AV109" s="92"/>
      <c r="AW109" s="92"/>
      <c r="AX109" s="92"/>
      <c r="AY109" s="92"/>
      <c r="AZ109" s="121"/>
      <c r="BA109" s="175"/>
      <c r="BB109" s="175"/>
      <c r="BC109" s="175"/>
      <c r="BD109" s="175"/>
      <c r="BE109" s="176"/>
      <c r="BF109" s="177"/>
      <c r="BG109" s="177"/>
      <c r="BH109" s="177"/>
      <c r="BI109" s="177"/>
      <c r="BJ109" s="176"/>
      <c r="BK109" s="177"/>
      <c r="BL109" s="177"/>
      <c r="BM109" s="177"/>
      <c r="BN109" s="177"/>
      <c r="BO109" s="176"/>
      <c r="BP109" s="177"/>
      <c r="BQ109" s="177"/>
      <c r="BR109" s="177"/>
      <c r="BS109" s="177"/>
      <c r="BT109" s="176"/>
      <c r="BU109" s="177"/>
      <c r="BV109" s="177"/>
      <c r="BW109" s="177"/>
      <c r="BX109" s="177"/>
      <c r="BY109" s="176"/>
      <c r="BZ109" s="177"/>
      <c r="CA109" s="177"/>
      <c r="CB109" s="177"/>
      <c r="CC109" s="177"/>
      <c r="CD109" s="176"/>
      <c r="CF109" s="42"/>
    </row>
    <row r="110" spans="2:84" s="119" customFormat="1" hidden="1" x14ac:dyDescent="0.15">
      <c r="B110" s="70" t="s">
        <v>114</v>
      </c>
      <c r="C110" s="120"/>
      <c r="D110" s="92"/>
      <c r="E110" s="92"/>
      <c r="F110" s="92"/>
      <c r="G110" s="121"/>
      <c r="H110" s="120"/>
      <c r="I110" s="92"/>
      <c r="J110" s="92"/>
      <c r="K110" s="92"/>
      <c r="L110" s="121"/>
      <c r="M110" s="120"/>
      <c r="N110" s="92"/>
      <c r="O110" s="92"/>
      <c r="P110" s="92"/>
      <c r="Q110" s="121"/>
      <c r="R110" s="92"/>
      <c r="S110" s="92"/>
      <c r="T110" s="92"/>
      <c r="U110" s="92"/>
      <c r="V110" s="121"/>
      <c r="W110" s="92"/>
      <c r="X110" s="92"/>
      <c r="Y110" s="92"/>
      <c r="Z110" s="92"/>
      <c r="AA110" s="121"/>
      <c r="AB110" s="92"/>
      <c r="AC110" s="92"/>
      <c r="AD110" s="92"/>
      <c r="AE110" s="92"/>
      <c r="AF110" s="121"/>
      <c r="AG110" s="92"/>
      <c r="AH110" s="92"/>
      <c r="AI110" s="92"/>
      <c r="AJ110" s="92"/>
      <c r="AK110" s="121"/>
      <c r="AL110" s="92"/>
      <c r="AM110" s="92"/>
      <c r="AN110" s="92"/>
      <c r="AO110" s="92"/>
      <c r="AP110" s="121"/>
      <c r="AQ110" s="92"/>
      <c r="AR110" s="92"/>
      <c r="AS110" s="92"/>
      <c r="AT110" s="92"/>
      <c r="AU110" s="121"/>
      <c r="AV110" s="92"/>
      <c r="AW110" s="92"/>
      <c r="AX110" s="92"/>
      <c r="AY110" s="92"/>
      <c r="AZ110" s="121"/>
      <c r="BA110" s="175"/>
      <c r="BB110" s="179">
        <v>9</v>
      </c>
      <c r="BC110" s="179">
        <v>8</v>
      </c>
      <c r="BD110" s="179">
        <v>7</v>
      </c>
      <c r="BE110" s="176">
        <f>SUM(BA110:BD110)</f>
        <v>24</v>
      </c>
      <c r="BF110" s="177"/>
      <c r="BG110" s="177"/>
      <c r="BH110" s="177"/>
      <c r="BI110" s="177"/>
      <c r="BJ110" s="187">
        <v>25</v>
      </c>
      <c r="BK110" s="181"/>
      <c r="BL110" s="181"/>
      <c r="BM110" s="181"/>
      <c r="BN110" s="181"/>
      <c r="BO110" s="180">
        <v>25</v>
      </c>
      <c r="BP110" s="181"/>
      <c r="BQ110" s="181"/>
      <c r="BR110" s="181"/>
      <c r="BS110" s="181"/>
      <c r="BT110" s="180">
        <v>25</v>
      </c>
      <c r="BU110" s="181"/>
      <c r="BV110" s="181"/>
      <c r="BW110" s="181"/>
      <c r="BX110" s="181"/>
      <c r="BY110" s="180">
        <v>25</v>
      </c>
      <c r="BZ110" s="181"/>
      <c r="CA110" s="181"/>
      <c r="CB110" s="181"/>
      <c r="CC110" s="181"/>
      <c r="CD110" s="180">
        <v>25</v>
      </c>
      <c r="CF110" s="42"/>
    </row>
    <row r="111" spans="2:84" s="119" customFormat="1" hidden="1" x14ac:dyDescent="0.15">
      <c r="B111" s="70" t="s">
        <v>115</v>
      </c>
      <c r="C111" s="120"/>
      <c r="D111" s="92"/>
      <c r="E111" s="92"/>
      <c r="F111" s="92"/>
      <c r="G111" s="121"/>
      <c r="H111" s="120"/>
      <c r="I111" s="92"/>
      <c r="J111" s="92"/>
      <c r="K111" s="92"/>
      <c r="L111" s="121"/>
      <c r="M111" s="120"/>
      <c r="N111" s="92"/>
      <c r="O111" s="92"/>
      <c r="P111" s="92"/>
      <c r="Q111" s="121"/>
      <c r="R111" s="92"/>
      <c r="S111" s="92"/>
      <c r="T111" s="92"/>
      <c r="U111" s="92"/>
      <c r="V111" s="121"/>
      <c r="W111" s="92"/>
      <c r="X111" s="92"/>
      <c r="Y111" s="92"/>
      <c r="Z111" s="92"/>
      <c r="AA111" s="121"/>
      <c r="AB111" s="92"/>
      <c r="AC111" s="92"/>
      <c r="AD111" s="92"/>
      <c r="AE111" s="92"/>
      <c r="AF111" s="121"/>
      <c r="AG111" s="92"/>
      <c r="AH111" s="92"/>
      <c r="AI111" s="92"/>
      <c r="AJ111" s="92"/>
      <c r="AK111" s="121"/>
      <c r="AL111" s="92"/>
      <c r="AM111" s="92"/>
      <c r="AN111" s="92"/>
      <c r="AO111" s="92"/>
      <c r="AP111" s="121"/>
      <c r="AQ111" s="92"/>
      <c r="AR111" s="92"/>
      <c r="AS111" s="92"/>
      <c r="AT111" s="92"/>
      <c r="AU111" s="121"/>
      <c r="AV111" s="92"/>
      <c r="AW111" s="92"/>
      <c r="AX111" s="92"/>
      <c r="AY111" s="92"/>
      <c r="AZ111" s="121"/>
      <c r="BA111" s="175"/>
      <c r="BB111" s="175">
        <f>BB112-BB110</f>
        <v>26</v>
      </c>
      <c r="BC111" s="175">
        <f>BC112-BC110</f>
        <v>22</v>
      </c>
      <c r="BD111" s="175">
        <f>BD112-BD110</f>
        <v>18</v>
      </c>
      <c r="BE111" s="176">
        <f>SUM(BA111:BD111)</f>
        <v>66</v>
      </c>
      <c r="BF111" s="177"/>
      <c r="BG111" s="177"/>
      <c r="BH111" s="177"/>
      <c r="BI111" s="177"/>
      <c r="BJ111" s="188">
        <f>BJ112-BJ110</f>
        <v>75</v>
      </c>
      <c r="BK111" s="177"/>
      <c r="BL111" s="177"/>
      <c r="BM111" s="177"/>
      <c r="BN111" s="177"/>
      <c r="BO111" s="176">
        <f>BO112-BO110</f>
        <v>75</v>
      </c>
      <c r="BP111" s="177"/>
      <c r="BQ111" s="177"/>
      <c r="BR111" s="177"/>
      <c r="BS111" s="177"/>
      <c r="BT111" s="176">
        <f>BT112-BT110</f>
        <v>75</v>
      </c>
      <c r="BU111" s="177"/>
      <c r="BV111" s="177"/>
      <c r="BW111" s="177"/>
      <c r="BX111" s="177"/>
      <c r="BY111" s="176">
        <f>BY112-BY110</f>
        <v>75</v>
      </c>
      <c r="BZ111" s="177"/>
      <c r="CA111" s="177"/>
      <c r="CB111" s="177"/>
      <c r="CC111" s="177"/>
      <c r="CD111" s="176">
        <f>CD112-CD110</f>
        <v>75</v>
      </c>
      <c r="CF111" s="42"/>
    </row>
    <row r="112" spans="2:84" s="119" customFormat="1" hidden="1" x14ac:dyDescent="0.15">
      <c r="B112" s="70" t="s">
        <v>116</v>
      </c>
      <c r="C112" s="120"/>
      <c r="D112" s="92"/>
      <c r="E112" s="92"/>
      <c r="F112" s="92"/>
      <c r="G112" s="121"/>
      <c r="H112" s="120"/>
      <c r="I112" s="92"/>
      <c r="J112" s="92"/>
      <c r="K112" s="92"/>
      <c r="L112" s="121"/>
      <c r="M112" s="120"/>
      <c r="N112" s="92"/>
      <c r="O112" s="92"/>
      <c r="P112" s="92"/>
      <c r="Q112" s="121"/>
      <c r="R112" s="92"/>
      <c r="S112" s="92"/>
      <c r="T112" s="92"/>
      <c r="U112" s="92"/>
      <c r="V112" s="121"/>
      <c r="W112" s="92"/>
      <c r="X112" s="92"/>
      <c r="Y112" s="92"/>
      <c r="Z112" s="92"/>
      <c r="AA112" s="121"/>
      <c r="AB112" s="92"/>
      <c r="AC112" s="92"/>
      <c r="AD112" s="92"/>
      <c r="AE112" s="92"/>
      <c r="AF112" s="121"/>
      <c r="AG112" s="92"/>
      <c r="AH112" s="92"/>
      <c r="AI112" s="92"/>
      <c r="AJ112" s="92"/>
      <c r="AK112" s="121"/>
      <c r="AL112" s="92"/>
      <c r="AM112" s="92"/>
      <c r="AN112" s="92"/>
      <c r="AO112" s="92"/>
      <c r="AP112" s="121"/>
      <c r="AQ112" s="92"/>
      <c r="AR112" s="92"/>
      <c r="AS112" s="92"/>
      <c r="AT112" s="92"/>
      <c r="AU112" s="121"/>
      <c r="AV112" s="92"/>
      <c r="AW112" s="92"/>
      <c r="AX112" s="92"/>
      <c r="AY112" s="92"/>
      <c r="AZ112" s="121"/>
      <c r="BA112" s="175"/>
      <c r="BB112" s="179">
        <v>35</v>
      </c>
      <c r="BC112" s="179">
        <v>30</v>
      </c>
      <c r="BD112" s="179">
        <v>25</v>
      </c>
      <c r="BE112" s="176">
        <f>SUM(BB112:BD112)</f>
        <v>90</v>
      </c>
      <c r="BF112" s="177"/>
      <c r="BG112" s="177"/>
      <c r="BH112" s="177"/>
      <c r="BI112" s="177"/>
      <c r="BJ112" s="187">
        <v>100</v>
      </c>
      <c r="BK112" s="181"/>
      <c r="BL112" s="181"/>
      <c r="BM112" s="181"/>
      <c r="BN112" s="181"/>
      <c r="BO112" s="180">
        <v>100</v>
      </c>
      <c r="BP112" s="181"/>
      <c r="BQ112" s="181"/>
      <c r="BR112" s="181"/>
      <c r="BS112" s="181"/>
      <c r="BT112" s="180">
        <v>100</v>
      </c>
      <c r="BU112" s="181"/>
      <c r="BV112" s="181"/>
      <c r="BW112" s="181"/>
      <c r="BX112" s="181"/>
      <c r="BY112" s="180">
        <v>100</v>
      </c>
      <c r="BZ112" s="181"/>
      <c r="CA112" s="181"/>
      <c r="CB112" s="181"/>
      <c r="CC112" s="181"/>
      <c r="CD112" s="180">
        <v>100</v>
      </c>
      <c r="CF112" s="42"/>
    </row>
    <row r="113" spans="2:84" s="119" customFormat="1" hidden="1" x14ac:dyDescent="0.15">
      <c r="B113" s="70"/>
      <c r="C113" s="120"/>
      <c r="D113" s="92"/>
      <c r="E113" s="92"/>
      <c r="F113" s="92"/>
      <c r="G113" s="121"/>
      <c r="H113" s="120"/>
      <c r="I113" s="92"/>
      <c r="J113" s="92"/>
      <c r="K113" s="92"/>
      <c r="L113" s="121"/>
      <c r="M113" s="120"/>
      <c r="N113" s="92"/>
      <c r="O113" s="92"/>
      <c r="P113" s="92"/>
      <c r="Q113" s="121"/>
      <c r="R113" s="92"/>
      <c r="S113" s="92"/>
      <c r="T113" s="92"/>
      <c r="U113" s="92"/>
      <c r="V113" s="121"/>
      <c r="W113" s="92"/>
      <c r="X113" s="92"/>
      <c r="Y113" s="92"/>
      <c r="Z113" s="92"/>
      <c r="AA113" s="121"/>
      <c r="AB113" s="92"/>
      <c r="AC113" s="92"/>
      <c r="AD113" s="92"/>
      <c r="AE113" s="92"/>
      <c r="AF113" s="121"/>
      <c r="AG113" s="92"/>
      <c r="AH113" s="92"/>
      <c r="AI113" s="92"/>
      <c r="AJ113" s="92"/>
      <c r="AK113" s="121"/>
      <c r="AL113" s="92"/>
      <c r="AM113" s="92"/>
      <c r="AN113" s="92"/>
      <c r="AO113" s="92"/>
      <c r="AP113" s="121"/>
      <c r="AQ113" s="92"/>
      <c r="AR113" s="92"/>
      <c r="AS113" s="92"/>
      <c r="AT113" s="92"/>
      <c r="AU113" s="121"/>
      <c r="AV113" s="92"/>
      <c r="AW113" s="92"/>
      <c r="AX113" s="92"/>
      <c r="AY113" s="92"/>
      <c r="AZ113" s="121"/>
      <c r="BA113" s="175"/>
      <c r="BB113" s="175"/>
      <c r="BC113" s="175"/>
      <c r="BD113" s="175"/>
      <c r="BE113" s="176"/>
      <c r="BF113" s="177"/>
      <c r="BG113" s="177"/>
      <c r="BH113" s="177"/>
      <c r="BI113" s="177"/>
      <c r="BJ113" s="176"/>
      <c r="BK113" s="177"/>
      <c r="BL113" s="177"/>
      <c r="BM113" s="177"/>
      <c r="BN113" s="177"/>
      <c r="BO113" s="176"/>
      <c r="BP113" s="177"/>
      <c r="BQ113" s="177"/>
      <c r="BR113" s="177"/>
      <c r="BS113" s="177"/>
      <c r="BT113" s="176"/>
      <c r="BU113" s="177"/>
      <c r="BV113" s="177"/>
      <c r="BW113" s="177"/>
      <c r="BX113" s="177"/>
      <c r="BY113" s="176"/>
      <c r="BZ113" s="177"/>
      <c r="CA113" s="177"/>
      <c r="CB113" s="177"/>
      <c r="CC113" s="177"/>
      <c r="CD113" s="176"/>
      <c r="CF113" s="42"/>
    </row>
    <row r="114" spans="2:84" s="119" customFormat="1" hidden="1" x14ac:dyDescent="0.15">
      <c r="B114" s="70" t="s">
        <v>117</v>
      </c>
      <c r="C114" s="120"/>
      <c r="D114" s="92"/>
      <c r="E114" s="92"/>
      <c r="F114" s="92"/>
      <c r="G114" s="121"/>
      <c r="H114" s="120"/>
      <c r="I114" s="92"/>
      <c r="J114" s="92"/>
      <c r="K114" s="92"/>
      <c r="L114" s="121"/>
      <c r="M114" s="120"/>
      <c r="N114" s="92"/>
      <c r="O114" s="92"/>
      <c r="P114" s="92"/>
      <c r="Q114" s="121"/>
      <c r="R114" s="92"/>
      <c r="S114" s="92"/>
      <c r="T114" s="92"/>
      <c r="U114" s="92"/>
      <c r="V114" s="121"/>
      <c r="W114" s="92"/>
      <c r="X114" s="92"/>
      <c r="Y114" s="92"/>
      <c r="Z114" s="92"/>
      <c r="AA114" s="121"/>
      <c r="AB114" s="92"/>
      <c r="AC114" s="92"/>
      <c r="AD114" s="92"/>
      <c r="AE114" s="92"/>
      <c r="AF114" s="121"/>
      <c r="AG114" s="92"/>
      <c r="AH114" s="92"/>
      <c r="AI114" s="92"/>
      <c r="AJ114" s="92"/>
      <c r="AK114" s="121"/>
      <c r="AL114" s="92"/>
      <c r="AM114" s="92"/>
      <c r="AN114" s="92"/>
      <c r="AO114" s="92"/>
      <c r="AP114" s="121"/>
      <c r="AQ114" s="92"/>
      <c r="AR114" s="92"/>
      <c r="AS114" s="92"/>
      <c r="AT114" s="92"/>
      <c r="AU114" s="121"/>
      <c r="AV114" s="92"/>
      <c r="AW114" s="92"/>
      <c r="AX114" s="92"/>
      <c r="AY114" s="92"/>
      <c r="AZ114" s="121"/>
      <c r="BA114" s="175">
        <f t="shared" ref="BA114:CD115" si="55">BA98+BA101-BA106+BA110</f>
        <v>61.713421000000004</v>
      </c>
      <c r="BB114" s="175">
        <f t="shared" si="55"/>
        <v>94.255088999999998</v>
      </c>
      <c r="BC114" s="175">
        <f t="shared" si="55"/>
        <v>93.283977999999991</v>
      </c>
      <c r="BD114" s="175">
        <f t="shared" si="55"/>
        <v>96.882323067199991</v>
      </c>
      <c r="BE114" s="176">
        <f t="shared" si="55"/>
        <v>346.13481106720002</v>
      </c>
      <c r="BF114" s="177">
        <f t="shared" si="55"/>
        <v>0</v>
      </c>
      <c r="BG114" s="177">
        <f t="shared" si="55"/>
        <v>0</v>
      </c>
      <c r="BH114" s="177">
        <f t="shared" si="55"/>
        <v>0</v>
      </c>
      <c r="BI114" s="177">
        <f t="shared" si="55"/>
        <v>0</v>
      </c>
      <c r="BJ114" s="176">
        <f t="shared" si="55"/>
        <v>385.24152744358003</v>
      </c>
      <c r="BK114" s="177">
        <f t="shared" si="55"/>
        <v>0</v>
      </c>
      <c r="BL114" s="177">
        <f t="shared" si="55"/>
        <v>0</v>
      </c>
      <c r="BM114" s="177">
        <f t="shared" si="55"/>
        <v>0</v>
      </c>
      <c r="BN114" s="177">
        <f t="shared" si="55"/>
        <v>0</v>
      </c>
      <c r="BO114" s="176">
        <f t="shared" si="55"/>
        <v>411.55880439235762</v>
      </c>
      <c r="BP114" s="177">
        <f t="shared" si="55"/>
        <v>0</v>
      </c>
      <c r="BQ114" s="177">
        <f t="shared" si="55"/>
        <v>0</v>
      </c>
      <c r="BR114" s="177">
        <f t="shared" si="55"/>
        <v>0</v>
      </c>
      <c r="BS114" s="177">
        <f t="shared" si="55"/>
        <v>0</v>
      </c>
      <c r="BT114" s="176">
        <f t="shared" si="55"/>
        <v>448.38522385165788</v>
      </c>
      <c r="BU114" s="177">
        <f t="shared" si="55"/>
        <v>0</v>
      </c>
      <c r="BV114" s="177">
        <f t="shared" si="55"/>
        <v>0</v>
      </c>
      <c r="BW114" s="177">
        <f t="shared" si="55"/>
        <v>0</v>
      </c>
      <c r="BX114" s="177">
        <f t="shared" si="55"/>
        <v>0</v>
      </c>
      <c r="BY114" s="176">
        <f t="shared" si="55"/>
        <v>411.55880439235762</v>
      </c>
      <c r="BZ114" s="177">
        <f t="shared" si="55"/>
        <v>0</v>
      </c>
      <c r="CA114" s="177">
        <f t="shared" si="55"/>
        <v>0</v>
      </c>
      <c r="CB114" s="177">
        <f t="shared" si="55"/>
        <v>0</v>
      </c>
      <c r="CC114" s="177">
        <f t="shared" si="55"/>
        <v>0</v>
      </c>
      <c r="CD114" s="176">
        <f t="shared" si="55"/>
        <v>448.38522385165788</v>
      </c>
      <c r="CF114" s="42"/>
    </row>
    <row r="115" spans="2:84" s="119" customFormat="1" hidden="1" x14ac:dyDescent="0.15">
      <c r="B115" s="70" t="s">
        <v>118</v>
      </c>
      <c r="C115" s="120"/>
      <c r="D115" s="92"/>
      <c r="E115" s="92"/>
      <c r="F115" s="92"/>
      <c r="G115" s="121"/>
      <c r="H115" s="120"/>
      <c r="I115" s="92"/>
      <c r="J115" s="92"/>
      <c r="K115" s="92"/>
      <c r="L115" s="121"/>
      <c r="M115" s="120"/>
      <c r="N115" s="92"/>
      <c r="O115" s="92"/>
      <c r="P115" s="92"/>
      <c r="Q115" s="121"/>
      <c r="R115" s="92"/>
      <c r="S115" s="92"/>
      <c r="T115" s="92"/>
      <c r="U115" s="92"/>
      <c r="V115" s="121"/>
      <c r="W115" s="92"/>
      <c r="X115" s="92"/>
      <c r="Y115" s="92"/>
      <c r="Z115" s="92"/>
      <c r="AA115" s="121"/>
      <c r="AB115" s="92"/>
      <c r="AC115" s="92"/>
      <c r="AD115" s="92"/>
      <c r="AE115" s="92"/>
      <c r="AF115" s="121"/>
      <c r="AG115" s="92"/>
      <c r="AH115" s="92"/>
      <c r="AI115" s="92"/>
      <c r="AJ115" s="92"/>
      <c r="AK115" s="121"/>
      <c r="AL115" s="92"/>
      <c r="AM115" s="92"/>
      <c r="AN115" s="92"/>
      <c r="AO115" s="92"/>
      <c r="AP115" s="121"/>
      <c r="AQ115" s="92"/>
      <c r="AR115" s="92"/>
      <c r="AS115" s="92"/>
      <c r="AT115" s="92"/>
      <c r="AU115" s="121"/>
      <c r="AV115" s="92"/>
      <c r="AW115" s="92"/>
      <c r="AX115" s="92"/>
      <c r="AY115" s="92"/>
      <c r="AZ115" s="121"/>
      <c r="BA115" s="175">
        <f t="shared" si="55"/>
        <v>521.37200499999994</v>
      </c>
      <c r="BB115" s="175">
        <f t="shared" si="55"/>
        <v>622.833215</v>
      </c>
      <c r="BC115" s="175">
        <f t="shared" si="55"/>
        <v>592.56722000000002</v>
      </c>
      <c r="BD115" s="175">
        <f t="shared" si="55"/>
        <v>607.11522499200009</v>
      </c>
      <c r="BE115" s="176">
        <f t="shared" si="55"/>
        <v>2343.8876649919998</v>
      </c>
      <c r="BF115" s="177">
        <f t="shared" si="55"/>
        <v>0</v>
      </c>
      <c r="BG115" s="177">
        <f t="shared" si="55"/>
        <v>0</v>
      </c>
      <c r="BH115" s="177">
        <f t="shared" si="55"/>
        <v>0</v>
      </c>
      <c r="BI115" s="177">
        <f t="shared" si="55"/>
        <v>0</v>
      </c>
      <c r="BJ115" s="176">
        <f t="shared" si="55"/>
        <v>2390.8129245226</v>
      </c>
      <c r="BK115" s="177">
        <f t="shared" si="55"/>
        <v>0</v>
      </c>
      <c r="BL115" s="177">
        <f t="shared" si="55"/>
        <v>0</v>
      </c>
      <c r="BM115" s="177">
        <f t="shared" si="55"/>
        <v>0</v>
      </c>
      <c r="BN115" s="177">
        <f t="shared" si="55"/>
        <v>0</v>
      </c>
      <c r="BO115" s="176">
        <f t="shared" si="55"/>
        <v>2496.2057177742749</v>
      </c>
      <c r="BP115" s="177">
        <f t="shared" si="55"/>
        <v>0</v>
      </c>
      <c r="BQ115" s="177">
        <f t="shared" si="55"/>
        <v>0</v>
      </c>
      <c r="BR115" s="177">
        <f t="shared" si="55"/>
        <v>0</v>
      </c>
      <c r="BS115" s="177">
        <f t="shared" si="55"/>
        <v>0</v>
      </c>
      <c r="BT115" s="176">
        <f t="shared" si="55"/>
        <v>2617.4198803539257</v>
      </c>
      <c r="BU115" s="177">
        <f t="shared" si="55"/>
        <v>0</v>
      </c>
      <c r="BV115" s="177">
        <f t="shared" si="55"/>
        <v>0</v>
      </c>
      <c r="BW115" s="177">
        <f t="shared" si="55"/>
        <v>0</v>
      </c>
      <c r="BX115" s="177">
        <f t="shared" si="55"/>
        <v>0</v>
      </c>
      <c r="BY115" s="176">
        <f t="shared" si="55"/>
        <v>2641.7724377742752</v>
      </c>
      <c r="BZ115" s="177">
        <f t="shared" si="55"/>
        <v>0</v>
      </c>
      <c r="CA115" s="177">
        <f t="shared" si="55"/>
        <v>0</v>
      </c>
      <c r="CB115" s="177">
        <f t="shared" si="55"/>
        <v>0</v>
      </c>
      <c r="CC115" s="177">
        <f t="shared" si="55"/>
        <v>0</v>
      </c>
      <c r="CD115" s="176">
        <f t="shared" si="55"/>
        <v>2774.6319379539259</v>
      </c>
      <c r="CF115" s="42"/>
    </row>
    <row r="116" spans="2:84" s="119" customFormat="1" hidden="1" x14ac:dyDescent="0.15">
      <c r="B116" s="70"/>
      <c r="C116" s="120"/>
      <c r="D116" s="92"/>
      <c r="E116" s="92"/>
      <c r="F116" s="92"/>
      <c r="G116" s="121"/>
      <c r="H116" s="120"/>
      <c r="I116" s="92"/>
      <c r="J116" s="92"/>
      <c r="K116" s="92"/>
      <c r="L116" s="121"/>
      <c r="M116" s="120"/>
      <c r="N116" s="92"/>
      <c r="O116" s="92"/>
      <c r="P116" s="92"/>
      <c r="Q116" s="121"/>
      <c r="R116" s="92"/>
      <c r="S116" s="92"/>
      <c r="T116" s="92"/>
      <c r="U116" s="92"/>
      <c r="V116" s="121"/>
      <c r="W116" s="92"/>
      <c r="X116" s="92"/>
      <c r="Y116" s="92"/>
      <c r="Z116" s="92"/>
      <c r="AA116" s="121"/>
      <c r="AB116" s="92"/>
      <c r="AC116" s="92"/>
      <c r="AD116" s="92"/>
      <c r="AE116" s="92"/>
      <c r="AF116" s="121"/>
      <c r="AG116" s="92"/>
      <c r="AH116" s="92"/>
      <c r="AI116" s="92"/>
      <c r="AJ116" s="92"/>
      <c r="AK116" s="121"/>
      <c r="AL116" s="92"/>
      <c r="AM116" s="92"/>
      <c r="AN116" s="92"/>
      <c r="AO116" s="92"/>
      <c r="AP116" s="121"/>
      <c r="AQ116" s="92"/>
      <c r="AR116" s="92"/>
      <c r="AS116" s="92"/>
      <c r="AT116" s="92"/>
      <c r="AU116" s="121"/>
      <c r="AV116" s="92"/>
      <c r="AW116" s="92"/>
      <c r="AX116" s="92"/>
      <c r="AY116" s="92"/>
      <c r="AZ116" s="121"/>
      <c r="BA116" s="175"/>
      <c r="BB116" s="175"/>
      <c r="BC116" s="175"/>
      <c r="BD116" s="175"/>
      <c r="BE116" s="176"/>
      <c r="BF116" s="177"/>
      <c r="BG116" s="177"/>
      <c r="BH116" s="177"/>
      <c r="BI116" s="177"/>
      <c r="BJ116" s="176"/>
      <c r="BK116" s="177"/>
      <c r="BL116" s="177"/>
      <c r="BM116" s="177"/>
      <c r="BN116" s="177"/>
      <c r="BO116" s="176"/>
      <c r="BP116" s="177"/>
      <c r="BQ116" s="177"/>
      <c r="BR116" s="177"/>
      <c r="BS116" s="177"/>
      <c r="BT116" s="176"/>
      <c r="BU116" s="177"/>
      <c r="BV116" s="177"/>
      <c r="BW116" s="177"/>
      <c r="BX116" s="177"/>
      <c r="BY116" s="176"/>
      <c r="BZ116" s="177"/>
      <c r="CA116" s="177"/>
      <c r="CB116" s="177"/>
      <c r="CC116" s="177"/>
      <c r="CD116" s="176"/>
      <c r="CF116" s="42"/>
    </row>
    <row r="117" spans="2:84" s="119" customFormat="1" hidden="1" x14ac:dyDescent="0.15">
      <c r="B117" s="70" t="s">
        <v>119</v>
      </c>
      <c r="C117" s="120"/>
      <c r="D117" s="92"/>
      <c r="E117" s="92"/>
      <c r="F117" s="92"/>
      <c r="G117" s="121"/>
      <c r="H117" s="120" t="e">
        <f>H69/C70-1</f>
        <v>#DIV/0!</v>
      </c>
      <c r="I117" s="92" t="e">
        <f>I69/D70-1</f>
        <v>#DIV/0!</v>
      </c>
      <c r="J117" s="92" t="e">
        <f>J69/E70-1</f>
        <v>#DIV/0!</v>
      </c>
      <c r="K117" s="92" t="e">
        <f>K69/F70-1</f>
        <v>#DIV/0!</v>
      </c>
      <c r="L117" s="121" t="e">
        <f t="shared" ref="L117:AD117" si="56">L69/G69-1</f>
        <v>#DIV/0!</v>
      </c>
      <c r="M117" s="120" t="e">
        <f t="shared" si="56"/>
        <v>#DIV/0!</v>
      </c>
      <c r="N117" s="92" t="e">
        <f t="shared" si="56"/>
        <v>#DIV/0!</v>
      </c>
      <c r="O117" s="92" t="e">
        <f t="shared" si="56"/>
        <v>#DIV/0!</v>
      </c>
      <c r="P117" s="92" t="e">
        <f t="shared" si="56"/>
        <v>#DIV/0!</v>
      </c>
      <c r="Q117" s="121" t="e">
        <f t="shared" si="56"/>
        <v>#DIV/0!</v>
      </c>
      <c r="R117" s="92" t="e">
        <f t="shared" si="56"/>
        <v>#DIV/0!</v>
      </c>
      <c r="S117" s="92" t="e">
        <f t="shared" si="56"/>
        <v>#DIV/0!</v>
      </c>
      <c r="T117" s="92" t="e">
        <f t="shared" si="56"/>
        <v>#DIV/0!</v>
      </c>
      <c r="U117" s="92" t="e">
        <f t="shared" si="56"/>
        <v>#DIV/0!</v>
      </c>
      <c r="V117" s="121" t="e">
        <f t="shared" si="56"/>
        <v>#DIV/0!</v>
      </c>
      <c r="W117" s="92" t="e">
        <f t="shared" si="56"/>
        <v>#DIV/0!</v>
      </c>
      <c r="X117" s="92" t="e">
        <f t="shared" si="56"/>
        <v>#DIV/0!</v>
      </c>
      <c r="Y117" s="92" t="e">
        <f t="shared" si="56"/>
        <v>#DIV/0!</v>
      </c>
      <c r="Z117" s="92" t="e">
        <f t="shared" si="56"/>
        <v>#DIV/0!</v>
      </c>
      <c r="AA117" s="121" t="e">
        <f t="shared" si="56"/>
        <v>#DIV/0!</v>
      </c>
      <c r="AB117" s="92" t="e">
        <f t="shared" si="56"/>
        <v>#DIV/0!</v>
      </c>
      <c r="AC117" s="92" t="e">
        <f t="shared" si="56"/>
        <v>#DIV/0!</v>
      </c>
      <c r="AD117" s="92" t="e">
        <f t="shared" si="56"/>
        <v>#DIV/0!</v>
      </c>
      <c r="AE117" s="92" t="e">
        <f>AE70/Z69-1</f>
        <v>#DIV/0!</v>
      </c>
      <c r="AF117" s="121"/>
      <c r="AG117" s="92"/>
      <c r="AH117" s="92"/>
      <c r="AI117" s="92"/>
      <c r="AJ117" s="92"/>
      <c r="AK117" s="121"/>
      <c r="AL117" s="92"/>
      <c r="AM117" s="92"/>
      <c r="AN117" s="92"/>
      <c r="AO117" s="92"/>
      <c r="AP117" s="121"/>
      <c r="AQ117" s="92"/>
      <c r="AR117" s="92"/>
      <c r="AS117" s="92"/>
      <c r="AT117" s="92"/>
      <c r="AU117" s="121"/>
      <c r="AV117" s="92"/>
      <c r="AW117" s="92"/>
      <c r="AX117" s="92"/>
      <c r="AY117" s="92"/>
      <c r="AZ117" s="121"/>
      <c r="BA117" s="175">
        <f>BA14</f>
        <v>55.5</v>
      </c>
      <c r="BB117" s="175">
        <f>BB14</f>
        <v>80.699999999999989</v>
      </c>
      <c r="BC117" s="175">
        <f>BC14</f>
        <v>101.3</v>
      </c>
      <c r="BD117" s="175">
        <f>BD14</f>
        <v>95.5</v>
      </c>
      <c r="BE117" s="176">
        <f t="shared" ref="BE117:CD118" si="57">BE14</f>
        <v>333</v>
      </c>
      <c r="BF117" s="177">
        <f t="shared" si="57"/>
        <v>107.06832000000001</v>
      </c>
      <c r="BG117" s="177">
        <f t="shared" si="57"/>
        <v>104.238218</v>
      </c>
      <c r="BH117" s="177">
        <f t="shared" si="57"/>
        <v>101.81761199999998</v>
      </c>
      <c r="BI117" s="177">
        <f t="shared" si="57"/>
        <v>99.530541000000014</v>
      </c>
      <c r="BJ117" s="176">
        <f t="shared" si="57"/>
        <v>412.65469100000001</v>
      </c>
      <c r="BK117" s="177">
        <f t="shared" si="57"/>
        <v>0</v>
      </c>
      <c r="BL117" s="177">
        <f t="shared" si="57"/>
        <v>0</v>
      </c>
      <c r="BM117" s="177">
        <f t="shared" si="57"/>
        <v>0</v>
      </c>
      <c r="BN117" s="177">
        <f t="shared" si="57"/>
        <v>0</v>
      </c>
      <c r="BO117" s="176">
        <f t="shared" si="57"/>
        <v>410.92530570000008</v>
      </c>
      <c r="BP117" s="177">
        <f t="shared" si="57"/>
        <v>0</v>
      </c>
      <c r="BQ117" s="177">
        <f t="shared" si="57"/>
        <v>0</v>
      </c>
      <c r="BR117" s="177">
        <f t="shared" si="57"/>
        <v>0</v>
      </c>
      <c r="BS117" s="177">
        <f t="shared" si="57"/>
        <v>0</v>
      </c>
      <c r="BT117" s="176">
        <f t="shared" si="57"/>
        <v>410.77118156910001</v>
      </c>
      <c r="BU117" s="177">
        <f t="shared" si="57"/>
        <v>0</v>
      </c>
      <c r="BV117" s="177">
        <f t="shared" si="57"/>
        <v>0</v>
      </c>
      <c r="BW117" s="177">
        <f t="shared" si="57"/>
        <v>0</v>
      </c>
      <c r="BX117" s="177">
        <f t="shared" si="57"/>
        <v>0</v>
      </c>
      <c r="BY117" s="176">
        <f t="shared" si="57"/>
        <v>408.7461497916691</v>
      </c>
      <c r="BZ117" s="177">
        <f t="shared" si="57"/>
        <v>0</v>
      </c>
      <c r="CA117" s="177">
        <f t="shared" si="57"/>
        <v>0</v>
      </c>
      <c r="CB117" s="177">
        <f t="shared" si="57"/>
        <v>0</v>
      </c>
      <c r="CC117" s="177">
        <f t="shared" si="57"/>
        <v>0</v>
      </c>
      <c r="CD117" s="176">
        <f t="shared" si="57"/>
        <v>412.88178984166893</v>
      </c>
      <c r="CF117" s="42"/>
    </row>
    <row r="118" spans="2:84" s="119" customFormat="1" hidden="1" x14ac:dyDescent="0.15">
      <c r="B118" s="90" t="s">
        <v>120</v>
      </c>
      <c r="C118" s="133"/>
      <c r="D118" s="134"/>
      <c r="E118" s="134"/>
      <c r="F118" s="134"/>
      <c r="G118" s="135"/>
      <c r="H118" s="133"/>
      <c r="I118" s="134"/>
      <c r="J118" s="134"/>
      <c r="K118" s="134"/>
      <c r="L118" s="135"/>
      <c r="M118" s="133"/>
      <c r="N118" s="134"/>
      <c r="O118" s="134"/>
      <c r="P118" s="134"/>
      <c r="Q118" s="135"/>
      <c r="R118" s="134"/>
      <c r="S118" s="134"/>
      <c r="T118" s="134"/>
      <c r="U118" s="134"/>
      <c r="V118" s="135"/>
      <c r="W118" s="134"/>
      <c r="X118" s="134"/>
      <c r="Y118" s="134"/>
      <c r="Z118" s="134"/>
      <c r="AA118" s="135"/>
      <c r="AB118" s="134"/>
      <c r="AC118" s="134"/>
      <c r="AD118" s="134"/>
      <c r="AE118" s="134" t="e">
        <f>AE76/Z76-1</f>
        <v>#DIV/0!</v>
      </c>
      <c r="AF118" s="135"/>
      <c r="AG118" s="134"/>
      <c r="AH118" s="134"/>
      <c r="AI118" s="134"/>
      <c r="AJ118" s="134"/>
      <c r="AK118" s="135"/>
      <c r="AL118" s="134"/>
      <c r="AM118" s="134"/>
      <c r="AN118" s="134"/>
      <c r="AO118" s="134"/>
      <c r="AP118" s="135"/>
      <c r="AQ118" s="134"/>
      <c r="AR118" s="134"/>
      <c r="AS118" s="134"/>
      <c r="AT118" s="134"/>
      <c r="AU118" s="135"/>
      <c r="AV118" s="134"/>
      <c r="AW118" s="134"/>
      <c r="AX118" s="134"/>
      <c r="AY118" s="134"/>
      <c r="AZ118" s="135"/>
      <c r="BA118" s="189">
        <f t="shared" ref="BA118:BT118" si="58">BA15</f>
        <v>564.79999999999995</v>
      </c>
      <c r="BB118" s="189">
        <f>BB15</f>
        <v>689.9</v>
      </c>
      <c r="BC118" s="189">
        <f>BC15</f>
        <v>673.7</v>
      </c>
      <c r="BD118" s="189">
        <f>BD15</f>
        <v>677.9</v>
      </c>
      <c r="BE118" s="190">
        <f t="shared" si="58"/>
        <v>2606.2999999999997</v>
      </c>
      <c r="BF118" s="177">
        <f t="shared" si="58"/>
        <v>713.78880000000004</v>
      </c>
      <c r="BG118" s="177">
        <f t="shared" si="58"/>
        <v>685.77775000000008</v>
      </c>
      <c r="BH118" s="177">
        <f t="shared" si="58"/>
        <v>678.7840799999999</v>
      </c>
      <c r="BI118" s="177">
        <f t="shared" si="58"/>
        <v>678.61732500000005</v>
      </c>
      <c r="BJ118" s="190">
        <f t="shared" si="58"/>
        <v>2756.9679550000001</v>
      </c>
      <c r="BK118" s="177">
        <f t="shared" si="58"/>
        <v>0</v>
      </c>
      <c r="BL118" s="177">
        <f t="shared" si="58"/>
        <v>0</v>
      </c>
      <c r="BM118" s="177">
        <f t="shared" si="58"/>
        <v>0</v>
      </c>
      <c r="BN118" s="177">
        <f t="shared" si="58"/>
        <v>0</v>
      </c>
      <c r="BO118" s="190">
        <f t="shared" si="58"/>
        <v>2935.1807550000003</v>
      </c>
      <c r="BP118" s="177">
        <f t="shared" si="58"/>
        <v>0</v>
      </c>
      <c r="BQ118" s="177">
        <f t="shared" si="58"/>
        <v>0</v>
      </c>
      <c r="BR118" s="177">
        <f t="shared" si="58"/>
        <v>0</v>
      </c>
      <c r="BS118" s="177">
        <f t="shared" si="58"/>
        <v>0</v>
      </c>
      <c r="BT118" s="190">
        <f t="shared" si="58"/>
        <v>3087.0076675495998</v>
      </c>
      <c r="BU118" s="177">
        <f t="shared" si="57"/>
        <v>0</v>
      </c>
      <c r="BV118" s="177">
        <f t="shared" si="57"/>
        <v>0</v>
      </c>
      <c r="BW118" s="177">
        <f t="shared" si="57"/>
        <v>0</v>
      </c>
      <c r="BX118" s="177">
        <f t="shared" si="57"/>
        <v>0</v>
      </c>
      <c r="BY118" s="190">
        <f t="shared" si="57"/>
        <v>3230.4131193212556</v>
      </c>
      <c r="BZ118" s="177">
        <f t="shared" si="57"/>
        <v>0</v>
      </c>
      <c r="CA118" s="177">
        <f t="shared" si="57"/>
        <v>0</v>
      </c>
      <c r="CB118" s="177">
        <f t="shared" si="57"/>
        <v>0</v>
      </c>
      <c r="CC118" s="177">
        <f t="shared" si="57"/>
        <v>0</v>
      </c>
      <c r="CD118" s="190">
        <f t="shared" si="57"/>
        <v>3371.8679503736294</v>
      </c>
      <c r="CF118" s="136"/>
    </row>
    <row r="119" spans="2:84" s="28" customFormat="1" ht="12" hidden="1" customHeight="1" x14ac:dyDescent="0.15"/>
    <row r="120" spans="2:84" s="28" customFormat="1" ht="12" hidden="1" customHeight="1" x14ac:dyDescent="0.15">
      <c r="BA120" s="28">
        <f>SUM(BA114:BA115)</f>
        <v>583.08542599999998</v>
      </c>
      <c r="BB120" s="28">
        <f t="shared" ref="BB120:CD120" si="59">SUM(BB114:BB115)</f>
        <v>717.08830399999999</v>
      </c>
      <c r="BC120" s="28">
        <f t="shared" si="59"/>
        <v>685.85119800000007</v>
      </c>
      <c r="BD120" s="28">
        <f t="shared" si="59"/>
        <v>703.99754805920008</v>
      </c>
      <c r="BE120" s="28">
        <f t="shared" si="59"/>
        <v>2690.0224760592</v>
      </c>
      <c r="BF120" s="28">
        <f t="shared" si="59"/>
        <v>0</v>
      </c>
      <c r="BG120" s="28">
        <f t="shared" si="59"/>
        <v>0</v>
      </c>
      <c r="BH120" s="28">
        <f t="shared" si="59"/>
        <v>0</v>
      </c>
      <c r="BI120" s="28">
        <f t="shared" si="59"/>
        <v>0</v>
      </c>
      <c r="BJ120" s="28">
        <f t="shared" si="59"/>
        <v>2776.0544519661798</v>
      </c>
      <c r="BK120" s="28">
        <f t="shared" si="59"/>
        <v>0</v>
      </c>
      <c r="BL120" s="28">
        <f t="shared" si="59"/>
        <v>0</v>
      </c>
      <c r="BM120" s="28">
        <f t="shared" si="59"/>
        <v>0</v>
      </c>
      <c r="BN120" s="28">
        <f t="shared" si="59"/>
        <v>0</v>
      </c>
      <c r="BO120" s="28">
        <f t="shared" si="59"/>
        <v>2907.7645221666326</v>
      </c>
      <c r="BP120" s="28">
        <f t="shared" si="59"/>
        <v>0</v>
      </c>
      <c r="BQ120" s="28">
        <f t="shared" si="59"/>
        <v>0</v>
      </c>
      <c r="BR120" s="28">
        <f t="shared" si="59"/>
        <v>0</v>
      </c>
      <c r="BS120" s="28">
        <f t="shared" si="59"/>
        <v>0</v>
      </c>
      <c r="BT120" s="28">
        <f t="shared" si="59"/>
        <v>3065.8051042055836</v>
      </c>
      <c r="BU120" s="28">
        <f t="shared" si="59"/>
        <v>0</v>
      </c>
      <c r="BV120" s="28">
        <f t="shared" si="59"/>
        <v>0</v>
      </c>
      <c r="BW120" s="28">
        <f t="shared" si="59"/>
        <v>0</v>
      </c>
      <c r="BX120" s="28">
        <f t="shared" si="59"/>
        <v>0</v>
      </c>
      <c r="BY120" s="28">
        <f t="shared" si="59"/>
        <v>3053.3312421666328</v>
      </c>
      <c r="BZ120" s="28">
        <f t="shared" si="59"/>
        <v>0</v>
      </c>
      <c r="CA120" s="28">
        <f t="shared" si="59"/>
        <v>0</v>
      </c>
      <c r="CB120" s="28">
        <f t="shared" si="59"/>
        <v>0</v>
      </c>
      <c r="CC120" s="28">
        <f t="shared" si="59"/>
        <v>0</v>
      </c>
      <c r="CD120" s="28">
        <f t="shared" si="59"/>
        <v>3223.0171618055838</v>
      </c>
    </row>
    <row r="121" spans="2:84" s="28" customFormat="1" ht="12" hidden="1" customHeight="1" x14ac:dyDescent="0.15">
      <c r="BA121" s="28">
        <f>SUM(BA117:BA118)</f>
        <v>620.29999999999995</v>
      </c>
      <c r="BB121" s="28">
        <f t="shared" ref="BB121:CD121" si="60">SUM(BB117:BB118)</f>
        <v>770.59999999999991</v>
      </c>
      <c r="BC121" s="28">
        <f t="shared" si="60"/>
        <v>775</v>
      </c>
      <c r="BD121" s="28">
        <f t="shared" si="60"/>
        <v>773.4</v>
      </c>
      <c r="BE121" s="28">
        <f t="shared" si="60"/>
        <v>2939.2999999999997</v>
      </c>
      <c r="BF121" s="28">
        <f t="shared" si="60"/>
        <v>820.85712000000001</v>
      </c>
      <c r="BG121" s="28">
        <f t="shared" si="60"/>
        <v>790.01596800000004</v>
      </c>
      <c r="BH121" s="28">
        <f t="shared" si="60"/>
        <v>780.60169199999984</v>
      </c>
      <c r="BI121" s="28">
        <f t="shared" si="60"/>
        <v>778.14786600000002</v>
      </c>
      <c r="BJ121" s="28">
        <f t="shared" si="60"/>
        <v>3169.6226460000003</v>
      </c>
      <c r="BK121" s="28">
        <f t="shared" si="60"/>
        <v>0</v>
      </c>
      <c r="BL121" s="28">
        <f t="shared" si="60"/>
        <v>0</v>
      </c>
      <c r="BM121" s="28">
        <f t="shared" si="60"/>
        <v>0</v>
      </c>
      <c r="BN121" s="28">
        <f t="shared" si="60"/>
        <v>0</v>
      </c>
      <c r="BO121" s="28">
        <f t="shared" si="60"/>
        <v>3346.1060607000004</v>
      </c>
      <c r="BP121" s="28">
        <f t="shared" si="60"/>
        <v>0</v>
      </c>
      <c r="BQ121" s="28">
        <f t="shared" si="60"/>
        <v>0</v>
      </c>
      <c r="BR121" s="28">
        <f t="shared" si="60"/>
        <v>0</v>
      </c>
      <c r="BS121" s="28">
        <f t="shared" si="60"/>
        <v>0</v>
      </c>
      <c r="BT121" s="28">
        <f t="shared" si="60"/>
        <v>3497.7788491186998</v>
      </c>
      <c r="BU121" s="28">
        <f t="shared" si="60"/>
        <v>0</v>
      </c>
      <c r="BV121" s="28">
        <f t="shared" si="60"/>
        <v>0</v>
      </c>
      <c r="BW121" s="28">
        <f t="shared" si="60"/>
        <v>0</v>
      </c>
      <c r="BX121" s="28">
        <f t="shared" si="60"/>
        <v>0</v>
      </c>
      <c r="BY121" s="28">
        <f t="shared" si="60"/>
        <v>3639.1592691129249</v>
      </c>
      <c r="BZ121" s="28">
        <f t="shared" si="60"/>
        <v>0</v>
      </c>
      <c r="CA121" s="28">
        <f t="shared" si="60"/>
        <v>0</v>
      </c>
      <c r="CB121" s="28">
        <f t="shared" si="60"/>
        <v>0</v>
      </c>
      <c r="CC121" s="28">
        <f t="shared" si="60"/>
        <v>0</v>
      </c>
      <c r="CD121" s="28">
        <f t="shared" si="60"/>
        <v>3784.7497402152985</v>
      </c>
    </row>
    <row r="122" spans="2:84" s="28" customFormat="1" ht="12" customHeight="1" x14ac:dyDescent="0.15"/>
    <row r="123" spans="2:84" s="28" customFormat="1" ht="12" customHeight="1" x14ac:dyDescent="0.15">
      <c r="BJ123" s="191"/>
    </row>
    <row r="124" spans="2:84" s="28" customFormat="1" ht="12" customHeight="1" x14ac:dyDescent="0.15"/>
  </sheetData>
  <conditionalFormatting sqref="A51:BJ51 V32 AA32 G21:AD31 Q32 L32 G32 M16:P19 R16:U19 W16:Z19 AB16:AD19 AG16:AI30 AJ43:AK50 AL43:AL47 A39:BJ40 AO43:AO47 AA16:AA20 L16:L20 Q16:Q20 V16:V20 A20:G20 AR48:AT50 AZ16 BO53:CD55 CF6:CF10 CF38 CF14 CF23 A52:AP95 AQ70:BJ95 BF60:BJ69 BK60:CD95 A49:AI49 AL49 A1:CD5 BP31:BS31 AV31:BN31 BU6:CD6 A6:BS6 BU31:CD31 AQ52:AU69 AV53:BB69 AV52:BE52 BJ52:CD52 BJ56:CD59 AV21:CD30 AJ20:CD20 AV17:CD19 BJ53:BJ55 A7:CD15 A97:F1048576 G97:AD65558 AG97:AI65558 AE97:AF1048576 AH42:AH47 AI42:BJ42 AG32:AI38 AI43:AI48 AI50 AE16:AF38 A16:K19 A21:F38 G33:AD38 A42:AG48 A50:AG50 AQ17:AT19 AQ43:AT47 AU16:AU19 AJ21:AU38 CE1:CE40 CF40 AJ16:AP19 AP43:AP50 AV32:BJ38 BK32:CD40 AU43:BJ50 BK42:CD51 BD53:BE69 CF1:CF4 AO49 AQ49 AJ97:GT1048576 CG1:GT40 CE83:XFD92 CE42:GT82 CE93:GT95 A96:GT96">
    <cfRule type="expression" dxfId="632" priority="4" stopIfTrue="1">
      <formula>ISERROR(A1)</formula>
    </cfRule>
  </conditionalFormatting>
  <conditionalFormatting sqref="BT6">
    <cfRule type="expression" dxfId="631" priority="3" stopIfTrue="1">
      <formula>ISERROR(BT6)</formula>
    </cfRule>
  </conditionalFormatting>
  <conditionalFormatting sqref="BC53:BC69">
    <cfRule type="expression" dxfId="630" priority="2" stopIfTrue="1">
      <formula>ISERROR(BC53)</formula>
    </cfRule>
  </conditionalFormatting>
  <conditionalFormatting sqref="BF52:BI59">
    <cfRule type="expression" dxfId="629" priority="1" stopIfTrue="1">
      <formula>ISERROR(BF52)</formula>
    </cfRule>
  </conditionalFormatting>
  <dataValidations disablePrompts="1" count="1">
    <dataValidation type="custom" allowBlank="1" showInputMessage="1" showErrorMessage="1" sqref="AV7:AY8 BU7:BX8 BZ7:CC8 BA7:BD8 AQ7:AT8 AL7:AO8 AB7:AE8 AG7:AJ8 BF7:BI8 BK7:BN8 BP7:BS8">
      <formula1>-1</formula1>
    </dataValidation>
  </dataValidations>
  <pageMargins left="0.75" right="0.75" top="1" bottom="1" header="0.5" footer="0.5"/>
  <pageSetup scale="6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/>
    <pageSetUpPr fitToPage="1"/>
  </sheetPr>
  <dimension ref="A2:CH131"/>
  <sheetViews>
    <sheetView showGridLines="0" workbookViewId="0">
      <pane xSplit="2" ySplit="8" topLeftCell="AZ106" activePane="bottomRight" state="frozen"/>
      <selection activeCell="L4" sqref="L4"/>
      <selection pane="topRight" activeCell="L4" sqref="L4"/>
      <selection pane="bottomLeft" activeCell="L4" sqref="L4"/>
      <selection pane="bottomRight" activeCell="BJ129" sqref="BJ129"/>
    </sheetView>
  </sheetViews>
  <sheetFormatPr baseColWidth="10" defaultColWidth="9.1640625" defaultRowHeight="12" outlineLevelRow="1" outlineLevelCol="1" x14ac:dyDescent="0.15"/>
  <cols>
    <col min="1" max="1" width="2" style="208" customWidth="1"/>
    <col min="2" max="2" width="35.5" style="217" customWidth="1"/>
    <col min="3" max="3" width="9.5" style="218" hidden="1" customWidth="1" outlineLevel="1"/>
    <col min="4" max="6" width="9.1640625" style="218" hidden="1" customWidth="1" outlineLevel="1"/>
    <col min="7" max="7" width="0" style="218" hidden="1" customWidth="1" collapsed="1"/>
    <col min="8" max="11" width="9.1640625" style="218" hidden="1" customWidth="1" outlineLevel="1"/>
    <col min="12" max="12" width="0" style="218" hidden="1" customWidth="1" collapsed="1"/>
    <col min="13" max="16" width="9.1640625" style="218" hidden="1" customWidth="1" outlineLevel="1"/>
    <col min="17" max="17" width="0" style="218" hidden="1" customWidth="1" collapsed="1"/>
    <col min="18" max="21" width="9.1640625" style="218" hidden="1" customWidth="1" outlineLevel="1"/>
    <col min="22" max="22" width="10.83203125" style="218" hidden="1" customWidth="1" collapsed="1"/>
    <col min="23" max="26" width="9.1640625" style="218" hidden="1" customWidth="1" outlineLevel="1"/>
    <col min="27" max="27" width="11.1640625" style="218" hidden="1" customWidth="1" collapsed="1"/>
    <col min="28" max="31" width="9.1640625" style="218" hidden="1" customWidth="1" outlineLevel="1"/>
    <col min="32" max="32" width="11.1640625" style="218" hidden="1" customWidth="1" collapsed="1"/>
    <col min="33" max="36" width="9.1640625" style="218" hidden="1" customWidth="1" outlineLevel="1"/>
    <col min="37" max="37" width="11.1640625" style="218" hidden="1" customWidth="1" collapsed="1"/>
    <col min="38" max="41" width="9.1640625" style="218" hidden="1" customWidth="1" outlineLevel="1"/>
    <col min="42" max="42" width="11.33203125" style="218" hidden="1" customWidth="1" collapsed="1"/>
    <col min="43" max="46" width="9.1640625" style="218" hidden="1" customWidth="1" outlineLevel="1"/>
    <col min="47" max="47" width="11.1640625" style="218" hidden="1" customWidth="1" collapsed="1"/>
    <col min="48" max="51" width="9.1640625" style="218" hidden="1" customWidth="1" outlineLevel="1"/>
    <col min="52" max="52" width="10.83203125" style="218" bestFit="1" customWidth="1" collapsed="1"/>
    <col min="53" max="56" width="9.1640625" style="218" hidden="1" customWidth="1" outlineLevel="1"/>
    <col min="57" max="57" width="9.1640625" style="218" collapsed="1"/>
    <col min="58" max="61" width="9.1640625" style="218" hidden="1" customWidth="1" outlineLevel="1"/>
    <col min="62" max="62" width="9.1640625" style="218" collapsed="1"/>
    <col min="63" max="66" width="9.1640625" style="218" hidden="1" customWidth="1" outlineLevel="1"/>
    <col min="67" max="67" width="9.1640625" style="218" collapsed="1"/>
    <col min="68" max="71" width="9.1640625" style="218" hidden="1" customWidth="1" outlineLevel="1"/>
    <col min="72" max="72" width="9.1640625" style="218" collapsed="1"/>
    <col min="73" max="76" width="9.1640625" style="218" hidden="1" customWidth="1" outlineLevel="1"/>
    <col min="77" max="77" width="9.1640625" style="218" collapsed="1"/>
    <col min="78" max="81" width="9.1640625" style="218" hidden="1" customWidth="1" outlineLevel="1"/>
    <col min="82" max="82" width="9.1640625" style="218" collapsed="1"/>
    <col min="83" max="83" width="1" style="208" customWidth="1"/>
    <col min="84" max="84" width="9.1640625" style="218"/>
    <col min="85" max="85" width="18" style="218" customWidth="1"/>
    <col min="86" max="16384" width="9.1640625" style="218"/>
  </cols>
  <sheetData>
    <row r="2" spans="1:83" s="197" customFormat="1" x14ac:dyDescent="0.15">
      <c r="A2" s="2"/>
      <c r="B2" s="192" t="s">
        <v>1</v>
      </c>
      <c r="C2" s="193"/>
      <c r="D2" s="193"/>
      <c r="E2" s="193"/>
      <c r="F2" s="194"/>
      <c r="G2" s="195"/>
      <c r="H2" s="194"/>
      <c r="I2" s="193"/>
      <c r="J2" s="193"/>
      <c r="K2" s="194"/>
      <c r="L2" s="195"/>
      <c r="M2" s="194"/>
      <c r="N2" s="193"/>
      <c r="O2" s="193"/>
      <c r="P2" s="194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6"/>
      <c r="AS2" s="195"/>
      <c r="AT2" s="195"/>
      <c r="AU2" s="195"/>
      <c r="AV2" s="195"/>
      <c r="AW2" s="195"/>
      <c r="AX2" s="195"/>
      <c r="CE2" s="2"/>
    </row>
    <row r="3" spans="1:83" s="197" customFormat="1" x14ac:dyDescent="0.15">
      <c r="A3" s="2"/>
      <c r="B3" s="192" t="s">
        <v>227</v>
      </c>
      <c r="C3" s="193"/>
      <c r="D3" s="193"/>
      <c r="E3" s="193"/>
      <c r="F3" s="194"/>
      <c r="G3" s="195"/>
      <c r="H3" s="194"/>
      <c r="I3" s="193"/>
      <c r="J3" s="193"/>
      <c r="K3" s="194"/>
      <c r="L3" s="195"/>
      <c r="M3" s="194"/>
      <c r="N3" s="193"/>
      <c r="O3" s="193"/>
      <c r="P3" s="194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9"/>
      <c r="AJ3" s="195"/>
      <c r="AK3" s="195"/>
      <c r="AL3" s="195"/>
      <c r="AM3" s="195"/>
      <c r="AN3" s="195"/>
      <c r="AO3" s="195"/>
      <c r="AP3" s="195"/>
      <c r="AQ3" s="195"/>
      <c r="AR3" s="196"/>
      <c r="AS3" s="195"/>
      <c r="AT3" s="195"/>
      <c r="AU3" s="195"/>
      <c r="AV3" s="195"/>
      <c r="AW3" s="195"/>
      <c r="AX3" s="195"/>
      <c r="BO3" s="201"/>
      <c r="BY3" s="201"/>
      <c r="CE3" s="2"/>
    </row>
    <row r="4" spans="1:83" s="197" customFormat="1" x14ac:dyDescent="0.15">
      <c r="A4" s="2"/>
      <c r="B4" s="198"/>
      <c r="C4" s="193"/>
      <c r="D4" s="193"/>
      <c r="E4" s="193"/>
      <c r="F4" s="194"/>
      <c r="G4" s="202"/>
      <c r="H4" s="194"/>
      <c r="I4" s="193"/>
      <c r="J4" s="193"/>
      <c r="K4" s="194"/>
      <c r="L4" s="203"/>
      <c r="M4" s="194"/>
      <c r="N4" s="193"/>
      <c r="O4" s="193"/>
      <c r="P4" s="194"/>
      <c r="Q4" s="203"/>
      <c r="R4" s="203"/>
      <c r="S4" s="203"/>
      <c r="T4" s="203"/>
      <c r="U4" s="203"/>
      <c r="V4" s="203"/>
      <c r="W4" s="203"/>
      <c r="Y4" s="203"/>
      <c r="Z4" s="203"/>
      <c r="AA4" s="203"/>
      <c r="AB4" s="203"/>
      <c r="AC4" s="203"/>
      <c r="AD4" s="203"/>
      <c r="AE4" s="203"/>
      <c r="AF4" s="203"/>
      <c r="AG4" s="204"/>
      <c r="AH4" s="204"/>
      <c r="AI4" s="204"/>
      <c r="AJ4" s="204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5"/>
      <c r="AY4" s="203"/>
      <c r="AZ4" s="203"/>
      <c r="BA4" s="203"/>
      <c r="BB4" s="203"/>
      <c r="BC4" s="203"/>
      <c r="BD4" s="203"/>
      <c r="BE4" s="204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"/>
    </row>
    <row r="5" spans="1:83" s="197" customFormat="1" x14ac:dyDescent="0.15">
      <c r="A5" s="2"/>
      <c r="B5" s="198"/>
      <c r="C5" s="193"/>
      <c r="D5" s="193"/>
      <c r="E5" s="193"/>
      <c r="F5" s="193"/>
      <c r="G5" s="203"/>
      <c r="H5" s="193"/>
      <c r="I5" s="193"/>
      <c r="J5" s="193"/>
      <c r="K5" s="193"/>
      <c r="L5" s="203"/>
      <c r="M5" s="193"/>
      <c r="N5" s="193"/>
      <c r="O5" s="193"/>
      <c r="P5" s="193"/>
      <c r="Q5" s="203" t="s">
        <v>39</v>
      </c>
      <c r="R5" s="203"/>
      <c r="S5" s="203"/>
      <c r="T5" s="203"/>
      <c r="U5" s="203"/>
      <c r="V5" s="203" t="s">
        <v>39</v>
      </c>
      <c r="W5" s="203"/>
      <c r="X5" s="203"/>
      <c r="Y5" s="203"/>
      <c r="Z5" s="203"/>
      <c r="AA5" s="203" t="s">
        <v>39</v>
      </c>
      <c r="AB5" s="203"/>
      <c r="AC5" s="203"/>
      <c r="AD5" s="203"/>
      <c r="AE5" s="203"/>
      <c r="AF5" s="203" t="s">
        <v>39</v>
      </c>
      <c r="AG5" s="203" t="s">
        <v>39</v>
      </c>
      <c r="AH5" s="203" t="s">
        <v>39</v>
      </c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5"/>
      <c r="AT5" s="203"/>
      <c r="AU5" s="206"/>
      <c r="AV5" s="203"/>
      <c r="AW5" s="203"/>
      <c r="AX5" s="203"/>
      <c r="AY5" s="203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"/>
    </row>
    <row r="6" spans="1:83" x14ac:dyDescent="0.15">
      <c r="B6" s="209"/>
      <c r="C6" s="210"/>
      <c r="D6" s="210"/>
      <c r="E6" s="210"/>
      <c r="F6" s="211"/>
      <c r="G6" s="212"/>
      <c r="H6" s="210"/>
      <c r="I6" s="210"/>
      <c r="J6" s="210"/>
      <c r="K6" s="211"/>
      <c r="L6" s="212"/>
      <c r="M6" s="210"/>
      <c r="N6" s="210"/>
      <c r="O6" s="210"/>
      <c r="P6" s="211"/>
      <c r="Q6" s="212"/>
      <c r="R6" s="213"/>
      <c r="S6" s="210"/>
      <c r="T6" s="210"/>
      <c r="U6" s="211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5"/>
      <c r="BA6" s="215"/>
      <c r="BB6" s="216"/>
      <c r="BC6" s="215"/>
      <c r="BD6" s="215"/>
      <c r="BE6" s="215"/>
      <c r="BF6" s="215"/>
      <c r="BG6" s="215"/>
      <c r="BH6" s="215"/>
      <c r="BI6" s="215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</row>
    <row r="7" spans="1:83" x14ac:dyDescent="0.15">
      <c r="B7" s="22" t="s">
        <v>5</v>
      </c>
      <c r="C7" s="23">
        <v>38412</v>
      </c>
      <c r="D7" s="23">
        <v>38504</v>
      </c>
      <c r="E7" s="23">
        <v>38596</v>
      </c>
      <c r="F7" s="23">
        <v>38687</v>
      </c>
      <c r="G7" s="24"/>
      <c r="H7" s="23">
        <v>38777</v>
      </c>
      <c r="I7" s="23">
        <v>38869</v>
      </c>
      <c r="J7" s="23">
        <v>38961</v>
      </c>
      <c r="K7" s="23">
        <v>39052</v>
      </c>
      <c r="L7" s="24"/>
      <c r="M7" s="23">
        <v>39142</v>
      </c>
      <c r="N7" s="23">
        <v>39234</v>
      </c>
      <c r="O7" s="23">
        <v>39326</v>
      </c>
      <c r="P7" s="23">
        <v>39417</v>
      </c>
      <c r="Q7" s="24"/>
      <c r="R7" s="23">
        <v>39508</v>
      </c>
      <c r="S7" s="23">
        <v>39600</v>
      </c>
      <c r="T7" s="23">
        <v>39692</v>
      </c>
      <c r="U7" s="23">
        <v>39783</v>
      </c>
      <c r="V7" s="24"/>
      <c r="W7" s="23">
        <v>39873</v>
      </c>
      <c r="X7" s="23">
        <v>39965</v>
      </c>
      <c r="Y7" s="23">
        <v>40057</v>
      </c>
      <c r="Z7" s="23">
        <v>40148</v>
      </c>
      <c r="AA7" s="24"/>
      <c r="AB7" s="23">
        <v>40238</v>
      </c>
      <c r="AC7" s="23">
        <v>40330</v>
      </c>
      <c r="AD7" s="23">
        <v>40422</v>
      </c>
      <c r="AE7" s="23">
        <v>40513</v>
      </c>
      <c r="AF7" s="24"/>
      <c r="AG7" s="23">
        <v>40603</v>
      </c>
      <c r="AH7" s="23">
        <v>40695</v>
      </c>
      <c r="AI7" s="23">
        <v>40787</v>
      </c>
      <c r="AJ7" s="23">
        <v>40878</v>
      </c>
      <c r="AK7" s="24"/>
      <c r="AL7" s="23">
        <v>40969</v>
      </c>
      <c r="AM7" s="23">
        <v>41061</v>
      </c>
      <c r="AN7" s="23">
        <v>41153</v>
      </c>
      <c r="AO7" s="23">
        <v>41244</v>
      </c>
      <c r="AP7" s="24"/>
      <c r="AQ7" s="23">
        <v>41334</v>
      </c>
      <c r="AR7" s="23">
        <v>41426</v>
      </c>
      <c r="AS7" s="23">
        <v>41518</v>
      </c>
      <c r="AT7" s="23">
        <v>41609</v>
      </c>
      <c r="AU7" s="24"/>
      <c r="AV7" s="23">
        <v>41699</v>
      </c>
      <c r="AW7" s="23">
        <v>41791</v>
      </c>
      <c r="AX7" s="23">
        <v>41883</v>
      </c>
      <c r="AY7" s="23">
        <v>41974</v>
      </c>
      <c r="AZ7" s="219">
        <v>2014</v>
      </c>
      <c r="BA7" s="23">
        <v>42064</v>
      </c>
      <c r="BB7" s="23">
        <v>42156</v>
      </c>
      <c r="BC7" s="23">
        <v>42248</v>
      </c>
      <c r="BD7" s="23">
        <v>42339</v>
      </c>
      <c r="BE7" s="219">
        <v>2015</v>
      </c>
      <c r="BF7" s="219">
        <v>42065</v>
      </c>
      <c r="BG7" s="219">
        <v>42157</v>
      </c>
      <c r="BH7" s="219">
        <v>42249</v>
      </c>
      <c r="BI7" s="219">
        <v>42340</v>
      </c>
      <c r="BJ7" s="219">
        <v>2016</v>
      </c>
      <c r="BK7" s="219">
        <v>42066</v>
      </c>
      <c r="BL7" s="219">
        <v>42158</v>
      </c>
      <c r="BM7" s="219">
        <v>42250</v>
      </c>
      <c r="BN7" s="219">
        <v>42341</v>
      </c>
      <c r="BO7" s="219">
        <v>2017</v>
      </c>
      <c r="BP7" s="219">
        <v>42067</v>
      </c>
      <c r="BQ7" s="219">
        <v>42159</v>
      </c>
      <c r="BR7" s="219">
        <v>42251</v>
      </c>
      <c r="BS7" s="219">
        <v>42342</v>
      </c>
      <c r="BT7" s="219">
        <v>2018</v>
      </c>
      <c r="BU7" s="219">
        <v>42068</v>
      </c>
      <c r="BV7" s="219">
        <v>42160</v>
      </c>
      <c r="BW7" s="219">
        <v>42252</v>
      </c>
      <c r="BX7" s="219">
        <v>42343</v>
      </c>
      <c r="BY7" s="219">
        <v>2019</v>
      </c>
      <c r="BZ7" s="219">
        <v>42069</v>
      </c>
      <c r="CA7" s="219">
        <v>42161</v>
      </c>
      <c r="CB7" s="219">
        <v>42253</v>
      </c>
      <c r="CC7" s="219">
        <v>42344</v>
      </c>
      <c r="CD7" s="219">
        <v>2020</v>
      </c>
    </row>
    <row r="8" spans="1:83" x14ac:dyDescent="0.15">
      <c r="B8" s="220" t="s">
        <v>6</v>
      </c>
      <c r="C8" s="221" t="s">
        <v>7</v>
      </c>
      <c r="D8" s="221" t="s">
        <v>8</v>
      </c>
      <c r="E8" s="221" t="s">
        <v>9</v>
      </c>
      <c r="F8" s="221" t="s">
        <v>10</v>
      </c>
      <c r="G8" s="222" t="s">
        <v>11</v>
      </c>
      <c r="H8" s="221" t="s">
        <v>7</v>
      </c>
      <c r="I8" s="221" t="s">
        <v>8</v>
      </c>
      <c r="J8" s="221" t="s">
        <v>9</v>
      </c>
      <c r="K8" s="221" t="s">
        <v>10</v>
      </c>
      <c r="L8" s="222" t="s">
        <v>12</v>
      </c>
      <c r="M8" s="221" t="s">
        <v>7</v>
      </c>
      <c r="N8" s="221" t="s">
        <v>8</v>
      </c>
      <c r="O8" s="221" t="s">
        <v>9</v>
      </c>
      <c r="P8" s="221" t="s">
        <v>10</v>
      </c>
      <c r="Q8" s="222" t="s">
        <v>13</v>
      </c>
      <c r="R8" s="221" t="s">
        <v>7</v>
      </c>
      <c r="S8" s="221" t="s">
        <v>8</v>
      </c>
      <c r="T8" s="221" t="s">
        <v>9</v>
      </c>
      <c r="U8" s="221" t="s">
        <v>10</v>
      </c>
      <c r="V8" s="222" t="s">
        <v>14</v>
      </c>
      <c r="W8" s="221" t="s">
        <v>7</v>
      </c>
      <c r="X8" s="221" t="s">
        <v>8</v>
      </c>
      <c r="Y8" s="221" t="s">
        <v>9</v>
      </c>
      <c r="Z8" s="221" t="s">
        <v>10</v>
      </c>
      <c r="AA8" s="222" t="s">
        <v>122</v>
      </c>
      <c r="AB8" s="221" t="s">
        <v>7</v>
      </c>
      <c r="AC8" s="221" t="s">
        <v>8</v>
      </c>
      <c r="AD8" s="221" t="s">
        <v>9</v>
      </c>
      <c r="AE8" s="221" t="s">
        <v>10</v>
      </c>
      <c r="AF8" s="222" t="s">
        <v>16</v>
      </c>
      <c r="AG8" s="221" t="s">
        <v>7</v>
      </c>
      <c r="AH8" s="221" t="s">
        <v>8</v>
      </c>
      <c r="AI8" s="221" t="s">
        <v>9</v>
      </c>
      <c r="AJ8" s="221" t="s">
        <v>10</v>
      </c>
      <c r="AK8" s="222" t="s">
        <v>17</v>
      </c>
      <c r="AL8" s="221" t="s">
        <v>7</v>
      </c>
      <c r="AM8" s="221" t="s">
        <v>8</v>
      </c>
      <c r="AN8" s="221" t="s">
        <v>9</v>
      </c>
      <c r="AO8" s="221" t="s">
        <v>10</v>
      </c>
      <c r="AP8" s="222" t="s">
        <v>18</v>
      </c>
      <c r="AQ8" s="221" t="s">
        <v>7</v>
      </c>
      <c r="AR8" s="221" t="s">
        <v>8</v>
      </c>
      <c r="AS8" s="221" t="s">
        <v>9</v>
      </c>
      <c r="AT8" s="221" t="s">
        <v>10</v>
      </c>
      <c r="AU8" s="222" t="s">
        <v>19</v>
      </c>
      <c r="AV8" s="221" t="s">
        <v>7</v>
      </c>
      <c r="AW8" s="221" t="s">
        <v>8</v>
      </c>
      <c r="AX8" s="221" t="s">
        <v>9</v>
      </c>
      <c r="AY8" s="221" t="s">
        <v>10</v>
      </c>
      <c r="AZ8" s="223" t="s">
        <v>20</v>
      </c>
      <c r="BA8" s="221" t="s">
        <v>7</v>
      </c>
      <c r="BB8" s="221" t="s">
        <v>8</v>
      </c>
      <c r="BC8" s="224" t="s">
        <v>24</v>
      </c>
      <c r="BD8" s="221" t="s">
        <v>25</v>
      </c>
      <c r="BE8" s="223" t="s">
        <v>32</v>
      </c>
      <c r="BF8" s="221" t="s">
        <v>22</v>
      </c>
      <c r="BG8" s="221" t="s">
        <v>23</v>
      </c>
      <c r="BH8" s="221" t="s">
        <v>24</v>
      </c>
      <c r="BI8" s="221" t="s">
        <v>25</v>
      </c>
      <c r="BJ8" s="223" t="s">
        <v>26</v>
      </c>
      <c r="BK8" s="221" t="s">
        <v>22</v>
      </c>
      <c r="BL8" s="221" t="s">
        <v>23</v>
      </c>
      <c r="BM8" s="221" t="s">
        <v>24</v>
      </c>
      <c r="BN8" s="221" t="s">
        <v>25</v>
      </c>
      <c r="BO8" s="223" t="s">
        <v>27</v>
      </c>
      <c r="BP8" s="221" t="s">
        <v>22</v>
      </c>
      <c r="BQ8" s="221" t="s">
        <v>23</v>
      </c>
      <c r="BR8" s="221" t="s">
        <v>24</v>
      </c>
      <c r="BS8" s="221" t="s">
        <v>25</v>
      </c>
      <c r="BT8" s="223" t="s">
        <v>28</v>
      </c>
      <c r="BU8" s="221" t="s">
        <v>22</v>
      </c>
      <c r="BV8" s="221" t="s">
        <v>23</v>
      </c>
      <c r="BW8" s="221" t="s">
        <v>24</v>
      </c>
      <c r="BX8" s="221" t="s">
        <v>25</v>
      </c>
      <c r="BY8" s="223" t="s">
        <v>29</v>
      </c>
      <c r="BZ8" s="221" t="s">
        <v>22</v>
      </c>
      <c r="CA8" s="221" t="s">
        <v>23</v>
      </c>
      <c r="CB8" s="221" t="s">
        <v>24</v>
      </c>
      <c r="CC8" s="221" t="s">
        <v>25</v>
      </c>
      <c r="CD8" s="223" t="s">
        <v>30</v>
      </c>
    </row>
    <row r="9" spans="1:83" s="198" customFormat="1" collapsed="1" x14ac:dyDescent="0.15">
      <c r="A9" s="12"/>
      <c r="B9" s="664" t="s">
        <v>228</v>
      </c>
      <c r="C9" s="665">
        <f>Sales!C21</f>
        <v>0</v>
      </c>
      <c r="D9" s="665">
        <f>Sales!D21</f>
        <v>0</v>
      </c>
      <c r="E9" s="665">
        <f>Sales!E21</f>
        <v>0</v>
      </c>
      <c r="F9" s="665">
        <f>Sales!F21</f>
        <v>0</v>
      </c>
      <c r="G9" s="666">
        <f>Sales!G21</f>
        <v>0</v>
      </c>
      <c r="H9" s="665">
        <f>Sales!H21</f>
        <v>0</v>
      </c>
      <c r="I9" s="665">
        <f>Sales!I21</f>
        <v>0</v>
      </c>
      <c r="J9" s="665">
        <f>Sales!J21</f>
        <v>0</v>
      </c>
      <c r="K9" s="665">
        <f>Sales!K21</f>
        <v>0</v>
      </c>
      <c r="L9" s="666">
        <f>Sales!L21</f>
        <v>0</v>
      </c>
      <c r="M9" s="665">
        <f>Sales!M21</f>
        <v>0</v>
      </c>
      <c r="N9" s="665">
        <f>Sales!N21</f>
        <v>0</v>
      </c>
      <c r="O9" s="665">
        <f>Sales!O21</f>
        <v>0</v>
      </c>
      <c r="P9" s="665">
        <f>Sales!P21</f>
        <v>0</v>
      </c>
      <c r="Q9" s="666">
        <f>Sales!Q21</f>
        <v>0</v>
      </c>
      <c r="R9" s="665">
        <f>Sales!R21</f>
        <v>0</v>
      </c>
      <c r="S9" s="665">
        <f>Sales!S21</f>
        <v>0</v>
      </c>
      <c r="T9" s="665">
        <f>Sales!T21</f>
        <v>0</v>
      </c>
      <c r="U9" s="665">
        <f>Sales!U21</f>
        <v>0</v>
      </c>
      <c r="V9" s="667">
        <f>Sales!V21</f>
        <v>0</v>
      </c>
      <c r="W9" s="668">
        <f>Sales!W21</f>
        <v>0</v>
      </c>
      <c r="X9" s="668">
        <f>Sales!X21</f>
        <v>0</v>
      </c>
      <c r="Y9" s="668">
        <f>Sales!Y21</f>
        <v>0</v>
      </c>
      <c r="Z9" s="668">
        <f>Sales!Z21</f>
        <v>0</v>
      </c>
      <c r="AA9" s="667">
        <f>Sales!AA21</f>
        <v>0</v>
      </c>
      <c r="AB9" s="668">
        <f>Sales!AB21</f>
        <v>0</v>
      </c>
      <c r="AC9" s="668">
        <f>Sales!AC21</f>
        <v>0</v>
      </c>
      <c r="AD9" s="668">
        <f>Sales!AD21</f>
        <v>0</v>
      </c>
      <c r="AE9" s="668">
        <f>Sales!AE21</f>
        <v>0</v>
      </c>
      <c r="AF9" s="667">
        <f>Sales!AF21</f>
        <v>0</v>
      </c>
      <c r="AG9" s="668">
        <f>Sales!AG21</f>
        <v>0</v>
      </c>
      <c r="AH9" s="668">
        <f>Sales!AH21</f>
        <v>0</v>
      </c>
      <c r="AI9" s="668">
        <f>Sales!AI21</f>
        <v>0</v>
      </c>
      <c r="AJ9" s="668">
        <f>Sales!AJ21</f>
        <v>0</v>
      </c>
      <c r="AK9" s="667">
        <f>Sales!AK21</f>
        <v>0</v>
      </c>
      <c r="AL9" s="668">
        <f>Sales!AL21</f>
        <v>0</v>
      </c>
      <c r="AM9" s="668">
        <f>Sales!AM21</f>
        <v>0</v>
      </c>
      <c r="AN9" s="668">
        <f>Sales!AN21</f>
        <v>0</v>
      </c>
      <c r="AO9" s="668">
        <f>Sales!AO21</f>
        <v>0</v>
      </c>
      <c r="AP9" s="667">
        <f>Sales!AP21</f>
        <v>0</v>
      </c>
      <c r="AQ9" s="669">
        <f>Sales!AQ21</f>
        <v>0</v>
      </c>
      <c r="AR9" s="665">
        <f>Sales!AR21</f>
        <v>0</v>
      </c>
      <c r="AS9" s="670">
        <f>Sales!AS21</f>
        <v>0</v>
      </c>
      <c r="AT9" s="670">
        <f>Sales!AT21</f>
        <v>0</v>
      </c>
      <c r="AU9" s="671">
        <f>Sales!AU21</f>
        <v>0</v>
      </c>
      <c r="AV9" s="670">
        <f>Sales!AV21</f>
        <v>0</v>
      </c>
      <c r="AW9" s="670">
        <f>Sales!AW21</f>
        <v>0</v>
      </c>
      <c r="AX9" s="670">
        <f>Sales!AX21</f>
        <v>0</v>
      </c>
      <c r="AY9" s="670">
        <f>Sales!AY21</f>
        <v>0</v>
      </c>
      <c r="AZ9" s="672">
        <f>SUM(AZ10:AZ16)</f>
        <v>1561.7</v>
      </c>
      <c r="BA9" s="670">
        <f t="shared" ref="BA9:CD9" si="0">SUM(BA10:BA16)</f>
        <v>445.30000000000007</v>
      </c>
      <c r="BB9" s="670">
        <f t="shared" si="0"/>
        <v>539</v>
      </c>
      <c r="BC9" s="670">
        <f t="shared" si="0"/>
        <v>493.40000000000003</v>
      </c>
      <c r="BD9" s="670">
        <f t="shared" si="0"/>
        <v>508.49999999999994</v>
      </c>
      <c r="BE9" s="672">
        <f t="shared" si="0"/>
        <v>1986.1999999999998</v>
      </c>
      <c r="BF9" s="673">
        <f t="shared" si="0"/>
        <v>499</v>
      </c>
      <c r="BG9" s="673">
        <f t="shared" si="0"/>
        <v>530</v>
      </c>
      <c r="BH9" s="673">
        <f t="shared" si="0"/>
        <v>556</v>
      </c>
      <c r="BI9" s="673">
        <f t="shared" si="0"/>
        <v>585</v>
      </c>
      <c r="BJ9" s="672">
        <f t="shared" si="0"/>
        <v>2170</v>
      </c>
      <c r="BK9" s="673">
        <f t="shared" si="0"/>
        <v>0</v>
      </c>
      <c r="BL9" s="673">
        <f t="shared" si="0"/>
        <v>0</v>
      </c>
      <c r="BM9" s="673">
        <f t="shared" si="0"/>
        <v>0</v>
      </c>
      <c r="BN9" s="673">
        <f t="shared" si="0"/>
        <v>0</v>
      </c>
      <c r="BO9" s="672">
        <f t="shared" si="0"/>
        <v>2414.46</v>
      </c>
      <c r="BP9" s="673">
        <f t="shared" si="0"/>
        <v>0</v>
      </c>
      <c r="BQ9" s="673">
        <f t="shared" si="0"/>
        <v>0</v>
      </c>
      <c r="BR9" s="673">
        <f t="shared" si="0"/>
        <v>0</v>
      </c>
      <c r="BS9" s="673">
        <f t="shared" si="0"/>
        <v>0</v>
      </c>
      <c r="BT9" s="672">
        <f t="shared" si="0"/>
        <v>2614.2483999999999</v>
      </c>
      <c r="BU9" s="673">
        <f t="shared" si="0"/>
        <v>0</v>
      </c>
      <c r="BV9" s="673">
        <f t="shared" si="0"/>
        <v>0</v>
      </c>
      <c r="BW9" s="673">
        <f t="shared" si="0"/>
        <v>0</v>
      </c>
      <c r="BX9" s="673">
        <f t="shared" si="0"/>
        <v>0</v>
      </c>
      <c r="BY9" s="672">
        <f t="shared" si="0"/>
        <v>2832.9253880000001</v>
      </c>
      <c r="BZ9" s="673">
        <f t="shared" si="0"/>
        <v>0</v>
      </c>
      <c r="CA9" s="673">
        <f t="shared" si="0"/>
        <v>0</v>
      </c>
      <c r="CB9" s="673">
        <f t="shared" si="0"/>
        <v>0</v>
      </c>
      <c r="CC9" s="673">
        <f t="shared" si="0"/>
        <v>0</v>
      </c>
      <c r="CD9" s="672">
        <f t="shared" si="0"/>
        <v>3019.2201552800007</v>
      </c>
      <c r="CE9" s="12"/>
    </row>
    <row r="10" spans="1:83" s="291" customFormat="1" hidden="1" outlineLevel="1" x14ac:dyDescent="0.15">
      <c r="B10" s="674" t="str">
        <f>Sales!B43</f>
        <v>Total Consumer</v>
      </c>
      <c r="C10" s="675">
        <f>Sales!C43</f>
        <v>0</v>
      </c>
      <c r="D10" s="675">
        <f>Sales!D43</f>
        <v>0</v>
      </c>
      <c r="E10" s="675">
        <f>Sales!E43</f>
        <v>0</v>
      </c>
      <c r="F10" s="676">
        <f>Sales!F43</f>
        <v>0</v>
      </c>
      <c r="G10" s="677">
        <f>Sales!G43</f>
        <v>0</v>
      </c>
      <c r="H10" s="676">
        <f>Sales!H43</f>
        <v>0</v>
      </c>
      <c r="I10" s="676">
        <f>Sales!I43</f>
        <v>0</v>
      </c>
      <c r="J10" s="676">
        <f>Sales!J43</f>
        <v>0</v>
      </c>
      <c r="K10" s="676">
        <f>Sales!K43</f>
        <v>0</v>
      </c>
      <c r="L10" s="677">
        <f>Sales!L43</f>
        <v>0</v>
      </c>
      <c r="M10" s="676">
        <f>Sales!M43</f>
        <v>0</v>
      </c>
      <c r="N10" s="676">
        <f>Sales!N43</f>
        <v>0</v>
      </c>
      <c r="O10" s="676">
        <f>Sales!O43</f>
        <v>0</v>
      </c>
      <c r="P10" s="676">
        <f>Sales!P43</f>
        <v>0</v>
      </c>
      <c r="Q10" s="677">
        <f>Sales!Q43</f>
        <v>0</v>
      </c>
      <c r="R10" s="678">
        <f>Sales!R43</f>
        <v>0</v>
      </c>
      <c r="S10" s="678">
        <f>Sales!S43</f>
        <v>0</v>
      </c>
      <c r="T10" s="678">
        <f>Sales!T43</f>
        <v>0</v>
      </c>
      <c r="U10" s="678">
        <f>Sales!U43</f>
        <v>0</v>
      </c>
      <c r="V10" s="679">
        <f>Sales!V43</f>
        <v>0</v>
      </c>
      <c r="W10" s="678">
        <f>Sales!W43</f>
        <v>0</v>
      </c>
      <c r="X10" s="678">
        <f>Sales!X43</f>
        <v>0</v>
      </c>
      <c r="Y10" s="678">
        <f>Sales!Y43</f>
        <v>0</v>
      </c>
      <c r="Z10" s="678">
        <f>Sales!Z43</f>
        <v>0</v>
      </c>
      <c r="AA10" s="679">
        <f>Sales!AA43</f>
        <v>0</v>
      </c>
      <c r="AB10" s="678">
        <f>Sales!AB43</f>
        <v>0</v>
      </c>
      <c r="AC10" s="678">
        <f>Sales!AC43</f>
        <v>0</v>
      </c>
      <c r="AD10" s="678">
        <f>Sales!AD43</f>
        <v>0</v>
      </c>
      <c r="AE10" s="678">
        <f>Sales!AE43</f>
        <v>0</v>
      </c>
      <c r="AF10" s="679">
        <f>Sales!AF43</f>
        <v>0</v>
      </c>
      <c r="AG10" s="678">
        <f>Sales!AG43</f>
        <v>0</v>
      </c>
      <c r="AH10" s="678">
        <f>Sales!AH43</f>
        <v>0</v>
      </c>
      <c r="AI10" s="678">
        <f>Sales!AI43</f>
        <v>0</v>
      </c>
      <c r="AJ10" s="680">
        <f>Sales!AJ43</f>
        <v>0</v>
      </c>
      <c r="AK10" s="679">
        <f>Sales!AK43</f>
        <v>0</v>
      </c>
      <c r="AL10" s="681">
        <f>Sales!AL43</f>
        <v>0</v>
      </c>
      <c r="AM10" s="682">
        <f>Sales!AM43</f>
        <v>0</v>
      </c>
      <c r="AN10" s="681">
        <f>Sales!AN43</f>
        <v>0</v>
      </c>
      <c r="AO10" s="682">
        <f>Sales!AO43</f>
        <v>0</v>
      </c>
      <c r="AP10" s="683">
        <f>Sales!AP43</f>
        <v>0</v>
      </c>
      <c r="AQ10" s="684">
        <f>Sales!AQ43</f>
        <v>0</v>
      </c>
      <c r="AR10" s="682">
        <f>Sales!AR43</f>
        <v>0</v>
      </c>
      <c r="AS10" s="685">
        <f>Sales!AS43</f>
        <v>98.8</v>
      </c>
      <c r="AT10" s="685">
        <f>Sales!AT43</f>
        <v>133.30000000000001</v>
      </c>
      <c r="AU10" s="683">
        <f>Sales!AU43</f>
        <v>0</v>
      </c>
      <c r="AV10" s="685">
        <f>Sales!AV43</f>
        <v>144</v>
      </c>
      <c r="AW10" s="685">
        <f>Sales!AW43</f>
        <v>160.6</v>
      </c>
      <c r="AX10" s="685">
        <f>Sales!AX43</f>
        <v>141.4</v>
      </c>
      <c r="AY10" s="685">
        <f>Sales!AY43</f>
        <v>141.4</v>
      </c>
      <c r="AZ10" s="671">
        <f>Sales!AZ43</f>
        <v>587.4</v>
      </c>
      <c r="BA10" s="685">
        <f>Sales!BA43</f>
        <v>155.5</v>
      </c>
      <c r="BB10" s="685">
        <f>Sales!BB43</f>
        <v>163.19999999999999</v>
      </c>
      <c r="BC10" s="685">
        <f>Sales!BC43</f>
        <v>151</v>
      </c>
      <c r="BD10" s="685">
        <f>Sales!BD43</f>
        <v>155.9</v>
      </c>
      <c r="BE10" s="671">
        <f>Sales!BE43</f>
        <v>625.6</v>
      </c>
      <c r="BF10" s="228">
        <f>Sales!BF43</f>
        <v>139</v>
      </c>
      <c r="BG10" s="228">
        <f>Sales!BG43</f>
        <v>148</v>
      </c>
      <c r="BH10" s="228">
        <f>Sales!BH43</f>
        <v>156</v>
      </c>
      <c r="BI10" s="228">
        <f>Sales!BI43</f>
        <v>170</v>
      </c>
      <c r="BJ10" s="671">
        <f>Sales!BJ43</f>
        <v>613</v>
      </c>
      <c r="BK10" s="228">
        <f>Sales!BK43</f>
        <v>0</v>
      </c>
      <c r="BL10" s="228">
        <f>Sales!BL43</f>
        <v>0</v>
      </c>
      <c r="BM10" s="228">
        <f>Sales!BM43</f>
        <v>0</v>
      </c>
      <c r="BN10" s="228">
        <f>Sales!BN43</f>
        <v>0</v>
      </c>
      <c r="BO10" s="671">
        <f>Sales!BO43</f>
        <v>663.46999999999991</v>
      </c>
      <c r="BP10" s="228">
        <f>Sales!BP43</f>
        <v>0</v>
      </c>
      <c r="BQ10" s="228">
        <f>Sales!BQ43</f>
        <v>0</v>
      </c>
      <c r="BR10" s="228">
        <f>Sales!BR43</f>
        <v>0</v>
      </c>
      <c r="BS10" s="228">
        <f>Sales!BS43</f>
        <v>0</v>
      </c>
      <c r="BT10" s="671">
        <f>Sales!BT43</f>
        <v>695.25839999999994</v>
      </c>
      <c r="BU10" s="228">
        <f>Sales!BU43</f>
        <v>0</v>
      </c>
      <c r="BV10" s="228">
        <f>Sales!BV43</f>
        <v>0</v>
      </c>
      <c r="BW10" s="228">
        <f>Sales!BW43</f>
        <v>0</v>
      </c>
      <c r="BX10" s="228">
        <f>Sales!BX43</f>
        <v>0</v>
      </c>
      <c r="BY10" s="671">
        <f>Sales!BY43</f>
        <v>725.26664800000003</v>
      </c>
      <c r="BZ10" s="228">
        <f>Sales!BZ43</f>
        <v>0</v>
      </c>
      <c r="CA10" s="228">
        <f>Sales!CA43</f>
        <v>0</v>
      </c>
      <c r="CB10" s="228">
        <f>Sales!CB43</f>
        <v>0</v>
      </c>
      <c r="CC10" s="228">
        <f>Sales!CC43</f>
        <v>0</v>
      </c>
      <c r="CD10" s="671">
        <f>Sales!CD43</f>
        <v>753.09635168</v>
      </c>
    </row>
    <row r="11" spans="1:83" s="252" customFormat="1" hidden="1" outlineLevel="1" x14ac:dyDescent="0.15">
      <c r="B11" s="674" t="str">
        <f>Sales!B53</f>
        <v>Total Ophthalmology Rx</v>
      </c>
      <c r="C11" s="686">
        <f>Sales!C53</f>
        <v>0</v>
      </c>
      <c r="D11" s="687">
        <f>Sales!D53</f>
        <v>0</v>
      </c>
      <c r="E11" s="687">
        <f>Sales!E53</f>
        <v>0</v>
      </c>
      <c r="F11" s="687">
        <f>Sales!F53</f>
        <v>0</v>
      </c>
      <c r="G11" s="688">
        <f>Sales!G53</f>
        <v>0</v>
      </c>
      <c r="H11" s="687">
        <f>Sales!H53</f>
        <v>0</v>
      </c>
      <c r="I11" s="687">
        <f>Sales!I53</f>
        <v>0</v>
      </c>
      <c r="J11" s="687">
        <f>Sales!J53</f>
        <v>0</v>
      </c>
      <c r="K11" s="687">
        <f>Sales!K53</f>
        <v>0</v>
      </c>
      <c r="L11" s="688">
        <f>Sales!L53</f>
        <v>0</v>
      </c>
      <c r="M11" s="687">
        <f>Sales!M53</f>
        <v>0</v>
      </c>
      <c r="N11" s="687">
        <f>Sales!N53</f>
        <v>0</v>
      </c>
      <c r="O11" s="687">
        <f>Sales!O53</f>
        <v>0</v>
      </c>
      <c r="P11" s="687">
        <f>Sales!P53</f>
        <v>0</v>
      </c>
      <c r="Q11" s="688">
        <f>Sales!Q53</f>
        <v>0</v>
      </c>
      <c r="R11" s="687">
        <f>Sales!R53</f>
        <v>0</v>
      </c>
      <c r="S11" s="687">
        <f>Sales!S53</f>
        <v>0</v>
      </c>
      <c r="T11" s="687">
        <f>Sales!T53</f>
        <v>0</v>
      </c>
      <c r="U11" s="687">
        <f>Sales!U53</f>
        <v>0</v>
      </c>
      <c r="V11" s="688">
        <f>Sales!V53</f>
        <v>0</v>
      </c>
      <c r="W11" s="689">
        <f>Sales!W53</f>
        <v>0</v>
      </c>
      <c r="X11" s="682">
        <f>Sales!X53</f>
        <v>0</v>
      </c>
      <c r="Y11" s="682">
        <f>Sales!Y53</f>
        <v>0</v>
      </c>
      <c r="Z11" s="682">
        <f>Sales!Z53</f>
        <v>0</v>
      </c>
      <c r="AA11" s="679">
        <f>Sales!AA53</f>
        <v>0</v>
      </c>
      <c r="AB11" s="689">
        <f>Sales!AB53</f>
        <v>0</v>
      </c>
      <c r="AC11" s="689">
        <f>Sales!AC53</f>
        <v>0</v>
      </c>
      <c r="AD11" s="689">
        <f>Sales!AD53</f>
        <v>0</v>
      </c>
      <c r="AE11" s="689">
        <f>Sales!AE53</f>
        <v>0</v>
      </c>
      <c r="AF11" s="679">
        <f>Sales!AF53</f>
        <v>0</v>
      </c>
      <c r="AG11" s="689">
        <f>Sales!AG53</f>
        <v>0</v>
      </c>
      <c r="AH11" s="689">
        <f>Sales!AH53</f>
        <v>0</v>
      </c>
      <c r="AI11" s="689">
        <f>Sales!AI53</f>
        <v>0</v>
      </c>
      <c r="AJ11" s="689">
        <f>Sales!AJ53</f>
        <v>0</v>
      </c>
      <c r="AK11" s="679">
        <f>Sales!AK53</f>
        <v>0</v>
      </c>
      <c r="AL11" s="682">
        <f>Sales!AL53</f>
        <v>0</v>
      </c>
      <c r="AM11" s="682">
        <f>Sales!AM53</f>
        <v>0</v>
      </c>
      <c r="AN11" s="682">
        <f>Sales!AN53</f>
        <v>0</v>
      </c>
      <c r="AO11" s="682">
        <f>Sales!AO53</f>
        <v>0</v>
      </c>
      <c r="AP11" s="679">
        <f>Sales!AP53</f>
        <v>0</v>
      </c>
      <c r="AQ11" s="684">
        <f>Sales!AQ53</f>
        <v>0</v>
      </c>
      <c r="AR11" s="682">
        <f>Sales!AR53</f>
        <v>0</v>
      </c>
      <c r="AS11" s="685">
        <f>Sales!AS53</f>
        <v>74.8</v>
      </c>
      <c r="AT11" s="685">
        <f>Sales!AT53</f>
        <v>122.6</v>
      </c>
      <c r="AU11" s="679">
        <f>Sales!AU53</f>
        <v>0</v>
      </c>
      <c r="AV11" s="685">
        <f>Sales!AV53</f>
        <v>99.3</v>
      </c>
      <c r="AW11" s="685">
        <f>Sales!AW53</f>
        <v>116.5</v>
      </c>
      <c r="AX11" s="685">
        <f>Sales!AX53</f>
        <v>117.8</v>
      </c>
      <c r="AY11" s="685">
        <f>Sales!AY53</f>
        <v>131.80000000000001</v>
      </c>
      <c r="AZ11" s="671">
        <f>Sales!AZ53</f>
        <v>465.40000000000003</v>
      </c>
      <c r="BA11" s="685">
        <f>Sales!BA53</f>
        <v>129.1</v>
      </c>
      <c r="BB11" s="685">
        <f>Sales!BB53</f>
        <v>135.4</v>
      </c>
      <c r="BC11" s="685">
        <f>Sales!BC53</f>
        <v>114.3</v>
      </c>
      <c r="BD11" s="685">
        <f>Sales!BD53</f>
        <v>112</v>
      </c>
      <c r="BE11" s="671">
        <f>Sales!BE53</f>
        <v>490.8</v>
      </c>
      <c r="BF11" s="228">
        <f>Sales!BF53</f>
        <v>110</v>
      </c>
      <c r="BG11" s="228">
        <f>Sales!BG53</f>
        <v>120</v>
      </c>
      <c r="BH11" s="228">
        <f>Sales!BH53</f>
        <v>130</v>
      </c>
      <c r="BI11" s="228">
        <f>Sales!BI53</f>
        <v>132</v>
      </c>
      <c r="BJ11" s="671">
        <f>Sales!BJ53</f>
        <v>492</v>
      </c>
      <c r="BK11" s="228">
        <f>Sales!BK53</f>
        <v>0</v>
      </c>
      <c r="BL11" s="228">
        <f>Sales!BL53</f>
        <v>0</v>
      </c>
      <c r="BM11" s="228">
        <f>Sales!BM53</f>
        <v>0</v>
      </c>
      <c r="BN11" s="228">
        <f>Sales!BN53</f>
        <v>0</v>
      </c>
      <c r="BO11" s="671">
        <f>Sales!BO53</f>
        <v>608.6</v>
      </c>
      <c r="BP11" s="228">
        <f>Sales!BP53</f>
        <v>0</v>
      </c>
      <c r="BQ11" s="228">
        <f>Sales!BQ53</f>
        <v>0</v>
      </c>
      <c r="BR11" s="228">
        <f>Sales!BR53</f>
        <v>0</v>
      </c>
      <c r="BS11" s="228">
        <f>Sales!BS53</f>
        <v>0</v>
      </c>
      <c r="BT11" s="671">
        <f>Sales!BT53</f>
        <v>702.94399999999996</v>
      </c>
      <c r="BU11" s="228">
        <f>Sales!BU53</f>
        <v>0</v>
      </c>
      <c r="BV11" s="228">
        <f>Sales!BV53</f>
        <v>0</v>
      </c>
      <c r="BW11" s="228">
        <f>Sales!BW53</f>
        <v>0</v>
      </c>
      <c r="BX11" s="228">
        <f>Sales!BX53</f>
        <v>0</v>
      </c>
      <c r="BY11" s="671">
        <f>Sales!BY53</f>
        <v>816.19360000000006</v>
      </c>
      <c r="BZ11" s="228">
        <f>Sales!BZ53</f>
        <v>0</v>
      </c>
      <c r="CA11" s="228">
        <f>Sales!CA53</f>
        <v>0</v>
      </c>
      <c r="CB11" s="228">
        <f>Sales!CB53</f>
        <v>0</v>
      </c>
      <c r="CC11" s="228">
        <f>Sales!CC53</f>
        <v>0</v>
      </c>
      <c r="CD11" s="671">
        <f>Sales!CD53</f>
        <v>901.517472</v>
      </c>
    </row>
    <row r="12" spans="1:83" s="252" customFormat="1" hidden="1" outlineLevel="1" x14ac:dyDescent="0.15">
      <c r="B12" s="674" t="str">
        <f>Sales!B56</f>
        <v>Total Contact Lenses</v>
      </c>
      <c r="C12" s="686">
        <f>Sales!C56</f>
        <v>0</v>
      </c>
      <c r="D12" s="687">
        <f>Sales!D56</f>
        <v>0</v>
      </c>
      <c r="E12" s="687">
        <f>Sales!E56</f>
        <v>0</v>
      </c>
      <c r="F12" s="687">
        <f>Sales!F56</f>
        <v>0</v>
      </c>
      <c r="G12" s="688">
        <f>Sales!G56</f>
        <v>0</v>
      </c>
      <c r="H12" s="687">
        <f>Sales!H56</f>
        <v>0</v>
      </c>
      <c r="I12" s="687">
        <f>Sales!I56</f>
        <v>0</v>
      </c>
      <c r="J12" s="687">
        <f>Sales!J56</f>
        <v>0</v>
      </c>
      <c r="K12" s="687">
        <f>Sales!K56</f>
        <v>0</v>
      </c>
      <c r="L12" s="688">
        <f>Sales!L56</f>
        <v>0</v>
      </c>
      <c r="M12" s="687">
        <f>Sales!M56</f>
        <v>0</v>
      </c>
      <c r="N12" s="687">
        <f>Sales!N56</f>
        <v>0</v>
      </c>
      <c r="O12" s="687">
        <f>Sales!O56</f>
        <v>0</v>
      </c>
      <c r="P12" s="687">
        <f>Sales!P56</f>
        <v>0</v>
      </c>
      <c r="Q12" s="688">
        <f>Sales!Q56</f>
        <v>0</v>
      </c>
      <c r="R12" s="687">
        <f>Sales!R56</f>
        <v>0</v>
      </c>
      <c r="S12" s="687">
        <f>Sales!S56</f>
        <v>0</v>
      </c>
      <c r="T12" s="687">
        <f>Sales!T56</f>
        <v>0</v>
      </c>
      <c r="U12" s="687">
        <f>Sales!U56</f>
        <v>0</v>
      </c>
      <c r="V12" s="688">
        <f>Sales!V56</f>
        <v>0</v>
      </c>
      <c r="W12" s="689">
        <f>Sales!W56</f>
        <v>0</v>
      </c>
      <c r="X12" s="682">
        <f>Sales!X56</f>
        <v>0</v>
      </c>
      <c r="Y12" s="682">
        <f>Sales!Y56</f>
        <v>0</v>
      </c>
      <c r="Z12" s="682">
        <f>Sales!Z56</f>
        <v>0</v>
      </c>
      <c r="AA12" s="679">
        <f>Sales!AA56</f>
        <v>0</v>
      </c>
      <c r="AB12" s="689">
        <f>Sales!AB56</f>
        <v>0</v>
      </c>
      <c r="AC12" s="689">
        <f>Sales!AC56</f>
        <v>0</v>
      </c>
      <c r="AD12" s="689">
        <f>Sales!AD56</f>
        <v>0</v>
      </c>
      <c r="AE12" s="689">
        <f>Sales!AE56</f>
        <v>0</v>
      </c>
      <c r="AF12" s="679">
        <f>Sales!AF56</f>
        <v>0</v>
      </c>
      <c r="AG12" s="689">
        <f>Sales!AG56</f>
        <v>0</v>
      </c>
      <c r="AH12" s="689">
        <f>Sales!AH56</f>
        <v>0</v>
      </c>
      <c r="AI12" s="689">
        <f>Sales!AI56</f>
        <v>0</v>
      </c>
      <c r="AJ12" s="689">
        <f>Sales!AJ56</f>
        <v>0</v>
      </c>
      <c r="AK12" s="679">
        <f>Sales!AK56</f>
        <v>0</v>
      </c>
      <c r="AL12" s="682">
        <f>Sales!AL56</f>
        <v>0</v>
      </c>
      <c r="AM12" s="682">
        <f>Sales!AM56</f>
        <v>0</v>
      </c>
      <c r="AN12" s="682">
        <f>Sales!AN56</f>
        <v>0</v>
      </c>
      <c r="AO12" s="682">
        <f>Sales!AO56</f>
        <v>0</v>
      </c>
      <c r="AP12" s="679">
        <f>Sales!AP56</f>
        <v>0</v>
      </c>
      <c r="AQ12" s="684">
        <f>Sales!AQ56</f>
        <v>0</v>
      </c>
      <c r="AR12" s="682">
        <f>Sales!AR56</f>
        <v>0</v>
      </c>
      <c r="AS12" s="685">
        <f>Sales!AS56</f>
        <v>24.6</v>
      </c>
      <c r="AT12" s="685">
        <f>Sales!AT56</f>
        <v>37.6</v>
      </c>
      <c r="AU12" s="679">
        <f>Sales!AU56</f>
        <v>0</v>
      </c>
      <c r="AV12" s="685">
        <f>Sales!AV56</f>
        <v>40.9</v>
      </c>
      <c r="AW12" s="685">
        <f>Sales!AW56</f>
        <v>42.1</v>
      </c>
      <c r="AX12" s="685">
        <f>Sales!AX56</f>
        <v>44.8</v>
      </c>
      <c r="AY12" s="685">
        <f>Sales!AY56</f>
        <v>42.6</v>
      </c>
      <c r="AZ12" s="671">
        <f>Sales!AZ56</f>
        <v>170.4</v>
      </c>
      <c r="BA12" s="685">
        <f>Sales!BA56</f>
        <v>47.7</v>
      </c>
      <c r="BB12" s="685">
        <f>Sales!BB56</f>
        <v>51.2</v>
      </c>
      <c r="BC12" s="690">
        <f>Sales!BC56</f>
        <v>60.4</v>
      </c>
      <c r="BD12" s="690">
        <f>Sales!BD56</f>
        <v>53.5</v>
      </c>
      <c r="BE12" s="671">
        <f>Sales!BE56</f>
        <v>212.8</v>
      </c>
      <c r="BF12" s="228">
        <f>Sales!BF56</f>
        <v>55</v>
      </c>
      <c r="BG12" s="228">
        <f>Sales!BG56</f>
        <v>57</v>
      </c>
      <c r="BH12" s="228">
        <f>Sales!BH56</f>
        <v>60</v>
      </c>
      <c r="BI12" s="228">
        <f>Sales!BI56</f>
        <v>65</v>
      </c>
      <c r="BJ12" s="671">
        <f>Sales!BJ56</f>
        <v>237</v>
      </c>
      <c r="BK12" s="228">
        <f>Sales!BK56</f>
        <v>0</v>
      </c>
      <c r="BL12" s="228">
        <f>Sales!BL56</f>
        <v>0</v>
      </c>
      <c r="BM12" s="228">
        <f>Sales!BM56</f>
        <v>0</v>
      </c>
      <c r="BN12" s="228">
        <f>Sales!BN56</f>
        <v>0</v>
      </c>
      <c r="BO12" s="671">
        <f>Sales!BO56</f>
        <v>265.44</v>
      </c>
      <c r="BP12" s="228">
        <f>Sales!BP56</f>
        <v>0</v>
      </c>
      <c r="BQ12" s="228">
        <f>Sales!BQ56</f>
        <v>0</v>
      </c>
      <c r="BR12" s="228">
        <f>Sales!BR56</f>
        <v>0</v>
      </c>
      <c r="BS12" s="228">
        <f>Sales!BS56</f>
        <v>0</v>
      </c>
      <c r="BT12" s="671">
        <f>Sales!BT56</f>
        <v>291.98400000000004</v>
      </c>
      <c r="BU12" s="228">
        <f>Sales!BU56</f>
        <v>0</v>
      </c>
      <c r="BV12" s="228">
        <f>Sales!BV56</f>
        <v>0</v>
      </c>
      <c r="BW12" s="228">
        <f>Sales!BW56</f>
        <v>0</v>
      </c>
      <c r="BX12" s="228">
        <f>Sales!BX56</f>
        <v>0</v>
      </c>
      <c r="BY12" s="671">
        <f>Sales!BY56</f>
        <v>321.18240000000009</v>
      </c>
      <c r="BZ12" s="228">
        <f>Sales!BZ56</f>
        <v>0</v>
      </c>
      <c r="CA12" s="228">
        <f>Sales!CA56</f>
        <v>0</v>
      </c>
      <c r="CB12" s="228">
        <f>Sales!CB56</f>
        <v>0</v>
      </c>
      <c r="CC12" s="228">
        <f>Sales!CC56</f>
        <v>0</v>
      </c>
      <c r="CD12" s="671">
        <f>Sales!CD56</f>
        <v>353.3006400000001</v>
      </c>
    </row>
    <row r="13" spans="1:83" s="285" customFormat="1" hidden="1" outlineLevel="1" x14ac:dyDescent="0.15">
      <c r="B13" s="674" t="str">
        <f>Sales!B59</f>
        <v>Total Surgical</v>
      </c>
      <c r="C13" s="686">
        <f>Sales!C59</f>
        <v>0</v>
      </c>
      <c r="D13" s="687">
        <f>Sales!D59</f>
        <v>0</v>
      </c>
      <c r="E13" s="687">
        <f>Sales!E59</f>
        <v>0</v>
      </c>
      <c r="F13" s="687">
        <f>Sales!F59</f>
        <v>0</v>
      </c>
      <c r="G13" s="688">
        <f>Sales!G59</f>
        <v>0</v>
      </c>
      <c r="H13" s="687">
        <f>Sales!H59</f>
        <v>0</v>
      </c>
      <c r="I13" s="687">
        <f>Sales!I59</f>
        <v>0</v>
      </c>
      <c r="J13" s="687">
        <f>Sales!J59</f>
        <v>0</v>
      </c>
      <c r="K13" s="687">
        <f>Sales!K59</f>
        <v>0</v>
      </c>
      <c r="L13" s="688">
        <f>Sales!L59</f>
        <v>0</v>
      </c>
      <c r="M13" s="687">
        <f>Sales!M59</f>
        <v>0</v>
      </c>
      <c r="N13" s="687">
        <f>Sales!N59</f>
        <v>0</v>
      </c>
      <c r="O13" s="687">
        <f>Sales!O59</f>
        <v>0</v>
      </c>
      <c r="P13" s="687">
        <f>Sales!P59</f>
        <v>0</v>
      </c>
      <c r="Q13" s="688">
        <f>Sales!Q59</f>
        <v>0</v>
      </c>
      <c r="R13" s="687">
        <f>Sales!R59</f>
        <v>0</v>
      </c>
      <c r="S13" s="687">
        <f>Sales!S59</f>
        <v>0</v>
      </c>
      <c r="T13" s="687">
        <f>Sales!T59</f>
        <v>0</v>
      </c>
      <c r="U13" s="687">
        <f>Sales!U59</f>
        <v>0</v>
      </c>
      <c r="V13" s="688">
        <f>Sales!V59</f>
        <v>0</v>
      </c>
      <c r="W13" s="689">
        <f>Sales!W59</f>
        <v>0</v>
      </c>
      <c r="X13" s="682">
        <f>Sales!X59</f>
        <v>0</v>
      </c>
      <c r="Y13" s="682">
        <f>Sales!Y59</f>
        <v>0</v>
      </c>
      <c r="Z13" s="682">
        <f>Sales!Z59</f>
        <v>0</v>
      </c>
      <c r="AA13" s="679">
        <f>Sales!AA59</f>
        <v>0</v>
      </c>
      <c r="AB13" s="689">
        <f>Sales!AB59</f>
        <v>0</v>
      </c>
      <c r="AC13" s="689">
        <f>Sales!AC59</f>
        <v>0</v>
      </c>
      <c r="AD13" s="689">
        <f>Sales!AD59</f>
        <v>0</v>
      </c>
      <c r="AE13" s="689">
        <f>Sales!AE59</f>
        <v>0</v>
      </c>
      <c r="AF13" s="679">
        <f>Sales!AF59</f>
        <v>0</v>
      </c>
      <c r="AG13" s="689">
        <f>Sales!AG59</f>
        <v>0</v>
      </c>
      <c r="AH13" s="689">
        <f>Sales!AH59</f>
        <v>0</v>
      </c>
      <c r="AI13" s="689">
        <f>Sales!AI59</f>
        <v>0</v>
      </c>
      <c r="AJ13" s="689">
        <f>Sales!AJ59</f>
        <v>0</v>
      </c>
      <c r="AK13" s="679">
        <f>Sales!AK59</f>
        <v>0</v>
      </c>
      <c r="AL13" s="682">
        <f>Sales!AL59</f>
        <v>0</v>
      </c>
      <c r="AM13" s="682">
        <f>Sales!AM59</f>
        <v>0</v>
      </c>
      <c r="AN13" s="682">
        <f>Sales!AN59</f>
        <v>0</v>
      </c>
      <c r="AO13" s="682">
        <f>Sales!AO59</f>
        <v>0</v>
      </c>
      <c r="AP13" s="679">
        <f>Sales!AP59</f>
        <v>0</v>
      </c>
      <c r="AQ13" s="684">
        <f>Sales!AQ59</f>
        <v>0</v>
      </c>
      <c r="AR13" s="682">
        <f>Sales!AR59</f>
        <v>0</v>
      </c>
      <c r="AS13" s="685">
        <f>Sales!AS59</f>
        <v>31.1</v>
      </c>
      <c r="AT13" s="685">
        <f>Sales!AT59</f>
        <v>59.3</v>
      </c>
      <c r="AU13" s="679">
        <f>Sales!AU59</f>
        <v>0</v>
      </c>
      <c r="AV13" s="685">
        <f>Sales!AV59</f>
        <v>48.3</v>
      </c>
      <c r="AW13" s="685">
        <f>Sales!AW59</f>
        <v>56.2</v>
      </c>
      <c r="AX13" s="685">
        <f>Sales!AX59</f>
        <v>54</v>
      </c>
      <c r="AY13" s="685">
        <f>Sales!AY59</f>
        <v>56.6</v>
      </c>
      <c r="AZ13" s="671">
        <f>Sales!AZ59</f>
        <v>215.1</v>
      </c>
      <c r="BA13" s="685">
        <f>Sales!BA59</f>
        <v>48.1</v>
      </c>
      <c r="BB13" s="685">
        <f>Sales!BB59</f>
        <v>56.5</v>
      </c>
      <c r="BC13" s="690">
        <f>Sales!BC59</f>
        <v>54.6</v>
      </c>
      <c r="BD13" s="690">
        <f>Sales!BD59</f>
        <v>65.400000000000006</v>
      </c>
      <c r="BE13" s="671">
        <f>Sales!BE59</f>
        <v>224.6</v>
      </c>
      <c r="BF13" s="228">
        <f>Sales!BF59</f>
        <v>75</v>
      </c>
      <c r="BG13" s="228">
        <f>Sales!BG59</f>
        <v>77</v>
      </c>
      <c r="BH13" s="228">
        <f>Sales!BH59</f>
        <v>78</v>
      </c>
      <c r="BI13" s="228">
        <f>Sales!BI59</f>
        <v>80</v>
      </c>
      <c r="BJ13" s="671">
        <f>Sales!BJ59</f>
        <v>310</v>
      </c>
      <c r="BK13" s="228">
        <f>Sales!BK59</f>
        <v>0</v>
      </c>
      <c r="BL13" s="228">
        <f>Sales!BL59</f>
        <v>0</v>
      </c>
      <c r="BM13" s="228">
        <f>Sales!BM59</f>
        <v>0</v>
      </c>
      <c r="BN13" s="228">
        <f>Sales!BN59</f>
        <v>0</v>
      </c>
      <c r="BO13" s="671">
        <f>Sales!BO59</f>
        <v>319.3</v>
      </c>
      <c r="BP13" s="228">
        <f>Sales!BP59</f>
        <v>0</v>
      </c>
      <c r="BQ13" s="228">
        <f>Sales!BQ59</f>
        <v>0</v>
      </c>
      <c r="BR13" s="228">
        <f>Sales!BR59</f>
        <v>0</v>
      </c>
      <c r="BS13" s="228">
        <f>Sales!BS59</f>
        <v>0</v>
      </c>
      <c r="BT13" s="671">
        <f>Sales!BT59</f>
        <v>328.87900000000002</v>
      </c>
      <c r="BU13" s="228">
        <f>Sales!BU59</f>
        <v>0</v>
      </c>
      <c r="BV13" s="228">
        <f>Sales!BV59</f>
        <v>0</v>
      </c>
      <c r="BW13" s="228">
        <f>Sales!BW59</f>
        <v>0</v>
      </c>
      <c r="BX13" s="228">
        <f>Sales!BX59</f>
        <v>0</v>
      </c>
      <c r="BY13" s="671">
        <f>Sales!BY59</f>
        <v>335.45658000000003</v>
      </c>
      <c r="BZ13" s="228">
        <f>Sales!BZ59</f>
        <v>0</v>
      </c>
      <c r="CA13" s="228">
        <f>Sales!CA59</f>
        <v>0</v>
      </c>
      <c r="CB13" s="228">
        <f>Sales!CB59</f>
        <v>0</v>
      </c>
      <c r="CC13" s="228">
        <f>Sales!CC59</f>
        <v>0</v>
      </c>
      <c r="CD13" s="671">
        <f>Sales!CD59</f>
        <v>342.16571160000007</v>
      </c>
    </row>
    <row r="14" spans="1:83" s="355" customFormat="1" ht="13" hidden="1" outlineLevel="1" x14ac:dyDescent="0.15">
      <c r="A14" s="349"/>
      <c r="B14" s="674" t="str">
        <f>Sales!B81</f>
        <v>Total Dental</v>
      </c>
      <c r="C14" s="686">
        <f>Sales!C81</f>
        <v>0</v>
      </c>
      <c r="D14" s="687">
        <f>Sales!D81</f>
        <v>0</v>
      </c>
      <c r="E14" s="687">
        <f>Sales!E81</f>
        <v>0</v>
      </c>
      <c r="F14" s="687">
        <f>Sales!F81</f>
        <v>0</v>
      </c>
      <c r="G14" s="688">
        <f>Sales!G81</f>
        <v>0</v>
      </c>
      <c r="H14" s="687">
        <f>Sales!H81</f>
        <v>0</v>
      </c>
      <c r="I14" s="687">
        <f>Sales!I81</f>
        <v>0</v>
      </c>
      <c r="J14" s="687">
        <f>Sales!J81</f>
        <v>0</v>
      </c>
      <c r="K14" s="687">
        <f>Sales!K81</f>
        <v>0</v>
      </c>
      <c r="L14" s="688">
        <f>Sales!L81</f>
        <v>0</v>
      </c>
      <c r="M14" s="687">
        <f>Sales!M81</f>
        <v>0</v>
      </c>
      <c r="N14" s="687">
        <f>Sales!N81</f>
        <v>0</v>
      </c>
      <c r="O14" s="687">
        <f>Sales!O81</f>
        <v>0</v>
      </c>
      <c r="P14" s="687">
        <f>Sales!P81</f>
        <v>0</v>
      </c>
      <c r="Q14" s="688">
        <f>Sales!Q81</f>
        <v>0</v>
      </c>
      <c r="R14" s="687">
        <f>Sales!R81</f>
        <v>0</v>
      </c>
      <c r="S14" s="687">
        <f>Sales!S81</f>
        <v>0</v>
      </c>
      <c r="T14" s="687">
        <f>Sales!T81</f>
        <v>0</v>
      </c>
      <c r="U14" s="687">
        <f>Sales!U81</f>
        <v>0</v>
      </c>
      <c r="V14" s="688">
        <f>Sales!V81</f>
        <v>0</v>
      </c>
      <c r="W14" s="689">
        <f>Sales!W81</f>
        <v>0</v>
      </c>
      <c r="X14" s="682">
        <f>Sales!X81</f>
        <v>0</v>
      </c>
      <c r="Y14" s="682">
        <f>Sales!Y81</f>
        <v>0</v>
      </c>
      <c r="Z14" s="682">
        <f>Sales!Z81</f>
        <v>0</v>
      </c>
      <c r="AA14" s="679">
        <f>Sales!AA81</f>
        <v>0</v>
      </c>
      <c r="AB14" s="689">
        <f>Sales!AB81</f>
        <v>0</v>
      </c>
      <c r="AC14" s="689">
        <f>Sales!AC81</f>
        <v>0</v>
      </c>
      <c r="AD14" s="689">
        <f>Sales!AD81</f>
        <v>0</v>
      </c>
      <c r="AE14" s="689">
        <f>Sales!AE81</f>
        <v>0</v>
      </c>
      <c r="AF14" s="679">
        <f>Sales!AF81</f>
        <v>0</v>
      </c>
      <c r="AG14" s="689">
        <f>Sales!AG81</f>
        <v>0</v>
      </c>
      <c r="AH14" s="689">
        <f>Sales!AH81</f>
        <v>0</v>
      </c>
      <c r="AI14" s="689">
        <f>Sales!AI81</f>
        <v>0</v>
      </c>
      <c r="AJ14" s="689">
        <f>Sales!AJ81</f>
        <v>0</v>
      </c>
      <c r="AK14" s="679">
        <f>Sales!AK81</f>
        <v>0</v>
      </c>
      <c r="AL14" s="682">
        <f>Sales!AL81</f>
        <v>0</v>
      </c>
      <c r="AM14" s="682">
        <f>Sales!AM81</f>
        <v>0</v>
      </c>
      <c r="AN14" s="682">
        <f>Sales!AN81</f>
        <v>0</v>
      </c>
      <c r="AO14" s="682">
        <f>Sales!AO81</f>
        <v>0</v>
      </c>
      <c r="AP14" s="679">
        <f>Sales!AP81</f>
        <v>0</v>
      </c>
      <c r="AQ14" s="684">
        <f>Sales!AQ81</f>
        <v>0</v>
      </c>
      <c r="AR14" s="682">
        <f>Sales!AR81</f>
        <v>0</v>
      </c>
      <c r="AS14" s="685">
        <f>Sales!AS81</f>
        <v>27</v>
      </c>
      <c r="AT14" s="685">
        <f>Sales!AT81</f>
        <v>29.8</v>
      </c>
      <c r="AU14" s="679">
        <f>Sales!AU81</f>
        <v>0</v>
      </c>
      <c r="AV14" s="685">
        <f>Sales!AV81</f>
        <v>18.2</v>
      </c>
      <c r="AW14" s="685">
        <f>Sales!AW81</f>
        <v>31.7</v>
      </c>
      <c r="AX14" s="685">
        <f>Sales!AX81</f>
        <v>32.4</v>
      </c>
      <c r="AY14" s="685">
        <f>Sales!AY81</f>
        <v>41.1</v>
      </c>
      <c r="AZ14" s="671">
        <f>Sales!AZ81</f>
        <v>123.4</v>
      </c>
      <c r="BA14" s="685">
        <f>Sales!BA81</f>
        <v>34.799999999999997</v>
      </c>
      <c r="BB14" s="685">
        <f>Sales!BB81</f>
        <v>59</v>
      </c>
      <c r="BC14" s="690">
        <f>Sales!BC81</f>
        <v>43.8</v>
      </c>
      <c r="BD14" s="690">
        <f>Sales!BD81</f>
        <v>44.7</v>
      </c>
      <c r="BE14" s="671">
        <f>Sales!BE81</f>
        <v>182.3</v>
      </c>
      <c r="BF14" s="228">
        <f>Sales!BF81</f>
        <v>42</v>
      </c>
      <c r="BG14" s="228">
        <f>Sales!BG81</f>
        <v>48</v>
      </c>
      <c r="BH14" s="228">
        <f>Sales!BH81</f>
        <v>50</v>
      </c>
      <c r="BI14" s="228">
        <f>Sales!BI81</f>
        <v>50</v>
      </c>
      <c r="BJ14" s="671">
        <f>Sales!BJ81</f>
        <v>190</v>
      </c>
      <c r="BK14" s="228">
        <f>Sales!BK81</f>
        <v>0</v>
      </c>
      <c r="BL14" s="228">
        <f>Sales!BL81</f>
        <v>0</v>
      </c>
      <c r="BM14" s="228">
        <f>Sales!BM81</f>
        <v>0</v>
      </c>
      <c r="BN14" s="228">
        <f>Sales!BN81</f>
        <v>0</v>
      </c>
      <c r="BO14" s="671">
        <f>Sales!BO81</f>
        <v>209</v>
      </c>
      <c r="BP14" s="228">
        <f>Sales!BP81</f>
        <v>0</v>
      </c>
      <c r="BQ14" s="228">
        <f>Sales!BQ81</f>
        <v>0</v>
      </c>
      <c r="BR14" s="228">
        <f>Sales!BR81</f>
        <v>0</v>
      </c>
      <c r="BS14" s="228">
        <f>Sales!BS81</f>
        <v>0</v>
      </c>
      <c r="BT14" s="671">
        <f>Sales!BT81</f>
        <v>229.90000000000003</v>
      </c>
      <c r="BU14" s="228">
        <f>Sales!BU81</f>
        <v>0</v>
      </c>
      <c r="BV14" s="228">
        <f>Sales!BV81</f>
        <v>0</v>
      </c>
      <c r="BW14" s="228">
        <f>Sales!BW81</f>
        <v>0</v>
      </c>
      <c r="BX14" s="228">
        <f>Sales!BX81</f>
        <v>0</v>
      </c>
      <c r="BY14" s="671">
        <f>Sales!BY81</f>
        <v>251.92200000000005</v>
      </c>
      <c r="BZ14" s="228">
        <f>Sales!BZ81</f>
        <v>0</v>
      </c>
      <c r="CA14" s="228">
        <f>Sales!CA81</f>
        <v>0</v>
      </c>
      <c r="CB14" s="228">
        <f>Sales!CB81</f>
        <v>0</v>
      </c>
      <c r="CC14" s="228">
        <f>Sales!CC81</f>
        <v>0</v>
      </c>
      <c r="CD14" s="671">
        <f>Sales!CD81</f>
        <v>275.02332000000007</v>
      </c>
    </row>
    <row r="15" spans="1:83" s="252" customFormat="1" hidden="1" outlineLevel="1" x14ac:dyDescent="0.15">
      <c r="B15" s="674" t="str">
        <f>Sales!B84</f>
        <v>Total Oncology/Urology (Provenge)</v>
      </c>
      <c r="C15" s="686">
        <f>Sales!C84</f>
        <v>0</v>
      </c>
      <c r="D15" s="687">
        <f>Sales!D84</f>
        <v>0</v>
      </c>
      <c r="E15" s="687">
        <f>Sales!E84</f>
        <v>0</v>
      </c>
      <c r="F15" s="687">
        <f>Sales!F84</f>
        <v>0</v>
      </c>
      <c r="G15" s="688">
        <f>Sales!G84</f>
        <v>0</v>
      </c>
      <c r="H15" s="687">
        <f>Sales!H84</f>
        <v>0</v>
      </c>
      <c r="I15" s="687">
        <f>Sales!I84</f>
        <v>0</v>
      </c>
      <c r="J15" s="687">
        <f>Sales!J84</f>
        <v>0</v>
      </c>
      <c r="K15" s="687">
        <f>Sales!K84</f>
        <v>0</v>
      </c>
      <c r="L15" s="688">
        <f>Sales!L84</f>
        <v>0</v>
      </c>
      <c r="M15" s="687">
        <f>Sales!M84</f>
        <v>0</v>
      </c>
      <c r="N15" s="687">
        <f>Sales!N84</f>
        <v>0</v>
      </c>
      <c r="O15" s="687">
        <f>Sales!O84</f>
        <v>0</v>
      </c>
      <c r="P15" s="687">
        <f>Sales!P84</f>
        <v>0</v>
      </c>
      <c r="Q15" s="688">
        <f>Sales!Q84</f>
        <v>0</v>
      </c>
      <c r="R15" s="687">
        <f>Sales!R84</f>
        <v>0</v>
      </c>
      <c r="S15" s="687">
        <f>Sales!S84</f>
        <v>0</v>
      </c>
      <c r="T15" s="687">
        <f>Sales!T84</f>
        <v>0</v>
      </c>
      <c r="U15" s="687">
        <f>Sales!U84</f>
        <v>0</v>
      </c>
      <c r="V15" s="688">
        <f>Sales!V84</f>
        <v>0</v>
      </c>
      <c r="W15" s="689">
        <f>Sales!W84</f>
        <v>0</v>
      </c>
      <c r="X15" s="682">
        <f>Sales!X84</f>
        <v>0</v>
      </c>
      <c r="Y15" s="682">
        <f>Sales!Y84</f>
        <v>0</v>
      </c>
      <c r="Z15" s="682">
        <f>Sales!Z84</f>
        <v>0</v>
      </c>
      <c r="AA15" s="679">
        <f>Sales!AA84</f>
        <v>0</v>
      </c>
      <c r="AB15" s="689">
        <f>Sales!AB84</f>
        <v>0</v>
      </c>
      <c r="AC15" s="689">
        <f>Sales!AC84</f>
        <v>0</v>
      </c>
      <c r="AD15" s="689">
        <f>Sales!AD84</f>
        <v>0</v>
      </c>
      <c r="AE15" s="689">
        <f>Sales!AE84</f>
        <v>0</v>
      </c>
      <c r="AF15" s="679">
        <f>Sales!AF84</f>
        <v>0</v>
      </c>
      <c r="AG15" s="689">
        <f>Sales!AG84</f>
        <v>0</v>
      </c>
      <c r="AH15" s="689">
        <f>Sales!AH84</f>
        <v>0</v>
      </c>
      <c r="AI15" s="689">
        <f>Sales!AI84</f>
        <v>0</v>
      </c>
      <c r="AJ15" s="689">
        <f>Sales!AJ84</f>
        <v>0</v>
      </c>
      <c r="AK15" s="679">
        <f>Sales!AK84</f>
        <v>0</v>
      </c>
      <c r="AL15" s="682">
        <f>Sales!AL84</f>
        <v>0</v>
      </c>
      <c r="AM15" s="682">
        <f>Sales!AM84</f>
        <v>0</v>
      </c>
      <c r="AN15" s="682">
        <f>Sales!AN84</f>
        <v>0</v>
      </c>
      <c r="AO15" s="682">
        <f>Sales!AO84</f>
        <v>0</v>
      </c>
      <c r="AP15" s="679">
        <f>Sales!AP84</f>
        <v>0</v>
      </c>
      <c r="AQ15" s="684">
        <f>Sales!AQ84</f>
        <v>0</v>
      </c>
      <c r="AR15" s="682">
        <f>Sales!AR84</f>
        <v>0</v>
      </c>
      <c r="AS15" s="685">
        <f>Sales!AS84</f>
        <v>0</v>
      </c>
      <c r="AT15" s="685">
        <f>Sales!AT84</f>
        <v>0</v>
      </c>
      <c r="AU15" s="679">
        <f>Sales!AU84</f>
        <v>0</v>
      </c>
      <c r="AV15" s="685">
        <f>Sales!AV84</f>
        <v>0</v>
      </c>
      <c r="AW15" s="685">
        <f>Sales!AW84</f>
        <v>0</v>
      </c>
      <c r="AX15" s="685">
        <f>Sales!AX84</f>
        <v>0</v>
      </c>
      <c r="AY15" s="685">
        <f>Sales!AY84</f>
        <v>0</v>
      </c>
      <c r="AZ15" s="671">
        <f>Sales!AZ84</f>
        <v>0</v>
      </c>
      <c r="BA15" s="685">
        <f>Sales!BA84</f>
        <v>30.1</v>
      </c>
      <c r="BB15" s="685">
        <f>Sales!BB84</f>
        <v>73.7</v>
      </c>
      <c r="BC15" s="690">
        <f>Sales!BC84</f>
        <v>69.3</v>
      </c>
      <c r="BD15" s="690">
        <f>Sales!BD84</f>
        <v>77</v>
      </c>
      <c r="BE15" s="671">
        <f>Sales!BE84</f>
        <v>250.10000000000002</v>
      </c>
      <c r="BF15" s="228">
        <f>Sales!BF84</f>
        <v>75</v>
      </c>
      <c r="BG15" s="228">
        <f>Sales!BG84</f>
        <v>75</v>
      </c>
      <c r="BH15" s="228">
        <f>Sales!BH84</f>
        <v>77</v>
      </c>
      <c r="BI15" s="228">
        <f>Sales!BI84</f>
        <v>78</v>
      </c>
      <c r="BJ15" s="671">
        <f>Sales!BJ84</f>
        <v>305</v>
      </c>
      <c r="BK15" s="228">
        <f>Sales!BK84</f>
        <v>0</v>
      </c>
      <c r="BL15" s="228">
        <f>Sales!BL84</f>
        <v>0</v>
      </c>
      <c r="BM15" s="228">
        <f>Sales!BM84</f>
        <v>0</v>
      </c>
      <c r="BN15" s="228">
        <f>Sales!BN84</f>
        <v>0</v>
      </c>
      <c r="BO15" s="671">
        <f>Sales!BO84</f>
        <v>314.15000000000003</v>
      </c>
      <c r="BP15" s="228">
        <f>Sales!BP84</f>
        <v>0</v>
      </c>
      <c r="BQ15" s="228">
        <f>Sales!BQ84</f>
        <v>0</v>
      </c>
      <c r="BR15" s="228">
        <f>Sales!BR84</f>
        <v>0</v>
      </c>
      <c r="BS15" s="228">
        <f>Sales!BS84</f>
        <v>0</v>
      </c>
      <c r="BT15" s="671">
        <f>Sales!BT84</f>
        <v>320.43300000000005</v>
      </c>
      <c r="BU15" s="228">
        <f>Sales!BU84</f>
        <v>0</v>
      </c>
      <c r="BV15" s="228">
        <f>Sales!BV84</f>
        <v>0</v>
      </c>
      <c r="BW15" s="228">
        <f>Sales!BW84</f>
        <v>0</v>
      </c>
      <c r="BX15" s="228">
        <f>Sales!BX84</f>
        <v>0</v>
      </c>
      <c r="BY15" s="671">
        <f>Sales!BY84</f>
        <v>326.84166000000005</v>
      </c>
      <c r="BZ15" s="228">
        <f>Sales!BZ84</f>
        <v>0</v>
      </c>
      <c r="CA15" s="228">
        <f>Sales!CA84</f>
        <v>0</v>
      </c>
      <c r="CB15" s="228">
        <f>Sales!CB84</f>
        <v>0</v>
      </c>
      <c r="CC15" s="228">
        <f>Sales!CC84</f>
        <v>0</v>
      </c>
      <c r="CD15" s="671">
        <f>Sales!CD84</f>
        <v>326.84166000000005</v>
      </c>
    </row>
    <row r="16" spans="1:83" s="691" customFormat="1" hidden="1" outlineLevel="1" x14ac:dyDescent="0.15">
      <c r="B16" s="674" t="str">
        <f>Sales!B87</f>
        <v>Total Women's Health (Addyi)</v>
      </c>
      <c r="C16" s="686">
        <f>Sales!C87</f>
        <v>0</v>
      </c>
      <c r="D16" s="687">
        <f>Sales!D87</f>
        <v>0</v>
      </c>
      <c r="E16" s="687">
        <f>Sales!E87</f>
        <v>0</v>
      </c>
      <c r="F16" s="687">
        <f>Sales!F87</f>
        <v>0</v>
      </c>
      <c r="G16" s="688">
        <f>Sales!G87</f>
        <v>0</v>
      </c>
      <c r="H16" s="687">
        <f>Sales!H87</f>
        <v>0</v>
      </c>
      <c r="I16" s="687">
        <f>Sales!I87</f>
        <v>0</v>
      </c>
      <c r="J16" s="687">
        <f>Sales!J87</f>
        <v>0</v>
      </c>
      <c r="K16" s="687">
        <f>Sales!K87</f>
        <v>0</v>
      </c>
      <c r="L16" s="688">
        <f>Sales!L87</f>
        <v>0</v>
      </c>
      <c r="M16" s="687">
        <f>Sales!M87</f>
        <v>0</v>
      </c>
      <c r="N16" s="687">
        <f>Sales!N87</f>
        <v>0</v>
      </c>
      <c r="O16" s="687">
        <f>Sales!O87</f>
        <v>0</v>
      </c>
      <c r="P16" s="687">
        <f>Sales!P87</f>
        <v>0</v>
      </c>
      <c r="Q16" s="688">
        <f>Sales!Q87</f>
        <v>0</v>
      </c>
      <c r="R16" s="687">
        <f>Sales!R87</f>
        <v>0</v>
      </c>
      <c r="S16" s="687">
        <f>Sales!S87</f>
        <v>0</v>
      </c>
      <c r="T16" s="687">
        <f>Sales!T87</f>
        <v>0</v>
      </c>
      <c r="U16" s="687">
        <f>Sales!U87</f>
        <v>0</v>
      </c>
      <c r="V16" s="688">
        <f>Sales!V87</f>
        <v>0</v>
      </c>
      <c r="W16" s="689">
        <f>Sales!W87</f>
        <v>0</v>
      </c>
      <c r="X16" s="682">
        <f>Sales!X87</f>
        <v>0</v>
      </c>
      <c r="Y16" s="682">
        <f>Sales!Y87</f>
        <v>0</v>
      </c>
      <c r="Z16" s="682">
        <f>Sales!Z87</f>
        <v>0</v>
      </c>
      <c r="AA16" s="679">
        <f>Sales!AA87</f>
        <v>0</v>
      </c>
      <c r="AB16" s="689">
        <f>Sales!AB87</f>
        <v>0</v>
      </c>
      <c r="AC16" s="689">
        <f>Sales!AC87</f>
        <v>0</v>
      </c>
      <c r="AD16" s="689">
        <f>Sales!AD87</f>
        <v>0</v>
      </c>
      <c r="AE16" s="689">
        <f>Sales!AE87</f>
        <v>0</v>
      </c>
      <c r="AF16" s="679">
        <f>Sales!AF87</f>
        <v>0</v>
      </c>
      <c r="AG16" s="689">
        <f>Sales!AG87</f>
        <v>0</v>
      </c>
      <c r="AH16" s="689">
        <f>Sales!AH87</f>
        <v>0</v>
      </c>
      <c r="AI16" s="689">
        <f>Sales!AI87</f>
        <v>0</v>
      </c>
      <c r="AJ16" s="689">
        <f>Sales!AJ87</f>
        <v>0</v>
      </c>
      <c r="AK16" s="679">
        <f>Sales!AK87</f>
        <v>0</v>
      </c>
      <c r="AL16" s="682">
        <f>Sales!AL87</f>
        <v>0</v>
      </c>
      <c r="AM16" s="682">
        <f>Sales!AM87</f>
        <v>0</v>
      </c>
      <c r="AN16" s="682">
        <f>Sales!AN87</f>
        <v>0</v>
      </c>
      <c r="AO16" s="682">
        <f>Sales!AO87</f>
        <v>0</v>
      </c>
      <c r="AP16" s="679">
        <f>Sales!AP87</f>
        <v>0</v>
      </c>
      <c r="AQ16" s="684">
        <f>Sales!AQ87</f>
        <v>0</v>
      </c>
      <c r="AR16" s="682">
        <f>Sales!AR87</f>
        <v>0</v>
      </c>
      <c r="AS16" s="685">
        <f>Sales!AS87</f>
        <v>0</v>
      </c>
      <c r="AT16" s="685">
        <f>Sales!AT87</f>
        <v>0</v>
      </c>
      <c r="AU16" s="679">
        <f>Sales!AU87</f>
        <v>0</v>
      </c>
      <c r="AV16" s="685">
        <f>Sales!AV87</f>
        <v>0</v>
      </c>
      <c r="AW16" s="685">
        <f>Sales!AW87</f>
        <v>0</v>
      </c>
      <c r="AX16" s="685">
        <f>Sales!AX87</f>
        <v>0</v>
      </c>
      <c r="AY16" s="685">
        <f>Sales!AY87</f>
        <v>0</v>
      </c>
      <c r="AZ16" s="671">
        <f>Sales!AZ87</f>
        <v>0</v>
      </c>
      <c r="BA16" s="685">
        <f>Sales!BA87</f>
        <v>0</v>
      </c>
      <c r="BB16" s="685">
        <f>Sales!BB87</f>
        <v>0</v>
      </c>
      <c r="BC16" s="690">
        <f>Sales!BC87</f>
        <v>0</v>
      </c>
      <c r="BD16" s="690">
        <f>Sales!BD87</f>
        <v>0</v>
      </c>
      <c r="BE16" s="671">
        <f>Sales!BE87</f>
        <v>0</v>
      </c>
      <c r="BF16" s="228">
        <f>Sales!BF87</f>
        <v>3</v>
      </c>
      <c r="BG16" s="228">
        <f>Sales!BG87</f>
        <v>5</v>
      </c>
      <c r="BH16" s="228">
        <f>Sales!BH87</f>
        <v>5</v>
      </c>
      <c r="BI16" s="228">
        <f>Sales!BI87</f>
        <v>10</v>
      </c>
      <c r="BJ16" s="671">
        <f>Sales!BJ87</f>
        <v>23</v>
      </c>
      <c r="BK16" s="228">
        <f>Sales!BK87</f>
        <v>0</v>
      </c>
      <c r="BL16" s="228">
        <f>Sales!BL87</f>
        <v>0</v>
      </c>
      <c r="BM16" s="228">
        <f>Sales!BM87</f>
        <v>0</v>
      </c>
      <c r="BN16" s="228">
        <f>Sales!BN87</f>
        <v>0</v>
      </c>
      <c r="BO16" s="671">
        <f>Sales!BO87</f>
        <v>34.5</v>
      </c>
      <c r="BP16" s="228">
        <f>Sales!BP87</f>
        <v>0</v>
      </c>
      <c r="BQ16" s="228">
        <f>Sales!BQ87</f>
        <v>0</v>
      </c>
      <c r="BR16" s="228">
        <f>Sales!BR87</f>
        <v>0</v>
      </c>
      <c r="BS16" s="228">
        <f>Sales!BS87</f>
        <v>0</v>
      </c>
      <c r="BT16" s="671">
        <f>Sales!BT87</f>
        <v>44.85</v>
      </c>
      <c r="BU16" s="228">
        <f>Sales!BU87</f>
        <v>0</v>
      </c>
      <c r="BV16" s="228">
        <f>Sales!BV87</f>
        <v>0</v>
      </c>
      <c r="BW16" s="228">
        <f>Sales!BW87</f>
        <v>0</v>
      </c>
      <c r="BX16" s="228">
        <f>Sales!BX87</f>
        <v>0</v>
      </c>
      <c r="BY16" s="671">
        <f>Sales!BY87</f>
        <v>56.0625</v>
      </c>
      <c r="BZ16" s="228">
        <f>Sales!BZ87</f>
        <v>0</v>
      </c>
      <c r="CA16" s="228">
        <f>Sales!CA87</f>
        <v>0</v>
      </c>
      <c r="CB16" s="228">
        <f>Sales!CB87</f>
        <v>0</v>
      </c>
      <c r="CC16" s="228">
        <f>Sales!CC87</f>
        <v>0</v>
      </c>
      <c r="CD16" s="671">
        <f>Sales!CD87</f>
        <v>67.274999999999991</v>
      </c>
    </row>
    <row r="17" spans="1:83" s="198" customFormat="1" x14ac:dyDescent="0.15">
      <c r="A17" s="12"/>
      <c r="B17" s="574" t="s">
        <v>76</v>
      </c>
      <c r="C17" s="269"/>
      <c r="D17" s="269"/>
      <c r="E17" s="269"/>
      <c r="F17" s="269"/>
      <c r="G17" s="270"/>
      <c r="H17" s="269"/>
      <c r="I17" s="269"/>
      <c r="J17" s="269"/>
      <c r="K17" s="269"/>
      <c r="L17" s="270"/>
      <c r="M17" s="269"/>
      <c r="N17" s="269"/>
      <c r="O17" s="269"/>
      <c r="P17" s="269"/>
      <c r="Q17" s="270"/>
      <c r="R17" s="269"/>
      <c r="S17" s="269"/>
      <c r="T17" s="269"/>
      <c r="U17" s="269"/>
      <c r="V17" s="271"/>
      <c r="W17" s="272"/>
      <c r="X17" s="272"/>
      <c r="Y17" s="272"/>
      <c r="Z17" s="272"/>
      <c r="AA17" s="271"/>
      <c r="AB17" s="272"/>
      <c r="AC17" s="272"/>
      <c r="AD17" s="272"/>
      <c r="AE17" s="272"/>
      <c r="AF17" s="271"/>
      <c r="AG17" s="272"/>
      <c r="AH17" s="272"/>
      <c r="AI17" s="272"/>
      <c r="AJ17" s="272"/>
      <c r="AK17" s="271"/>
      <c r="AL17" s="272"/>
      <c r="AM17" s="272"/>
      <c r="AN17" s="272"/>
      <c r="AO17" s="272"/>
      <c r="AP17" s="273"/>
      <c r="AQ17" s="274"/>
      <c r="AR17" s="269"/>
      <c r="AS17" s="275"/>
      <c r="AT17" s="275"/>
      <c r="AU17" s="276"/>
      <c r="AV17" s="275"/>
      <c r="AW17" s="275"/>
      <c r="AX17" s="275"/>
      <c r="AY17" s="275"/>
      <c r="AZ17" s="692"/>
      <c r="BA17" s="507"/>
      <c r="BB17" s="507"/>
      <c r="BC17" s="507"/>
      <c r="BD17" s="507"/>
      <c r="BE17" s="692">
        <v>0.46</v>
      </c>
      <c r="BF17" s="693"/>
      <c r="BG17" s="693"/>
      <c r="BH17" s="693"/>
      <c r="BI17" s="693"/>
      <c r="BJ17" s="692">
        <v>0.48</v>
      </c>
      <c r="BK17" s="693"/>
      <c r="BL17" s="693"/>
      <c r="BM17" s="693"/>
      <c r="BN17" s="693"/>
      <c r="BO17" s="692">
        <v>0.48</v>
      </c>
      <c r="BP17" s="693"/>
      <c r="BQ17" s="693"/>
      <c r="BR17" s="693"/>
      <c r="BS17" s="693"/>
      <c r="BT17" s="692">
        <v>0.49</v>
      </c>
      <c r="BU17" s="693"/>
      <c r="BV17" s="693"/>
      <c r="BW17" s="693"/>
      <c r="BX17" s="693"/>
      <c r="BY17" s="692">
        <v>0.5</v>
      </c>
      <c r="BZ17" s="693"/>
      <c r="CA17" s="693"/>
      <c r="CB17" s="693"/>
      <c r="CC17" s="693"/>
      <c r="CD17" s="692">
        <v>0.5</v>
      </c>
      <c r="CE17" s="12"/>
    </row>
    <row r="18" spans="1:83" s="198" customFormat="1" x14ac:dyDescent="0.15">
      <c r="A18" s="12"/>
      <c r="B18" s="268" t="s">
        <v>229</v>
      </c>
      <c r="C18" s="269"/>
      <c r="D18" s="269"/>
      <c r="E18" s="269"/>
      <c r="F18" s="269"/>
      <c r="G18" s="270"/>
      <c r="H18" s="269"/>
      <c r="I18" s="269"/>
      <c r="J18" s="269"/>
      <c r="K18" s="269"/>
      <c r="L18" s="270"/>
      <c r="M18" s="269"/>
      <c r="N18" s="269"/>
      <c r="O18" s="269"/>
      <c r="P18" s="269"/>
      <c r="Q18" s="270"/>
      <c r="R18" s="269"/>
      <c r="S18" s="269"/>
      <c r="T18" s="269"/>
      <c r="U18" s="269"/>
      <c r="V18" s="271"/>
      <c r="W18" s="272"/>
      <c r="X18" s="272"/>
      <c r="Y18" s="272"/>
      <c r="Z18" s="272"/>
      <c r="AA18" s="271"/>
      <c r="AB18" s="272"/>
      <c r="AC18" s="272"/>
      <c r="AD18" s="272"/>
      <c r="AE18" s="272"/>
      <c r="AF18" s="271"/>
      <c r="AG18" s="272"/>
      <c r="AH18" s="272"/>
      <c r="AI18" s="272"/>
      <c r="AJ18" s="272"/>
      <c r="AK18" s="271"/>
      <c r="AL18" s="272"/>
      <c r="AM18" s="272"/>
      <c r="AN18" s="272"/>
      <c r="AO18" s="272"/>
      <c r="AP18" s="273"/>
      <c r="AQ18" s="274"/>
      <c r="AR18" s="269"/>
      <c r="AS18" s="275"/>
      <c r="AT18" s="275"/>
      <c r="AU18" s="276"/>
      <c r="AV18" s="275"/>
      <c r="AW18" s="275"/>
      <c r="AX18" s="275"/>
      <c r="AY18" s="275"/>
      <c r="AZ18" s="277">
        <f>AZ9*AZ17</f>
        <v>0</v>
      </c>
      <c r="BA18" s="275"/>
      <c r="BB18" s="275"/>
      <c r="BC18" s="275"/>
      <c r="BD18" s="275"/>
      <c r="BE18" s="277">
        <f>BE9*BE17</f>
        <v>913.65199999999993</v>
      </c>
      <c r="BF18" s="191"/>
      <c r="BG18" s="191"/>
      <c r="BH18" s="191"/>
      <c r="BI18" s="191"/>
      <c r="BJ18" s="277">
        <f>BJ9*BJ17</f>
        <v>1041.5999999999999</v>
      </c>
      <c r="BK18" s="191"/>
      <c r="BL18" s="191"/>
      <c r="BM18" s="191"/>
      <c r="BN18" s="191"/>
      <c r="BO18" s="277">
        <f>BO9*BO17</f>
        <v>1158.9408000000001</v>
      </c>
      <c r="BP18" s="191"/>
      <c r="BQ18" s="191"/>
      <c r="BR18" s="191"/>
      <c r="BS18" s="191"/>
      <c r="BT18" s="277">
        <f>BT9*BT17</f>
        <v>1280.981716</v>
      </c>
      <c r="BU18" s="191"/>
      <c r="BV18" s="191"/>
      <c r="BW18" s="191"/>
      <c r="BX18" s="191"/>
      <c r="BY18" s="277">
        <f>BY9*BY17</f>
        <v>1416.4626940000001</v>
      </c>
      <c r="BZ18" s="191"/>
      <c r="CA18" s="191"/>
      <c r="CB18" s="191"/>
      <c r="CC18" s="191"/>
      <c r="CD18" s="277">
        <f>CD9*CD17</f>
        <v>1509.6100776400003</v>
      </c>
      <c r="CE18" s="12"/>
    </row>
    <row r="19" spans="1:83" s="198" customFormat="1" hidden="1" x14ac:dyDescent="0.15">
      <c r="A19" s="12"/>
      <c r="B19" s="268" t="s">
        <v>83</v>
      </c>
      <c r="C19" s="269"/>
      <c r="D19" s="269"/>
      <c r="E19" s="269"/>
      <c r="F19" s="269"/>
      <c r="G19" s="270"/>
      <c r="H19" s="269"/>
      <c r="I19" s="269"/>
      <c r="J19" s="269"/>
      <c r="K19" s="269"/>
      <c r="L19" s="270"/>
      <c r="M19" s="269"/>
      <c r="N19" s="269"/>
      <c r="O19" s="269"/>
      <c r="P19" s="269"/>
      <c r="Q19" s="270"/>
      <c r="R19" s="269"/>
      <c r="S19" s="269"/>
      <c r="T19" s="269"/>
      <c r="U19" s="269"/>
      <c r="V19" s="271"/>
      <c r="W19" s="272"/>
      <c r="X19" s="272"/>
      <c r="Y19" s="272"/>
      <c r="Z19" s="272"/>
      <c r="AA19" s="271"/>
      <c r="AB19" s="272"/>
      <c r="AC19" s="272"/>
      <c r="AD19" s="272"/>
      <c r="AE19" s="272"/>
      <c r="AF19" s="271"/>
      <c r="AG19" s="272"/>
      <c r="AH19" s="272"/>
      <c r="AI19" s="272"/>
      <c r="AJ19" s="272"/>
      <c r="AK19" s="271"/>
      <c r="AL19" s="272"/>
      <c r="AM19" s="272"/>
      <c r="AN19" s="272"/>
      <c r="AO19" s="272"/>
      <c r="AP19" s="273"/>
      <c r="AQ19" s="274"/>
      <c r="AR19" s="269"/>
      <c r="AS19" s="275"/>
      <c r="AT19" s="275"/>
      <c r="AU19" s="276"/>
      <c r="AV19" s="275"/>
      <c r="AW19" s="275"/>
      <c r="AX19" s="275"/>
      <c r="AY19" s="275"/>
      <c r="AZ19" s="277"/>
      <c r="BA19" s="275"/>
      <c r="BB19" s="275"/>
      <c r="BC19" s="275"/>
      <c r="BD19" s="275"/>
      <c r="BE19" s="277"/>
      <c r="BF19" s="191"/>
      <c r="BG19" s="191"/>
      <c r="BH19" s="191"/>
      <c r="BI19" s="191"/>
      <c r="BJ19" s="277"/>
      <c r="BK19" s="191"/>
      <c r="BL19" s="191"/>
      <c r="BM19" s="191"/>
      <c r="BN19" s="191"/>
      <c r="BO19" s="277"/>
      <c r="BP19" s="191"/>
      <c r="BQ19" s="191"/>
      <c r="BR19" s="191"/>
      <c r="BS19" s="191"/>
      <c r="BT19" s="277"/>
      <c r="BU19" s="191"/>
      <c r="BV19" s="191"/>
      <c r="BW19" s="191"/>
      <c r="BX19" s="191"/>
      <c r="BY19" s="277"/>
      <c r="BZ19" s="191"/>
      <c r="CA19" s="191"/>
      <c r="CB19" s="191"/>
      <c r="CC19" s="191"/>
      <c r="CD19" s="277"/>
      <c r="CE19" s="12"/>
    </row>
    <row r="20" spans="1:83" s="198" customFormat="1" hidden="1" x14ac:dyDescent="0.15">
      <c r="A20" s="12"/>
      <c r="B20" s="268" t="s">
        <v>84</v>
      </c>
      <c r="C20" s="269"/>
      <c r="D20" s="269"/>
      <c r="E20" s="269"/>
      <c r="F20" s="269"/>
      <c r="G20" s="270"/>
      <c r="H20" s="269"/>
      <c r="I20" s="269"/>
      <c r="J20" s="269"/>
      <c r="K20" s="269"/>
      <c r="L20" s="270"/>
      <c r="M20" s="269"/>
      <c r="N20" s="269"/>
      <c r="O20" s="269"/>
      <c r="P20" s="269"/>
      <c r="Q20" s="270"/>
      <c r="R20" s="269"/>
      <c r="S20" s="269"/>
      <c r="T20" s="269"/>
      <c r="U20" s="269"/>
      <c r="V20" s="271"/>
      <c r="W20" s="272"/>
      <c r="X20" s="272"/>
      <c r="Y20" s="272"/>
      <c r="Z20" s="272"/>
      <c r="AA20" s="271"/>
      <c r="AB20" s="272"/>
      <c r="AC20" s="272"/>
      <c r="AD20" s="272"/>
      <c r="AE20" s="272"/>
      <c r="AF20" s="271"/>
      <c r="AG20" s="272"/>
      <c r="AH20" s="272"/>
      <c r="AI20" s="272"/>
      <c r="AJ20" s="272"/>
      <c r="AK20" s="271"/>
      <c r="AL20" s="272"/>
      <c r="AM20" s="272"/>
      <c r="AN20" s="272"/>
      <c r="AO20" s="272"/>
      <c r="AP20" s="273"/>
      <c r="AQ20" s="274"/>
      <c r="AR20" s="269"/>
      <c r="AS20" s="275"/>
      <c r="AT20" s="275"/>
      <c r="AU20" s="276"/>
      <c r="AV20" s="275"/>
      <c r="AW20" s="275"/>
      <c r="AX20" s="275"/>
      <c r="AY20" s="275"/>
      <c r="AZ20" s="277"/>
      <c r="BA20" s="275"/>
      <c r="BB20" s="275"/>
      <c r="BC20" s="275"/>
      <c r="BD20" s="275"/>
      <c r="BE20" s="277"/>
      <c r="BF20" s="191"/>
      <c r="BG20" s="191"/>
      <c r="BH20" s="191"/>
      <c r="BI20" s="191"/>
      <c r="BJ20" s="277"/>
      <c r="BK20" s="191"/>
      <c r="BL20" s="191"/>
      <c r="BM20" s="191"/>
      <c r="BN20" s="191"/>
      <c r="BO20" s="277"/>
      <c r="BP20" s="191"/>
      <c r="BQ20" s="191"/>
      <c r="BR20" s="191"/>
      <c r="BS20" s="191"/>
      <c r="BT20" s="277"/>
      <c r="BU20" s="191"/>
      <c r="BV20" s="191"/>
      <c r="BW20" s="191"/>
      <c r="BX20" s="191"/>
      <c r="BY20" s="277"/>
      <c r="BZ20" s="191"/>
      <c r="CA20" s="191"/>
      <c r="CB20" s="191"/>
      <c r="CC20" s="191"/>
      <c r="CD20" s="277"/>
      <c r="CE20" s="12"/>
    </row>
    <row r="21" spans="1:83" s="198" customFormat="1" hidden="1" x14ac:dyDescent="0.15">
      <c r="A21" s="12"/>
      <c r="B21" s="268" t="s">
        <v>230</v>
      </c>
      <c r="C21" s="269"/>
      <c r="D21" s="269"/>
      <c r="E21" s="269"/>
      <c r="F21" s="269"/>
      <c r="G21" s="270"/>
      <c r="H21" s="269"/>
      <c r="I21" s="269"/>
      <c r="J21" s="269"/>
      <c r="K21" s="269"/>
      <c r="L21" s="270"/>
      <c r="M21" s="269"/>
      <c r="N21" s="269"/>
      <c r="O21" s="269"/>
      <c r="P21" s="269"/>
      <c r="Q21" s="270"/>
      <c r="R21" s="269"/>
      <c r="S21" s="269"/>
      <c r="T21" s="269"/>
      <c r="U21" s="269"/>
      <c r="V21" s="271"/>
      <c r="W21" s="272"/>
      <c r="X21" s="272"/>
      <c r="Y21" s="272"/>
      <c r="Z21" s="272"/>
      <c r="AA21" s="271"/>
      <c r="AB21" s="272"/>
      <c r="AC21" s="272"/>
      <c r="AD21" s="272"/>
      <c r="AE21" s="272"/>
      <c r="AF21" s="271"/>
      <c r="AG21" s="272"/>
      <c r="AH21" s="272"/>
      <c r="AI21" s="272"/>
      <c r="AJ21" s="272"/>
      <c r="AK21" s="271"/>
      <c r="AL21" s="272"/>
      <c r="AM21" s="272"/>
      <c r="AN21" s="272"/>
      <c r="AO21" s="272"/>
      <c r="AP21" s="273"/>
      <c r="AQ21" s="274"/>
      <c r="AR21" s="269"/>
      <c r="AS21" s="275"/>
      <c r="AT21" s="275"/>
      <c r="AU21" s="276"/>
      <c r="AV21" s="275"/>
      <c r="AW21" s="275"/>
      <c r="AX21" s="275"/>
      <c r="AY21" s="275"/>
      <c r="AZ21" s="277"/>
      <c r="BA21" s="275"/>
      <c r="BB21" s="275"/>
      <c r="BC21" s="275"/>
      <c r="BD21" s="275"/>
      <c r="BE21" s="277"/>
      <c r="BF21" s="191"/>
      <c r="BG21" s="191"/>
      <c r="BH21" s="191"/>
      <c r="BI21" s="191"/>
      <c r="BJ21" s="277"/>
      <c r="BK21" s="191"/>
      <c r="BL21" s="191"/>
      <c r="BM21" s="191"/>
      <c r="BN21" s="191"/>
      <c r="BO21" s="277"/>
      <c r="BP21" s="191"/>
      <c r="BQ21" s="191"/>
      <c r="BR21" s="191"/>
      <c r="BS21" s="191"/>
      <c r="BT21" s="277"/>
      <c r="BU21" s="191"/>
      <c r="BV21" s="191"/>
      <c r="BW21" s="191"/>
      <c r="BX21" s="191"/>
      <c r="BY21" s="277"/>
      <c r="BZ21" s="191"/>
      <c r="CA21" s="191"/>
      <c r="CB21" s="191"/>
      <c r="CC21" s="191"/>
      <c r="CD21" s="277"/>
      <c r="CE21" s="12"/>
    </row>
    <row r="22" spans="1:83" s="198" customFormat="1" x14ac:dyDescent="0.15">
      <c r="A22" s="12"/>
      <c r="B22" s="268" t="s">
        <v>231</v>
      </c>
      <c r="C22" s="269"/>
      <c r="D22" s="269"/>
      <c r="E22" s="269"/>
      <c r="F22" s="269"/>
      <c r="G22" s="270"/>
      <c r="H22" s="269"/>
      <c r="I22" s="269"/>
      <c r="J22" s="269"/>
      <c r="K22" s="269"/>
      <c r="L22" s="270"/>
      <c r="M22" s="269"/>
      <c r="N22" s="269"/>
      <c r="O22" s="269"/>
      <c r="P22" s="269"/>
      <c r="Q22" s="270"/>
      <c r="R22" s="269"/>
      <c r="S22" s="269"/>
      <c r="T22" s="269"/>
      <c r="U22" s="269"/>
      <c r="V22" s="271"/>
      <c r="W22" s="272"/>
      <c r="X22" s="272"/>
      <c r="Y22" s="272"/>
      <c r="Z22" s="272"/>
      <c r="AA22" s="271"/>
      <c r="AB22" s="272"/>
      <c r="AC22" s="272"/>
      <c r="AD22" s="272"/>
      <c r="AE22" s="272"/>
      <c r="AF22" s="271"/>
      <c r="AG22" s="272"/>
      <c r="AH22" s="272"/>
      <c r="AI22" s="272"/>
      <c r="AJ22" s="272"/>
      <c r="AK22" s="271"/>
      <c r="AL22" s="272"/>
      <c r="AM22" s="272"/>
      <c r="AN22" s="272"/>
      <c r="AO22" s="272"/>
      <c r="AP22" s="273"/>
      <c r="AQ22" s="274"/>
      <c r="AR22" s="269"/>
      <c r="AS22" s="275"/>
      <c r="AT22" s="275"/>
      <c r="AU22" s="276"/>
      <c r="AV22" s="275"/>
      <c r="AW22" s="275"/>
      <c r="AX22" s="275"/>
      <c r="AY22" s="275"/>
      <c r="AZ22" s="277"/>
      <c r="BA22" s="275"/>
      <c r="BB22" s="275"/>
      <c r="BC22" s="275"/>
      <c r="BD22" s="275"/>
      <c r="BE22" s="277">
        <f>BE18+(BE18/BE$80*BE$81)</f>
        <v>947.49827432185566</v>
      </c>
      <c r="BF22" s="191"/>
      <c r="BG22" s="191"/>
      <c r="BH22" s="191"/>
      <c r="BI22" s="191"/>
      <c r="BJ22" s="277">
        <f>BJ18+(BJ18/BJ$80*BJ$81)</f>
        <v>1081.7367216500197</v>
      </c>
      <c r="BK22" s="191"/>
      <c r="BL22" s="191"/>
      <c r="BM22" s="191"/>
      <c r="BN22" s="191"/>
      <c r="BO22" s="277">
        <f>BO18+(BO18/BO$80*BO$81)</f>
        <v>1200.0840870381144</v>
      </c>
      <c r="BP22" s="191"/>
      <c r="BQ22" s="191"/>
      <c r="BR22" s="191"/>
      <c r="BS22" s="191"/>
      <c r="BT22" s="277">
        <f>BT18+(BT18/BT$80*BT$81)</f>
        <v>1323.1454661425505</v>
      </c>
      <c r="BU22" s="191"/>
      <c r="BV22" s="191"/>
      <c r="BW22" s="191"/>
      <c r="BX22" s="191"/>
      <c r="BY22" s="277">
        <f>BY18+(BY18/BY$80*BY$81)</f>
        <v>1459.5678555092406</v>
      </c>
      <c r="BZ22" s="191"/>
      <c r="CA22" s="191"/>
      <c r="CB22" s="191"/>
      <c r="CC22" s="191"/>
      <c r="CD22" s="277">
        <f>CD18+(CD18/CD$80*CD$81)</f>
        <v>1553.1261232194317</v>
      </c>
      <c r="CE22" s="12"/>
    </row>
    <row r="23" spans="1:83" s="198" customFormat="1" x14ac:dyDescent="0.15">
      <c r="A23" s="12"/>
      <c r="B23" s="268"/>
      <c r="C23" s="269"/>
      <c r="D23" s="269"/>
      <c r="E23" s="269"/>
      <c r="F23" s="269"/>
      <c r="G23" s="270"/>
      <c r="H23" s="269"/>
      <c r="I23" s="269"/>
      <c r="J23" s="269"/>
      <c r="K23" s="269"/>
      <c r="L23" s="270"/>
      <c r="M23" s="269"/>
      <c r="N23" s="269"/>
      <c r="O23" s="269"/>
      <c r="P23" s="269"/>
      <c r="Q23" s="270"/>
      <c r="R23" s="269"/>
      <c r="S23" s="269"/>
      <c r="T23" s="269"/>
      <c r="U23" s="269"/>
      <c r="V23" s="271"/>
      <c r="W23" s="272"/>
      <c r="X23" s="272"/>
      <c r="Y23" s="272"/>
      <c r="Z23" s="272"/>
      <c r="AA23" s="271"/>
      <c r="AB23" s="272"/>
      <c r="AC23" s="272"/>
      <c r="AD23" s="272"/>
      <c r="AE23" s="272"/>
      <c r="AF23" s="271"/>
      <c r="AG23" s="272"/>
      <c r="AH23" s="272"/>
      <c r="AI23" s="272"/>
      <c r="AJ23" s="272"/>
      <c r="AK23" s="271"/>
      <c r="AL23" s="272"/>
      <c r="AM23" s="272"/>
      <c r="AN23" s="272"/>
      <c r="AO23" s="272"/>
      <c r="AP23" s="273"/>
      <c r="AQ23" s="274"/>
      <c r="AR23" s="269"/>
      <c r="AS23" s="275"/>
      <c r="AT23" s="275"/>
      <c r="AU23" s="276"/>
      <c r="AV23" s="275"/>
      <c r="AW23" s="275"/>
      <c r="AX23" s="275"/>
      <c r="AY23" s="275"/>
      <c r="AZ23" s="277"/>
      <c r="BA23" s="275"/>
      <c r="BB23" s="275"/>
      <c r="BC23" s="275"/>
      <c r="BD23" s="275"/>
      <c r="BE23" s="277"/>
      <c r="BF23" s="191"/>
      <c r="BG23" s="191"/>
      <c r="BH23" s="191"/>
      <c r="BI23" s="191"/>
      <c r="BJ23" s="277"/>
      <c r="BK23" s="191"/>
      <c r="BL23" s="191"/>
      <c r="BM23" s="191"/>
      <c r="BN23" s="191"/>
      <c r="BO23" s="277"/>
      <c r="BP23" s="191"/>
      <c r="BQ23" s="191"/>
      <c r="BR23" s="191"/>
      <c r="BS23" s="191"/>
      <c r="BT23" s="277"/>
      <c r="BU23" s="191"/>
      <c r="BV23" s="191"/>
      <c r="BW23" s="191"/>
      <c r="BX23" s="191"/>
      <c r="BY23" s="277"/>
      <c r="BZ23" s="191"/>
      <c r="CA23" s="191"/>
      <c r="CB23" s="191"/>
      <c r="CC23" s="191"/>
      <c r="CD23" s="277"/>
      <c r="CE23" s="12"/>
    </row>
    <row r="24" spans="1:83" s="198" customFormat="1" x14ac:dyDescent="0.15">
      <c r="A24" s="12"/>
      <c r="B24" s="268"/>
      <c r="C24" s="269"/>
      <c r="D24" s="269"/>
      <c r="E24" s="269"/>
      <c r="F24" s="269"/>
      <c r="G24" s="270"/>
      <c r="H24" s="269"/>
      <c r="I24" s="269"/>
      <c r="J24" s="269"/>
      <c r="K24" s="269"/>
      <c r="L24" s="270"/>
      <c r="M24" s="269"/>
      <c r="N24" s="269"/>
      <c r="O24" s="269"/>
      <c r="P24" s="269"/>
      <c r="Q24" s="270"/>
      <c r="R24" s="269"/>
      <c r="S24" s="269"/>
      <c r="T24" s="269"/>
      <c r="U24" s="269"/>
      <c r="V24" s="271"/>
      <c r="W24" s="272"/>
      <c r="X24" s="272"/>
      <c r="Y24" s="272"/>
      <c r="Z24" s="272"/>
      <c r="AA24" s="271"/>
      <c r="AB24" s="272"/>
      <c r="AC24" s="272"/>
      <c r="AD24" s="272"/>
      <c r="AE24" s="272"/>
      <c r="AF24" s="271"/>
      <c r="AG24" s="272"/>
      <c r="AH24" s="272"/>
      <c r="AI24" s="272"/>
      <c r="AJ24" s="272"/>
      <c r="AK24" s="271"/>
      <c r="AL24" s="272"/>
      <c r="AM24" s="272"/>
      <c r="AN24" s="272"/>
      <c r="AO24" s="272"/>
      <c r="AP24" s="273"/>
      <c r="AQ24" s="274"/>
      <c r="AR24" s="269"/>
      <c r="AS24" s="275"/>
      <c r="AT24" s="275"/>
      <c r="AU24" s="276"/>
      <c r="AV24" s="275"/>
      <c r="AW24" s="275"/>
      <c r="AX24" s="275"/>
      <c r="AY24" s="275"/>
      <c r="AZ24" s="277"/>
      <c r="BA24" s="275"/>
      <c r="BB24" s="275"/>
      <c r="BC24" s="275"/>
      <c r="BD24" s="275"/>
      <c r="BE24" s="277"/>
      <c r="BF24" s="191"/>
      <c r="BG24" s="191"/>
      <c r="BH24" s="191"/>
      <c r="BI24" s="191"/>
      <c r="BJ24" s="277"/>
      <c r="BK24" s="191"/>
      <c r="BL24" s="191"/>
      <c r="BM24" s="191"/>
      <c r="BN24" s="191"/>
      <c r="BO24" s="277"/>
      <c r="BP24" s="191"/>
      <c r="BQ24" s="191"/>
      <c r="BR24" s="191"/>
      <c r="BS24" s="191"/>
      <c r="BT24" s="277"/>
      <c r="BU24" s="191"/>
      <c r="BV24" s="191"/>
      <c r="BW24" s="191"/>
      <c r="BX24" s="191"/>
      <c r="BY24" s="277"/>
      <c r="BZ24" s="191"/>
      <c r="CA24" s="191"/>
      <c r="CB24" s="191"/>
      <c r="CC24" s="191"/>
      <c r="CD24" s="277"/>
      <c r="CE24" s="12"/>
    </row>
    <row r="25" spans="1:83" s="355" customFormat="1" ht="13" x14ac:dyDescent="0.15">
      <c r="A25" s="349"/>
      <c r="B25" s="664" t="str">
        <f>Sales!B113</f>
        <v>Total Gastrointestinal (Salix)</v>
      </c>
      <c r="C25" s="686">
        <f>Sales!C113</f>
        <v>0</v>
      </c>
      <c r="D25" s="687">
        <f>Sales!D113</f>
        <v>0</v>
      </c>
      <c r="E25" s="687">
        <f>Sales!E113</f>
        <v>0</v>
      </c>
      <c r="F25" s="687">
        <f>Sales!F113</f>
        <v>0</v>
      </c>
      <c r="G25" s="688">
        <f>Sales!G113</f>
        <v>0</v>
      </c>
      <c r="H25" s="687">
        <f>Sales!H113</f>
        <v>0</v>
      </c>
      <c r="I25" s="687">
        <f>Sales!I113</f>
        <v>0</v>
      </c>
      <c r="J25" s="687">
        <f>Sales!J113</f>
        <v>0</v>
      </c>
      <c r="K25" s="687">
        <f>Sales!K113</f>
        <v>0</v>
      </c>
      <c r="L25" s="688">
        <f>Sales!L113</f>
        <v>0</v>
      </c>
      <c r="M25" s="687">
        <f>Sales!M113</f>
        <v>0</v>
      </c>
      <c r="N25" s="687">
        <f>Sales!N113</f>
        <v>0</v>
      </c>
      <c r="O25" s="687">
        <f>Sales!O113</f>
        <v>0</v>
      </c>
      <c r="P25" s="687">
        <f>Sales!P113</f>
        <v>0</v>
      </c>
      <c r="Q25" s="688">
        <f>Sales!Q113</f>
        <v>0</v>
      </c>
      <c r="R25" s="687">
        <f>Sales!R113</f>
        <v>0</v>
      </c>
      <c r="S25" s="687">
        <f>Sales!S113</f>
        <v>0</v>
      </c>
      <c r="T25" s="687">
        <f>Sales!T113</f>
        <v>0</v>
      </c>
      <c r="U25" s="687">
        <f>Sales!U113</f>
        <v>0</v>
      </c>
      <c r="V25" s="688">
        <f>Sales!V113</f>
        <v>0</v>
      </c>
      <c r="W25" s="689">
        <f>Sales!W113</f>
        <v>0</v>
      </c>
      <c r="X25" s="682">
        <f>Sales!X113</f>
        <v>0</v>
      </c>
      <c r="Y25" s="682">
        <f>Sales!Y113</f>
        <v>0</v>
      </c>
      <c r="Z25" s="682">
        <f>Sales!Z113</f>
        <v>0</v>
      </c>
      <c r="AA25" s="679">
        <f>Sales!AA113</f>
        <v>0</v>
      </c>
      <c r="AB25" s="689">
        <f>Sales!AB113</f>
        <v>0</v>
      </c>
      <c r="AC25" s="689">
        <f>Sales!AC113</f>
        <v>0</v>
      </c>
      <c r="AD25" s="689">
        <f>Sales!AD113</f>
        <v>0</v>
      </c>
      <c r="AE25" s="689">
        <f>Sales!AE113</f>
        <v>0</v>
      </c>
      <c r="AF25" s="679">
        <f>Sales!AF113</f>
        <v>0</v>
      </c>
      <c r="AG25" s="689">
        <f>Sales!AG113</f>
        <v>0</v>
      </c>
      <c r="AH25" s="689">
        <f>Sales!AH113</f>
        <v>0</v>
      </c>
      <c r="AI25" s="689">
        <f>Sales!AI113</f>
        <v>0</v>
      </c>
      <c r="AJ25" s="689">
        <f>Sales!AJ113</f>
        <v>0</v>
      </c>
      <c r="AK25" s="679">
        <f>Sales!AK113</f>
        <v>0</v>
      </c>
      <c r="AL25" s="682">
        <f>Sales!AL113</f>
        <v>0</v>
      </c>
      <c r="AM25" s="682">
        <f>Sales!AM113</f>
        <v>0</v>
      </c>
      <c r="AN25" s="682">
        <f>Sales!AN113</f>
        <v>0</v>
      </c>
      <c r="AO25" s="682">
        <f>Sales!AO113</f>
        <v>0</v>
      </c>
      <c r="AP25" s="679">
        <f>Sales!AP113</f>
        <v>0</v>
      </c>
      <c r="AQ25" s="684">
        <f>Sales!AQ113</f>
        <v>0</v>
      </c>
      <c r="AR25" s="682">
        <f>Sales!AR113</f>
        <v>0</v>
      </c>
      <c r="AS25" s="670">
        <f>Sales!AS113</f>
        <v>0</v>
      </c>
      <c r="AT25" s="670">
        <f>Sales!AT113</f>
        <v>0</v>
      </c>
      <c r="AU25" s="679">
        <f>Sales!AU113</f>
        <v>0</v>
      </c>
      <c r="AV25" s="670">
        <f>Sales!AV113</f>
        <v>0</v>
      </c>
      <c r="AW25" s="670">
        <f>Sales!AW113</f>
        <v>0</v>
      </c>
      <c r="AX25" s="670">
        <f>Sales!AX113</f>
        <v>0</v>
      </c>
      <c r="AY25" s="670">
        <f>Sales!AY113</f>
        <v>0</v>
      </c>
      <c r="AZ25" s="672">
        <f>Sales!AZ113</f>
        <v>0</v>
      </c>
      <c r="BA25" s="670">
        <f>Sales!BA113</f>
        <v>0</v>
      </c>
      <c r="BB25" s="670">
        <f>Sales!BB113</f>
        <v>313.3</v>
      </c>
      <c r="BC25" s="690">
        <f>Sales!BC113</f>
        <v>462.8</v>
      </c>
      <c r="BD25" s="690">
        <f>Sales!BD113</f>
        <v>509</v>
      </c>
      <c r="BE25" s="672">
        <f>Sales!BE113</f>
        <v>1285.0999999999999</v>
      </c>
      <c r="BF25" s="228">
        <f>Sales!BF113</f>
        <v>447</v>
      </c>
      <c r="BG25" s="228">
        <f>Sales!BG113</f>
        <v>522</v>
      </c>
      <c r="BH25" s="228">
        <f>Sales!BH113</f>
        <v>575</v>
      </c>
      <c r="BI25" s="228">
        <f>Sales!BI113</f>
        <v>610</v>
      </c>
      <c r="BJ25" s="672">
        <f>Sales!BJ113</f>
        <v>2154</v>
      </c>
      <c r="BK25" s="228">
        <f>Sales!BK113</f>
        <v>0</v>
      </c>
      <c r="BL25" s="228">
        <f>Sales!BL113</f>
        <v>0</v>
      </c>
      <c r="BM25" s="228">
        <f>Sales!BM113</f>
        <v>0</v>
      </c>
      <c r="BN25" s="228">
        <f>Sales!BN113</f>
        <v>0</v>
      </c>
      <c r="BO25" s="672">
        <f>Sales!BO113</f>
        <v>2504.77</v>
      </c>
      <c r="BP25" s="228">
        <f>Sales!BP113</f>
        <v>0</v>
      </c>
      <c r="BQ25" s="228">
        <f>Sales!BQ113</f>
        <v>0</v>
      </c>
      <c r="BR25" s="228">
        <f>Sales!BR113</f>
        <v>0</v>
      </c>
      <c r="BS25" s="228">
        <f>Sales!BS113</f>
        <v>0</v>
      </c>
      <c r="BT25" s="672">
        <f>Sales!BT113</f>
        <v>2797.9175</v>
      </c>
      <c r="BU25" s="228">
        <f>Sales!BU113</f>
        <v>0</v>
      </c>
      <c r="BV25" s="228">
        <f>Sales!BV113</f>
        <v>0</v>
      </c>
      <c r="BW25" s="228">
        <f>Sales!BW113</f>
        <v>0</v>
      </c>
      <c r="BX25" s="228">
        <f>Sales!BX113</f>
        <v>0</v>
      </c>
      <c r="BY25" s="672">
        <f>Sales!BY113</f>
        <v>3075.81916</v>
      </c>
      <c r="BZ25" s="228">
        <f>Sales!BZ113</f>
        <v>0</v>
      </c>
      <c r="CA25" s="228">
        <f>Sales!CA113</f>
        <v>0</v>
      </c>
      <c r="CB25" s="228">
        <f>Sales!CB113</f>
        <v>0</v>
      </c>
      <c r="CC25" s="228">
        <f>Sales!CC113</f>
        <v>0</v>
      </c>
      <c r="CD25" s="672">
        <f>Sales!CD113</f>
        <v>3204.2119913000001</v>
      </c>
    </row>
    <row r="26" spans="1:83" s="355" customFormat="1" ht="13" x14ac:dyDescent="0.15">
      <c r="A26" s="349"/>
      <c r="B26" s="574" t="s">
        <v>76</v>
      </c>
      <c r="C26" s="350"/>
      <c r="D26" s="350"/>
      <c r="E26" s="350"/>
      <c r="F26" s="351"/>
      <c r="G26" s="352"/>
      <c r="H26" s="351"/>
      <c r="I26" s="351"/>
      <c r="J26" s="351"/>
      <c r="K26" s="351"/>
      <c r="L26" s="352"/>
      <c r="M26" s="351"/>
      <c r="N26" s="351"/>
      <c r="O26" s="351"/>
      <c r="P26" s="351"/>
      <c r="Q26" s="352"/>
      <c r="R26" s="353"/>
      <c r="S26" s="353"/>
      <c r="T26" s="353"/>
      <c r="U26" s="353"/>
      <c r="V26" s="354"/>
      <c r="W26" s="353"/>
      <c r="X26" s="353"/>
      <c r="Y26" s="353"/>
      <c r="Z26" s="353"/>
      <c r="AA26" s="354"/>
      <c r="AB26" s="302"/>
      <c r="AC26" s="302"/>
      <c r="AD26" s="302"/>
      <c r="AE26" s="302"/>
      <c r="AF26" s="360"/>
      <c r="AK26" s="311"/>
      <c r="AP26" s="360"/>
      <c r="AQ26" s="694"/>
      <c r="AS26" s="275"/>
      <c r="AT26" s="275"/>
      <c r="AU26" s="311"/>
      <c r="AV26" s="275"/>
      <c r="AW26" s="275"/>
      <c r="AX26" s="275"/>
      <c r="AY26" s="275"/>
      <c r="AZ26" s="311"/>
      <c r="BA26" s="275"/>
      <c r="BB26" s="275"/>
      <c r="BC26" s="275"/>
      <c r="BD26" s="275"/>
      <c r="BE26" s="692">
        <v>0.56000000000000005</v>
      </c>
      <c r="BF26" s="285"/>
      <c r="BG26" s="285"/>
      <c r="BH26" s="285"/>
      <c r="BI26" s="285"/>
      <c r="BJ26" s="692">
        <v>0.55000000000000004</v>
      </c>
      <c r="BK26" s="285"/>
      <c r="BL26" s="285"/>
      <c r="BM26" s="285"/>
      <c r="BN26" s="285"/>
      <c r="BO26" s="692">
        <v>0.56000000000000005</v>
      </c>
      <c r="BP26" s="285"/>
      <c r="BQ26" s="285"/>
      <c r="BR26" s="285"/>
      <c r="BS26" s="285"/>
      <c r="BT26" s="692">
        <v>0.56999999999999995</v>
      </c>
      <c r="BU26" s="285"/>
      <c r="BV26" s="285"/>
      <c r="BW26" s="285"/>
      <c r="BX26" s="285"/>
      <c r="BY26" s="692">
        <v>0.57999999999999996</v>
      </c>
      <c r="BZ26" s="285"/>
      <c r="CA26" s="285"/>
      <c r="CB26" s="285"/>
      <c r="CC26" s="285"/>
      <c r="CD26" s="692">
        <v>0.6</v>
      </c>
    </row>
    <row r="27" spans="1:83" s="355" customFormat="1" ht="13" x14ac:dyDescent="0.15">
      <c r="A27" s="349"/>
      <c r="B27" s="268" t="s">
        <v>229</v>
      </c>
      <c r="C27" s="350"/>
      <c r="D27" s="350"/>
      <c r="E27" s="350"/>
      <c r="F27" s="351"/>
      <c r="G27" s="352"/>
      <c r="H27" s="351"/>
      <c r="I27" s="351"/>
      <c r="J27" s="351"/>
      <c r="K27" s="351"/>
      <c r="L27" s="352"/>
      <c r="M27" s="351"/>
      <c r="N27" s="351"/>
      <c r="O27" s="351"/>
      <c r="P27" s="351"/>
      <c r="Q27" s="352"/>
      <c r="R27" s="353"/>
      <c r="S27" s="353"/>
      <c r="T27" s="353"/>
      <c r="U27" s="353"/>
      <c r="V27" s="354"/>
      <c r="W27" s="353"/>
      <c r="X27" s="353"/>
      <c r="Y27" s="353"/>
      <c r="Z27" s="353"/>
      <c r="AA27" s="354"/>
      <c r="AB27" s="302"/>
      <c r="AC27" s="302"/>
      <c r="AD27" s="302"/>
      <c r="AE27" s="302"/>
      <c r="AF27" s="360"/>
      <c r="AK27" s="311"/>
      <c r="AP27" s="360"/>
      <c r="AQ27" s="694"/>
      <c r="AS27" s="275"/>
      <c r="AT27" s="275"/>
      <c r="AU27" s="311"/>
      <c r="AV27" s="275"/>
      <c r="AW27" s="275"/>
      <c r="AX27" s="275"/>
      <c r="AY27" s="275"/>
      <c r="AZ27" s="311"/>
      <c r="BA27" s="275"/>
      <c r="BB27" s="275"/>
      <c r="BC27" s="275"/>
      <c r="BD27" s="275"/>
      <c r="BE27" s="332">
        <f>BE25*BE26</f>
        <v>719.65600000000006</v>
      </c>
      <c r="BF27" s="285"/>
      <c r="BG27" s="285"/>
      <c r="BH27" s="285"/>
      <c r="BI27" s="285"/>
      <c r="BJ27" s="332">
        <f>BJ25*BJ26</f>
        <v>1184.7</v>
      </c>
      <c r="BK27" s="285"/>
      <c r="BL27" s="285"/>
      <c r="BM27" s="285"/>
      <c r="BN27" s="285"/>
      <c r="BO27" s="332">
        <f>BO25*BO26</f>
        <v>1402.6712000000002</v>
      </c>
      <c r="BP27" s="285"/>
      <c r="BQ27" s="285"/>
      <c r="BR27" s="285"/>
      <c r="BS27" s="285"/>
      <c r="BT27" s="332">
        <f>BT25*BT26</f>
        <v>1594.8129749999998</v>
      </c>
      <c r="BU27" s="285"/>
      <c r="BV27" s="285"/>
      <c r="BW27" s="285"/>
      <c r="BX27" s="285"/>
      <c r="BY27" s="332">
        <f>BY25*BY26</f>
        <v>1783.9751127999998</v>
      </c>
      <c r="BZ27" s="285"/>
      <c r="CA27" s="285"/>
      <c r="CB27" s="285"/>
      <c r="CC27" s="285"/>
      <c r="CD27" s="332">
        <f>CD25*CD26</f>
        <v>1922.5271947799999</v>
      </c>
    </row>
    <row r="28" spans="1:83" s="355" customFormat="1" ht="13" hidden="1" x14ac:dyDescent="0.15">
      <c r="A28" s="349"/>
      <c r="B28" s="268" t="s">
        <v>83</v>
      </c>
      <c r="C28" s="350"/>
      <c r="D28" s="350"/>
      <c r="E28" s="350"/>
      <c r="F28" s="351"/>
      <c r="G28" s="352"/>
      <c r="H28" s="351"/>
      <c r="I28" s="351"/>
      <c r="J28" s="351"/>
      <c r="K28" s="351"/>
      <c r="L28" s="352"/>
      <c r="M28" s="351"/>
      <c r="N28" s="351"/>
      <c r="O28" s="351"/>
      <c r="P28" s="351"/>
      <c r="Q28" s="352"/>
      <c r="R28" s="353"/>
      <c r="S28" s="353"/>
      <c r="T28" s="353"/>
      <c r="U28" s="353"/>
      <c r="V28" s="354"/>
      <c r="W28" s="353"/>
      <c r="X28" s="353"/>
      <c r="Y28" s="353"/>
      <c r="Z28" s="353"/>
      <c r="AA28" s="354"/>
      <c r="AB28" s="302"/>
      <c r="AC28" s="302"/>
      <c r="AD28" s="302"/>
      <c r="AE28" s="302"/>
      <c r="AF28" s="360"/>
      <c r="AK28" s="311"/>
      <c r="AP28" s="360"/>
      <c r="AQ28" s="694"/>
      <c r="AS28" s="275"/>
      <c r="AT28" s="275"/>
      <c r="AU28" s="311"/>
      <c r="AV28" s="275"/>
      <c r="AW28" s="275"/>
      <c r="AX28" s="275"/>
      <c r="AY28" s="275"/>
      <c r="AZ28" s="311"/>
      <c r="BA28" s="275"/>
      <c r="BB28" s="275"/>
      <c r="BC28" s="275"/>
      <c r="BD28" s="275"/>
      <c r="BE28" s="332"/>
      <c r="BF28" s="285"/>
      <c r="BG28" s="285"/>
      <c r="BH28" s="285"/>
      <c r="BI28" s="285"/>
      <c r="BJ28" s="277"/>
      <c r="BK28" s="285"/>
      <c r="BL28" s="285"/>
      <c r="BM28" s="285"/>
      <c r="BN28" s="285"/>
      <c r="BO28" s="277"/>
      <c r="BP28" s="285"/>
      <c r="BQ28" s="285"/>
      <c r="BR28" s="285"/>
      <c r="BS28" s="285"/>
      <c r="BT28" s="277"/>
      <c r="BU28" s="285"/>
      <c r="BV28" s="285"/>
      <c r="BW28" s="285"/>
      <c r="BX28" s="285"/>
      <c r="BY28" s="277"/>
      <c r="BZ28" s="285"/>
      <c r="CA28" s="285"/>
      <c r="CB28" s="285"/>
      <c r="CC28" s="285"/>
      <c r="CD28" s="277"/>
    </row>
    <row r="29" spans="1:83" s="355" customFormat="1" ht="13" hidden="1" x14ac:dyDescent="0.15">
      <c r="A29" s="349"/>
      <c r="B29" s="268" t="s">
        <v>84</v>
      </c>
      <c r="C29" s="350"/>
      <c r="D29" s="350"/>
      <c r="E29" s="350"/>
      <c r="F29" s="351"/>
      <c r="G29" s="352"/>
      <c r="H29" s="351"/>
      <c r="I29" s="351"/>
      <c r="J29" s="351"/>
      <c r="K29" s="351"/>
      <c r="L29" s="352"/>
      <c r="M29" s="351"/>
      <c r="N29" s="351"/>
      <c r="O29" s="351"/>
      <c r="P29" s="351"/>
      <c r="Q29" s="352"/>
      <c r="R29" s="353"/>
      <c r="S29" s="353"/>
      <c r="T29" s="353"/>
      <c r="U29" s="353"/>
      <c r="V29" s="354"/>
      <c r="W29" s="353"/>
      <c r="X29" s="353"/>
      <c r="Y29" s="353"/>
      <c r="Z29" s="353"/>
      <c r="AA29" s="354"/>
      <c r="AB29" s="302"/>
      <c r="AC29" s="302"/>
      <c r="AD29" s="302"/>
      <c r="AE29" s="302"/>
      <c r="AF29" s="360"/>
      <c r="AK29" s="311"/>
      <c r="AP29" s="360"/>
      <c r="AQ29" s="694"/>
      <c r="AS29" s="275"/>
      <c r="AT29" s="275"/>
      <c r="AU29" s="311"/>
      <c r="AV29" s="275"/>
      <c r="AW29" s="275"/>
      <c r="AX29" s="275"/>
      <c r="AY29" s="275"/>
      <c r="AZ29" s="311"/>
      <c r="BA29" s="275"/>
      <c r="BB29" s="275"/>
      <c r="BC29" s="275"/>
      <c r="BD29" s="275"/>
      <c r="BE29" s="332"/>
      <c r="BF29" s="285"/>
      <c r="BG29" s="285"/>
      <c r="BH29" s="285"/>
      <c r="BI29" s="285"/>
      <c r="BJ29" s="277"/>
      <c r="BK29" s="285"/>
      <c r="BL29" s="285"/>
      <c r="BM29" s="285"/>
      <c r="BN29" s="285"/>
      <c r="BO29" s="277"/>
      <c r="BP29" s="285"/>
      <c r="BQ29" s="285"/>
      <c r="BR29" s="285"/>
      <c r="BS29" s="285"/>
      <c r="BT29" s="277"/>
      <c r="BU29" s="285"/>
      <c r="BV29" s="285"/>
      <c r="BW29" s="285"/>
      <c r="BX29" s="285"/>
      <c r="BY29" s="277"/>
      <c r="BZ29" s="285"/>
      <c r="CA29" s="285"/>
      <c r="CB29" s="285"/>
      <c r="CC29" s="285"/>
      <c r="CD29" s="277"/>
    </row>
    <row r="30" spans="1:83" s="355" customFormat="1" ht="13" hidden="1" x14ac:dyDescent="0.15">
      <c r="A30" s="349"/>
      <c r="B30" s="268" t="s">
        <v>230</v>
      </c>
      <c r="C30" s="350"/>
      <c r="D30" s="350"/>
      <c r="E30" s="350"/>
      <c r="F30" s="351"/>
      <c r="G30" s="352"/>
      <c r="H30" s="351"/>
      <c r="I30" s="351"/>
      <c r="J30" s="351"/>
      <c r="K30" s="351"/>
      <c r="L30" s="352"/>
      <c r="M30" s="351"/>
      <c r="N30" s="351"/>
      <c r="O30" s="351"/>
      <c r="P30" s="351"/>
      <c r="Q30" s="352"/>
      <c r="R30" s="353"/>
      <c r="S30" s="353"/>
      <c r="T30" s="353"/>
      <c r="U30" s="353"/>
      <c r="V30" s="354"/>
      <c r="W30" s="353"/>
      <c r="X30" s="353"/>
      <c r="Y30" s="353"/>
      <c r="Z30" s="353"/>
      <c r="AA30" s="354"/>
      <c r="AB30" s="302"/>
      <c r="AC30" s="302"/>
      <c r="AD30" s="302"/>
      <c r="AE30" s="302"/>
      <c r="AF30" s="360"/>
      <c r="AK30" s="311"/>
      <c r="AP30" s="360"/>
      <c r="AQ30" s="694"/>
      <c r="AS30" s="275"/>
      <c r="AT30" s="275"/>
      <c r="AU30" s="311"/>
      <c r="AV30" s="275"/>
      <c r="AW30" s="275"/>
      <c r="AX30" s="275"/>
      <c r="AY30" s="275"/>
      <c r="AZ30" s="311"/>
      <c r="BA30" s="275"/>
      <c r="BB30" s="275"/>
      <c r="BC30" s="275"/>
      <c r="BD30" s="275"/>
      <c r="BE30" s="332"/>
      <c r="BF30" s="285"/>
      <c r="BG30" s="285"/>
      <c r="BH30" s="285"/>
      <c r="BI30" s="285"/>
      <c r="BJ30" s="277"/>
      <c r="BK30" s="285"/>
      <c r="BL30" s="285"/>
      <c r="BM30" s="285"/>
      <c r="BN30" s="285"/>
      <c r="BO30" s="277"/>
      <c r="BP30" s="285"/>
      <c r="BQ30" s="285"/>
      <c r="BR30" s="285"/>
      <c r="BS30" s="285"/>
      <c r="BT30" s="277"/>
      <c r="BU30" s="285"/>
      <c r="BV30" s="285"/>
      <c r="BW30" s="285"/>
      <c r="BX30" s="285"/>
      <c r="BY30" s="277"/>
      <c r="BZ30" s="285"/>
      <c r="CA30" s="285"/>
      <c r="CB30" s="285"/>
      <c r="CC30" s="285"/>
      <c r="CD30" s="277"/>
    </row>
    <row r="31" spans="1:83" s="355" customFormat="1" ht="13" x14ac:dyDescent="0.15">
      <c r="A31" s="349"/>
      <c r="B31" s="268" t="s">
        <v>231</v>
      </c>
      <c r="C31" s="350"/>
      <c r="D31" s="350"/>
      <c r="E31" s="350"/>
      <c r="F31" s="351"/>
      <c r="G31" s="352"/>
      <c r="H31" s="351"/>
      <c r="I31" s="351"/>
      <c r="J31" s="351"/>
      <c r="K31" s="351"/>
      <c r="L31" s="352"/>
      <c r="M31" s="351"/>
      <c r="N31" s="351"/>
      <c r="O31" s="351"/>
      <c r="P31" s="351"/>
      <c r="Q31" s="352"/>
      <c r="R31" s="353"/>
      <c r="S31" s="353"/>
      <c r="T31" s="353"/>
      <c r="U31" s="353"/>
      <c r="V31" s="354"/>
      <c r="W31" s="353"/>
      <c r="X31" s="353"/>
      <c r="Y31" s="353"/>
      <c r="Z31" s="353"/>
      <c r="AA31" s="354"/>
      <c r="AB31" s="302"/>
      <c r="AC31" s="302"/>
      <c r="AD31" s="302"/>
      <c r="AE31" s="302"/>
      <c r="AF31" s="360"/>
      <c r="AK31" s="311"/>
      <c r="AP31" s="360"/>
      <c r="AQ31" s="694"/>
      <c r="AS31" s="275"/>
      <c r="AT31" s="275"/>
      <c r="AU31" s="311"/>
      <c r="AV31" s="275"/>
      <c r="AW31" s="275"/>
      <c r="AX31" s="275"/>
      <c r="AY31" s="275"/>
      <c r="AZ31" s="311"/>
      <c r="BA31" s="275"/>
      <c r="BB31" s="275"/>
      <c r="BC31" s="275"/>
      <c r="BD31" s="275"/>
      <c r="BE31" s="277">
        <f>BE27+(BE27/BE$80*BE$81)</f>
        <v>746.31568486181777</v>
      </c>
      <c r="BF31" s="191"/>
      <c r="BG31" s="191"/>
      <c r="BH31" s="191"/>
      <c r="BI31" s="191"/>
      <c r="BJ31" s="277">
        <f>BJ27+(BJ27/BJ$80*BJ$81)</f>
        <v>1230.3508968306246</v>
      </c>
      <c r="BK31" s="191"/>
      <c r="BL31" s="191"/>
      <c r="BM31" s="191"/>
      <c r="BN31" s="191"/>
      <c r="BO31" s="277">
        <f>BO27+(BO27/BO$80*BO$81)</f>
        <v>1452.4671031226585</v>
      </c>
      <c r="BP31" s="191"/>
      <c r="BQ31" s="191"/>
      <c r="BR31" s="191"/>
      <c r="BS31" s="191"/>
      <c r="BT31" s="277">
        <f>BT27+(BT27/BT$80*BT$81)</f>
        <v>1647.3065390861227</v>
      </c>
      <c r="BU31" s="191"/>
      <c r="BV31" s="191"/>
      <c r="BW31" s="191"/>
      <c r="BX31" s="191"/>
      <c r="BY31" s="277">
        <f>BY27+(BY27/BY$80*BY$81)</f>
        <v>1838.2642484697528</v>
      </c>
      <c r="BZ31" s="191"/>
      <c r="CA31" s="191"/>
      <c r="CB31" s="191"/>
      <c r="CC31" s="191"/>
      <c r="CD31" s="277">
        <f>CD27+(CD27/CD$80*CD$81)</f>
        <v>1977.9459961479208</v>
      </c>
    </row>
    <row r="32" spans="1:83" s="198" customFormat="1" x14ac:dyDescent="0.15">
      <c r="A32" s="12"/>
      <c r="B32" s="268"/>
      <c r="C32" s="269"/>
      <c r="D32" s="269"/>
      <c r="E32" s="269"/>
      <c r="F32" s="269"/>
      <c r="G32" s="270"/>
      <c r="H32" s="269"/>
      <c r="I32" s="269"/>
      <c r="J32" s="269"/>
      <c r="K32" s="269"/>
      <c r="L32" s="270"/>
      <c r="M32" s="269"/>
      <c r="N32" s="269"/>
      <c r="O32" s="269"/>
      <c r="P32" s="269"/>
      <c r="Q32" s="270"/>
      <c r="R32" s="269"/>
      <c r="S32" s="269"/>
      <c r="T32" s="269"/>
      <c r="U32" s="269"/>
      <c r="V32" s="271"/>
      <c r="W32" s="272"/>
      <c r="X32" s="272"/>
      <c r="Y32" s="272"/>
      <c r="Z32" s="272"/>
      <c r="AA32" s="271"/>
      <c r="AB32" s="272"/>
      <c r="AC32" s="272"/>
      <c r="AD32" s="272"/>
      <c r="AE32" s="272"/>
      <c r="AF32" s="271"/>
      <c r="AG32" s="272"/>
      <c r="AH32" s="272"/>
      <c r="AI32" s="272"/>
      <c r="AJ32" s="272"/>
      <c r="AK32" s="271"/>
      <c r="AL32" s="272"/>
      <c r="AM32" s="272"/>
      <c r="AN32" s="272"/>
      <c r="AO32" s="272"/>
      <c r="AP32" s="273"/>
      <c r="AQ32" s="274"/>
      <c r="AR32" s="269"/>
      <c r="AS32" s="275"/>
      <c r="AT32" s="275"/>
      <c r="AU32" s="276"/>
      <c r="AV32" s="275"/>
      <c r="AW32" s="275"/>
      <c r="AX32" s="275"/>
      <c r="AY32" s="275"/>
      <c r="AZ32" s="277"/>
      <c r="BA32" s="275"/>
      <c r="BB32" s="275"/>
      <c r="BC32" s="275"/>
      <c r="BD32" s="275"/>
      <c r="BE32" s="277"/>
      <c r="BF32" s="191"/>
      <c r="BG32" s="191"/>
      <c r="BH32" s="191"/>
      <c r="BI32" s="191"/>
      <c r="BJ32" s="277"/>
      <c r="BK32" s="191"/>
      <c r="BL32" s="191"/>
      <c r="BM32" s="191"/>
      <c r="BN32" s="191"/>
      <c r="BO32" s="277"/>
      <c r="BP32" s="191"/>
      <c r="BQ32" s="191"/>
      <c r="BR32" s="191"/>
      <c r="BS32" s="191"/>
      <c r="BT32" s="277"/>
      <c r="BU32" s="191"/>
      <c r="BV32" s="191"/>
      <c r="BW32" s="191"/>
      <c r="BX32" s="191"/>
      <c r="BY32" s="277"/>
      <c r="BZ32" s="191"/>
      <c r="CA32" s="191"/>
      <c r="CB32" s="191"/>
      <c r="CC32" s="191"/>
      <c r="CD32" s="277"/>
      <c r="CE32" s="12"/>
    </row>
    <row r="33" spans="1:83" s="198" customFormat="1" x14ac:dyDescent="0.15">
      <c r="A33" s="12"/>
      <c r="B33" s="664" t="str">
        <f>Sales!B27</f>
        <v>Total Dermatology</v>
      </c>
      <c r="C33" s="665">
        <f>Sales!C27</f>
        <v>0</v>
      </c>
      <c r="D33" s="665">
        <f>Sales!D27</f>
        <v>0</v>
      </c>
      <c r="E33" s="665">
        <f>Sales!E27</f>
        <v>0</v>
      </c>
      <c r="F33" s="665">
        <f>Sales!F27</f>
        <v>0</v>
      </c>
      <c r="G33" s="666">
        <f>Sales!G27</f>
        <v>0</v>
      </c>
      <c r="H33" s="665">
        <f>Sales!H27</f>
        <v>0</v>
      </c>
      <c r="I33" s="665">
        <f>Sales!I27</f>
        <v>0</v>
      </c>
      <c r="J33" s="665">
        <f>Sales!J27</f>
        <v>0</v>
      </c>
      <c r="K33" s="665">
        <f>Sales!K27</f>
        <v>0</v>
      </c>
      <c r="L33" s="666">
        <f>Sales!L27</f>
        <v>0</v>
      </c>
      <c r="M33" s="665">
        <f>Sales!M27</f>
        <v>0</v>
      </c>
      <c r="N33" s="665">
        <f>Sales!N27</f>
        <v>0</v>
      </c>
      <c r="O33" s="665">
        <f>Sales!O27</f>
        <v>0</v>
      </c>
      <c r="P33" s="665">
        <f>Sales!P27</f>
        <v>0</v>
      </c>
      <c r="Q33" s="666">
        <f>Sales!Q27</f>
        <v>0</v>
      </c>
      <c r="R33" s="665">
        <f>Sales!R27</f>
        <v>0</v>
      </c>
      <c r="S33" s="665">
        <f>Sales!S27</f>
        <v>0</v>
      </c>
      <c r="T33" s="665">
        <f>Sales!T27</f>
        <v>0</v>
      </c>
      <c r="U33" s="665">
        <f>Sales!U27</f>
        <v>0</v>
      </c>
      <c r="V33" s="667">
        <f>Sales!V27</f>
        <v>0</v>
      </c>
      <c r="W33" s="668">
        <f>Sales!W27</f>
        <v>0</v>
      </c>
      <c r="X33" s="668">
        <f>Sales!X27</f>
        <v>0</v>
      </c>
      <c r="Y33" s="668">
        <f>Sales!Y27</f>
        <v>0</v>
      </c>
      <c r="Z33" s="668">
        <f>Sales!Z27</f>
        <v>0</v>
      </c>
      <c r="AA33" s="667">
        <f>Sales!AA27</f>
        <v>0</v>
      </c>
      <c r="AB33" s="668">
        <f>Sales!AB27</f>
        <v>0</v>
      </c>
      <c r="AC33" s="668">
        <f>Sales!AC27</f>
        <v>0</v>
      </c>
      <c r="AD33" s="668">
        <f>Sales!AD27</f>
        <v>0</v>
      </c>
      <c r="AE33" s="668">
        <f>Sales!AE27</f>
        <v>0</v>
      </c>
      <c r="AF33" s="667">
        <f>Sales!AF27</f>
        <v>0</v>
      </c>
      <c r="AG33" s="668">
        <f>Sales!AG27</f>
        <v>0</v>
      </c>
      <c r="AH33" s="668">
        <f>Sales!AH27</f>
        <v>0</v>
      </c>
      <c r="AI33" s="668">
        <f>Sales!AI27</f>
        <v>0</v>
      </c>
      <c r="AJ33" s="668">
        <f>Sales!AJ27</f>
        <v>0</v>
      </c>
      <c r="AK33" s="667">
        <f>Sales!AK27</f>
        <v>0</v>
      </c>
      <c r="AL33" s="668">
        <f>Sales!AL27</f>
        <v>0</v>
      </c>
      <c r="AM33" s="668">
        <f>Sales!AM27</f>
        <v>0</v>
      </c>
      <c r="AN33" s="668">
        <f>Sales!AN27</f>
        <v>0</v>
      </c>
      <c r="AO33" s="668">
        <f>Sales!AO27</f>
        <v>0</v>
      </c>
      <c r="AP33" s="667">
        <f>Sales!AP27</f>
        <v>0</v>
      </c>
      <c r="AQ33" s="669">
        <f>Sales!AQ27</f>
        <v>0</v>
      </c>
      <c r="AR33" s="665">
        <f>Sales!AR27</f>
        <v>0</v>
      </c>
      <c r="AS33" s="670">
        <f>Sales!AS27</f>
        <v>205.5</v>
      </c>
      <c r="AT33" s="670">
        <f>Sales!AT27</f>
        <v>249.2</v>
      </c>
      <c r="AU33" s="671">
        <f>Sales!AU27</f>
        <v>0</v>
      </c>
      <c r="AV33" s="670">
        <f>Sales!AV27</f>
        <v>304.2</v>
      </c>
      <c r="AW33" s="670">
        <f>Sales!AW27</f>
        <v>298.3</v>
      </c>
      <c r="AX33" s="670">
        <f>Sales!AX27</f>
        <v>272.8</v>
      </c>
      <c r="AY33" s="670">
        <f>Sales!AY27</f>
        <v>424.7</v>
      </c>
      <c r="AZ33" s="672">
        <f>Sales!AZ27</f>
        <v>1300</v>
      </c>
      <c r="BA33" s="670">
        <f>Sales!BA27</f>
        <v>419.3</v>
      </c>
      <c r="BB33" s="670">
        <f>Sales!BB27</f>
        <v>461.8</v>
      </c>
      <c r="BC33" s="670">
        <f>Sales!BC27</f>
        <v>465.5</v>
      </c>
      <c r="BD33" s="670">
        <f>Sales!BD27</f>
        <v>319.60000000000002</v>
      </c>
      <c r="BE33" s="672">
        <f>Sales!BE27</f>
        <v>1666.1999999999998</v>
      </c>
      <c r="BF33" s="673">
        <f>Sales!BF27</f>
        <v>288.09500000000003</v>
      </c>
      <c r="BG33" s="673">
        <f>Sales!BG27</f>
        <v>381.24</v>
      </c>
      <c r="BH33" s="673">
        <f>Sales!BH27</f>
        <v>420.15</v>
      </c>
      <c r="BI33" s="673">
        <f>Sales!BI27</f>
        <v>432.26000000000005</v>
      </c>
      <c r="BJ33" s="672">
        <f>Sales!BJ27</f>
        <v>1521.7450000000001</v>
      </c>
      <c r="BK33" s="673">
        <f>Sales!BK27</f>
        <v>0</v>
      </c>
      <c r="BL33" s="673">
        <f>Sales!BL27</f>
        <v>0</v>
      </c>
      <c r="BM33" s="673">
        <f>Sales!BM27</f>
        <v>0</v>
      </c>
      <c r="BN33" s="673">
        <f>Sales!BN27</f>
        <v>0</v>
      </c>
      <c r="BO33" s="672">
        <f>Sales!BO27</f>
        <v>1597.4701</v>
      </c>
      <c r="BP33" s="673">
        <f>Sales!BP27</f>
        <v>0</v>
      </c>
      <c r="BQ33" s="673">
        <f>Sales!BQ27</f>
        <v>0</v>
      </c>
      <c r="BR33" s="673">
        <f>Sales!BR27</f>
        <v>0</v>
      </c>
      <c r="BS33" s="673">
        <f>Sales!BS27</f>
        <v>0</v>
      </c>
      <c r="BT33" s="672">
        <f>Sales!BT27</f>
        <v>1657.0353020000002</v>
      </c>
      <c r="BU33" s="673">
        <f>Sales!BU27</f>
        <v>0</v>
      </c>
      <c r="BV33" s="673">
        <f>Sales!BV27</f>
        <v>0</v>
      </c>
      <c r="BW33" s="673">
        <f>Sales!BW27</f>
        <v>0</v>
      </c>
      <c r="BX33" s="673">
        <f>Sales!BX27</f>
        <v>0</v>
      </c>
      <c r="BY33" s="672">
        <f>Sales!BY27</f>
        <v>1758.1176580400002</v>
      </c>
      <c r="BZ33" s="673">
        <f>Sales!BZ27</f>
        <v>0</v>
      </c>
      <c r="CA33" s="673">
        <f>Sales!CA27</f>
        <v>0</v>
      </c>
      <c r="CB33" s="673">
        <f>Sales!CB27</f>
        <v>0</v>
      </c>
      <c r="CC33" s="673">
        <f>Sales!CC27</f>
        <v>0</v>
      </c>
      <c r="CD33" s="672">
        <f>Sales!CD27</f>
        <v>1871.6736487008002</v>
      </c>
      <c r="CE33" s="12"/>
    </row>
    <row r="34" spans="1:83" s="198" customFormat="1" x14ac:dyDescent="0.15">
      <c r="A34" s="12"/>
      <c r="B34" s="574" t="s">
        <v>76</v>
      </c>
      <c r="C34" s="269"/>
      <c r="D34" s="269"/>
      <c r="E34" s="269"/>
      <c r="F34" s="269"/>
      <c r="G34" s="270"/>
      <c r="H34" s="269"/>
      <c r="I34" s="269"/>
      <c r="J34" s="269"/>
      <c r="K34" s="269"/>
      <c r="L34" s="270"/>
      <c r="M34" s="269"/>
      <c r="N34" s="269"/>
      <c r="O34" s="269"/>
      <c r="P34" s="269"/>
      <c r="Q34" s="270"/>
      <c r="R34" s="269"/>
      <c r="S34" s="269"/>
      <c r="T34" s="269"/>
      <c r="U34" s="269"/>
      <c r="V34" s="271"/>
      <c r="W34" s="272"/>
      <c r="X34" s="272"/>
      <c r="Y34" s="272"/>
      <c r="Z34" s="272"/>
      <c r="AA34" s="271"/>
      <c r="AB34" s="272"/>
      <c r="AC34" s="272"/>
      <c r="AD34" s="272"/>
      <c r="AE34" s="272"/>
      <c r="AF34" s="271"/>
      <c r="AG34" s="272"/>
      <c r="AH34" s="272"/>
      <c r="AI34" s="272"/>
      <c r="AJ34" s="272"/>
      <c r="AK34" s="271"/>
      <c r="AL34" s="272"/>
      <c r="AM34" s="272"/>
      <c r="AN34" s="272"/>
      <c r="AO34" s="272"/>
      <c r="AP34" s="273"/>
      <c r="AQ34" s="274"/>
      <c r="AR34" s="269"/>
      <c r="AS34" s="275"/>
      <c r="AT34" s="275"/>
      <c r="AU34" s="276"/>
      <c r="AV34" s="275"/>
      <c r="AW34" s="275"/>
      <c r="AX34" s="275"/>
      <c r="AY34" s="275"/>
      <c r="AZ34" s="695"/>
      <c r="BA34" s="507"/>
      <c r="BB34" s="507"/>
      <c r="BC34" s="507"/>
      <c r="BD34" s="507"/>
      <c r="BE34" s="692">
        <v>0.5</v>
      </c>
      <c r="BF34" s="693"/>
      <c r="BG34" s="693"/>
      <c r="BH34" s="693"/>
      <c r="BI34" s="693"/>
      <c r="BJ34" s="692">
        <v>0.47</v>
      </c>
      <c r="BK34" s="693"/>
      <c r="BL34" s="693"/>
      <c r="BM34" s="693"/>
      <c r="BN34" s="693"/>
      <c r="BO34" s="692">
        <v>0.48</v>
      </c>
      <c r="BP34" s="693"/>
      <c r="BQ34" s="693"/>
      <c r="BR34" s="693"/>
      <c r="BS34" s="693"/>
      <c r="BT34" s="692">
        <v>0.49</v>
      </c>
      <c r="BU34" s="693"/>
      <c r="BV34" s="693"/>
      <c r="BW34" s="693"/>
      <c r="BX34" s="693"/>
      <c r="BY34" s="692">
        <v>0.5</v>
      </c>
      <c r="BZ34" s="693"/>
      <c r="CA34" s="693"/>
      <c r="CB34" s="693"/>
      <c r="CC34" s="693"/>
      <c r="CD34" s="692">
        <v>0.52</v>
      </c>
      <c r="CE34" s="12"/>
    </row>
    <row r="35" spans="1:83" s="198" customFormat="1" x14ac:dyDescent="0.15">
      <c r="A35" s="12"/>
      <c r="B35" s="268" t="s">
        <v>229</v>
      </c>
      <c r="C35" s="269"/>
      <c r="D35" s="269"/>
      <c r="E35" s="269"/>
      <c r="F35" s="269"/>
      <c r="G35" s="270"/>
      <c r="H35" s="269"/>
      <c r="I35" s="269"/>
      <c r="J35" s="269"/>
      <c r="K35" s="269"/>
      <c r="L35" s="270"/>
      <c r="M35" s="269"/>
      <c r="N35" s="269"/>
      <c r="O35" s="269"/>
      <c r="P35" s="269"/>
      <c r="Q35" s="270"/>
      <c r="R35" s="269"/>
      <c r="S35" s="269"/>
      <c r="T35" s="269"/>
      <c r="U35" s="269"/>
      <c r="V35" s="271"/>
      <c r="W35" s="272"/>
      <c r="X35" s="272"/>
      <c r="Y35" s="272"/>
      <c r="Z35" s="272"/>
      <c r="AA35" s="271"/>
      <c r="AB35" s="272"/>
      <c r="AC35" s="272"/>
      <c r="AD35" s="272"/>
      <c r="AE35" s="272"/>
      <c r="AF35" s="271"/>
      <c r="AG35" s="272"/>
      <c r="AH35" s="272"/>
      <c r="AI35" s="272"/>
      <c r="AJ35" s="272"/>
      <c r="AK35" s="271"/>
      <c r="AL35" s="272"/>
      <c r="AM35" s="272"/>
      <c r="AN35" s="272"/>
      <c r="AO35" s="272"/>
      <c r="AP35" s="273"/>
      <c r="AQ35" s="274"/>
      <c r="AR35" s="269"/>
      <c r="AS35" s="275"/>
      <c r="AT35" s="275"/>
      <c r="AU35" s="276"/>
      <c r="AV35" s="275"/>
      <c r="AW35" s="275"/>
      <c r="AX35" s="275"/>
      <c r="AY35" s="275"/>
      <c r="AZ35" s="277"/>
      <c r="BA35" s="275"/>
      <c r="BB35" s="275"/>
      <c r="BC35" s="275"/>
      <c r="BD35" s="275"/>
      <c r="BE35" s="332">
        <f>BE33*BE34</f>
        <v>833.09999999999991</v>
      </c>
      <c r="BF35" s="285">
        <f t="shared" ref="BF35:CD35" si="1">BF33*BF34</f>
        <v>0</v>
      </c>
      <c r="BG35" s="285">
        <f t="shared" si="1"/>
        <v>0</v>
      </c>
      <c r="BH35" s="285">
        <f t="shared" si="1"/>
        <v>0</v>
      </c>
      <c r="BI35" s="285">
        <f t="shared" si="1"/>
        <v>0</v>
      </c>
      <c r="BJ35" s="332">
        <f t="shared" si="1"/>
        <v>715.22014999999999</v>
      </c>
      <c r="BK35" s="285">
        <f t="shared" si="1"/>
        <v>0</v>
      </c>
      <c r="BL35" s="285">
        <f t="shared" si="1"/>
        <v>0</v>
      </c>
      <c r="BM35" s="285">
        <f t="shared" si="1"/>
        <v>0</v>
      </c>
      <c r="BN35" s="285">
        <f t="shared" si="1"/>
        <v>0</v>
      </c>
      <c r="BO35" s="332">
        <f t="shared" si="1"/>
        <v>766.78564799999992</v>
      </c>
      <c r="BP35" s="285">
        <f t="shared" si="1"/>
        <v>0</v>
      </c>
      <c r="BQ35" s="285">
        <f t="shared" si="1"/>
        <v>0</v>
      </c>
      <c r="BR35" s="285">
        <f t="shared" si="1"/>
        <v>0</v>
      </c>
      <c r="BS35" s="285">
        <f t="shared" si="1"/>
        <v>0</v>
      </c>
      <c r="BT35" s="332">
        <f t="shared" si="1"/>
        <v>811.94729798000014</v>
      </c>
      <c r="BU35" s="285">
        <f t="shared" si="1"/>
        <v>0</v>
      </c>
      <c r="BV35" s="285">
        <f t="shared" si="1"/>
        <v>0</v>
      </c>
      <c r="BW35" s="285">
        <f t="shared" si="1"/>
        <v>0</v>
      </c>
      <c r="BX35" s="285">
        <f t="shared" si="1"/>
        <v>0</v>
      </c>
      <c r="BY35" s="332">
        <f t="shared" si="1"/>
        <v>879.05882902000008</v>
      </c>
      <c r="BZ35" s="285">
        <f t="shared" si="1"/>
        <v>0</v>
      </c>
      <c r="CA35" s="285">
        <f t="shared" si="1"/>
        <v>0</v>
      </c>
      <c r="CB35" s="285">
        <f t="shared" si="1"/>
        <v>0</v>
      </c>
      <c r="CC35" s="285">
        <f t="shared" si="1"/>
        <v>0</v>
      </c>
      <c r="CD35" s="332">
        <f t="shared" si="1"/>
        <v>973.27029732441611</v>
      </c>
      <c r="CE35" s="12"/>
    </row>
    <row r="36" spans="1:83" s="198" customFormat="1" hidden="1" x14ac:dyDescent="0.15">
      <c r="A36" s="12"/>
      <c r="B36" s="268" t="s">
        <v>83</v>
      </c>
      <c r="C36" s="269"/>
      <c r="D36" s="269"/>
      <c r="E36" s="269"/>
      <c r="F36" s="269"/>
      <c r="G36" s="270"/>
      <c r="H36" s="269"/>
      <c r="I36" s="269"/>
      <c r="J36" s="269"/>
      <c r="K36" s="269"/>
      <c r="L36" s="270"/>
      <c r="M36" s="269"/>
      <c r="N36" s="269"/>
      <c r="O36" s="269"/>
      <c r="P36" s="269"/>
      <c r="Q36" s="270"/>
      <c r="R36" s="269"/>
      <c r="S36" s="269"/>
      <c r="T36" s="269"/>
      <c r="U36" s="269"/>
      <c r="V36" s="271"/>
      <c r="W36" s="272"/>
      <c r="X36" s="272"/>
      <c r="Y36" s="272"/>
      <c r="Z36" s="272"/>
      <c r="AA36" s="271"/>
      <c r="AB36" s="272"/>
      <c r="AC36" s="272"/>
      <c r="AD36" s="272"/>
      <c r="AE36" s="272"/>
      <c r="AF36" s="271"/>
      <c r="AG36" s="272"/>
      <c r="AH36" s="272"/>
      <c r="AI36" s="272"/>
      <c r="AJ36" s="272"/>
      <c r="AK36" s="271"/>
      <c r="AL36" s="272"/>
      <c r="AM36" s="272"/>
      <c r="AN36" s="272"/>
      <c r="AO36" s="272"/>
      <c r="AP36" s="273"/>
      <c r="AQ36" s="274"/>
      <c r="AR36" s="269"/>
      <c r="AS36" s="275"/>
      <c r="AT36" s="275"/>
      <c r="AU36" s="276"/>
      <c r="AV36" s="275"/>
      <c r="AW36" s="275"/>
      <c r="AX36" s="275"/>
      <c r="AY36" s="275"/>
      <c r="AZ36" s="277"/>
      <c r="BA36" s="275"/>
      <c r="BB36" s="275"/>
      <c r="BC36" s="275"/>
      <c r="BD36" s="275"/>
      <c r="BE36" s="277"/>
      <c r="BF36" s="191"/>
      <c r="BG36" s="191"/>
      <c r="BH36" s="191"/>
      <c r="BI36" s="191"/>
      <c r="BJ36" s="277"/>
      <c r="BK36" s="191"/>
      <c r="BL36" s="191"/>
      <c r="BM36" s="191"/>
      <c r="BN36" s="191"/>
      <c r="BO36" s="277"/>
      <c r="BP36" s="191"/>
      <c r="BQ36" s="191"/>
      <c r="BR36" s="191"/>
      <c r="BS36" s="191"/>
      <c r="BT36" s="277"/>
      <c r="BU36" s="191"/>
      <c r="BV36" s="191"/>
      <c r="BW36" s="191"/>
      <c r="BX36" s="191"/>
      <c r="BY36" s="277"/>
      <c r="BZ36" s="191"/>
      <c r="CA36" s="191"/>
      <c r="CB36" s="191"/>
      <c r="CC36" s="191"/>
      <c r="CD36" s="277"/>
      <c r="CE36" s="12"/>
    </row>
    <row r="37" spans="1:83" s="198" customFormat="1" hidden="1" x14ac:dyDescent="0.15">
      <c r="A37" s="12"/>
      <c r="B37" s="268" t="s">
        <v>84</v>
      </c>
      <c r="C37" s="269"/>
      <c r="D37" s="269"/>
      <c r="E37" s="269"/>
      <c r="F37" s="269"/>
      <c r="G37" s="270"/>
      <c r="H37" s="269"/>
      <c r="I37" s="269"/>
      <c r="J37" s="269"/>
      <c r="K37" s="269"/>
      <c r="L37" s="270"/>
      <c r="M37" s="269"/>
      <c r="N37" s="269"/>
      <c r="O37" s="269"/>
      <c r="P37" s="269"/>
      <c r="Q37" s="270"/>
      <c r="R37" s="269"/>
      <c r="S37" s="269"/>
      <c r="T37" s="269"/>
      <c r="U37" s="269"/>
      <c r="V37" s="271"/>
      <c r="W37" s="272"/>
      <c r="X37" s="272"/>
      <c r="Y37" s="272"/>
      <c r="Z37" s="272"/>
      <c r="AA37" s="271"/>
      <c r="AB37" s="272"/>
      <c r="AC37" s="272"/>
      <c r="AD37" s="272"/>
      <c r="AE37" s="272"/>
      <c r="AF37" s="271"/>
      <c r="AG37" s="272"/>
      <c r="AH37" s="272"/>
      <c r="AI37" s="272"/>
      <c r="AJ37" s="272"/>
      <c r="AK37" s="271"/>
      <c r="AL37" s="272"/>
      <c r="AM37" s="272"/>
      <c r="AN37" s="272"/>
      <c r="AO37" s="272"/>
      <c r="AP37" s="273"/>
      <c r="AQ37" s="274"/>
      <c r="AR37" s="269"/>
      <c r="AS37" s="275"/>
      <c r="AT37" s="275"/>
      <c r="AU37" s="276"/>
      <c r="AV37" s="275"/>
      <c r="AW37" s="275"/>
      <c r="AX37" s="275"/>
      <c r="AY37" s="275"/>
      <c r="AZ37" s="277"/>
      <c r="BA37" s="275"/>
      <c r="BB37" s="275"/>
      <c r="BC37" s="275"/>
      <c r="BD37" s="275"/>
      <c r="BE37" s="277"/>
      <c r="BF37" s="191"/>
      <c r="BG37" s="191"/>
      <c r="BH37" s="191"/>
      <c r="BI37" s="191"/>
      <c r="BJ37" s="277"/>
      <c r="BK37" s="191"/>
      <c r="BL37" s="191"/>
      <c r="BM37" s="191"/>
      <c r="BN37" s="191"/>
      <c r="BO37" s="277"/>
      <c r="BP37" s="191"/>
      <c r="BQ37" s="191"/>
      <c r="BR37" s="191"/>
      <c r="BS37" s="191"/>
      <c r="BT37" s="277"/>
      <c r="BU37" s="191"/>
      <c r="BV37" s="191"/>
      <c r="BW37" s="191"/>
      <c r="BX37" s="191"/>
      <c r="BY37" s="277"/>
      <c r="BZ37" s="191"/>
      <c r="CA37" s="191"/>
      <c r="CB37" s="191"/>
      <c r="CC37" s="191"/>
      <c r="CD37" s="277"/>
      <c r="CE37" s="12"/>
    </row>
    <row r="38" spans="1:83" s="198" customFormat="1" hidden="1" x14ac:dyDescent="0.15">
      <c r="A38" s="12"/>
      <c r="B38" s="268" t="s">
        <v>230</v>
      </c>
      <c r="C38" s="269"/>
      <c r="D38" s="269"/>
      <c r="E38" s="269"/>
      <c r="F38" s="269"/>
      <c r="G38" s="270"/>
      <c r="H38" s="269"/>
      <c r="I38" s="269"/>
      <c r="J38" s="269"/>
      <c r="K38" s="269"/>
      <c r="L38" s="270"/>
      <c r="M38" s="269"/>
      <c r="N38" s="269"/>
      <c r="O38" s="269"/>
      <c r="P38" s="269"/>
      <c r="Q38" s="270"/>
      <c r="R38" s="269"/>
      <c r="S38" s="269"/>
      <c r="T38" s="269"/>
      <c r="U38" s="269"/>
      <c r="V38" s="271"/>
      <c r="W38" s="272"/>
      <c r="X38" s="272"/>
      <c r="Y38" s="272"/>
      <c r="Z38" s="272"/>
      <c r="AA38" s="271"/>
      <c r="AB38" s="272"/>
      <c r="AC38" s="272"/>
      <c r="AD38" s="272"/>
      <c r="AE38" s="272"/>
      <c r="AF38" s="271"/>
      <c r="AG38" s="272"/>
      <c r="AH38" s="272"/>
      <c r="AI38" s="272"/>
      <c r="AJ38" s="272"/>
      <c r="AK38" s="271"/>
      <c r="AL38" s="272"/>
      <c r="AM38" s="272"/>
      <c r="AN38" s="272"/>
      <c r="AO38" s="272"/>
      <c r="AP38" s="273"/>
      <c r="AQ38" s="274"/>
      <c r="AR38" s="269"/>
      <c r="AS38" s="275"/>
      <c r="AT38" s="275"/>
      <c r="AU38" s="276"/>
      <c r="AV38" s="275"/>
      <c r="AW38" s="275"/>
      <c r="AX38" s="275"/>
      <c r="AY38" s="275"/>
      <c r="AZ38" s="277"/>
      <c r="BA38" s="275"/>
      <c r="BB38" s="275"/>
      <c r="BC38" s="275"/>
      <c r="BD38" s="275"/>
      <c r="BE38" s="277"/>
      <c r="BF38" s="191"/>
      <c r="BG38" s="191"/>
      <c r="BH38" s="191"/>
      <c r="BI38" s="191"/>
      <c r="BJ38" s="277"/>
      <c r="BK38" s="191"/>
      <c r="BL38" s="191"/>
      <c r="BM38" s="191"/>
      <c r="BN38" s="191"/>
      <c r="BO38" s="277"/>
      <c r="BP38" s="191"/>
      <c r="BQ38" s="191"/>
      <c r="BR38" s="191"/>
      <c r="BS38" s="191"/>
      <c r="BT38" s="277"/>
      <c r="BU38" s="191"/>
      <c r="BV38" s="191"/>
      <c r="BW38" s="191"/>
      <c r="BX38" s="191"/>
      <c r="BY38" s="277"/>
      <c r="BZ38" s="191"/>
      <c r="CA38" s="191"/>
      <c r="CB38" s="191"/>
      <c r="CC38" s="191"/>
      <c r="CD38" s="277"/>
      <c r="CE38" s="12"/>
    </row>
    <row r="39" spans="1:83" s="198" customFormat="1" x14ac:dyDescent="0.15">
      <c r="A39" s="12"/>
      <c r="B39" s="268" t="s">
        <v>231</v>
      </c>
      <c r="C39" s="269"/>
      <c r="D39" s="269"/>
      <c r="E39" s="269"/>
      <c r="F39" s="269"/>
      <c r="G39" s="270"/>
      <c r="H39" s="269"/>
      <c r="I39" s="269"/>
      <c r="J39" s="269"/>
      <c r="K39" s="269"/>
      <c r="L39" s="270"/>
      <c r="M39" s="269"/>
      <c r="N39" s="269"/>
      <c r="O39" s="269"/>
      <c r="P39" s="269"/>
      <c r="Q39" s="270"/>
      <c r="R39" s="269"/>
      <c r="S39" s="269"/>
      <c r="T39" s="269"/>
      <c r="U39" s="269"/>
      <c r="V39" s="271"/>
      <c r="W39" s="272"/>
      <c r="X39" s="272"/>
      <c r="Y39" s="272"/>
      <c r="Z39" s="272"/>
      <c r="AA39" s="271"/>
      <c r="AB39" s="272"/>
      <c r="AC39" s="272"/>
      <c r="AD39" s="272"/>
      <c r="AE39" s="272"/>
      <c r="AF39" s="271"/>
      <c r="AG39" s="272"/>
      <c r="AH39" s="272"/>
      <c r="AI39" s="272"/>
      <c r="AJ39" s="272"/>
      <c r="AK39" s="271"/>
      <c r="AL39" s="272"/>
      <c r="AM39" s="272"/>
      <c r="AN39" s="272"/>
      <c r="AO39" s="272"/>
      <c r="AP39" s="273"/>
      <c r="AQ39" s="274"/>
      <c r="AR39" s="269"/>
      <c r="AS39" s="275"/>
      <c r="AT39" s="275"/>
      <c r="AU39" s="276"/>
      <c r="AV39" s="275"/>
      <c r="AW39" s="275"/>
      <c r="AX39" s="275"/>
      <c r="AY39" s="275"/>
      <c r="AZ39" s="277"/>
      <c r="BA39" s="275"/>
      <c r="BB39" s="275"/>
      <c r="BC39" s="275"/>
      <c r="BD39" s="275"/>
      <c r="BE39" s="277">
        <f>BE35+(BE35/BE$80*BE$81)</f>
        <v>863.96222230952037</v>
      </c>
      <c r="BF39" s="191"/>
      <c r="BG39" s="191"/>
      <c r="BH39" s="191"/>
      <c r="BI39" s="191"/>
      <c r="BJ39" s="277">
        <f>BJ35+(BJ35/BJ$80*BJ$81)</f>
        <v>742.7802422417775</v>
      </c>
      <c r="BK39" s="191"/>
      <c r="BL39" s="191"/>
      <c r="BM39" s="191"/>
      <c r="BN39" s="191"/>
      <c r="BO39" s="277">
        <f>BO35+(BO35/BO$80*BO$81)</f>
        <v>794.00712645029739</v>
      </c>
      <c r="BP39" s="191"/>
      <c r="BQ39" s="191"/>
      <c r="BR39" s="191"/>
      <c r="BS39" s="191"/>
      <c r="BT39" s="277">
        <f>BT35+(BT35/BT$80*BT$81)</f>
        <v>838.67269348981995</v>
      </c>
      <c r="BU39" s="191"/>
      <c r="BV39" s="191"/>
      <c r="BW39" s="191"/>
      <c r="BX39" s="191"/>
      <c r="BY39" s="277">
        <f>BY35+(BY35/BY$80*BY$81)</f>
        <v>905.80995558446079</v>
      </c>
      <c r="BZ39" s="191"/>
      <c r="CA39" s="191"/>
      <c r="CB39" s="191"/>
      <c r="CC39" s="191"/>
      <c r="CD39" s="277">
        <f>CD35+(CD35/CD$80*CD$81)</f>
        <v>1001.3258033433525</v>
      </c>
      <c r="CE39" s="12"/>
    </row>
    <row r="40" spans="1:83" s="285" customFormat="1" x14ac:dyDescent="0.15">
      <c r="B40" s="298"/>
      <c r="C40" s="310"/>
      <c r="D40" s="310"/>
      <c r="E40" s="310"/>
      <c r="F40" s="310"/>
      <c r="G40" s="311"/>
      <c r="H40" s="310"/>
      <c r="I40" s="310"/>
      <c r="J40" s="310"/>
      <c r="K40" s="310"/>
      <c r="L40" s="311"/>
      <c r="M40" s="310"/>
      <c r="N40" s="310"/>
      <c r="O40" s="310"/>
      <c r="P40" s="310"/>
      <c r="Q40" s="311"/>
      <c r="R40" s="310"/>
      <c r="S40" s="310"/>
      <c r="T40" s="310"/>
      <c r="U40" s="310"/>
      <c r="V40" s="311"/>
      <c r="W40" s="310"/>
      <c r="X40" s="310"/>
      <c r="Y40" s="310"/>
      <c r="Z40" s="310"/>
      <c r="AA40" s="311"/>
      <c r="AB40" s="310"/>
      <c r="AC40" s="310"/>
      <c r="AD40" s="310"/>
      <c r="AE40" s="310"/>
      <c r="AF40" s="311"/>
      <c r="AG40" s="310"/>
      <c r="AH40" s="310"/>
      <c r="AI40" s="310"/>
      <c r="AJ40" s="310"/>
      <c r="AK40" s="311"/>
      <c r="AL40" s="314"/>
      <c r="AM40" s="313"/>
      <c r="AN40" s="314"/>
      <c r="AO40" s="315"/>
      <c r="AP40" s="311"/>
      <c r="AQ40" s="316"/>
      <c r="AR40" s="310"/>
      <c r="AS40" s="275"/>
      <c r="AT40" s="275"/>
      <c r="AU40" s="311"/>
      <c r="AV40" s="275"/>
      <c r="AW40" s="275"/>
      <c r="AX40" s="275"/>
      <c r="AY40" s="275"/>
      <c r="AZ40" s="277"/>
      <c r="BA40" s="275"/>
      <c r="BB40" s="275"/>
      <c r="BC40" s="315"/>
      <c r="BD40" s="315"/>
      <c r="BE40" s="332"/>
      <c r="BJ40" s="332"/>
      <c r="BO40" s="332"/>
      <c r="BT40" s="332"/>
      <c r="BY40" s="332"/>
      <c r="CD40" s="332"/>
    </row>
    <row r="41" spans="1:83" s="355" customFormat="1" ht="13" x14ac:dyDescent="0.15">
      <c r="A41" s="349"/>
      <c r="B41" s="664" t="str">
        <f>Sales!B73</f>
        <v>Total Neuro/Other/Generics</v>
      </c>
      <c r="C41" s="686">
        <f>Sales!C73</f>
        <v>0</v>
      </c>
      <c r="D41" s="687">
        <f>Sales!D73</f>
        <v>0</v>
      </c>
      <c r="E41" s="687">
        <f>Sales!E73</f>
        <v>0</v>
      </c>
      <c r="F41" s="687">
        <f>Sales!F73</f>
        <v>0</v>
      </c>
      <c r="G41" s="688">
        <f>Sales!G73</f>
        <v>0</v>
      </c>
      <c r="H41" s="687">
        <f>Sales!H73</f>
        <v>0</v>
      </c>
      <c r="I41" s="687">
        <f>Sales!I73</f>
        <v>0</v>
      </c>
      <c r="J41" s="687">
        <f>Sales!J73</f>
        <v>0</v>
      </c>
      <c r="K41" s="687">
        <f>Sales!K73</f>
        <v>0</v>
      </c>
      <c r="L41" s="688">
        <f>Sales!L73</f>
        <v>0</v>
      </c>
      <c r="M41" s="687">
        <f>Sales!M73</f>
        <v>0</v>
      </c>
      <c r="N41" s="687">
        <f>Sales!N73</f>
        <v>0</v>
      </c>
      <c r="O41" s="687">
        <f>Sales!O73</f>
        <v>0</v>
      </c>
      <c r="P41" s="687">
        <f>Sales!P73</f>
        <v>0</v>
      </c>
      <c r="Q41" s="688">
        <f>Sales!Q73</f>
        <v>0</v>
      </c>
      <c r="R41" s="687">
        <f>Sales!R73</f>
        <v>0</v>
      </c>
      <c r="S41" s="687">
        <f>Sales!S73</f>
        <v>0</v>
      </c>
      <c r="T41" s="687">
        <f>Sales!T73</f>
        <v>0</v>
      </c>
      <c r="U41" s="687">
        <f>Sales!U73</f>
        <v>0</v>
      </c>
      <c r="V41" s="688">
        <f>Sales!V73</f>
        <v>0</v>
      </c>
      <c r="W41" s="689">
        <f>Sales!W73</f>
        <v>0</v>
      </c>
      <c r="X41" s="682">
        <f>Sales!X73</f>
        <v>0</v>
      </c>
      <c r="Y41" s="682">
        <f>Sales!Y73</f>
        <v>0</v>
      </c>
      <c r="Z41" s="682">
        <f>Sales!Z73</f>
        <v>0</v>
      </c>
      <c r="AA41" s="679">
        <f>Sales!AA73</f>
        <v>0</v>
      </c>
      <c r="AB41" s="689">
        <f>Sales!AB73</f>
        <v>0</v>
      </c>
      <c r="AC41" s="689">
        <f>Sales!AC73</f>
        <v>0</v>
      </c>
      <c r="AD41" s="689">
        <f>Sales!AD73</f>
        <v>0</v>
      </c>
      <c r="AE41" s="689">
        <f>Sales!AE73</f>
        <v>0</v>
      </c>
      <c r="AF41" s="679">
        <f>Sales!AF73</f>
        <v>0</v>
      </c>
      <c r="AG41" s="689">
        <f>Sales!AG73</f>
        <v>0</v>
      </c>
      <c r="AH41" s="689">
        <f>Sales!AH73</f>
        <v>0</v>
      </c>
      <c r="AI41" s="689">
        <f>Sales!AI73</f>
        <v>0</v>
      </c>
      <c r="AJ41" s="689">
        <f>Sales!AJ73</f>
        <v>0</v>
      </c>
      <c r="AK41" s="679">
        <f>Sales!AK73</f>
        <v>0</v>
      </c>
      <c r="AL41" s="682">
        <f>Sales!AL73</f>
        <v>0</v>
      </c>
      <c r="AM41" s="682">
        <f>Sales!AM73</f>
        <v>0</v>
      </c>
      <c r="AN41" s="682">
        <f>Sales!AN73</f>
        <v>0</v>
      </c>
      <c r="AO41" s="682">
        <f>Sales!AO73</f>
        <v>0</v>
      </c>
      <c r="AP41" s="679">
        <f>Sales!AP73</f>
        <v>0</v>
      </c>
      <c r="AQ41" s="684">
        <f>Sales!AQ73</f>
        <v>0</v>
      </c>
      <c r="AR41" s="682">
        <f>Sales!AR73</f>
        <v>0</v>
      </c>
      <c r="AS41" s="670">
        <f>Sales!AS73</f>
        <v>354</v>
      </c>
      <c r="AT41" s="670">
        <f>Sales!AT73</f>
        <v>453.79999999999995</v>
      </c>
      <c r="AU41" s="679">
        <f>Sales!AU73</f>
        <v>0</v>
      </c>
      <c r="AV41" s="670">
        <f>Sales!AV73</f>
        <v>351.5</v>
      </c>
      <c r="AW41" s="670">
        <f>Sales!AW73</f>
        <v>332.7</v>
      </c>
      <c r="AX41" s="670">
        <f>Sales!AX73</f>
        <v>424</v>
      </c>
      <c r="AY41" s="670">
        <f>Sales!AY73</f>
        <v>496.5</v>
      </c>
      <c r="AZ41" s="672">
        <f>Sales!AZ73</f>
        <v>1604.7</v>
      </c>
      <c r="BA41" s="670">
        <f>Sales!BA73</f>
        <v>539.1</v>
      </c>
      <c r="BB41" s="670">
        <f>Sales!BB73</f>
        <v>526.20000000000005</v>
      </c>
      <c r="BC41" s="690">
        <f>Sales!BC73</f>
        <v>546.5</v>
      </c>
      <c r="BD41" s="690">
        <f>Sales!BD73</f>
        <v>557.5</v>
      </c>
      <c r="BE41" s="672">
        <f>Sales!BE73</f>
        <v>2169.3000000000002</v>
      </c>
      <c r="BF41" s="228">
        <f>Sales!BF73</f>
        <v>357.07500000000005</v>
      </c>
      <c r="BG41" s="228">
        <f>Sales!BG73</f>
        <v>389.17000000000007</v>
      </c>
      <c r="BH41" s="228">
        <f>Sales!BH73</f>
        <v>402.02499999999998</v>
      </c>
      <c r="BI41" s="228">
        <f>Sales!BI73</f>
        <v>438.32499999999999</v>
      </c>
      <c r="BJ41" s="672">
        <f>Sales!BJ73</f>
        <v>1586.595</v>
      </c>
      <c r="BK41" s="228">
        <f>Sales!BK73</f>
        <v>0</v>
      </c>
      <c r="BL41" s="228">
        <f>Sales!BL73</f>
        <v>0</v>
      </c>
      <c r="BM41" s="228">
        <f>Sales!BM73</f>
        <v>0</v>
      </c>
      <c r="BN41" s="228">
        <f>Sales!BN73</f>
        <v>0</v>
      </c>
      <c r="BO41" s="672">
        <f>Sales!BO73</f>
        <v>1538.2652499999999</v>
      </c>
      <c r="BP41" s="228">
        <f>Sales!BP73</f>
        <v>0</v>
      </c>
      <c r="BQ41" s="228">
        <f>Sales!BQ73</f>
        <v>0</v>
      </c>
      <c r="BR41" s="228">
        <f>Sales!BR73</f>
        <v>0</v>
      </c>
      <c r="BS41" s="228">
        <f>Sales!BS73</f>
        <v>0</v>
      </c>
      <c r="BT41" s="672">
        <f>Sales!BT73</f>
        <v>1533.1692499999999</v>
      </c>
      <c r="BU41" s="228">
        <f>Sales!BU73</f>
        <v>0</v>
      </c>
      <c r="BV41" s="228">
        <f>Sales!BV73</f>
        <v>0</v>
      </c>
      <c r="BW41" s="228">
        <f>Sales!BW73</f>
        <v>0</v>
      </c>
      <c r="BX41" s="228">
        <f>Sales!BX73</f>
        <v>0</v>
      </c>
      <c r="BY41" s="672">
        <f>Sales!BY73</f>
        <v>1512.1101699999999</v>
      </c>
      <c r="BZ41" s="228">
        <f>Sales!BZ73</f>
        <v>0</v>
      </c>
      <c r="CA41" s="228">
        <f>Sales!CA73</f>
        <v>0</v>
      </c>
      <c r="CB41" s="228">
        <f>Sales!CB73</f>
        <v>0</v>
      </c>
      <c r="CC41" s="228">
        <f>Sales!CC73</f>
        <v>0</v>
      </c>
      <c r="CD41" s="672">
        <f>Sales!CD73</f>
        <v>1491.9542216</v>
      </c>
    </row>
    <row r="42" spans="1:83" s="355" customFormat="1" ht="13" x14ac:dyDescent="0.15">
      <c r="A42" s="349"/>
      <c r="B42" s="574" t="s">
        <v>76</v>
      </c>
      <c r="C42" s="350"/>
      <c r="D42" s="350"/>
      <c r="E42" s="350"/>
      <c r="F42" s="351"/>
      <c r="G42" s="352"/>
      <c r="H42" s="351"/>
      <c r="I42" s="351"/>
      <c r="J42" s="351"/>
      <c r="K42" s="351"/>
      <c r="L42" s="352"/>
      <c r="M42" s="351"/>
      <c r="N42" s="351"/>
      <c r="O42" s="351"/>
      <c r="P42" s="351"/>
      <c r="Q42" s="352"/>
      <c r="R42" s="353"/>
      <c r="S42" s="353"/>
      <c r="T42" s="353"/>
      <c r="U42" s="353"/>
      <c r="V42" s="354"/>
      <c r="W42" s="353"/>
      <c r="X42" s="353"/>
      <c r="Y42" s="353"/>
      <c r="Z42" s="353"/>
      <c r="AA42" s="354"/>
      <c r="AB42" s="302"/>
      <c r="AC42" s="302"/>
      <c r="AD42" s="302"/>
      <c r="AE42" s="302"/>
      <c r="AF42" s="311"/>
      <c r="AK42" s="311"/>
      <c r="AP42" s="311"/>
      <c r="AQ42" s="356"/>
      <c r="AS42" s="275"/>
      <c r="AT42" s="275"/>
      <c r="AU42" s="311"/>
      <c r="AV42" s="275"/>
      <c r="AW42" s="275"/>
      <c r="AX42" s="275"/>
      <c r="AY42" s="275"/>
      <c r="AZ42" s="277"/>
      <c r="BA42" s="275"/>
      <c r="BB42" s="275"/>
      <c r="BC42" s="275"/>
      <c r="BD42" s="275"/>
      <c r="BE42" s="692">
        <v>0.53</v>
      </c>
      <c r="BF42" s="693"/>
      <c r="BG42" s="693"/>
      <c r="BH42" s="693"/>
      <c r="BI42" s="693"/>
      <c r="BJ42" s="692">
        <v>0.54</v>
      </c>
      <c r="BK42" s="693"/>
      <c r="BL42" s="693"/>
      <c r="BM42" s="693"/>
      <c r="BN42" s="693"/>
      <c r="BO42" s="692">
        <v>0.55000000000000004</v>
      </c>
      <c r="BP42" s="693"/>
      <c r="BQ42" s="693"/>
      <c r="BR42" s="693"/>
      <c r="BS42" s="693"/>
      <c r="BT42" s="692">
        <v>0.55000000000000004</v>
      </c>
      <c r="BU42" s="693"/>
      <c r="BV42" s="693"/>
      <c r="BW42" s="693"/>
      <c r="BX42" s="693"/>
      <c r="BY42" s="692">
        <v>0.55000000000000004</v>
      </c>
      <c r="BZ42" s="693"/>
      <c r="CA42" s="693"/>
      <c r="CB42" s="693"/>
      <c r="CC42" s="693"/>
      <c r="CD42" s="692">
        <v>0.55000000000000004</v>
      </c>
      <c r="CE42" s="355">
        <v>55</v>
      </c>
    </row>
    <row r="43" spans="1:83" s="355" customFormat="1" ht="13" x14ac:dyDescent="0.15">
      <c r="A43" s="349"/>
      <c r="B43" s="268" t="s">
        <v>229</v>
      </c>
      <c r="C43" s="350"/>
      <c r="D43" s="350"/>
      <c r="E43" s="350"/>
      <c r="F43" s="351"/>
      <c r="G43" s="352"/>
      <c r="H43" s="351"/>
      <c r="I43" s="351"/>
      <c r="J43" s="351"/>
      <c r="K43" s="351"/>
      <c r="L43" s="352"/>
      <c r="M43" s="351"/>
      <c r="N43" s="351"/>
      <c r="O43" s="351"/>
      <c r="P43" s="351"/>
      <c r="Q43" s="352"/>
      <c r="R43" s="353"/>
      <c r="S43" s="353"/>
      <c r="T43" s="353"/>
      <c r="U43" s="353"/>
      <c r="V43" s="354"/>
      <c r="W43" s="353"/>
      <c r="X43" s="353"/>
      <c r="Y43" s="353"/>
      <c r="Z43" s="353"/>
      <c r="AA43" s="354"/>
      <c r="AB43" s="302"/>
      <c r="AC43" s="302"/>
      <c r="AD43" s="302"/>
      <c r="AE43" s="302"/>
      <c r="AF43" s="311"/>
      <c r="AK43" s="311"/>
      <c r="AP43" s="311"/>
      <c r="AQ43" s="356"/>
      <c r="AS43" s="275"/>
      <c r="AT43" s="275"/>
      <c r="AU43" s="311"/>
      <c r="AV43" s="275"/>
      <c r="AW43" s="275"/>
      <c r="AX43" s="275"/>
      <c r="AY43" s="275"/>
      <c r="AZ43" s="277"/>
      <c r="BA43" s="275"/>
      <c r="BB43" s="275"/>
      <c r="BC43" s="275"/>
      <c r="BD43" s="275"/>
      <c r="BE43" s="332">
        <f>BE41*BE42</f>
        <v>1149.729</v>
      </c>
      <c r="BF43" s="285"/>
      <c r="BG43" s="285"/>
      <c r="BH43" s="285"/>
      <c r="BI43" s="285"/>
      <c r="BJ43" s="332">
        <f>BJ41*BJ42</f>
        <v>856.76130000000012</v>
      </c>
      <c r="BK43" s="285"/>
      <c r="BL43" s="285"/>
      <c r="BM43" s="285"/>
      <c r="BN43" s="285"/>
      <c r="BO43" s="332">
        <f>BO41*BO42</f>
        <v>846.04588750000005</v>
      </c>
      <c r="BP43" s="285"/>
      <c r="BQ43" s="285"/>
      <c r="BR43" s="285"/>
      <c r="BS43" s="285"/>
      <c r="BT43" s="332">
        <f>BT41*BT42</f>
        <v>843.2430875</v>
      </c>
      <c r="BU43" s="285"/>
      <c r="BV43" s="285"/>
      <c r="BW43" s="285"/>
      <c r="BX43" s="285"/>
      <c r="BY43" s="332">
        <f>BY41*BY42</f>
        <v>831.6605935</v>
      </c>
      <c r="BZ43" s="285"/>
      <c r="CA43" s="285"/>
      <c r="CB43" s="285"/>
      <c r="CC43" s="285"/>
      <c r="CD43" s="332">
        <f>CD41*CD42</f>
        <v>820.57482188000006</v>
      </c>
    </row>
    <row r="44" spans="1:83" s="355" customFormat="1" ht="13" hidden="1" x14ac:dyDescent="0.15">
      <c r="A44" s="349"/>
      <c r="B44" s="268" t="s">
        <v>83</v>
      </c>
      <c r="C44" s="350"/>
      <c r="D44" s="350"/>
      <c r="E44" s="350"/>
      <c r="F44" s="351"/>
      <c r="G44" s="352"/>
      <c r="H44" s="351"/>
      <c r="I44" s="351"/>
      <c r="J44" s="351"/>
      <c r="K44" s="351"/>
      <c r="L44" s="352"/>
      <c r="M44" s="351"/>
      <c r="N44" s="351"/>
      <c r="O44" s="351"/>
      <c r="P44" s="351"/>
      <c r="Q44" s="352"/>
      <c r="R44" s="353"/>
      <c r="S44" s="353"/>
      <c r="T44" s="353"/>
      <c r="U44" s="353"/>
      <c r="V44" s="354"/>
      <c r="W44" s="353"/>
      <c r="X44" s="353"/>
      <c r="Y44" s="353"/>
      <c r="Z44" s="353"/>
      <c r="AA44" s="354"/>
      <c r="AB44" s="302"/>
      <c r="AC44" s="302"/>
      <c r="AD44" s="302"/>
      <c r="AE44" s="302"/>
      <c r="AF44" s="311"/>
      <c r="AK44" s="311"/>
      <c r="AP44" s="311"/>
      <c r="AQ44" s="356"/>
      <c r="AS44" s="275"/>
      <c r="AT44" s="275"/>
      <c r="AU44" s="311"/>
      <c r="AV44" s="275"/>
      <c r="AW44" s="275"/>
      <c r="AX44" s="275"/>
      <c r="AY44" s="275"/>
      <c r="AZ44" s="277"/>
      <c r="BA44" s="275"/>
      <c r="BB44" s="275"/>
      <c r="BC44" s="275"/>
      <c r="BD44" s="275"/>
      <c r="BE44" s="332"/>
      <c r="BF44" s="285"/>
      <c r="BG44" s="285"/>
      <c r="BH44" s="285"/>
      <c r="BI44" s="285"/>
      <c r="BJ44" s="332"/>
      <c r="BK44" s="285"/>
      <c r="BL44" s="285"/>
      <c r="BM44" s="285"/>
      <c r="BN44" s="285"/>
      <c r="BO44" s="332"/>
      <c r="BP44" s="285"/>
      <c r="BQ44" s="285"/>
      <c r="BR44" s="285"/>
      <c r="BS44" s="285"/>
      <c r="BT44" s="332"/>
      <c r="BU44" s="285"/>
      <c r="BV44" s="285"/>
      <c r="BW44" s="285"/>
      <c r="BX44" s="285"/>
      <c r="BY44" s="332"/>
      <c r="BZ44" s="285"/>
      <c r="CA44" s="285"/>
      <c r="CB44" s="285"/>
      <c r="CC44" s="285"/>
      <c r="CD44" s="332"/>
    </row>
    <row r="45" spans="1:83" s="355" customFormat="1" ht="13" hidden="1" x14ac:dyDescent="0.15">
      <c r="A45" s="349"/>
      <c r="B45" s="268" t="s">
        <v>84</v>
      </c>
      <c r="C45" s="350"/>
      <c r="D45" s="350"/>
      <c r="E45" s="350"/>
      <c r="F45" s="351"/>
      <c r="G45" s="352"/>
      <c r="H45" s="351"/>
      <c r="I45" s="351"/>
      <c r="J45" s="351"/>
      <c r="K45" s="351"/>
      <c r="L45" s="352"/>
      <c r="M45" s="351"/>
      <c r="N45" s="351"/>
      <c r="O45" s="351"/>
      <c r="P45" s="351"/>
      <c r="Q45" s="352"/>
      <c r="R45" s="353"/>
      <c r="S45" s="353"/>
      <c r="T45" s="353"/>
      <c r="U45" s="353"/>
      <c r="V45" s="354"/>
      <c r="W45" s="353"/>
      <c r="X45" s="353"/>
      <c r="Y45" s="353"/>
      <c r="Z45" s="353"/>
      <c r="AA45" s="354"/>
      <c r="AB45" s="302"/>
      <c r="AC45" s="302"/>
      <c r="AD45" s="302"/>
      <c r="AE45" s="302"/>
      <c r="AF45" s="311"/>
      <c r="AK45" s="311"/>
      <c r="AP45" s="311"/>
      <c r="AQ45" s="356"/>
      <c r="AS45" s="275"/>
      <c r="AT45" s="275"/>
      <c r="AU45" s="311"/>
      <c r="AV45" s="275"/>
      <c r="AW45" s="275"/>
      <c r="AX45" s="275"/>
      <c r="AY45" s="275"/>
      <c r="AZ45" s="277"/>
      <c r="BA45" s="275"/>
      <c r="BB45" s="275"/>
      <c r="BC45" s="275"/>
      <c r="BD45" s="275"/>
      <c r="BE45" s="332"/>
      <c r="BF45" s="285"/>
      <c r="BG45" s="285"/>
      <c r="BH45" s="285"/>
      <c r="BI45" s="285"/>
      <c r="BJ45" s="332"/>
      <c r="BK45" s="285"/>
      <c r="BL45" s="285"/>
      <c r="BM45" s="285"/>
      <c r="BN45" s="285"/>
      <c r="BO45" s="332"/>
      <c r="BP45" s="285"/>
      <c r="BQ45" s="285"/>
      <c r="BR45" s="285"/>
      <c r="BS45" s="285"/>
      <c r="BT45" s="332"/>
      <c r="BU45" s="285"/>
      <c r="BV45" s="285"/>
      <c r="BW45" s="285"/>
      <c r="BX45" s="285"/>
      <c r="BY45" s="332"/>
      <c r="BZ45" s="285"/>
      <c r="CA45" s="285"/>
      <c r="CB45" s="285"/>
      <c r="CC45" s="285"/>
      <c r="CD45" s="332"/>
    </row>
    <row r="46" spans="1:83" s="355" customFormat="1" ht="13" hidden="1" x14ac:dyDescent="0.15">
      <c r="A46" s="349"/>
      <c r="B46" s="268" t="s">
        <v>230</v>
      </c>
      <c r="C46" s="350"/>
      <c r="D46" s="350"/>
      <c r="E46" s="350"/>
      <c r="F46" s="351"/>
      <c r="G46" s="352"/>
      <c r="H46" s="351"/>
      <c r="I46" s="351"/>
      <c r="J46" s="351"/>
      <c r="K46" s="351"/>
      <c r="L46" s="352"/>
      <c r="M46" s="351"/>
      <c r="N46" s="351"/>
      <c r="O46" s="351"/>
      <c r="P46" s="351"/>
      <c r="Q46" s="352"/>
      <c r="R46" s="353"/>
      <c r="S46" s="353"/>
      <c r="T46" s="353"/>
      <c r="U46" s="353"/>
      <c r="V46" s="354"/>
      <c r="W46" s="353"/>
      <c r="X46" s="353"/>
      <c r="Y46" s="353"/>
      <c r="Z46" s="353"/>
      <c r="AA46" s="354"/>
      <c r="AB46" s="302"/>
      <c r="AC46" s="302"/>
      <c r="AD46" s="302"/>
      <c r="AE46" s="302"/>
      <c r="AF46" s="311"/>
      <c r="AK46" s="311"/>
      <c r="AP46" s="311"/>
      <c r="AQ46" s="356"/>
      <c r="AS46" s="275"/>
      <c r="AT46" s="275"/>
      <c r="AU46" s="311"/>
      <c r="AV46" s="275"/>
      <c r="AW46" s="275"/>
      <c r="AX46" s="275"/>
      <c r="AY46" s="275"/>
      <c r="AZ46" s="277"/>
      <c r="BA46" s="275"/>
      <c r="BB46" s="275"/>
      <c r="BC46" s="275"/>
      <c r="BD46" s="275"/>
      <c r="BE46" s="332"/>
      <c r="BF46" s="285"/>
      <c r="BG46" s="285"/>
      <c r="BH46" s="285"/>
      <c r="BI46" s="285"/>
      <c r="BJ46" s="332"/>
      <c r="BK46" s="285"/>
      <c r="BL46" s="285"/>
      <c r="BM46" s="285"/>
      <c r="BN46" s="285"/>
      <c r="BO46" s="332"/>
      <c r="BP46" s="285"/>
      <c r="BQ46" s="285"/>
      <c r="BR46" s="285"/>
      <c r="BS46" s="285"/>
      <c r="BT46" s="332"/>
      <c r="BU46" s="285"/>
      <c r="BV46" s="285"/>
      <c r="BW46" s="285"/>
      <c r="BX46" s="285"/>
      <c r="BY46" s="332"/>
      <c r="BZ46" s="285"/>
      <c r="CA46" s="285"/>
      <c r="CB46" s="285"/>
      <c r="CC46" s="285"/>
      <c r="CD46" s="332"/>
    </row>
    <row r="47" spans="1:83" s="355" customFormat="1" ht="13" x14ac:dyDescent="0.15">
      <c r="A47" s="349"/>
      <c r="B47" s="268" t="s">
        <v>231</v>
      </c>
      <c r="C47" s="350"/>
      <c r="D47" s="350"/>
      <c r="E47" s="350"/>
      <c r="F47" s="351"/>
      <c r="G47" s="352"/>
      <c r="H47" s="351"/>
      <c r="I47" s="351"/>
      <c r="J47" s="351"/>
      <c r="K47" s="351"/>
      <c r="L47" s="352"/>
      <c r="M47" s="351"/>
      <c r="N47" s="351"/>
      <c r="O47" s="351"/>
      <c r="P47" s="351"/>
      <c r="Q47" s="352"/>
      <c r="R47" s="353"/>
      <c r="S47" s="353"/>
      <c r="T47" s="353"/>
      <c r="U47" s="353"/>
      <c r="V47" s="354"/>
      <c r="W47" s="353"/>
      <c r="X47" s="353"/>
      <c r="Y47" s="353"/>
      <c r="Z47" s="353"/>
      <c r="AA47" s="354"/>
      <c r="AB47" s="302"/>
      <c r="AC47" s="302"/>
      <c r="AD47" s="302"/>
      <c r="AE47" s="302"/>
      <c r="AF47" s="311"/>
      <c r="AK47" s="311"/>
      <c r="AP47" s="311"/>
      <c r="AQ47" s="356"/>
      <c r="AS47" s="275"/>
      <c r="AT47" s="275"/>
      <c r="AU47" s="311"/>
      <c r="AV47" s="275"/>
      <c r="AW47" s="275"/>
      <c r="AX47" s="275"/>
      <c r="AY47" s="275"/>
      <c r="AZ47" s="277"/>
      <c r="BA47" s="275"/>
      <c r="BB47" s="275"/>
      <c r="BC47" s="275"/>
      <c r="BD47" s="275"/>
      <c r="BE47" s="277">
        <f>BE43+(BE43/BE$80*BE$81)</f>
        <v>1192.320756084147</v>
      </c>
      <c r="BF47" s="191"/>
      <c r="BG47" s="191"/>
      <c r="BH47" s="191"/>
      <c r="BI47" s="191"/>
      <c r="BJ47" s="277">
        <f>BJ43+(BJ43/BJ$80*BJ$81)</f>
        <v>889.7754991346095</v>
      </c>
      <c r="BK47" s="191"/>
      <c r="BL47" s="191"/>
      <c r="BM47" s="191"/>
      <c r="BN47" s="191"/>
      <c r="BO47" s="277">
        <f>BO43+(BO43/BO$80*BO$81)</f>
        <v>876.0811652267214</v>
      </c>
      <c r="BP47" s="191"/>
      <c r="BQ47" s="191"/>
      <c r="BR47" s="191"/>
      <c r="BS47" s="191"/>
      <c r="BT47" s="277">
        <f>BT43+(BT43/BT$80*BT$81)</f>
        <v>870.99858971107358</v>
      </c>
      <c r="BU47" s="191"/>
      <c r="BV47" s="191"/>
      <c r="BW47" s="191"/>
      <c r="BX47" s="191"/>
      <c r="BY47" s="277">
        <f>BY43+(BY43/BY$80*BY$81)</f>
        <v>856.96931808239867</v>
      </c>
      <c r="BZ47" s="191"/>
      <c r="CA47" s="191"/>
      <c r="CB47" s="191"/>
      <c r="CC47" s="191"/>
      <c r="CD47" s="277">
        <f>CD43+(CD43/CD$80*CD$81)</f>
        <v>844.22872554636081</v>
      </c>
    </row>
    <row r="48" spans="1:83" s="355" customFormat="1" ht="13" x14ac:dyDescent="0.15">
      <c r="A48" s="349"/>
      <c r="B48" s="298"/>
      <c r="C48" s="350"/>
      <c r="D48" s="350"/>
      <c r="E48" s="350"/>
      <c r="F48" s="351"/>
      <c r="G48" s="352"/>
      <c r="H48" s="351"/>
      <c r="I48" s="351"/>
      <c r="J48" s="351"/>
      <c r="K48" s="351"/>
      <c r="L48" s="352"/>
      <c r="M48" s="351"/>
      <c r="N48" s="351"/>
      <c r="O48" s="351"/>
      <c r="P48" s="351"/>
      <c r="Q48" s="352"/>
      <c r="R48" s="353"/>
      <c r="S48" s="353"/>
      <c r="T48" s="353"/>
      <c r="U48" s="353"/>
      <c r="V48" s="354"/>
      <c r="W48" s="353"/>
      <c r="X48" s="353"/>
      <c r="Y48" s="353"/>
      <c r="Z48" s="353"/>
      <c r="AA48" s="354"/>
      <c r="AB48" s="302"/>
      <c r="AC48" s="302"/>
      <c r="AD48" s="302"/>
      <c r="AE48" s="302"/>
      <c r="AF48" s="311"/>
      <c r="AK48" s="311"/>
      <c r="AP48" s="311"/>
      <c r="AQ48" s="356"/>
      <c r="AS48" s="275"/>
      <c r="AT48" s="275"/>
      <c r="AU48" s="311"/>
      <c r="AV48" s="275"/>
      <c r="AW48" s="275"/>
      <c r="AX48" s="275"/>
      <c r="AY48" s="275"/>
      <c r="AZ48" s="277"/>
      <c r="BA48" s="275"/>
      <c r="BB48" s="275"/>
      <c r="BC48" s="275"/>
      <c r="BD48" s="275"/>
      <c r="BE48" s="332"/>
      <c r="BF48" s="285"/>
      <c r="BG48" s="285"/>
      <c r="BH48" s="285"/>
      <c r="BI48" s="285"/>
      <c r="BJ48" s="332"/>
      <c r="BK48" s="285"/>
      <c r="BL48" s="285"/>
      <c r="BM48" s="285"/>
      <c r="BN48" s="285"/>
      <c r="BO48" s="332"/>
      <c r="BP48" s="285"/>
      <c r="BQ48" s="285"/>
      <c r="BR48" s="285"/>
      <c r="BS48" s="285"/>
      <c r="BT48" s="332"/>
      <c r="BU48" s="285"/>
      <c r="BV48" s="285"/>
      <c r="BW48" s="285"/>
      <c r="BX48" s="285"/>
      <c r="BY48" s="332"/>
      <c r="BZ48" s="285"/>
      <c r="CA48" s="285"/>
      <c r="CB48" s="285"/>
      <c r="CC48" s="285"/>
      <c r="CD48" s="332"/>
    </row>
    <row r="49" spans="1:83" s="454" customFormat="1" x14ac:dyDescent="0.15">
      <c r="A49" s="157"/>
      <c r="B49" s="225" t="str">
        <f>Sales!B117</f>
        <v>Total Developed ROW (Canada/Austraila/Japan/WEU)</v>
      </c>
      <c r="C49" s="696" t="e">
        <f>Sales!C117</f>
        <v>#REF!</v>
      </c>
      <c r="D49" s="696" t="e">
        <f>Sales!D117</f>
        <v>#REF!</v>
      </c>
      <c r="E49" s="696" t="e">
        <f>Sales!E117</f>
        <v>#REF!</v>
      </c>
      <c r="F49" s="696" t="e">
        <f>Sales!F117</f>
        <v>#REF!</v>
      </c>
      <c r="G49" s="697" t="e">
        <f>Sales!G117</f>
        <v>#REF!</v>
      </c>
      <c r="H49" s="696" t="e">
        <f>Sales!H117</f>
        <v>#REF!</v>
      </c>
      <c r="I49" s="696" t="e">
        <f>Sales!I117</f>
        <v>#REF!</v>
      </c>
      <c r="J49" s="696" t="e">
        <f>Sales!J117</f>
        <v>#REF!</v>
      </c>
      <c r="K49" s="696" t="e">
        <f>Sales!K117</f>
        <v>#REF!</v>
      </c>
      <c r="L49" s="697" t="e">
        <f>Sales!L117</f>
        <v>#REF!</v>
      </c>
      <c r="M49" s="696" t="e">
        <f>Sales!M117</f>
        <v>#REF!</v>
      </c>
      <c r="N49" s="696" t="e">
        <f>Sales!N117</f>
        <v>#REF!</v>
      </c>
      <c r="O49" s="696" t="e">
        <f>Sales!O117</f>
        <v>#REF!</v>
      </c>
      <c r="P49" s="696" t="e">
        <f>Sales!P117</f>
        <v>#REF!</v>
      </c>
      <c r="Q49" s="697" t="e">
        <f>Sales!Q117</f>
        <v>#REF!</v>
      </c>
      <c r="R49" s="696" t="e">
        <f>Sales!R117</f>
        <v>#REF!</v>
      </c>
      <c r="S49" s="696" t="e">
        <f>Sales!S117</f>
        <v>#REF!</v>
      </c>
      <c r="T49" s="696" t="e">
        <f>Sales!T117</f>
        <v>#REF!</v>
      </c>
      <c r="U49" s="696" t="e">
        <f>Sales!U117</f>
        <v>#REF!</v>
      </c>
      <c r="V49" s="697" t="e">
        <f>Sales!V117</f>
        <v>#REF!</v>
      </c>
      <c r="W49" s="698" t="e">
        <f>Sales!W117</f>
        <v>#REF!</v>
      </c>
      <c r="X49" s="698" t="e">
        <f>Sales!X117</f>
        <v>#REF!</v>
      </c>
      <c r="Y49" s="698" t="e">
        <f>Sales!Y117</f>
        <v>#REF!</v>
      </c>
      <c r="Z49" s="698" t="e">
        <f>Sales!Z117</f>
        <v>#REF!</v>
      </c>
      <c r="AA49" s="699" t="e">
        <f>Sales!AA117</f>
        <v>#REF!</v>
      </c>
      <c r="AB49" s="698">
        <f>Sales!AB117</f>
        <v>0</v>
      </c>
      <c r="AC49" s="698">
        <f>Sales!AC117</f>
        <v>0</v>
      </c>
      <c r="AD49" s="698">
        <f>Sales!AD117</f>
        <v>0</v>
      </c>
      <c r="AE49" s="698">
        <f>Sales!AE117</f>
        <v>0</v>
      </c>
      <c r="AF49" s="699">
        <f>Sales!AF117</f>
        <v>0</v>
      </c>
      <c r="AG49" s="698">
        <f>Sales!AG117</f>
        <v>0</v>
      </c>
      <c r="AH49" s="698">
        <f>Sales!AH117</f>
        <v>0</v>
      </c>
      <c r="AI49" s="698">
        <f>Sales!AI117</f>
        <v>0</v>
      </c>
      <c r="AJ49" s="698">
        <f>Sales!AJ117</f>
        <v>0</v>
      </c>
      <c r="AK49" s="699">
        <f>Sales!AK117</f>
        <v>0</v>
      </c>
      <c r="AL49" s="698">
        <f>Sales!AL117</f>
        <v>0</v>
      </c>
      <c r="AM49" s="698">
        <f>Sales!AM117</f>
        <v>0</v>
      </c>
      <c r="AN49" s="698">
        <f>Sales!AN117</f>
        <v>0</v>
      </c>
      <c r="AO49" s="698">
        <f>Sales!AO117</f>
        <v>0</v>
      </c>
      <c r="AP49" s="699">
        <f>Sales!AP117</f>
        <v>0</v>
      </c>
      <c r="AQ49" s="698">
        <f>Sales!AQ117</f>
        <v>128.5</v>
      </c>
      <c r="AR49" s="698">
        <f>Sales!AR117</f>
        <v>141.30000000000001</v>
      </c>
      <c r="AS49" s="698">
        <f>Sales!AS117</f>
        <v>326.88900000000001</v>
      </c>
      <c r="AT49" s="698">
        <f>Sales!AT117</f>
        <v>484.77199999999999</v>
      </c>
      <c r="AU49" s="699">
        <f>Sales!AU117</f>
        <v>1081.461</v>
      </c>
      <c r="AV49" s="698">
        <f>Sales!AV117</f>
        <v>415.4</v>
      </c>
      <c r="AW49" s="698">
        <f>Sales!AW117</f>
        <v>441.6</v>
      </c>
      <c r="AX49" s="698">
        <f>Sales!AX117</f>
        <v>420.7</v>
      </c>
      <c r="AY49" s="698">
        <f>Sales!AY117</f>
        <v>423</v>
      </c>
      <c r="AZ49" s="699">
        <f>Sales!AZ117</f>
        <v>1700.7</v>
      </c>
      <c r="BA49" s="698">
        <f>Sales!BA117</f>
        <v>360.7</v>
      </c>
      <c r="BB49" s="698">
        <f>Sales!BB117</f>
        <v>397.3</v>
      </c>
      <c r="BC49" s="698">
        <f>Sales!BC117</f>
        <v>352.5</v>
      </c>
      <c r="BD49" s="698">
        <f>Sales!BD117</f>
        <v>363.4</v>
      </c>
      <c r="BE49" s="699">
        <f>Sales!BE117</f>
        <v>1473.9</v>
      </c>
      <c r="BF49" s="699">
        <f>Sales!BF117</f>
        <v>339.05799999999999</v>
      </c>
      <c r="BG49" s="699">
        <f>Sales!BG117</f>
        <v>385.38100000000003</v>
      </c>
      <c r="BH49" s="699">
        <f>Sales!BH117</f>
        <v>348.97500000000002</v>
      </c>
      <c r="BI49" s="699">
        <f>Sales!BI117</f>
        <v>370.66800000000001</v>
      </c>
      <c r="BJ49" s="699">
        <f>Sales!BJ117</f>
        <v>1444.0820000000003</v>
      </c>
      <c r="BK49" s="228">
        <f>Sales!BK117</f>
        <v>0</v>
      </c>
      <c r="BL49" s="228">
        <f>Sales!BL117</f>
        <v>0</v>
      </c>
      <c r="BM49" s="228">
        <f>Sales!BM117</f>
        <v>0</v>
      </c>
      <c r="BN49" s="228">
        <f>Sales!BN117</f>
        <v>0</v>
      </c>
      <c r="BO49" s="699">
        <f>Sales!BO117</f>
        <v>1472.9636400000004</v>
      </c>
      <c r="BP49" s="699">
        <f>Sales!BP117</f>
        <v>0</v>
      </c>
      <c r="BQ49" s="699">
        <f>Sales!BQ117</f>
        <v>0</v>
      </c>
      <c r="BR49" s="699">
        <f>Sales!BR117</f>
        <v>0</v>
      </c>
      <c r="BS49" s="699">
        <f>Sales!BS117</f>
        <v>0</v>
      </c>
      <c r="BT49" s="699">
        <f>Sales!BT117</f>
        <v>1502.4229128000004</v>
      </c>
      <c r="BU49" s="228">
        <f>Sales!BU117</f>
        <v>0</v>
      </c>
      <c r="BV49" s="228">
        <f>Sales!BV117</f>
        <v>0</v>
      </c>
      <c r="BW49" s="228">
        <f>Sales!BW117</f>
        <v>0</v>
      </c>
      <c r="BX49" s="228">
        <f>Sales!BX117</f>
        <v>0</v>
      </c>
      <c r="BY49" s="699">
        <f>Sales!BY117</f>
        <v>1532.4713710560004</v>
      </c>
      <c r="BZ49" s="699">
        <f>Sales!BZ117</f>
        <v>0</v>
      </c>
      <c r="CA49" s="699">
        <f>Sales!CA117</f>
        <v>0</v>
      </c>
      <c r="CB49" s="699">
        <f>Sales!CB117</f>
        <v>0</v>
      </c>
      <c r="CC49" s="699">
        <f>Sales!CC117</f>
        <v>0</v>
      </c>
      <c r="CD49" s="699">
        <f>Sales!CD117</f>
        <v>1563.1207984771204</v>
      </c>
      <c r="CE49" s="157"/>
    </row>
    <row r="50" spans="1:83" s="355" customFormat="1" ht="13" x14ac:dyDescent="0.15">
      <c r="A50" s="349"/>
      <c r="B50" s="574" t="s">
        <v>76</v>
      </c>
      <c r="C50" s="350"/>
      <c r="D50" s="350"/>
      <c r="E50" s="350"/>
      <c r="F50" s="351"/>
      <c r="G50" s="352"/>
      <c r="H50" s="351"/>
      <c r="I50" s="351"/>
      <c r="J50" s="351"/>
      <c r="K50" s="351"/>
      <c r="L50" s="352"/>
      <c r="M50" s="351"/>
      <c r="N50" s="351"/>
      <c r="O50" s="351"/>
      <c r="P50" s="351"/>
      <c r="Q50" s="352"/>
      <c r="R50" s="353"/>
      <c r="S50" s="353"/>
      <c r="T50" s="353"/>
      <c r="U50" s="353"/>
      <c r="V50" s="354"/>
      <c r="W50" s="353"/>
      <c r="X50" s="353"/>
      <c r="Y50" s="353"/>
      <c r="Z50" s="353"/>
      <c r="AA50" s="354"/>
      <c r="AB50" s="302"/>
      <c r="AC50" s="302"/>
      <c r="AD50" s="302"/>
      <c r="AE50" s="302"/>
      <c r="AF50" s="360"/>
      <c r="AK50" s="311"/>
      <c r="AP50" s="360"/>
      <c r="AQ50" s="694"/>
      <c r="AS50" s="275"/>
      <c r="AT50" s="275"/>
      <c r="AU50" s="311"/>
      <c r="AV50" s="275"/>
      <c r="AW50" s="275"/>
      <c r="AX50" s="275"/>
      <c r="AY50" s="275"/>
      <c r="AZ50" s="311"/>
      <c r="BA50" s="275"/>
      <c r="BB50" s="275"/>
      <c r="BC50" s="275"/>
      <c r="BD50" s="275"/>
      <c r="BE50" s="600">
        <f>BE51/BE49</f>
        <v>0.53325123821154807</v>
      </c>
      <c r="BF50" s="285"/>
      <c r="BG50" s="285"/>
      <c r="BH50" s="285"/>
      <c r="BI50" s="285"/>
      <c r="BJ50" s="600">
        <f>BJ51/BJ49</f>
        <v>0.45728904522042318</v>
      </c>
      <c r="BK50" s="285"/>
      <c r="BL50" s="285"/>
      <c r="BM50" s="285"/>
      <c r="BN50" s="285"/>
      <c r="BO50" s="600">
        <f>BO51/BO49</f>
        <v>0.46488566992054292</v>
      </c>
      <c r="BP50" s="285"/>
      <c r="BQ50" s="285"/>
      <c r="BR50" s="285"/>
      <c r="BS50" s="285"/>
      <c r="BT50" s="600">
        <f>BT51/BT49</f>
        <v>0.48272122660302069</v>
      </c>
      <c r="BU50" s="285"/>
      <c r="BV50" s="285"/>
      <c r="BW50" s="285"/>
      <c r="BX50" s="285"/>
      <c r="BY50" s="600">
        <f>BY51/BY49</f>
        <v>0.50269044532834639</v>
      </c>
      <c r="BZ50" s="285"/>
      <c r="CA50" s="285"/>
      <c r="CB50" s="285"/>
      <c r="CC50" s="285"/>
      <c r="CD50" s="600">
        <f>CD51/CD49</f>
        <v>0.4936777572194011</v>
      </c>
    </row>
    <row r="51" spans="1:83" s="355" customFormat="1" ht="13" x14ac:dyDescent="0.15">
      <c r="A51" s="349"/>
      <c r="B51" s="268" t="s">
        <v>229</v>
      </c>
      <c r="C51" s="350"/>
      <c r="D51" s="350"/>
      <c r="E51" s="350"/>
      <c r="F51" s="351"/>
      <c r="G51" s="352"/>
      <c r="H51" s="351"/>
      <c r="I51" s="351"/>
      <c r="J51" s="351"/>
      <c r="K51" s="351"/>
      <c r="L51" s="352"/>
      <c r="M51" s="351"/>
      <c r="N51" s="351"/>
      <c r="O51" s="351"/>
      <c r="P51" s="351"/>
      <c r="Q51" s="352"/>
      <c r="R51" s="353"/>
      <c r="S51" s="353"/>
      <c r="T51" s="353"/>
      <c r="U51" s="353"/>
      <c r="V51" s="354"/>
      <c r="W51" s="353"/>
      <c r="X51" s="353"/>
      <c r="Y51" s="353"/>
      <c r="Z51" s="353"/>
      <c r="AA51" s="354"/>
      <c r="AB51" s="302"/>
      <c r="AC51" s="302"/>
      <c r="AD51" s="302"/>
      <c r="AE51" s="302"/>
      <c r="AF51" s="360"/>
      <c r="AK51" s="311"/>
      <c r="AP51" s="360"/>
      <c r="AQ51" s="694"/>
      <c r="AS51" s="275"/>
      <c r="AT51" s="275"/>
      <c r="AU51" s="311"/>
      <c r="AV51" s="275"/>
      <c r="AW51" s="275"/>
      <c r="AX51" s="275"/>
      <c r="AY51" s="275"/>
      <c r="AZ51" s="311"/>
      <c r="BA51" s="275"/>
      <c r="BB51" s="275"/>
      <c r="BC51" s="275"/>
      <c r="BD51" s="275"/>
      <c r="BE51" s="332">
        <f t="shared" ref="BE51:CD51" si="2">BE80-SUM(BE18,BE27,BE35,BE43,BE66,BE74)</f>
        <v>785.95900000000074</v>
      </c>
      <c r="BF51" s="285">
        <f t="shared" si="2"/>
        <v>958.97312000000022</v>
      </c>
      <c r="BG51" s="285">
        <f t="shared" si="2"/>
        <v>1309.4867420000005</v>
      </c>
      <c r="BH51" s="285">
        <f t="shared" si="2"/>
        <v>1395.0711780000001</v>
      </c>
      <c r="BI51" s="285">
        <f t="shared" si="2"/>
        <v>1526.7284390000002</v>
      </c>
      <c r="BJ51" s="277">
        <f t="shared" si="2"/>
        <v>660.36287899999934</v>
      </c>
      <c r="BK51" s="285">
        <f t="shared" si="2"/>
        <v>0</v>
      </c>
      <c r="BL51" s="285">
        <f t="shared" si="2"/>
        <v>0</v>
      </c>
      <c r="BM51" s="285">
        <f t="shared" si="2"/>
        <v>0</v>
      </c>
      <c r="BN51" s="285">
        <f t="shared" si="2"/>
        <v>0</v>
      </c>
      <c r="BO51" s="277">
        <f t="shared" si="2"/>
        <v>684.75968855000156</v>
      </c>
      <c r="BP51" s="285">
        <f t="shared" si="2"/>
        <v>0</v>
      </c>
      <c r="BQ51" s="285">
        <f t="shared" si="2"/>
        <v>0</v>
      </c>
      <c r="BR51" s="285">
        <f t="shared" si="2"/>
        <v>0</v>
      </c>
      <c r="BS51" s="285">
        <f t="shared" si="2"/>
        <v>0</v>
      </c>
      <c r="BT51" s="277">
        <f t="shared" si="2"/>
        <v>725.25143134329937</v>
      </c>
      <c r="BU51" s="285">
        <f t="shared" si="2"/>
        <v>0</v>
      </c>
      <c r="BV51" s="285">
        <f t="shared" si="2"/>
        <v>0</v>
      </c>
      <c r="BW51" s="285">
        <f t="shared" si="2"/>
        <v>0</v>
      </c>
      <c r="BX51" s="285">
        <f t="shared" si="2"/>
        <v>0</v>
      </c>
      <c r="BY51" s="277">
        <f t="shared" si="2"/>
        <v>770.35871596908237</v>
      </c>
      <c r="BZ51" s="285">
        <f t="shared" si="2"/>
        <v>0</v>
      </c>
      <c r="CA51" s="285">
        <f t="shared" si="2"/>
        <v>0</v>
      </c>
      <c r="CB51" s="285">
        <f t="shared" si="2"/>
        <v>0</v>
      </c>
      <c r="CC51" s="285">
        <f t="shared" si="2"/>
        <v>0</v>
      </c>
      <c r="CD51" s="277">
        <f t="shared" si="2"/>
        <v>771.67797005518423</v>
      </c>
    </row>
    <row r="52" spans="1:83" s="355" customFormat="1" ht="13" hidden="1" x14ac:dyDescent="0.15">
      <c r="A52" s="349"/>
      <c r="B52" s="268" t="s">
        <v>83</v>
      </c>
      <c r="C52" s="350"/>
      <c r="D52" s="350"/>
      <c r="E52" s="350"/>
      <c r="F52" s="351"/>
      <c r="G52" s="352"/>
      <c r="H52" s="351"/>
      <c r="I52" s="351"/>
      <c r="J52" s="351"/>
      <c r="K52" s="351"/>
      <c r="L52" s="352"/>
      <c r="M52" s="351"/>
      <c r="N52" s="351"/>
      <c r="O52" s="351"/>
      <c r="P52" s="351"/>
      <c r="Q52" s="352"/>
      <c r="R52" s="353"/>
      <c r="S52" s="353"/>
      <c r="T52" s="353"/>
      <c r="U52" s="353"/>
      <c r="V52" s="354"/>
      <c r="W52" s="353"/>
      <c r="X52" s="353"/>
      <c r="Y52" s="353"/>
      <c r="Z52" s="353"/>
      <c r="AA52" s="354"/>
      <c r="AB52" s="302"/>
      <c r="AC52" s="302"/>
      <c r="AD52" s="302"/>
      <c r="AE52" s="302"/>
      <c r="AF52" s="360"/>
      <c r="AK52" s="311"/>
      <c r="AP52" s="360"/>
      <c r="AQ52" s="694"/>
      <c r="AS52" s="275"/>
      <c r="AT52" s="275"/>
      <c r="AU52" s="311"/>
      <c r="AV52" s="275"/>
      <c r="AW52" s="275"/>
      <c r="AX52" s="275"/>
      <c r="AY52" s="275"/>
      <c r="AZ52" s="311"/>
      <c r="BA52" s="275"/>
      <c r="BB52" s="275"/>
      <c r="BC52" s="275"/>
      <c r="BD52" s="275"/>
      <c r="BE52" s="332"/>
      <c r="BF52" s="285"/>
      <c r="BG52" s="285"/>
      <c r="BH52" s="285"/>
      <c r="BI52" s="285"/>
      <c r="BJ52" s="277"/>
      <c r="BK52" s="285"/>
      <c r="BL52" s="285"/>
      <c r="BM52" s="285"/>
      <c r="BN52" s="285"/>
      <c r="BO52" s="277"/>
      <c r="BP52" s="285"/>
      <c r="BQ52" s="285"/>
      <c r="BR52" s="285"/>
      <c r="BS52" s="285"/>
      <c r="BT52" s="277"/>
      <c r="BU52" s="285"/>
      <c r="BV52" s="285"/>
      <c r="BW52" s="285"/>
      <c r="BX52" s="285"/>
      <c r="BY52" s="277"/>
      <c r="BZ52" s="285"/>
      <c r="CA52" s="285"/>
      <c r="CB52" s="285"/>
      <c r="CC52" s="285"/>
      <c r="CD52" s="277"/>
    </row>
    <row r="53" spans="1:83" s="355" customFormat="1" ht="13" hidden="1" x14ac:dyDescent="0.15">
      <c r="A53" s="349"/>
      <c r="B53" s="268" t="s">
        <v>84</v>
      </c>
      <c r="C53" s="350"/>
      <c r="D53" s="350"/>
      <c r="E53" s="350"/>
      <c r="F53" s="351"/>
      <c r="G53" s="352"/>
      <c r="H53" s="351"/>
      <c r="I53" s="351"/>
      <c r="J53" s="351"/>
      <c r="K53" s="351"/>
      <c r="L53" s="352"/>
      <c r="M53" s="351"/>
      <c r="N53" s="351"/>
      <c r="O53" s="351"/>
      <c r="P53" s="351"/>
      <c r="Q53" s="352"/>
      <c r="R53" s="353"/>
      <c r="S53" s="353"/>
      <c r="T53" s="353"/>
      <c r="U53" s="353"/>
      <c r="V53" s="354"/>
      <c r="W53" s="353"/>
      <c r="X53" s="353"/>
      <c r="Y53" s="353"/>
      <c r="Z53" s="353"/>
      <c r="AA53" s="354"/>
      <c r="AB53" s="302"/>
      <c r="AC53" s="302"/>
      <c r="AD53" s="302"/>
      <c r="AE53" s="302"/>
      <c r="AF53" s="360"/>
      <c r="AK53" s="311"/>
      <c r="AP53" s="360"/>
      <c r="AQ53" s="694"/>
      <c r="AS53" s="275"/>
      <c r="AT53" s="275"/>
      <c r="AU53" s="311"/>
      <c r="AV53" s="275"/>
      <c r="AW53" s="275"/>
      <c r="AX53" s="275"/>
      <c r="AY53" s="275"/>
      <c r="AZ53" s="311"/>
      <c r="BA53" s="275"/>
      <c r="BB53" s="275"/>
      <c r="BC53" s="275"/>
      <c r="BD53" s="275"/>
      <c r="BE53" s="332"/>
      <c r="BF53" s="285"/>
      <c r="BG53" s="285"/>
      <c r="BH53" s="285"/>
      <c r="BI53" s="285"/>
      <c r="BJ53" s="277"/>
      <c r="BK53" s="285"/>
      <c r="BL53" s="285"/>
      <c r="BM53" s="285"/>
      <c r="BN53" s="285"/>
      <c r="BO53" s="277"/>
      <c r="BP53" s="285"/>
      <c r="BQ53" s="285"/>
      <c r="BR53" s="285"/>
      <c r="BS53" s="285"/>
      <c r="BT53" s="277"/>
      <c r="BU53" s="285"/>
      <c r="BV53" s="285"/>
      <c r="BW53" s="285"/>
      <c r="BX53" s="285"/>
      <c r="BY53" s="277"/>
      <c r="BZ53" s="285"/>
      <c r="CA53" s="285"/>
      <c r="CB53" s="285"/>
      <c r="CC53" s="285"/>
      <c r="CD53" s="277"/>
    </row>
    <row r="54" spans="1:83" s="355" customFormat="1" ht="13" hidden="1" x14ac:dyDescent="0.15">
      <c r="A54" s="349"/>
      <c r="B54" s="268" t="s">
        <v>230</v>
      </c>
      <c r="C54" s="350"/>
      <c r="D54" s="350"/>
      <c r="E54" s="350"/>
      <c r="F54" s="351"/>
      <c r="G54" s="352"/>
      <c r="H54" s="351"/>
      <c r="I54" s="351"/>
      <c r="J54" s="351"/>
      <c r="K54" s="351"/>
      <c r="L54" s="352"/>
      <c r="M54" s="351"/>
      <c r="N54" s="351"/>
      <c r="O54" s="351"/>
      <c r="P54" s="351"/>
      <c r="Q54" s="352"/>
      <c r="R54" s="353"/>
      <c r="S54" s="353"/>
      <c r="T54" s="353"/>
      <c r="U54" s="353"/>
      <c r="V54" s="354"/>
      <c r="W54" s="353"/>
      <c r="X54" s="353"/>
      <c r="Y54" s="353"/>
      <c r="Z54" s="353"/>
      <c r="AA54" s="354"/>
      <c r="AB54" s="302"/>
      <c r="AC54" s="302"/>
      <c r="AD54" s="302"/>
      <c r="AE54" s="302"/>
      <c r="AF54" s="360"/>
      <c r="AK54" s="311"/>
      <c r="AP54" s="360"/>
      <c r="AQ54" s="694"/>
      <c r="AS54" s="275"/>
      <c r="AT54" s="275"/>
      <c r="AU54" s="311"/>
      <c r="AV54" s="275"/>
      <c r="AW54" s="275"/>
      <c r="AX54" s="275"/>
      <c r="AY54" s="275"/>
      <c r="AZ54" s="311"/>
      <c r="BA54" s="275"/>
      <c r="BB54" s="275"/>
      <c r="BC54" s="275"/>
      <c r="BD54" s="275"/>
      <c r="BE54" s="332"/>
      <c r="BF54" s="285"/>
      <c r="BG54" s="285"/>
      <c r="BH54" s="285"/>
      <c r="BI54" s="285"/>
      <c r="BJ54" s="277"/>
      <c r="BK54" s="285"/>
      <c r="BL54" s="285"/>
      <c r="BM54" s="285"/>
      <c r="BN54" s="285"/>
      <c r="BO54" s="277"/>
      <c r="BP54" s="285"/>
      <c r="BQ54" s="285"/>
      <c r="BR54" s="285"/>
      <c r="BS54" s="285"/>
      <c r="BT54" s="277"/>
      <c r="BU54" s="285"/>
      <c r="BV54" s="285"/>
      <c r="BW54" s="285"/>
      <c r="BX54" s="285"/>
      <c r="BY54" s="277"/>
      <c r="BZ54" s="285"/>
      <c r="CA54" s="285"/>
      <c r="CB54" s="285"/>
      <c r="CC54" s="285"/>
      <c r="CD54" s="277"/>
    </row>
    <row r="55" spans="1:83" s="355" customFormat="1" ht="13" x14ac:dyDescent="0.15">
      <c r="A55" s="349"/>
      <c r="B55" s="268" t="s">
        <v>231</v>
      </c>
      <c r="C55" s="350"/>
      <c r="D55" s="350"/>
      <c r="E55" s="350"/>
      <c r="F55" s="351"/>
      <c r="G55" s="352"/>
      <c r="H55" s="351"/>
      <c r="I55" s="351"/>
      <c r="J55" s="351"/>
      <c r="K55" s="351"/>
      <c r="L55" s="352"/>
      <c r="M55" s="351"/>
      <c r="N55" s="351"/>
      <c r="O55" s="351"/>
      <c r="P55" s="351"/>
      <c r="Q55" s="352"/>
      <c r="R55" s="353"/>
      <c r="S55" s="353"/>
      <c r="T55" s="353"/>
      <c r="U55" s="353"/>
      <c r="V55" s="354"/>
      <c r="W55" s="353"/>
      <c r="X55" s="353"/>
      <c r="Y55" s="353"/>
      <c r="Z55" s="353"/>
      <c r="AA55" s="354"/>
      <c r="AB55" s="302"/>
      <c r="AC55" s="302"/>
      <c r="AD55" s="302"/>
      <c r="AE55" s="302"/>
      <c r="AF55" s="360"/>
      <c r="AK55" s="311"/>
      <c r="AP55" s="360"/>
      <c r="AQ55" s="694"/>
      <c r="AS55" s="275"/>
      <c r="AT55" s="275"/>
      <c r="AU55" s="311"/>
      <c r="AV55" s="275"/>
      <c r="AW55" s="275"/>
      <c r="AX55" s="275"/>
      <c r="AY55" s="275"/>
      <c r="AZ55" s="311"/>
      <c r="BA55" s="275"/>
      <c r="BB55" s="275"/>
      <c r="BC55" s="275"/>
      <c r="BD55" s="275"/>
      <c r="BE55" s="277">
        <f>BE51+(BE51/BE$80*BE$81)</f>
        <v>815.07488210799318</v>
      </c>
      <c r="BF55" s="191"/>
      <c r="BG55" s="191"/>
      <c r="BH55" s="191"/>
      <c r="BI55" s="191"/>
      <c r="BJ55" s="277">
        <f>BJ51+(BJ51/BJ$80*BJ$81)</f>
        <v>685.809116579136</v>
      </c>
      <c r="BK55" s="191"/>
      <c r="BL55" s="191"/>
      <c r="BM55" s="191"/>
      <c r="BN55" s="191"/>
      <c r="BO55" s="277">
        <f>BO51+(BO51/BO$80*BO$81)</f>
        <v>709.06918254498601</v>
      </c>
      <c r="BP55" s="191"/>
      <c r="BQ55" s="191"/>
      <c r="BR55" s="191"/>
      <c r="BS55" s="191"/>
      <c r="BT55" s="277">
        <f>BT51+(BT51/BT$80*BT$81)</f>
        <v>749.1232163654721</v>
      </c>
      <c r="BU55" s="191"/>
      <c r="BV55" s="191"/>
      <c r="BW55" s="191"/>
      <c r="BX55" s="191"/>
      <c r="BY55" s="277">
        <f>BY51+(BY51/BY$80*BY$81)</f>
        <v>793.80192913139001</v>
      </c>
      <c r="BZ55" s="191"/>
      <c r="CA55" s="191"/>
      <c r="CB55" s="191"/>
      <c r="CC55" s="191"/>
      <c r="CD55" s="277">
        <f>CD51+(CD51/CD$80*CD$81)</f>
        <v>793.92237224549103</v>
      </c>
    </row>
    <row r="56" spans="1:83" s="454" customFormat="1" x14ac:dyDescent="0.15">
      <c r="A56" s="157"/>
      <c r="B56" s="268"/>
      <c r="C56" s="456"/>
      <c r="D56" s="456"/>
      <c r="E56" s="456"/>
      <c r="F56" s="456"/>
      <c r="G56" s="457"/>
      <c r="H56" s="456"/>
      <c r="I56" s="456"/>
      <c r="J56" s="456"/>
      <c r="K56" s="456"/>
      <c r="L56" s="457"/>
      <c r="M56" s="456"/>
      <c r="N56" s="456"/>
      <c r="O56" s="456"/>
      <c r="P56" s="456"/>
      <c r="Q56" s="457"/>
      <c r="R56" s="456"/>
      <c r="S56" s="456"/>
      <c r="T56" s="456"/>
      <c r="U56" s="456"/>
      <c r="V56" s="457"/>
      <c r="W56" s="458"/>
      <c r="X56" s="458"/>
      <c r="Y56" s="458"/>
      <c r="Z56" s="458"/>
      <c r="AA56" s="459"/>
      <c r="AB56" s="458"/>
      <c r="AC56" s="458"/>
      <c r="AD56" s="458"/>
      <c r="AE56" s="458"/>
      <c r="AF56" s="459"/>
      <c r="AG56" s="460"/>
      <c r="AH56" s="458"/>
      <c r="AI56" s="458"/>
      <c r="AJ56" s="460"/>
      <c r="AK56" s="459"/>
      <c r="AL56" s="458"/>
      <c r="AM56" s="460"/>
      <c r="AN56" s="460"/>
      <c r="AO56" s="458"/>
      <c r="AP56" s="459"/>
      <c r="AQ56" s="460"/>
      <c r="AR56" s="458"/>
      <c r="AS56" s="458"/>
      <c r="AT56" s="458"/>
      <c r="AU56" s="459"/>
      <c r="AV56" s="458"/>
      <c r="AW56" s="458"/>
      <c r="AX56" s="458"/>
      <c r="AY56" s="458"/>
      <c r="AZ56" s="459"/>
      <c r="BA56" s="458"/>
      <c r="BB56" s="458"/>
      <c r="BC56" s="458"/>
      <c r="BD56" s="458"/>
      <c r="BE56" s="459"/>
      <c r="BF56" s="458"/>
      <c r="BG56" s="458"/>
      <c r="BH56" s="458"/>
      <c r="BI56" s="458"/>
      <c r="BJ56" s="459"/>
      <c r="BK56" s="28"/>
      <c r="BL56" s="28"/>
      <c r="BM56" s="28"/>
      <c r="BN56" s="28"/>
      <c r="BO56" s="459"/>
      <c r="BP56" s="458"/>
      <c r="BQ56" s="458"/>
      <c r="BR56" s="458"/>
      <c r="BS56" s="458"/>
      <c r="BT56" s="459"/>
      <c r="BU56" s="28"/>
      <c r="BV56" s="28"/>
      <c r="BW56" s="28"/>
      <c r="BX56" s="28"/>
      <c r="BY56" s="459"/>
      <c r="BZ56" s="458"/>
      <c r="CA56" s="458"/>
      <c r="CB56" s="458"/>
      <c r="CC56" s="458"/>
      <c r="CD56" s="459"/>
      <c r="CE56" s="157"/>
    </row>
    <row r="57" spans="1:83" collapsed="1" x14ac:dyDescent="0.15">
      <c r="B57" s="700" t="s">
        <v>232</v>
      </c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  <c r="AO57" s="701"/>
      <c r="AP57" s="701"/>
      <c r="AQ57" s="701"/>
      <c r="AR57" s="701"/>
      <c r="AS57" s="701"/>
      <c r="AT57" s="701"/>
      <c r="AU57" s="701"/>
      <c r="AV57" s="701"/>
      <c r="AW57" s="701"/>
      <c r="AX57" s="701"/>
      <c r="AY57" s="701"/>
      <c r="AZ57" s="702">
        <f t="shared" ref="AZ57:CD57" si="3">SUM(AZ58:AZ60)</f>
        <v>2096.3999999999996</v>
      </c>
      <c r="BA57" s="703">
        <f t="shared" si="3"/>
        <v>426.5</v>
      </c>
      <c r="BB57" s="670">
        <f t="shared" si="3"/>
        <v>494.79999999999995</v>
      </c>
      <c r="BC57" s="670">
        <f t="shared" si="3"/>
        <v>466.09999999999997</v>
      </c>
      <c r="BD57" s="670">
        <f t="shared" si="3"/>
        <v>526.5</v>
      </c>
      <c r="BE57" s="702">
        <f t="shared" si="3"/>
        <v>1913.9</v>
      </c>
      <c r="BF57" s="704">
        <f t="shared" si="3"/>
        <v>449.06799999999998</v>
      </c>
      <c r="BG57" s="704">
        <f t="shared" si="3"/>
        <v>535.32000000000005</v>
      </c>
      <c r="BH57" s="704">
        <f t="shared" si="3"/>
        <v>526.11700000000008</v>
      </c>
      <c r="BI57" s="704">
        <f t="shared" si="3"/>
        <v>579.82400000000007</v>
      </c>
      <c r="BJ57" s="702">
        <f t="shared" si="3"/>
        <v>2090.3290000000002</v>
      </c>
      <c r="BK57" s="704">
        <f t="shared" si="3"/>
        <v>0</v>
      </c>
      <c r="BL57" s="704">
        <f t="shared" si="3"/>
        <v>0</v>
      </c>
      <c r="BM57" s="704">
        <f t="shared" si="3"/>
        <v>0</v>
      </c>
      <c r="BN57" s="704">
        <f t="shared" si="3"/>
        <v>0</v>
      </c>
      <c r="BO57" s="702">
        <f t="shared" si="3"/>
        <v>2212.79403</v>
      </c>
      <c r="BP57" s="704">
        <f t="shared" si="3"/>
        <v>0</v>
      </c>
      <c r="BQ57" s="704">
        <f t="shared" si="3"/>
        <v>0</v>
      </c>
      <c r="BR57" s="704">
        <f t="shared" si="3"/>
        <v>0</v>
      </c>
      <c r="BS57" s="704">
        <f t="shared" si="3"/>
        <v>0</v>
      </c>
      <c r="BT57" s="702">
        <f t="shared" si="3"/>
        <v>2342.8181979000001</v>
      </c>
      <c r="BU57" s="704">
        <f t="shared" si="3"/>
        <v>0</v>
      </c>
      <c r="BV57" s="704">
        <f t="shared" si="3"/>
        <v>0</v>
      </c>
      <c r="BW57" s="704">
        <f t="shared" si="3"/>
        <v>0</v>
      </c>
      <c r="BX57" s="704">
        <f t="shared" si="3"/>
        <v>0</v>
      </c>
      <c r="BY57" s="702">
        <f t="shared" si="3"/>
        <v>2473.915923603</v>
      </c>
      <c r="BZ57" s="704">
        <f t="shared" si="3"/>
        <v>0</v>
      </c>
      <c r="CA57" s="704">
        <f t="shared" si="3"/>
        <v>0</v>
      </c>
      <c r="CB57" s="704">
        <f t="shared" si="3"/>
        <v>0</v>
      </c>
      <c r="CC57" s="704">
        <f t="shared" si="3"/>
        <v>0</v>
      </c>
      <c r="CD57" s="702">
        <f t="shared" si="3"/>
        <v>2612.5455126977104</v>
      </c>
    </row>
    <row r="58" spans="1:83" s="454" customFormat="1" hidden="1" outlineLevel="1" x14ac:dyDescent="0.15">
      <c r="A58" s="502"/>
      <c r="B58" s="705" t="str">
        <f>Sales!B125</f>
        <v>Emerging Mkts - EMEA</v>
      </c>
      <c r="C58" s="362">
        <f>Sales!C125</f>
        <v>0</v>
      </c>
      <c r="D58" s="362">
        <f>Sales!D125</f>
        <v>0</v>
      </c>
      <c r="E58" s="362">
        <f>Sales!E125</f>
        <v>0</v>
      </c>
      <c r="F58" s="362">
        <f>Sales!F125</f>
        <v>0</v>
      </c>
      <c r="G58" s="706">
        <f>Sales!G125</f>
        <v>0</v>
      </c>
      <c r="H58" s="362">
        <f>Sales!H125</f>
        <v>0</v>
      </c>
      <c r="I58" s="362">
        <f>Sales!I125</f>
        <v>0</v>
      </c>
      <c r="J58" s="362">
        <f>Sales!J125</f>
        <v>0</v>
      </c>
      <c r="K58" s="362">
        <f>Sales!K125</f>
        <v>0</v>
      </c>
      <c r="L58" s="706">
        <f>Sales!L125</f>
        <v>0</v>
      </c>
      <c r="M58" s="362">
        <f>Sales!M125</f>
        <v>0</v>
      </c>
      <c r="N58" s="362">
        <f>Sales!N125</f>
        <v>0</v>
      </c>
      <c r="O58" s="362">
        <f>Sales!O125</f>
        <v>0</v>
      </c>
      <c r="P58" s="362">
        <f>Sales!P125</f>
        <v>0</v>
      </c>
      <c r="Q58" s="706">
        <f>Sales!Q125</f>
        <v>0</v>
      </c>
      <c r="R58" s="280">
        <f>Sales!R125</f>
        <v>37.953000000000003</v>
      </c>
      <c r="S58" s="280">
        <f>Sales!S125</f>
        <v>38.5</v>
      </c>
      <c r="T58" s="280">
        <f>Sales!T125</f>
        <v>40.43</v>
      </c>
      <c r="U58" s="280">
        <f>Sales!U125</f>
        <v>35.920999999999999</v>
      </c>
      <c r="V58" s="276">
        <f>Sales!V125</f>
        <v>152.804</v>
      </c>
      <c r="W58" s="362">
        <f>Sales!W125</f>
        <v>35.338000000000001</v>
      </c>
      <c r="X58" s="362">
        <f>Sales!X125</f>
        <v>34.031999999999996</v>
      </c>
      <c r="Y58" s="362">
        <f>Sales!Y125</f>
        <v>40.234000000000002</v>
      </c>
      <c r="Z58" s="362">
        <f>Sales!Z125</f>
        <v>42.045999999999999</v>
      </c>
      <c r="AA58" s="276">
        <f>Sales!AA125</f>
        <v>151.65</v>
      </c>
      <c r="AB58" s="280">
        <f>Sales!AB125</f>
        <v>41.707999999999998</v>
      </c>
      <c r="AC58" s="280">
        <f>Sales!AC125</f>
        <v>40.784999999999997</v>
      </c>
      <c r="AD58" s="363">
        <f>Sales!AD125</f>
        <v>42.2</v>
      </c>
      <c r="AE58" s="363">
        <f>Sales!AE125</f>
        <v>48.31</v>
      </c>
      <c r="AF58" s="46">
        <f>Sales!AF125</f>
        <v>173.00299999999999</v>
      </c>
      <c r="AG58" s="707">
        <f>Sales!AG125</f>
        <v>76.093000000000004</v>
      </c>
      <c r="AH58" s="707">
        <f>Sales!AH125</f>
        <v>116.3</v>
      </c>
      <c r="AI58" s="363">
        <f>Sales!AI125</f>
        <v>134.05500000000001</v>
      </c>
      <c r="AJ58" s="363">
        <f>Sales!AJ125</f>
        <v>144.33500000000001</v>
      </c>
      <c r="AK58" s="46">
        <f>Sales!AK125</f>
        <v>470.78300000000002</v>
      </c>
      <c r="AL58" s="708">
        <f>Sales!AL125</f>
        <v>156.90900000000002</v>
      </c>
      <c r="AM58" s="708">
        <f>Sales!AM125</f>
        <v>156.71700000000001</v>
      </c>
      <c r="AN58" s="708">
        <f>Sales!AN125</f>
        <v>149.40900000000002</v>
      </c>
      <c r="AO58" s="708">
        <f>Sales!AO125</f>
        <v>193.66</v>
      </c>
      <c r="AP58" s="46">
        <f>Sales!AP125</f>
        <v>656.69500000000005</v>
      </c>
      <c r="AQ58" s="709">
        <f>Sales!AQ125</f>
        <v>190.166</v>
      </c>
      <c r="AR58" s="709">
        <f>Sales!AR125</f>
        <v>190.37700000000001</v>
      </c>
      <c r="AS58" s="709">
        <f>Sales!AS125</f>
        <v>215.14699999999999</v>
      </c>
      <c r="AT58" s="709">
        <f>Sales!AT125</f>
        <v>254.73500000000001</v>
      </c>
      <c r="AU58" s="46">
        <f>Sales!AU125</f>
        <v>850.42500000000007</v>
      </c>
      <c r="AV58" s="709">
        <f>Sales!AV125</f>
        <v>249.1</v>
      </c>
      <c r="AW58" s="280">
        <f>Sales!AW125</f>
        <v>315.5</v>
      </c>
      <c r="AX58" s="709">
        <f>Sales!AX125</f>
        <v>291.39999999999998</v>
      </c>
      <c r="AY58" s="709">
        <f>Sales!AY125</f>
        <v>278.7</v>
      </c>
      <c r="AZ58" s="46">
        <f>Sales!AZ125</f>
        <v>1134.7</v>
      </c>
      <c r="BA58" s="280">
        <f>Sales!BA125</f>
        <v>212.1</v>
      </c>
      <c r="BB58" s="280">
        <f>Sales!BB125</f>
        <v>254.9</v>
      </c>
      <c r="BC58" s="280">
        <f>Sales!BC125</f>
        <v>224.7</v>
      </c>
      <c r="BD58" s="280">
        <f>Sales!BD125</f>
        <v>284.7</v>
      </c>
      <c r="BE58" s="46">
        <f>Sales!BE125</f>
        <v>976.40000000000009</v>
      </c>
      <c r="BF58" s="28">
        <f>Sales!BF125</f>
        <v>246.03599999999997</v>
      </c>
      <c r="BG58" s="28">
        <f>Sales!BG125</f>
        <v>295.68400000000003</v>
      </c>
      <c r="BH58" s="28">
        <f>Sales!BH125</f>
        <v>271.887</v>
      </c>
      <c r="BI58" s="28">
        <f>Sales!BI125</f>
        <v>318.86400000000003</v>
      </c>
      <c r="BJ58" s="46">
        <f>Sales!BJ125</f>
        <v>1132.471</v>
      </c>
      <c r="BK58" s="28">
        <f>Sales!BK125</f>
        <v>0</v>
      </c>
      <c r="BL58" s="28">
        <f>Sales!BL125</f>
        <v>0</v>
      </c>
      <c r="BM58" s="28">
        <f>Sales!BM125</f>
        <v>0</v>
      </c>
      <c r="BN58" s="28">
        <f>Sales!BN125</f>
        <v>0</v>
      </c>
      <c r="BO58" s="46">
        <f>Sales!BO125</f>
        <v>1189.09455</v>
      </c>
      <c r="BP58" s="28">
        <f>Sales!BP125</f>
        <v>0</v>
      </c>
      <c r="BQ58" s="28">
        <f>Sales!BQ125</f>
        <v>0</v>
      </c>
      <c r="BR58" s="28">
        <f>Sales!BR125</f>
        <v>0</v>
      </c>
      <c r="BS58" s="28">
        <f>Sales!BS125</f>
        <v>0</v>
      </c>
      <c r="BT58" s="46">
        <f>Sales!BT125</f>
        <v>1248.5492775</v>
      </c>
      <c r="BU58" s="28">
        <f>Sales!BU125</f>
        <v>0</v>
      </c>
      <c r="BV58" s="28">
        <f>Sales!BV125</f>
        <v>0</v>
      </c>
      <c r="BW58" s="28">
        <f>Sales!BW125</f>
        <v>0</v>
      </c>
      <c r="BX58" s="28">
        <f>Sales!BX125</f>
        <v>0</v>
      </c>
      <c r="BY58" s="46">
        <f>Sales!BY125</f>
        <v>1310.9767413750001</v>
      </c>
      <c r="BZ58" s="28">
        <f>Sales!BZ125</f>
        <v>0</v>
      </c>
      <c r="CA58" s="28">
        <f>Sales!CA125</f>
        <v>0</v>
      </c>
      <c r="CB58" s="28">
        <f>Sales!CB125</f>
        <v>0</v>
      </c>
      <c r="CC58" s="28">
        <f>Sales!CC125</f>
        <v>0</v>
      </c>
      <c r="CD58" s="46">
        <f>Sales!CD125</f>
        <v>1376.5255784437502</v>
      </c>
      <c r="CE58" s="157"/>
    </row>
    <row r="59" spans="1:83" s="534" customFormat="1" hidden="1" outlineLevel="1" x14ac:dyDescent="0.15">
      <c r="A59" s="533"/>
      <c r="B59" s="705" t="str">
        <f>Sales!B129</f>
        <v>Emerging Mkts - Latin America</v>
      </c>
      <c r="C59" s="529">
        <f>Sales!C129</f>
        <v>0</v>
      </c>
      <c r="D59" s="529">
        <f>Sales!D129</f>
        <v>0</v>
      </c>
      <c r="E59" s="529">
        <f>Sales!E129</f>
        <v>0</v>
      </c>
      <c r="F59" s="529">
        <f>Sales!F129</f>
        <v>0</v>
      </c>
      <c r="G59" s="549">
        <f>Sales!G129</f>
        <v>0</v>
      </c>
      <c r="H59" s="529">
        <f>Sales!H129</f>
        <v>0</v>
      </c>
      <c r="I59" s="529">
        <f>Sales!I129</f>
        <v>0</v>
      </c>
      <c r="J59" s="529">
        <f>Sales!J129</f>
        <v>0</v>
      </c>
      <c r="K59" s="529">
        <f>Sales!K129</f>
        <v>0</v>
      </c>
      <c r="L59" s="549">
        <f>Sales!L129</f>
        <v>0</v>
      </c>
      <c r="M59" s="529">
        <f>Sales!M129</f>
        <v>0</v>
      </c>
      <c r="N59" s="529">
        <f>Sales!N129</f>
        <v>0</v>
      </c>
      <c r="O59" s="529">
        <f>Sales!O129</f>
        <v>0</v>
      </c>
      <c r="P59" s="529">
        <f>Sales!P129</f>
        <v>0</v>
      </c>
      <c r="Q59" s="549">
        <f>Sales!Q129</f>
        <v>0</v>
      </c>
      <c r="R59" s="520">
        <f>Sales!R129</f>
        <v>0</v>
      </c>
      <c r="S59" s="520">
        <f>Sales!S129</f>
        <v>0</v>
      </c>
      <c r="T59" s="520">
        <f>Sales!T129</f>
        <v>0</v>
      </c>
      <c r="U59" s="520">
        <f>Sales!U129</f>
        <v>0</v>
      </c>
      <c r="V59" s="550">
        <f>Sales!V129</f>
        <v>0</v>
      </c>
      <c r="W59" s="324">
        <f>Sales!W129</f>
        <v>0</v>
      </c>
      <c r="X59" s="324">
        <f>Sales!X129</f>
        <v>0</v>
      </c>
      <c r="Y59" s="324">
        <f>Sales!Y129</f>
        <v>0</v>
      </c>
      <c r="Z59" s="324">
        <f>Sales!Z129</f>
        <v>0</v>
      </c>
      <c r="AA59" s="372">
        <f>Sales!AA129</f>
        <v>0</v>
      </c>
      <c r="AB59" s="280">
        <f>Sales!AB129</f>
        <v>42.057000000000002</v>
      </c>
      <c r="AC59" s="280">
        <f>Sales!AC129</f>
        <v>51.771999999999998</v>
      </c>
      <c r="AD59" s="363">
        <f>Sales!AD129</f>
        <v>51.7</v>
      </c>
      <c r="AE59" s="363">
        <f>Sales!AE129</f>
        <v>69.037999999999997</v>
      </c>
      <c r="AF59" s="46">
        <f>Sales!AF129</f>
        <v>214.56700000000001</v>
      </c>
      <c r="AG59" s="362">
        <f>Sales!AG129</f>
        <v>56.383000000000003</v>
      </c>
      <c r="AH59" s="49">
        <f>Sales!AH129</f>
        <v>64.730999999999995</v>
      </c>
      <c r="AI59" s="363">
        <f>Sales!AI129</f>
        <v>67.954999999999998</v>
      </c>
      <c r="AJ59" s="363">
        <f>Sales!AJ129</f>
        <v>65.771000000000001</v>
      </c>
      <c r="AK59" s="46">
        <f>Sales!AK129</f>
        <v>254.84000000000003</v>
      </c>
      <c r="AL59" s="280">
        <f>Sales!AL129</f>
        <v>72</v>
      </c>
      <c r="AM59" s="280">
        <f>Sales!AM129</f>
        <v>73.400000000000006</v>
      </c>
      <c r="AN59" s="280">
        <f>Sales!AN129</f>
        <v>80.599999999999994</v>
      </c>
      <c r="AO59" s="280">
        <f>Sales!AO129</f>
        <v>95.1</v>
      </c>
      <c r="AP59" s="46">
        <f>Sales!AP129</f>
        <v>321.10000000000002</v>
      </c>
      <c r="AQ59" s="364">
        <f>Sales!AQ129</f>
        <v>81.709000000000003</v>
      </c>
      <c r="AR59" s="280">
        <f>Sales!AR129</f>
        <v>89.141999999999996</v>
      </c>
      <c r="AS59" s="364">
        <f>Sales!AS129</f>
        <v>100.495</v>
      </c>
      <c r="AT59" s="280">
        <f>Sales!AT129</f>
        <v>121.42100000000001</v>
      </c>
      <c r="AU59" s="46">
        <f>Sales!AU129</f>
        <v>392.767</v>
      </c>
      <c r="AV59" s="364">
        <f>Sales!AV129</f>
        <v>99.3</v>
      </c>
      <c r="AW59" s="280">
        <f>Sales!AW129</f>
        <v>109.8</v>
      </c>
      <c r="AX59" s="280">
        <f>Sales!AX129</f>
        <v>113.6</v>
      </c>
      <c r="AY59" s="280">
        <f>Sales!AY129</f>
        <v>112.7</v>
      </c>
      <c r="AZ59" s="46">
        <f>Sales!AZ129</f>
        <v>435.4</v>
      </c>
      <c r="BA59" s="364">
        <f>Sales!BA129</f>
        <v>89</v>
      </c>
      <c r="BB59" s="280">
        <f>Sales!BB129</f>
        <v>94.3</v>
      </c>
      <c r="BC59" s="364">
        <f>Sales!BC129</f>
        <v>92.6</v>
      </c>
      <c r="BD59" s="364">
        <f>Sales!BD129</f>
        <v>100.4</v>
      </c>
      <c r="BE59" s="46">
        <f>Sales!BE129</f>
        <v>376.29999999999995</v>
      </c>
      <c r="BF59" s="28">
        <f>Sales!BF129</f>
        <v>73.86999999999999</v>
      </c>
      <c r="BG59" s="28">
        <f>Sales!BG129</f>
        <v>86.756</v>
      </c>
      <c r="BH59" s="28">
        <f>Sales!BH129</f>
        <v>93.525999999999996</v>
      </c>
      <c r="BI59" s="28">
        <f>Sales!BI129</f>
        <v>105.42000000000002</v>
      </c>
      <c r="BJ59" s="46">
        <f>Sales!BJ129</f>
        <v>359.572</v>
      </c>
      <c r="BK59" s="28">
        <f>Sales!BK129</f>
        <v>0</v>
      </c>
      <c r="BL59" s="28">
        <f>Sales!BL129</f>
        <v>0</v>
      </c>
      <c r="BM59" s="28">
        <f>Sales!BM129</f>
        <v>0</v>
      </c>
      <c r="BN59" s="28">
        <f>Sales!BN129</f>
        <v>0</v>
      </c>
      <c r="BO59" s="46">
        <f>Sales!BO129</f>
        <v>377.55060000000003</v>
      </c>
      <c r="BP59" s="28">
        <f>Sales!BP129</f>
        <v>0</v>
      </c>
      <c r="BQ59" s="28">
        <f>Sales!BQ129</f>
        <v>0</v>
      </c>
      <c r="BR59" s="28">
        <f>Sales!BR129</f>
        <v>0</v>
      </c>
      <c r="BS59" s="28">
        <f>Sales!BS129</f>
        <v>0</v>
      </c>
      <c r="BT59" s="46">
        <f>Sales!BT129</f>
        <v>396.42813000000007</v>
      </c>
      <c r="BU59" s="28">
        <f>Sales!BU129</f>
        <v>0</v>
      </c>
      <c r="BV59" s="28">
        <f>Sales!BV129</f>
        <v>0</v>
      </c>
      <c r="BW59" s="28">
        <f>Sales!BW129</f>
        <v>0</v>
      </c>
      <c r="BX59" s="28">
        <f>Sales!BX129</f>
        <v>0</v>
      </c>
      <c r="BY59" s="46">
        <f>Sales!BY129</f>
        <v>416.24953650000009</v>
      </c>
      <c r="BZ59" s="28">
        <f>Sales!BZ129</f>
        <v>0</v>
      </c>
      <c r="CA59" s="28">
        <f>Sales!CA129</f>
        <v>0</v>
      </c>
      <c r="CB59" s="28">
        <f>Sales!CB129</f>
        <v>0</v>
      </c>
      <c r="CC59" s="28">
        <f>Sales!CC129</f>
        <v>0</v>
      </c>
      <c r="CD59" s="46">
        <f>Sales!CD129</f>
        <v>437.06201332500012</v>
      </c>
      <c r="CE59" s="533"/>
    </row>
    <row r="60" spans="1:83" s="534" customFormat="1" hidden="1" outlineLevel="1" x14ac:dyDescent="0.15">
      <c r="A60" s="533"/>
      <c r="B60" s="705" t="str">
        <f>Sales!B133</f>
        <v>Emerging Mkts - Asia</v>
      </c>
      <c r="C60" s="529">
        <f>Sales!C133</f>
        <v>0</v>
      </c>
      <c r="D60" s="529">
        <f>Sales!D133</f>
        <v>0</v>
      </c>
      <c r="E60" s="529">
        <f>Sales!E133</f>
        <v>0</v>
      </c>
      <c r="F60" s="529">
        <f>Sales!F133</f>
        <v>0</v>
      </c>
      <c r="G60" s="549">
        <f>Sales!G133</f>
        <v>0</v>
      </c>
      <c r="H60" s="529">
        <f>Sales!H133</f>
        <v>0</v>
      </c>
      <c r="I60" s="529">
        <f>Sales!I133</f>
        <v>0</v>
      </c>
      <c r="J60" s="529">
        <f>Sales!J133</f>
        <v>0</v>
      </c>
      <c r="K60" s="529">
        <f>Sales!K133</f>
        <v>0</v>
      </c>
      <c r="L60" s="549">
        <f>Sales!L133</f>
        <v>0</v>
      </c>
      <c r="M60" s="529">
        <f>Sales!M133</f>
        <v>0</v>
      </c>
      <c r="N60" s="529">
        <f>Sales!N133</f>
        <v>0</v>
      </c>
      <c r="O60" s="529">
        <f>Sales!O133</f>
        <v>0</v>
      </c>
      <c r="P60" s="529">
        <f>Sales!P133</f>
        <v>0</v>
      </c>
      <c r="Q60" s="549">
        <f>Sales!Q133</f>
        <v>0</v>
      </c>
      <c r="R60" s="520">
        <f>Sales!R133</f>
        <v>0</v>
      </c>
      <c r="S60" s="520">
        <f>Sales!S133</f>
        <v>0</v>
      </c>
      <c r="T60" s="520">
        <f>Sales!T133</f>
        <v>0</v>
      </c>
      <c r="U60" s="520">
        <f>Sales!U133</f>
        <v>0</v>
      </c>
      <c r="V60" s="550">
        <f>Sales!V133</f>
        <v>0</v>
      </c>
      <c r="W60" s="324">
        <f>Sales!W133</f>
        <v>0</v>
      </c>
      <c r="X60" s="324">
        <f>Sales!X133</f>
        <v>0</v>
      </c>
      <c r="Y60" s="324">
        <f>Sales!Y133</f>
        <v>0</v>
      </c>
      <c r="Z60" s="324">
        <f>Sales!Z133</f>
        <v>0</v>
      </c>
      <c r="AA60" s="372">
        <f>Sales!AA133</f>
        <v>0</v>
      </c>
      <c r="AB60" s="324">
        <f>Sales!AB133</f>
        <v>0</v>
      </c>
      <c r="AC60" s="324">
        <f>Sales!AC133</f>
        <v>0</v>
      </c>
      <c r="AD60" s="324">
        <f>Sales!AD133</f>
        <v>0</v>
      </c>
      <c r="AE60" s="324">
        <f>Sales!AE133</f>
        <v>0</v>
      </c>
      <c r="AF60" s="372">
        <f>Sales!AF133</f>
        <v>0</v>
      </c>
      <c r="AG60" s="324">
        <f>Sales!AG133</f>
        <v>0</v>
      </c>
      <c r="AH60" s="324">
        <f>Sales!AH133</f>
        <v>0</v>
      </c>
      <c r="AI60" s="324">
        <f>Sales!AI133</f>
        <v>0</v>
      </c>
      <c r="AJ60" s="373">
        <f>Sales!AJ133</f>
        <v>0</v>
      </c>
      <c r="AK60" s="372">
        <f>Sales!AK133</f>
        <v>0</v>
      </c>
      <c r="AL60" s="709">
        <f>Sales!AL133</f>
        <v>14.7</v>
      </c>
      <c r="AM60" s="709">
        <f>Sales!AM133</f>
        <v>20.6</v>
      </c>
      <c r="AN60" s="709">
        <f>Sales!AN133</f>
        <v>19.7</v>
      </c>
      <c r="AO60" s="709">
        <f>Sales!AO133</f>
        <v>17.600000000000001</v>
      </c>
      <c r="AP60" s="46">
        <f>Sales!AP133</f>
        <v>72.599999999999994</v>
      </c>
      <c r="AQ60" s="709">
        <f>Sales!AQ133</f>
        <v>25.335999999999999</v>
      </c>
      <c r="AR60" s="709">
        <f>Sales!AR133</f>
        <v>24.417999999999999</v>
      </c>
      <c r="AS60" s="709">
        <f>Sales!AS133</f>
        <v>83.376999999999995</v>
      </c>
      <c r="AT60" s="709">
        <f>Sales!AT133</f>
        <v>117.21899999999999</v>
      </c>
      <c r="AU60" s="46">
        <f>Sales!AU133</f>
        <v>250.35</v>
      </c>
      <c r="AV60" s="709">
        <f>Sales!AV133</f>
        <v>116</v>
      </c>
      <c r="AW60" s="280">
        <f>Sales!AW133</f>
        <v>136.1</v>
      </c>
      <c r="AX60" s="709">
        <f>Sales!AX133</f>
        <v>143.30000000000001</v>
      </c>
      <c r="AY60" s="709">
        <f>Sales!AY133</f>
        <v>130.9</v>
      </c>
      <c r="AZ60" s="46">
        <f>Sales!AZ133</f>
        <v>526.29999999999995</v>
      </c>
      <c r="BA60" s="364">
        <f>Sales!BA133</f>
        <v>125.4</v>
      </c>
      <c r="BB60" s="280">
        <f>Sales!BB133</f>
        <v>145.6</v>
      </c>
      <c r="BC60" s="280">
        <f>Sales!BC133</f>
        <v>148.80000000000001</v>
      </c>
      <c r="BD60" s="280">
        <f>Sales!BD133</f>
        <v>141.4</v>
      </c>
      <c r="BE60" s="46">
        <f>Sales!BE133</f>
        <v>561.20000000000005</v>
      </c>
      <c r="BF60" s="28">
        <f>Sales!BF133</f>
        <v>129.16200000000001</v>
      </c>
      <c r="BG60" s="28">
        <f>Sales!BG133</f>
        <v>152.88</v>
      </c>
      <c r="BH60" s="28">
        <f>Sales!BH133</f>
        <v>160.70400000000004</v>
      </c>
      <c r="BI60" s="28">
        <f>Sales!BI133</f>
        <v>155.54000000000002</v>
      </c>
      <c r="BJ60" s="46">
        <f>Sales!BJ133</f>
        <v>598.28600000000006</v>
      </c>
      <c r="BK60" s="28">
        <f>Sales!BK133</f>
        <v>0</v>
      </c>
      <c r="BL60" s="28">
        <f>Sales!BL133</f>
        <v>0</v>
      </c>
      <c r="BM60" s="28">
        <f>Sales!BM133</f>
        <v>0</v>
      </c>
      <c r="BN60" s="28">
        <f>Sales!BN133</f>
        <v>0</v>
      </c>
      <c r="BO60" s="46">
        <f>Sales!BO133</f>
        <v>646.14888000000008</v>
      </c>
      <c r="BP60" s="28">
        <f>Sales!BP133</f>
        <v>0</v>
      </c>
      <c r="BQ60" s="28">
        <f>Sales!BQ133</f>
        <v>0</v>
      </c>
      <c r="BR60" s="28">
        <f>Sales!BR133</f>
        <v>0</v>
      </c>
      <c r="BS60" s="28">
        <f>Sales!BS133</f>
        <v>0</v>
      </c>
      <c r="BT60" s="46">
        <f>Sales!BT133</f>
        <v>697.84079040000017</v>
      </c>
      <c r="BU60" s="28">
        <f>Sales!BU133</f>
        <v>0</v>
      </c>
      <c r="BV60" s="28">
        <f>Sales!BV133</f>
        <v>0</v>
      </c>
      <c r="BW60" s="28">
        <f>Sales!BW133</f>
        <v>0</v>
      </c>
      <c r="BX60" s="28">
        <f>Sales!BX133</f>
        <v>0</v>
      </c>
      <c r="BY60" s="46">
        <f>Sales!BY133</f>
        <v>746.68964572800019</v>
      </c>
      <c r="BZ60" s="28">
        <f>Sales!BZ133</f>
        <v>0</v>
      </c>
      <c r="CA60" s="28">
        <f>Sales!CA133</f>
        <v>0</v>
      </c>
      <c r="CB60" s="28">
        <f>Sales!CB133</f>
        <v>0</v>
      </c>
      <c r="CC60" s="28">
        <f>Sales!CC133</f>
        <v>0</v>
      </c>
      <c r="CD60" s="46">
        <f>Sales!CD133</f>
        <v>798.95792092896022</v>
      </c>
      <c r="CE60" s="533"/>
    </row>
    <row r="61" spans="1:83" hidden="1" outlineLevel="1" x14ac:dyDescent="0.15">
      <c r="B61" s="705"/>
      <c r="C61" s="529"/>
      <c r="D61" s="529"/>
      <c r="E61" s="529"/>
      <c r="F61" s="529"/>
      <c r="G61" s="549"/>
      <c r="H61" s="529"/>
      <c r="I61" s="529"/>
      <c r="J61" s="529"/>
      <c r="K61" s="529"/>
      <c r="L61" s="549"/>
      <c r="M61" s="529"/>
      <c r="N61" s="529"/>
      <c r="O61" s="529"/>
      <c r="P61" s="529"/>
      <c r="Q61" s="549"/>
      <c r="R61" s="520"/>
      <c r="S61" s="520"/>
      <c r="T61" s="520"/>
      <c r="U61" s="520"/>
      <c r="V61" s="550"/>
      <c r="W61" s="324"/>
      <c r="X61" s="324"/>
      <c r="Y61" s="324"/>
      <c r="Z61" s="324"/>
      <c r="AA61" s="372"/>
      <c r="AB61" s="324"/>
      <c r="AC61" s="324"/>
      <c r="AD61" s="324"/>
      <c r="AE61" s="324"/>
      <c r="AF61" s="372"/>
      <c r="AG61" s="324"/>
      <c r="AH61" s="324"/>
      <c r="AI61" s="324"/>
      <c r="AJ61" s="373"/>
      <c r="AK61" s="372"/>
      <c r="AL61" s="709"/>
      <c r="AM61" s="709"/>
      <c r="AN61" s="709"/>
      <c r="AO61" s="709"/>
      <c r="AP61" s="46"/>
      <c r="AQ61" s="709"/>
      <c r="AR61" s="709"/>
      <c r="AS61" s="709"/>
      <c r="AT61" s="709"/>
      <c r="AU61" s="46"/>
      <c r="AV61" s="709"/>
      <c r="AW61" s="280"/>
      <c r="AX61" s="709"/>
      <c r="AY61" s="709"/>
      <c r="AZ61" s="46"/>
      <c r="BA61" s="364"/>
      <c r="BB61" s="280"/>
      <c r="BC61" s="280"/>
      <c r="BD61" s="280"/>
      <c r="BE61" s="710"/>
      <c r="BF61" s="28"/>
      <c r="BG61" s="28"/>
      <c r="BH61" s="28"/>
      <c r="BI61" s="28"/>
      <c r="BJ61" s="710"/>
      <c r="BK61" s="28"/>
      <c r="BL61" s="28"/>
      <c r="BM61" s="28"/>
      <c r="BN61" s="28"/>
      <c r="BO61" s="710"/>
      <c r="BP61" s="28"/>
      <c r="BQ61" s="28"/>
      <c r="BR61" s="28"/>
      <c r="BS61" s="28"/>
      <c r="BT61" s="710"/>
      <c r="BU61" s="28"/>
      <c r="BV61" s="28"/>
      <c r="BW61" s="28"/>
      <c r="BX61" s="28"/>
      <c r="BY61" s="710"/>
      <c r="BZ61" s="28"/>
      <c r="CA61" s="28"/>
      <c r="CB61" s="28"/>
      <c r="CC61" s="28"/>
      <c r="CD61" s="710"/>
    </row>
    <row r="62" spans="1:83" hidden="1" outlineLevel="1" x14ac:dyDescent="0.15">
      <c r="B62" s="705" t="s">
        <v>233</v>
      </c>
      <c r="C62" s="529"/>
      <c r="D62" s="529"/>
      <c r="E62" s="529"/>
      <c r="F62" s="529"/>
      <c r="G62" s="549"/>
      <c r="H62" s="529"/>
      <c r="I62" s="529"/>
      <c r="J62" s="529"/>
      <c r="K62" s="529"/>
      <c r="L62" s="549"/>
      <c r="M62" s="529"/>
      <c r="N62" s="529"/>
      <c r="O62" s="529"/>
      <c r="P62" s="529"/>
      <c r="Q62" s="549"/>
      <c r="R62" s="520"/>
      <c r="S62" s="520"/>
      <c r="T62" s="520"/>
      <c r="U62" s="520"/>
      <c r="V62" s="550"/>
      <c r="W62" s="324"/>
      <c r="X62" s="324"/>
      <c r="Y62" s="324"/>
      <c r="Z62" s="324"/>
      <c r="AA62" s="372"/>
      <c r="AB62" s="324"/>
      <c r="AC62" s="324"/>
      <c r="AD62" s="324"/>
      <c r="AE62" s="324"/>
      <c r="AF62" s="372"/>
      <c r="AG62" s="324"/>
      <c r="AH62" s="324"/>
      <c r="AI62" s="324"/>
      <c r="AJ62" s="373"/>
      <c r="AK62" s="372"/>
      <c r="AL62" s="709"/>
      <c r="AM62" s="709"/>
      <c r="AN62" s="709"/>
      <c r="AO62" s="709"/>
      <c r="AP62" s="46"/>
      <c r="AQ62" s="709"/>
      <c r="AR62" s="709"/>
      <c r="AS62" s="709"/>
      <c r="AT62" s="709"/>
      <c r="AU62" s="46"/>
      <c r="AV62" s="709"/>
      <c r="AW62" s="280"/>
      <c r="AX62" s="709"/>
      <c r="AY62" s="709"/>
      <c r="AZ62" s="711">
        <v>0.35</v>
      </c>
      <c r="BA62" s="364"/>
      <c r="BB62" s="280"/>
      <c r="BC62" s="280"/>
      <c r="BD62" s="280"/>
      <c r="BE62" s="711">
        <v>0.35</v>
      </c>
      <c r="BF62" s="28"/>
      <c r="BG62" s="28"/>
      <c r="BH62" s="28"/>
      <c r="BI62" s="28"/>
      <c r="BJ62" s="711">
        <v>0.35</v>
      </c>
      <c r="BK62" s="28"/>
      <c r="BL62" s="28"/>
      <c r="BM62" s="28"/>
      <c r="BN62" s="28"/>
      <c r="BO62" s="711">
        <v>0.35</v>
      </c>
      <c r="BP62" s="28"/>
      <c r="BQ62" s="28"/>
      <c r="BR62" s="28"/>
      <c r="BS62" s="28"/>
      <c r="BT62" s="711">
        <v>0.35</v>
      </c>
      <c r="BU62" s="28"/>
      <c r="BV62" s="28"/>
      <c r="BW62" s="28"/>
      <c r="BX62" s="28"/>
      <c r="BY62" s="711">
        <v>0.35</v>
      </c>
      <c r="BZ62" s="28"/>
      <c r="CA62" s="28"/>
      <c r="CB62" s="28"/>
      <c r="CC62" s="28"/>
      <c r="CD62" s="711">
        <v>0.35</v>
      </c>
    </row>
    <row r="63" spans="1:83" hidden="1" outlineLevel="1" x14ac:dyDescent="0.15">
      <c r="B63" s="705" t="s">
        <v>234</v>
      </c>
      <c r="C63" s="529"/>
      <c r="D63" s="529"/>
      <c r="E63" s="529"/>
      <c r="F63" s="529"/>
      <c r="G63" s="549"/>
      <c r="H63" s="529"/>
      <c r="I63" s="529"/>
      <c r="J63" s="529"/>
      <c r="K63" s="529"/>
      <c r="L63" s="549"/>
      <c r="M63" s="529"/>
      <c r="N63" s="529"/>
      <c r="O63" s="529"/>
      <c r="P63" s="529"/>
      <c r="Q63" s="549"/>
      <c r="R63" s="520"/>
      <c r="S63" s="520"/>
      <c r="T63" s="520"/>
      <c r="U63" s="520"/>
      <c r="V63" s="550"/>
      <c r="W63" s="324"/>
      <c r="X63" s="324"/>
      <c r="Y63" s="324"/>
      <c r="Z63" s="324"/>
      <c r="AA63" s="372"/>
      <c r="AB63" s="324"/>
      <c r="AC63" s="324"/>
      <c r="AD63" s="324"/>
      <c r="AE63" s="324"/>
      <c r="AF63" s="372"/>
      <c r="AG63" s="324"/>
      <c r="AH63" s="324"/>
      <c r="AI63" s="324"/>
      <c r="AJ63" s="373"/>
      <c r="AK63" s="372"/>
      <c r="AL63" s="709"/>
      <c r="AM63" s="709"/>
      <c r="AN63" s="709"/>
      <c r="AO63" s="709"/>
      <c r="AP63" s="46"/>
      <c r="AQ63" s="709"/>
      <c r="AR63" s="709"/>
      <c r="AS63" s="709"/>
      <c r="AT63" s="709"/>
      <c r="AU63" s="46"/>
      <c r="AV63" s="709"/>
      <c r="AW63" s="280"/>
      <c r="AX63" s="709"/>
      <c r="AY63" s="709"/>
      <c r="AZ63" s="710">
        <f>1-AZ62</f>
        <v>0.65</v>
      </c>
      <c r="BA63" s="364"/>
      <c r="BB63" s="280"/>
      <c r="BC63" s="280"/>
      <c r="BD63" s="280"/>
      <c r="BE63" s="710">
        <f>1-BE62</f>
        <v>0.65</v>
      </c>
      <c r="BF63" s="28"/>
      <c r="BG63" s="28"/>
      <c r="BH63" s="28"/>
      <c r="BI63" s="28"/>
      <c r="BJ63" s="710">
        <f>1-BJ62</f>
        <v>0.65</v>
      </c>
      <c r="BK63" s="28"/>
      <c r="BL63" s="28"/>
      <c r="BM63" s="28"/>
      <c r="BN63" s="28"/>
      <c r="BO63" s="710">
        <f>1-BO62</f>
        <v>0.65</v>
      </c>
      <c r="BP63" s="28"/>
      <c r="BQ63" s="28"/>
      <c r="BR63" s="28"/>
      <c r="BS63" s="28"/>
      <c r="BT63" s="710">
        <f>1-BT62</f>
        <v>0.65</v>
      </c>
      <c r="BU63" s="28"/>
      <c r="BV63" s="28"/>
      <c r="BW63" s="28"/>
      <c r="BX63" s="28"/>
      <c r="BY63" s="710">
        <f>1-BY62</f>
        <v>0.65</v>
      </c>
      <c r="BZ63" s="28"/>
      <c r="CA63" s="28"/>
      <c r="CB63" s="28"/>
      <c r="CC63" s="28"/>
      <c r="CD63" s="710">
        <f>1-CD62</f>
        <v>0.65</v>
      </c>
    </row>
    <row r="64" spans="1:83" x14ac:dyDescent="0.15">
      <c r="B64" s="700" t="s">
        <v>235</v>
      </c>
      <c r="C64" s="701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  <c r="AO64" s="701"/>
      <c r="AP64" s="701"/>
      <c r="AQ64" s="701"/>
      <c r="AR64" s="701"/>
      <c r="AS64" s="701"/>
      <c r="AT64" s="701"/>
      <c r="AU64" s="701"/>
      <c r="AV64" s="701"/>
      <c r="AW64" s="701"/>
      <c r="AX64" s="701"/>
      <c r="AY64" s="701"/>
      <c r="AZ64" s="702">
        <f>AZ57*AZ62</f>
        <v>733.73999999999978</v>
      </c>
      <c r="BA64" s="703"/>
      <c r="BB64" s="670"/>
      <c r="BC64" s="670"/>
      <c r="BD64" s="670"/>
      <c r="BE64" s="702">
        <f t="shared" ref="BE64:CD64" si="4">BE57*BE62</f>
        <v>669.86500000000001</v>
      </c>
      <c r="BF64" s="704">
        <f t="shared" si="4"/>
        <v>0</v>
      </c>
      <c r="BG64" s="704">
        <f t="shared" si="4"/>
        <v>0</v>
      </c>
      <c r="BH64" s="704">
        <f t="shared" si="4"/>
        <v>0</v>
      </c>
      <c r="BI64" s="704">
        <f t="shared" si="4"/>
        <v>0</v>
      </c>
      <c r="BJ64" s="702">
        <f t="shared" si="4"/>
        <v>731.61514999999997</v>
      </c>
      <c r="BK64" s="704">
        <f t="shared" si="4"/>
        <v>0</v>
      </c>
      <c r="BL64" s="704">
        <f t="shared" si="4"/>
        <v>0</v>
      </c>
      <c r="BM64" s="704">
        <f t="shared" si="4"/>
        <v>0</v>
      </c>
      <c r="BN64" s="704">
        <f t="shared" si="4"/>
        <v>0</v>
      </c>
      <c r="BO64" s="702">
        <f t="shared" si="4"/>
        <v>774.47791050000001</v>
      </c>
      <c r="BP64" s="704">
        <f t="shared" si="4"/>
        <v>0</v>
      </c>
      <c r="BQ64" s="704">
        <f t="shared" si="4"/>
        <v>0</v>
      </c>
      <c r="BR64" s="704">
        <f t="shared" si="4"/>
        <v>0</v>
      </c>
      <c r="BS64" s="704">
        <f t="shared" si="4"/>
        <v>0</v>
      </c>
      <c r="BT64" s="702">
        <f t="shared" si="4"/>
        <v>819.98636926500001</v>
      </c>
      <c r="BU64" s="704">
        <f t="shared" si="4"/>
        <v>0</v>
      </c>
      <c r="BV64" s="704">
        <f t="shared" si="4"/>
        <v>0</v>
      </c>
      <c r="BW64" s="704">
        <f t="shared" si="4"/>
        <v>0</v>
      </c>
      <c r="BX64" s="704">
        <f t="shared" si="4"/>
        <v>0</v>
      </c>
      <c r="BY64" s="702">
        <f t="shared" si="4"/>
        <v>865.87057326104991</v>
      </c>
      <c r="BZ64" s="704">
        <f t="shared" si="4"/>
        <v>0</v>
      </c>
      <c r="CA64" s="704">
        <f t="shared" si="4"/>
        <v>0</v>
      </c>
      <c r="CB64" s="704">
        <f t="shared" si="4"/>
        <v>0</v>
      </c>
      <c r="CC64" s="704">
        <f t="shared" si="4"/>
        <v>0</v>
      </c>
      <c r="CD64" s="702">
        <f t="shared" si="4"/>
        <v>914.3909294441986</v>
      </c>
    </row>
    <row r="65" spans="1:84" x14ac:dyDescent="0.15">
      <c r="B65" s="574" t="s">
        <v>76</v>
      </c>
      <c r="C65" s="529"/>
      <c r="D65" s="529"/>
      <c r="E65" s="529"/>
      <c r="F65" s="529"/>
      <c r="G65" s="549"/>
      <c r="H65" s="529"/>
      <c r="I65" s="529"/>
      <c r="J65" s="529"/>
      <c r="K65" s="529"/>
      <c r="L65" s="549"/>
      <c r="M65" s="529"/>
      <c r="N65" s="529"/>
      <c r="O65" s="529"/>
      <c r="P65" s="529"/>
      <c r="Q65" s="549"/>
      <c r="R65" s="520"/>
      <c r="S65" s="520"/>
      <c r="T65" s="520"/>
      <c r="U65" s="520"/>
      <c r="V65" s="550"/>
      <c r="W65" s="324"/>
      <c r="X65" s="324"/>
      <c r="Y65" s="324"/>
      <c r="Z65" s="324"/>
      <c r="AA65" s="372"/>
      <c r="AB65" s="324"/>
      <c r="AC65" s="324"/>
      <c r="AD65" s="324"/>
      <c r="AE65" s="324"/>
      <c r="AF65" s="372"/>
      <c r="AG65" s="324"/>
      <c r="AH65" s="324"/>
      <c r="AI65" s="324"/>
      <c r="AJ65" s="373"/>
      <c r="AK65" s="372"/>
      <c r="AL65" s="709"/>
      <c r="AM65" s="709"/>
      <c r="AN65" s="709"/>
      <c r="AO65" s="709"/>
      <c r="AP65" s="46"/>
      <c r="AQ65" s="709"/>
      <c r="AR65" s="709"/>
      <c r="AS65" s="709"/>
      <c r="AT65" s="709"/>
      <c r="AU65" s="46"/>
      <c r="AV65" s="709"/>
      <c r="AW65" s="280"/>
      <c r="AX65" s="709"/>
      <c r="AY65" s="709"/>
      <c r="AZ65" s="46"/>
      <c r="BA65" s="364"/>
      <c r="BB65" s="280"/>
      <c r="BC65" s="280"/>
      <c r="BD65" s="280"/>
      <c r="BE65" s="692">
        <v>0.36</v>
      </c>
      <c r="BF65" s="693"/>
      <c r="BG65" s="693"/>
      <c r="BH65" s="693"/>
      <c r="BI65" s="693"/>
      <c r="BJ65" s="692">
        <v>0.35</v>
      </c>
      <c r="BK65" s="693"/>
      <c r="BL65" s="693"/>
      <c r="BM65" s="693"/>
      <c r="BN65" s="693"/>
      <c r="BO65" s="692">
        <v>0.35</v>
      </c>
      <c r="BP65" s="693"/>
      <c r="BQ65" s="693"/>
      <c r="BR65" s="693"/>
      <c r="BS65" s="693"/>
      <c r="BT65" s="692">
        <v>0.35</v>
      </c>
      <c r="BU65" s="693"/>
      <c r="BV65" s="693"/>
      <c r="BW65" s="693"/>
      <c r="BX65" s="693"/>
      <c r="BY65" s="692">
        <v>0.36</v>
      </c>
      <c r="BZ65" s="693"/>
      <c r="CA65" s="693"/>
      <c r="CB65" s="693"/>
      <c r="CC65" s="693"/>
      <c r="CD65" s="692">
        <v>0.36</v>
      </c>
    </row>
    <row r="66" spans="1:84" x14ac:dyDescent="0.15">
      <c r="B66" s="268" t="s">
        <v>229</v>
      </c>
      <c r="C66" s="529"/>
      <c r="D66" s="529"/>
      <c r="E66" s="529"/>
      <c r="F66" s="529"/>
      <c r="G66" s="549"/>
      <c r="H66" s="529"/>
      <c r="I66" s="529"/>
      <c r="J66" s="529"/>
      <c r="K66" s="529"/>
      <c r="L66" s="549"/>
      <c r="M66" s="529"/>
      <c r="N66" s="529"/>
      <c r="O66" s="529"/>
      <c r="P66" s="529"/>
      <c r="Q66" s="549"/>
      <c r="R66" s="520"/>
      <c r="S66" s="520"/>
      <c r="T66" s="520"/>
      <c r="U66" s="520"/>
      <c r="V66" s="550"/>
      <c r="W66" s="324"/>
      <c r="X66" s="324"/>
      <c r="Y66" s="324"/>
      <c r="Z66" s="324"/>
      <c r="AA66" s="372"/>
      <c r="AB66" s="324"/>
      <c r="AC66" s="324"/>
      <c r="AD66" s="324"/>
      <c r="AE66" s="324"/>
      <c r="AF66" s="372"/>
      <c r="AG66" s="324"/>
      <c r="AH66" s="324"/>
      <c r="AI66" s="324"/>
      <c r="AJ66" s="373"/>
      <c r="AK66" s="372"/>
      <c r="AL66" s="709"/>
      <c r="AM66" s="709"/>
      <c r="AN66" s="709"/>
      <c r="AO66" s="709"/>
      <c r="AP66" s="46"/>
      <c r="AQ66" s="709"/>
      <c r="AR66" s="709"/>
      <c r="AS66" s="709"/>
      <c r="AT66" s="709"/>
      <c r="AU66" s="46"/>
      <c r="AV66" s="709"/>
      <c r="AW66" s="280"/>
      <c r="AX66" s="709"/>
      <c r="AY66" s="709"/>
      <c r="AZ66" s="46"/>
      <c r="BA66" s="364"/>
      <c r="BB66" s="280"/>
      <c r="BC66" s="280"/>
      <c r="BD66" s="280"/>
      <c r="BE66" s="46">
        <f>BE64*BE65</f>
        <v>241.1514</v>
      </c>
      <c r="BF66" s="28"/>
      <c r="BG66" s="28"/>
      <c r="BH66" s="28"/>
      <c r="BI66" s="28"/>
      <c r="BJ66" s="46">
        <f>BJ64*BJ65</f>
        <v>256.06530249999997</v>
      </c>
      <c r="BK66" s="28"/>
      <c r="BL66" s="28"/>
      <c r="BM66" s="28"/>
      <c r="BN66" s="28"/>
      <c r="BO66" s="46">
        <f>BO64*BO65</f>
        <v>271.06726867499998</v>
      </c>
      <c r="BP66" s="28"/>
      <c r="BQ66" s="28"/>
      <c r="BR66" s="28"/>
      <c r="BS66" s="28"/>
      <c r="BT66" s="46">
        <f>BT64*BT65</f>
        <v>286.99522924274999</v>
      </c>
      <c r="BU66" s="28"/>
      <c r="BV66" s="28"/>
      <c r="BW66" s="28"/>
      <c r="BX66" s="28"/>
      <c r="BY66" s="46">
        <f>BY64*BY65</f>
        <v>311.71340637397793</v>
      </c>
      <c r="BZ66" s="28"/>
      <c r="CA66" s="28"/>
      <c r="CB66" s="28"/>
      <c r="CC66" s="28"/>
      <c r="CD66" s="46">
        <f>CD64*CD65</f>
        <v>329.18073459991149</v>
      </c>
    </row>
    <row r="67" spans="1:84" hidden="1" x14ac:dyDescent="0.15">
      <c r="B67" s="268" t="s">
        <v>83</v>
      </c>
      <c r="C67" s="529"/>
      <c r="D67" s="529"/>
      <c r="E67" s="529"/>
      <c r="F67" s="529"/>
      <c r="G67" s="549"/>
      <c r="H67" s="529"/>
      <c r="I67" s="529"/>
      <c r="J67" s="529"/>
      <c r="K67" s="529"/>
      <c r="L67" s="549"/>
      <c r="M67" s="529"/>
      <c r="N67" s="529"/>
      <c r="O67" s="529"/>
      <c r="P67" s="529"/>
      <c r="Q67" s="549"/>
      <c r="R67" s="520"/>
      <c r="S67" s="520"/>
      <c r="T67" s="520"/>
      <c r="U67" s="520"/>
      <c r="V67" s="550"/>
      <c r="W67" s="324"/>
      <c r="X67" s="324"/>
      <c r="Y67" s="324"/>
      <c r="Z67" s="324"/>
      <c r="AA67" s="372"/>
      <c r="AB67" s="324"/>
      <c r="AC67" s="324"/>
      <c r="AD67" s="324"/>
      <c r="AE67" s="324"/>
      <c r="AF67" s="372"/>
      <c r="AG67" s="324"/>
      <c r="AH67" s="324"/>
      <c r="AI67" s="324"/>
      <c r="AJ67" s="373"/>
      <c r="AK67" s="372"/>
      <c r="AL67" s="709"/>
      <c r="AM67" s="709"/>
      <c r="AN67" s="709"/>
      <c r="AO67" s="709"/>
      <c r="AP67" s="46"/>
      <c r="AQ67" s="709"/>
      <c r="AR67" s="709"/>
      <c r="AS67" s="709"/>
      <c r="AT67" s="709"/>
      <c r="AU67" s="46"/>
      <c r="AV67" s="709"/>
      <c r="AW67" s="280"/>
      <c r="AX67" s="709"/>
      <c r="AY67" s="709"/>
      <c r="AZ67" s="46"/>
      <c r="BA67" s="364"/>
      <c r="BB67" s="280"/>
      <c r="BC67" s="280"/>
      <c r="BD67" s="280"/>
      <c r="BE67" s="46"/>
      <c r="BF67" s="28"/>
      <c r="BG67" s="28"/>
      <c r="BH67" s="28"/>
      <c r="BI67" s="28"/>
      <c r="BJ67" s="46"/>
      <c r="BK67" s="28"/>
      <c r="BL67" s="28"/>
      <c r="BM67" s="28"/>
      <c r="BN67" s="28"/>
      <c r="BO67" s="46"/>
      <c r="BP67" s="28"/>
      <c r="BQ67" s="28"/>
      <c r="BR67" s="28"/>
      <c r="BS67" s="28"/>
      <c r="BT67" s="46"/>
      <c r="BU67" s="28"/>
      <c r="BV67" s="28"/>
      <c r="BW67" s="28"/>
      <c r="BX67" s="28"/>
      <c r="BY67" s="46"/>
      <c r="BZ67" s="28"/>
      <c r="CA67" s="28"/>
      <c r="CB67" s="28"/>
      <c r="CC67" s="28"/>
      <c r="CD67" s="46"/>
    </row>
    <row r="68" spans="1:84" hidden="1" x14ac:dyDescent="0.15">
      <c r="B68" s="268" t="s">
        <v>84</v>
      </c>
      <c r="C68" s="529"/>
      <c r="D68" s="529"/>
      <c r="E68" s="529"/>
      <c r="F68" s="529"/>
      <c r="G68" s="549"/>
      <c r="H68" s="529"/>
      <c r="I68" s="529"/>
      <c r="J68" s="529"/>
      <c r="K68" s="529"/>
      <c r="L68" s="549"/>
      <c r="M68" s="529"/>
      <c r="N68" s="529"/>
      <c r="O68" s="529"/>
      <c r="P68" s="529"/>
      <c r="Q68" s="549"/>
      <c r="R68" s="520"/>
      <c r="S68" s="520"/>
      <c r="T68" s="520"/>
      <c r="U68" s="520"/>
      <c r="V68" s="550"/>
      <c r="W68" s="324"/>
      <c r="X68" s="324"/>
      <c r="Y68" s="324"/>
      <c r="Z68" s="324"/>
      <c r="AA68" s="372"/>
      <c r="AB68" s="324"/>
      <c r="AC68" s="324"/>
      <c r="AD68" s="324"/>
      <c r="AE68" s="324"/>
      <c r="AF68" s="372"/>
      <c r="AG68" s="324"/>
      <c r="AH68" s="324"/>
      <c r="AI68" s="324"/>
      <c r="AJ68" s="373"/>
      <c r="AK68" s="372"/>
      <c r="AL68" s="709"/>
      <c r="AM68" s="709"/>
      <c r="AN68" s="709"/>
      <c r="AO68" s="709"/>
      <c r="AP68" s="46"/>
      <c r="AQ68" s="709"/>
      <c r="AR68" s="709"/>
      <c r="AS68" s="709"/>
      <c r="AT68" s="709"/>
      <c r="AU68" s="46"/>
      <c r="AV68" s="709"/>
      <c r="AW68" s="280"/>
      <c r="AX68" s="709"/>
      <c r="AY68" s="709"/>
      <c r="AZ68" s="46"/>
      <c r="BA68" s="364"/>
      <c r="BB68" s="280"/>
      <c r="BC68" s="280"/>
      <c r="BD68" s="280"/>
      <c r="BE68" s="46"/>
      <c r="BF68" s="28"/>
      <c r="BG68" s="28"/>
      <c r="BH68" s="28"/>
      <c r="BI68" s="28"/>
      <c r="BJ68" s="46"/>
      <c r="BK68" s="28"/>
      <c r="BL68" s="28"/>
      <c r="BM68" s="28"/>
      <c r="BN68" s="28"/>
      <c r="BO68" s="46"/>
      <c r="BP68" s="28"/>
      <c r="BQ68" s="28"/>
      <c r="BR68" s="28"/>
      <c r="BS68" s="28"/>
      <c r="BT68" s="46"/>
      <c r="BU68" s="28"/>
      <c r="BV68" s="28"/>
      <c r="BW68" s="28"/>
      <c r="BX68" s="28"/>
      <c r="BY68" s="46"/>
      <c r="BZ68" s="28"/>
      <c r="CA68" s="28"/>
      <c r="CB68" s="28"/>
      <c r="CC68" s="28"/>
      <c r="CD68" s="46"/>
    </row>
    <row r="69" spans="1:84" hidden="1" x14ac:dyDescent="0.15">
      <c r="B69" s="268" t="s">
        <v>230</v>
      </c>
      <c r="C69" s="529"/>
      <c r="D69" s="529"/>
      <c r="E69" s="529"/>
      <c r="F69" s="529"/>
      <c r="G69" s="549"/>
      <c r="H69" s="529"/>
      <c r="I69" s="529"/>
      <c r="J69" s="529"/>
      <c r="K69" s="529"/>
      <c r="L69" s="549"/>
      <c r="M69" s="529"/>
      <c r="N69" s="529"/>
      <c r="O69" s="529"/>
      <c r="P69" s="529"/>
      <c r="Q69" s="549"/>
      <c r="R69" s="520"/>
      <c r="S69" s="520"/>
      <c r="T69" s="520"/>
      <c r="U69" s="520"/>
      <c r="V69" s="550"/>
      <c r="W69" s="324"/>
      <c r="X69" s="324"/>
      <c r="Y69" s="324"/>
      <c r="Z69" s="324"/>
      <c r="AA69" s="372"/>
      <c r="AB69" s="324"/>
      <c r="AC69" s="324"/>
      <c r="AD69" s="324"/>
      <c r="AE69" s="324"/>
      <c r="AF69" s="372"/>
      <c r="AG69" s="324"/>
      <c r="AH69" s="324"/>
      <c r="AI69" s="324"/>
      <c r="AJ69" s="373"/>
      <c r="AK69" s="372"/>
      <c r="AL69" s="709"/>
      <c r="AM69" s="709"/>
      <c r="AN69" s="709"/>
      <c r="AO69" s="709"/>
      <c r="AP69" s="46"/>
      <c r="AQ69" s="709"/>
      <c r="AR69" s="709"/>
      <c r="AS69" s="709"/>
      <c r="AT69" s="709"/>
      <c r="AU69" s="46"/>
      <c r="AV69" s="709"/>
      <c r="AW69" s="280"/>
      <c r="AX69" s="709"/>
      <c r="AY69" s="709"/>
      <c r="AZ69" s="46"/>
      <c r="BA69" s="364"/>
      <c r="BB69" s="280"/>
      <c r="BC69" s="280"/>
      <c r="BD69" s="280"/>
      <c r="BE69" s="46"/>
      <c r="BF69" s="28"/>
      <c r="BG69" s="28"/>
      <c r="BH69" s="28"/>
      <c r="BI69" s="28"/>
      <c r="BJ69" s="46"/>
      <c r="BK69" s="28"/>
      <c r="BL69" s="28"/>
      <c r="BM69" s="28"/>
      <c r="BN69" s="28"/>
      <c r="BO69" s="46"/>
      <c r="BP69" s="28"/>
      <c r="BQ69" s="28"/>
      <c r="BR69" s="28"/>
      <c r="BS69" s="28"/>
      <c r="BT69" s="46"/>
      <c r="BU69" s="28"/>
      <c r="BV69" s="28"/>
      <c r="BW69" s="28"/>
      <c r="BX69" s="28"/>
      <c r="BY69" s="46"/>
      <c r="BZ69" s="28"/>
      <c r="CA69" s="28"/>
      <c r="CB69" s="28"/>
      <c r="CC69" s="28"/>
      <c r="CD69" s="46"/>
    </row>
    <row r="70" spans="1:84" x14ac:dyDescent="0.15">
      <c r="B70" s="268" t="s">
        <v>231</v>
      </c>
      <c r="C70" s="529"/>
      <c r="D70" s="529"/>
      <c r="E70" s="529"/>
      <c r="F70" s="529"/>
      <c r="G70" s="549"/>
      <c r="H70" s="529"/>
      <c r="I70" s="529"/>
      <c r="J70" s="529"/>
      <c r="K70" s="529"/>
      <c r="L70" s="549"/>
      <c r="M70" s="529"/>
      <c r="N70" s="529"/>
      <c r="O70" s="529"/>
      <c r="P70" s="529"/>
      <c r="Q70" s="549"/>
      <c r="R70" s="520"/>
      <c r="S70" s="520"/>
      <c r="T70" s="520"/>
      <c r="U70" s="520"/>
      <c r="V70" s="550"/>
      <c r="W70" s="324"/>
      <c r="X70" s="324"/>
      <c r="Y70" s="324"/>
      <c r="Z70" s="324"/>
      <c r="AA70" s="372"/>
      <c r="AB70" s="324"/>
      <c r="AC70" s="324"/>
      <c r="AD70" s="324"/>
      <c r="AE70" s="324"/>
      <c r="AF70" s="372"/>
      <c r="AG70" s="324"/>
      <c r="AH70" s="324"/>
      <c r="AI70" s="324"/>
      <c r="AJ70" s="373"/>
      <c r="AK70" s="372"/>
      <c r="AL70" s="709"/>
      <c r="AM70" s="709"/>
      <c r="AN70" s="709"/>
      <c r="AO70" s="709"/>
      <c r="AP70" s="46"/>
      <c r="AQ70" s="709"/>
      <c r="AR70" s="709"/>
      <c r="AS70" s="709"/>
      <c r="AT70" s="709"/>
      <c r="AU70" s="46"/>
      <c r="AV70" s="709"/>
      <c r="AW70" s="280"/>
      <c r="AX70" s="709"/>
      <c r="AY70" s="709"/>
      <c r="AZ70" s="46"/>
      <c r="BA70" s="364"/>
      <c r="BB70" s="280"/>
      <c r="BC70" s="280"/>
      <c r="BD70" s="280"/>
      <c r="BE70" s="277">
        <f>BE66+(BE66/BE$80*BE$81)</f>
        <v>250.08486311013337</v>
      </c>
      <c r="BF70" s="191"/>
      <c r="BG70" s="191"/>
      <c r="BH70" s="191"/>
      <c r="BI70" s="191"/>
      <c r="BJ70" s="277">
        <f>BJ66+(BJ66/BJ$80*BJ$81)</f>
        <v>265.9324508973412</v>
      </c>
      <c r="BK70" s="191"/>
      <c r="BL70" s="191"/>
      <c r="BM70" s="191"/>
      <c r="BN70" s="191"/>
      <c r="BO70" s="277">
        <f>BO66+(BO66/BO$80*BO$81)</f>
        <v>280.69036455852842</v>
      </c>
      <c r="BP70" s="191"/>
      <c r="BQ70" s="191"/>
      <c r="BR70" s="191"/>
      <c r="BS70" s="191"/>
      <c r="BT70" s="277">
        <f>BT66+(BT66/BT$80*BT$81)</f>
        <v>296.44173030264125</v>
      </c>
      <c r="BU70" s="191"/>
      <c r="BV70" s="191"/>
      <c r="BW70" s="191"/>
      <c r="BX70" s="191"/>
      <c r="BY70" s="277">
        <f>BY66+(BY66/BY$80*BY$81)</f>
        <v>321.19932985312175</v>
      </c>
      <c r="BZ70" s="191"/>
      <c r="CA70" s="191"/>
      <c r="CB70" s="191"/>
      <c r="CC70" s="191"/>
      <c r="CD70" s="277">
        <f>CD66+(CD66/CD$80*CD$81)</f>
        <v>338.66970401187677</v>
      </c>
    </row>
    <row r="71" spans="1:84" x14ac:dyDescent="0.15">
      <c r="B71" s="268"/>
      <c r="C71" s="529"/>
      <c r="D71" s="529"/>
      <c r="E71" s="529"/>
      <c r="F71" s="529"/>
      <c r="G71" s="712"/>
      <c r="H71" s="529"/>
      <c r="I71" s="529"/>
      <c r="J71" s="529"/>
      <c r="K71" s="529"/>
      <c r="L71" s="712"/>
      <c r="M71" s="529"/>
      <c r="N71" s="529"/>
      <c r="O71" s="529"/>
      <c r="P71" s="529"/>
      <c r="Q71" s="712"/>
      <c r="R71" s="520"/>
      <c r="S71" s="520"/>
      <c r="T71" s="520"/>
      <c r="U71" s="520"/>
      <c r="V71" s="557"/>
      <c r="W71" s="324"/>
      <c r="X71" s="324"/>
      <c r="Y71" s="324"/>
      <c r="Z71" s="324"/>
      <c r="AA71" s="461"/>
      <c r="AB71" s="324"/>
      <c r="AC71" s="324"/>
      <c r="AD71" s="324"/>
      <c r="AE71" s="324"/>
      <c r="AF71" s="461"/>
      <c r="AG71" s="324"/>
      <c r="AH71" s="324"/>
      <c r="AI71" s="324"/>
      <c r="AJ71" s="373"/>
      <c r="AK71" s="461"/>
      <c r="AL71" s="709"/>
      <c r="AM71" s="709"/>
      <c r="AN71" s="709"/>
      <c r="AO71" s="709"/>
      <c r="AP71" s="45"/>
      <c r="AQ71" s="709"/>
      <c r="AR71" s="709"/>
      <c r="AS71" s="709"/>
      <c r="AT71" s="709"/>
      <c r="AU71" s="45"/>
      <c r="AV71" s="709"/>
      <c r="AW71" s="280"/>
      <c r="AX71" s="709"/>
      <c r="AY71" s="709"/>
      <c r="AZ71" s="46"/>
      <c r="BA71" s="364"/>
      <c r="BB71" s="280"/>
      <c r="BC71" s="280"/>
      <c r="BD71" s="280"/>
      <c r="BE71" s="46"/>
      <c r="BF71" s="28"/>
      <c r="BG71" s="28"/>
      <c r="BH71" s="28"/>
      <c r="BI71" s="28"/>
      <c r="BJ71" s="46"/>
      <c r="BK71" s="28"/>
      <c r="BL71" s="28"/>
      <c r="BM71" s="28"/>
      <c r="BN71" s="28"/>
      <c r="BO71" s="46"/>
      <c r="BP71" s="28"/>
      <c r="BQ71" s="28"/>
      <c r="BR71" s="28"/>
      <c r="BS71" s="28"/>
      <c r="BT71" s="46"/>
      <c r="BU71" s="28"/>
      <c r="BV71" s="28"/>
      <c r="BW71" s="28"/>
      <c r="BX71" s="28"/>
      <c r="BY71" s="46"/>
      <c r="BZ71" s="28"/>
      <c r="CA71" s="28"/>
      <c r="CB71" s="28"/>
      <c r="CC71" s="28"/>
      <c r="CD71" s="46"/>
    </row>
    <row r="72" spans="1:84" x14ac:dyDescent="0.15">
      <c r="B72" s="700" t="s">
        <v>236</v>
      </c>
      <c r="C72" s="701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  <c r="AO72" s="701"/>
      <c r="AP72" s="701"/>
      <c r="AQ72" s="701"/>
      <c r="AR72" s="701"/>
      <c r="AS72" s="701"/>
      <c r="AT72" s="701"/>
      <c r="AU72" s="701"/>
      <c r="AV72" s="701"/>
      <c r="AW72" s="701"/>
      <c r="AX72" s="701"/>
      <c r="AY72" s="701"/>
      <c r="AZ72" s="702">
        <f>AZ63*AZ57</f>
        <v>1362.6599999999999</v>
      </c>
      <c r="BA72" s="703">
        <f t="shared" ref="BA72:CD72" si="5">BA63*BA57</f>
        <v>0</v>
      </c>
      <c r="BB72" s="670">
        <f t="shared" si="5"/>
        <v>0</v>
      </c>
      <c r="BC72" s="670">
        <f t="shared" si="5"/>
        <v>0</v>
      </c>
      <c r="BD72" s="670">
        <f t="shared" si="5"/>
        <v>0</v>
      </c>
      <c r="BE72" s="702">
        <f t="shared" si="5"/>
        <v>1244.0350000000001</v>
      </c>
      <c r="BF72" s="704">
        <f t="shared" si="5"/>
        <v>0</v>
      </c>
      <c r="BG72" s="704">
        <f t="shared" si="5"/>
        <v>0</v>
      </c>
      <c r="BH72" s="704">
        <f t="shared" si="5"/>
        <v>0</v>
      </c>
      <c r="BI72" s="704">
        <f t="shared" si="5"/>
        <v>0</v>
      </c>
      <c r="BJ72" s="702">
        <f t="shared" si="5"/>
        <v>1358.7138500000001</v>
      </c>
      <c r="BK72" s="704">
        <f t="shared" si="5"/>
        <v>0</v>
      </c>
      <c r="BL72" s="704">
        <f t="shared" si="5"/>
        <v>0</v>
      </c>
      <c r="BM72" s="704">
        <f t="shared" si="5"/>
        <v>0</v>
      </c>
      <c r="BN72" s="704">
        <f t="shared" si="5"/>
        <v>0</v>
      </c>
      <c r="BO72" s="702">
        <f t="shared" si="5"/>
        <v>1438.3161195</v>
      </c>
      <c r="BP72" s="704">
        <f t="shared" si="5"/>
        <v>0</v>
      </c>
      <c r="BQ72" s="704">
        <f t="shared" si="5"/>
        <v>0</v>
      </c>
      <c r="BR72" s="704">
        <f t="shared" si="5"/>
        <v>0</v>
      </c>
      <c r="BS72" s="704">
        <f t="shared" si="5"/>
        <v>0</v>
      </c>
      <c r="BT72" s="702">
        <f t="shared" si="5"/>
        <v>1522.8318286350002</v>
      </c>
      <c r="BU72" s="704">
        <f t="shared" si="5"/>
        <v>0</v>
      </c>
      <c r="BV72" s="704">
        <f t="shared" si="5"/>
        <v>0</v>
      </c>
      <c r="BW72" s="704">
        <f t="shared" si="5"/>
        <v>0</v>
      </c>
      <c r="BX72" s="704">
        <f t="shared" si="5"/>
        <v>0</v>
      </c>
      <c r="BY72" s="702">
        <f t="shared" si="5"/>
        <v>1608.0453503419501</v>
      </c>
      <c r="BZ72" s="704">
        <f t="shared" si="5"/>
        <v>0</v>
      </c>
      <c r="CA72" s="704">
        <f t="shared" si="5"/>
        <v>0</v>
      </c>
      <c r="CB72" s="704">
        <f t="shared" si="5"/>
        <v>0</v>
      </c>
      <c r="CC72" s="704">
        <f t="shared" si="5"/>
        <v>0</v>
      </c>
      <c r="CD72" s="702">
        <f t="shared" si="5"/>
        <v>1698.1545832535119</v>
      </c>
    </row>
    <row r="73" spans="1:84" x14ac:dyDescent="0.15">
      <c r="B73" s="574" t="s">
        <v>76</v>
      </c>
      <c r="C73" s="529"/>
      <c r="D73" s="529"/>
      <c r="E73" s="529"/>
      <c r="F73" s="529"/>
      <c r="G73" s="549"/>
      <c r="H73" s="529"/>
      <c r="I73" s="529"/>
      <c r="J73" s="529"/>
      <c r="K73" s="529"/>
      <c r="L73" s="549"/>
      <c r="M73" s="529"/>
      <c r="N73" s="529"/>
      <c r="O73" s="529"/>
      <c r="P73" s="529"/>
      <c r="Q73" s="549"/>
      <c r="R73" s="520"/>
      <c r="S73" s="520"/>
      <c r="T73" s="520"/>
      <c r="U73" s="520"/>
      <c r="V73" s="550"/>
      <c r="W73" s="324"/>
      <c r="X73" s="324"/>
      <c r="Y73" s="324"/>
      <c r="Z73" s="324"/>
      <c r="AA73" s="372"/>
      <c r="AB73" s="324"/>
      <c r="AC73" s="324"/>
      <c r="AD73" s="324"/>
      <c r="AE73" s="324"/>
      <c r="AF73" s="372"/>
      <c r="AG73" s="324"/>
      <c r="AH73" s="324"/>
      <c r="AI73" s="324"/>
      <c r="AJ73" s="373"/>
      <c r="AK73" s="372"/>
      <c r="AL73" s="709"/>
      <c r="AM73" s="709"/>
      <c r="AN73" s="709"/>
      <c r="AO73" s="709"/>
      <c r="AP73" s="46"/>
      <c r="AQ73" s="709"/>
      <c r="AR73" s="709"/>
      <c r="AS73" s="709"/>
      <c r="AT73" s="709"/>
      <c r="AU73" s="46"/>
      <c r="AV73" s="709"/>
      <c r="AW73" s="280"/>
      <c r="AX73" s="709"/>
      <c r="AY73" s="709"/>
      <c r="AZ73" s="46"/>
      <c r="BA73" s="364"/>
      <c r="BB73" s="280"/>
      <c r="BC73" s="280"/>
      <c r="BD73" s="280"/>
      <c r="BE73" s="692">
        <v>0.36</v>
      </c>
      <c r="BF73" s="693"/>
      <c r="BG73" s="693"/>
      <c r="BH73" s="693"/>
      <c r="BI73" s="693"/>
      <c r="BJ73" s="692">
        <v>0.35</v>
      </c>
      <c r="BK73" s="693"/>
      <c r="BL73" s="693"/>
      <c r="BM73" s="693"/>
      <c r="BN73" s="693"/>
      <c r="BO73" s="692">
        <v>0.35</v>
      </c>
      <c r="BP73" s="693"/>
      <c r="BQ73" s="693"/>
      <c r="BR73" s="693"/>
      <c r="BS73" s="693"/>
      <c r="BT73" s="692">
        <v>0.35</v>
      </c>
      <c r="BU73" s="693"/>
      <c r="BV73" s="693"/>
      <c r="BW73" s="693"/>
      <c r="BX73" s="693"/>
      <c r="BY73" s="692">
        <v>0.36</v>
      </c>
      <c r="BZ73" s="693"/>
      <c r="CA73" s="693"/>
      <c r="CB73" s="693"/>
      <c r="CC73" s="693"/>
      <c r="CD73" s="692">
        <v>0.36</v>
      </c>
    </row>
    <row r="74" spans="1:84" x14ac:dyDescent="0.15">
      <c r="B74" s="268" t="s">
        <v>229</v>
      </c>
      <c r="C74" s="529"/>
      <c r="D74" s="529"/>
      <c r="E74" s="529"/>
      <c r="F74" s="529"/>
      <c r="G74" s="549"/>
      <c r="H74" s="529"/>
      <c r="I74" s="529"/>
      <c r="J74" s="529"/>
      <c r="K74" s="529"/>
      <c r="L74" s="549"/>
      <c r="M74" s="529"/>
      <c r="N74" s="529"/>
      <c r="O74" s="529"/>
      <c r="P74" s="529"/>
      <c r="Q74" s="549"/>
      <c r="R74" s="520"/>
      <c r="S74" s="520"/>
      <c r="T74" s="520"/>
      <c r="U74" s="520"/>
      <c r="V74" s="550"/>
      <c r="W74" s="324"/>
      <c r="X74" s="324"/>
      <c r="Y74" s="324"/>
      <c r="Z74" s="324"/>
      <c r="AA74" s="372"/>
      <c r="AB74" s="324"/>
      <c r="AC74" s="324"/>
      <c r="AD74" s="324"/>
      <c r="AE74" s="324"/>
      <c r="AF74" s="372"/>
      <c r="AG74" s="324"/>
      <c r="AH74" s="324"/>
      <c r="AI74" s="324"/>
      <c r="AJ74" s="373"/>
      <c r="AK74" s="372"/>
      <c r="AL74" s="709"/>
      <c r="AM74" s="709"/>
      <c r="AN74" s="709"/>
      <c r="AO74" s="709"/>
      <c r="AP74" s="46"/>
      <c r="AQ74" s="709"/>
      <c r="AR74" s="709"/>
      <c r="AS74" s="709"/>
      <c r="AT74" s="709"/>
      <c r="AU74" s="46"/>
      <c r="AV74" s="709"/>
      <c r="AW74" s="280"/>
      <c r="AX74" s="709"/>
      <c r="AY74" s="709"/>
      <c r="AZ74" s="46"/>
      <c r="BA74" s="364"/>
      <c r="BB74" s="280"/>
      <c r="BC74" s="280"/>
      <c r="BD74" s="280"/>
      <c r="BE74" s="46">
        <f>BE72*BE73</f>
        <v>447.8526</v>
      </c>
      <c r="BF74" s="28"/>
      <c r="BG74" s="28"/>
      <c r="BH74" s="28"/>
      <c r="BI74" s="28"/>
      <c r="BJ74" s="46">
        <f>BJ72*BJ73</f>
        <v>475.5498475</v>
      </c>
      <c r="BK74" s="28"/>
      <c r="BL74" s="28"/>
      <c r="BM74" s="28"/>
      <c r="BN74" s="28"/>
      <c r="BO74" s="46">
        <f>BO72*BO73</f>
        <v>503.41064182499997</v>
      </c>
      <c r="BP74" s="28"/>
      <c r="BQ74" s="28"/>
      <c r="BR74" s="28"/>
      <c r="BS74" s="28"/>
      <c r="BT74" s="46">
        <f>BT72*BT73</f>
        <v>532.99114002225008</v>
      </c>
      <c r="BU74" s="28"/>
      <c r="BV74" s="28"/>
      <c r="BW74" s="28"/>
      <c r="BX74" s="28"/>
      <c r="BY74" s="46">
        <f>BY72*BY73</f>
        <v>578.89632612310197</v>
      </c>
      <c r="BZ74" s="28"/>
      <c r="CA74" s="28"/>
      <c r="CB74" s="28"/>
      <c r="CC74" s="28"/>
      <c r="CD74" s="46">
        <f>CD72*CD73</f>
        <v>611.33564997126427</v>
      </c>
    </row>
    <row r="75" spans="1:84" hidden="1" x14ac:dyDescent="0.15">
      <c r="B75" s="268" t="s">
        <v>83</v>
      </c>
      <c r="C75" s="529"/>
      <c r="D75" s="529"/>
      <c r="E75" s="529"/>
      <c r="F75" s="529"/>
      <c r="G75" s="549"/>
      <c r="H75" s="529"/>
      <c r="I75" s="529"/>
      <c r="J75" s="529"/>
      <c r="K75" s="529"/>
      <c r="L75" s="549"/>
      <c r="M75" s="529"/>
      <c r="N75" s="529"/>
      <c r="O75" s="529"/>
      <c r="P75" s="529"/>
      <c r="Q75" s="549"/>
      <c r="R75" s="520"/>
      <c r="S75" s="520"/>
      <c r="T75" s="520"/>
      <c r="U75" s="520"/>
      <c r="V75" s="550"/>
      <c r="W75" s="324"/>
      <c r="X75" s="324"/>
      <c r="Y75" s="324"/>
      <c r="Z75" s="324"/>
      <c r="AA75" s="372"/>
      <c r="AB75" s="324"/>
      <c r="AC75" s="324"/>
      <c r="AD75" s="324"/>
      <c r="AE75" s="324"/>
      <c r="AF75" s="372"/>
      <c r="AG75" s="324"/>
      <c r="AH75" s="324"/>
      <c r="AI75" s="324"/>
      <c r="AJ75" s="373"/>
      <c r="AK75" s="372"/>
      <c r="AL75" s="709"/>
      <c r="AM75" s="709"/>
      <c r="AN75" s="709"/>
      <c r="AO75" s="709"/>
      <c r="AP75" s="46"/>
      <c r="AQ75" s="709"/>
      <c r="AR75" s="709"/>
      <c r="AS75" s="709"/>
      <c r="AT75" s="709"/>
      <c r="AU75" s="46"/>
      <c r="AV75" s="709"/>
      <c r="AW75" s="280"/>
      <c r="AX75" s="709"/>
      <c r="AY75" s="709"/>
      <c r="AZ75" s="46"/>
      <c r="BA75" s="364"/>
      <c r="BB75" s="280"/>
      <c r="BC75" s="280"/>
      <c r="BD75" s="280"/>
      <c r="BE75" s="46"/>
      <c r="BF75" s="28"/>
      <c r="BG75" s="28"/>
      <c r="BH75" s="28"/>
      <c r="BI75" s="28"/>
      <c r="BJ75" s="46"/>
      <c r="BK75" s="28"/>
      <c r="BL75" s="28"/>
      <c r="BM75" s="28"/>
      <c r="BN75" s="28"/>
      <c r="BO75" s="46"/>
      <c r="BP75" s="28"/>
      <c r="BQ75" s="28"/>
      <c r="BR75" s="28"/>
      <c r="BS75" s="28"/>
      <c r="BT75" s="46"/>
      <c r="BU75" s="28"/>
      <c r="BV75" s="28"/>
      <c r="BW75" s="28"/>
      <c r="BX75" s="28"/>
      <c r="BY75" s="46"/>
      <c r="BZ75" s="28"/>
      <c r="CA75" s="28"/>
      <c r="CB75" s="28"/>
      <c r="CC75" s="28"/>
      <c r="CD75" s="46"/>
    </row>
    <row r="76" spans="1:84" hidden="1" x14ac:dyDescent="0.15">
      <c r="B76" s="268" t="s">
        <v>84</v>
      </c>
      <c r="C76" s="529"/>
      <c r="D76" s="529"/>
      <c r="E76" s="529"/>
      <c r="F76" s="529"/>
      <c r="G76" s="549"/>
      <c r="H76" s="529"/>
      <c r="I76" s="529"/>
      <c r="J76" s="529"/>
      <c r="K76" s="529"/>
      <c r="L76" s="549"/>
      <c r="M76" s="529"/>
      <c r="N76" s="529"/>
      <c r="O76" s="529"/>
      <c r="P76" s="529"/>
      <c r="Q76" s="549"/>
      <c r="R76" s="520"/>
      <c r="S76" s="520"/>
      <c r="T76" s="520"/>
      <c r="U76" s="520"/>
      <c r="V76" s="550"/>
      <c r="W76" s="324"/>
      <c r="X76" s="324"/>
      <c r="Y76" s="324"/>
      <c r="Z76" s="324"/>
      <c r="AA76" s="372"/>
      <c r="AB76" s="324"/>
      <c r="AC76" s="324"/>
      <c r="AD76" s="324"/>
      <c r="AE76" s="324"/>
      <c r="AF76" s="372"/>
      <c r="AG76" s="324"/>
      <c r="AH76" s="324"/>
      <c r="AI76" s="324"/>
      <c r="AJ76" s="373"/>
      <c r="AK76" s="372"/>
      <c r="AL76" s="709"/>
      <c r="AM76" s="709"/>
      <c r="AN76" s="709"/>
      <c r="AO76" s="709"/>
      <c r="AP76" s="46"/>
      <c r="AQ76" s="709"/>
      <c r="AR76" s="709"/>
      <c r="AS76" s="709"/>
      <c r="AT76" s="709"/>
      <c r="AU76" s="46"/>
      <c r="AV76" s="709"/>
      <c r="AW76" s="280"/>
      <c r="AX76" s="709"/>
      <c r="AY76" s="709"/>
      <c r="AZ76" s="46"/>
      <c r="BA76" s="364"/>
      <c r="BB76" s="280"/>
      <c r="BC76" s="280"/>
      <c r="BD76" s="280"/>
      <c r="BE76" s="46"/>
      <c r="BF76" s="28"/>
      <c r="BG76" s="28"/>
      <c r="BH76" s="28"/>
      <c r="BI76" s="28"/>
      <c r="BJ76" s="46"/>
      <c r="BK76" s="28"/>
      <c r="BL76" s="28"/>
      <c r="BM76" s="28"/>
      <c r="BN76" s="28"/>
      <c r="BO76" s="46"/>
      <c r="BP76" s="28"/>
      <c r="BQ76" s="28"/>
      <c r="BR76" s="28"/>
      <c r="BS76" s="28"/>
      <c r="BT76" s="46"/>
      <c r="BU76" s="28"/>
      <c r="BV76" s="28"/>
      <c r="BW76" s="28"/>
      <c r="BX76" s="28"/>
      <c r="BY76" s="46"/>
      <c r="BZ76" s="28"/>
      <c r="CA76" s="28"/>
      <c r="CB76" s="28"/>
      <c r="CC76" s="28"/>
      <c r="CD76" s="46"/>
    </row>
    <row r="77" spans="1:84" hidden="1" x14ac:dyDescent="0.15">
      <c r="B77" s="268" t="s">
        <v>230</v>
      </c>
      <c r="C77" s="529"/>
      <c r="D77" s="529"/>
      <c r="E77" s="529"/>
      <c r="F77" s="529"/>
      <c r="G77" s="549"/>
      <c r="H77" s="529"/>
      <c r="I77" s="529"/>
      <c r="J77" s="529"/>
      <c r="K77" s="529"/>
      <c r="L77" s="549"/>
      <c r="M77" s="529"/>
      <c r="N77" s="529"/>
      <c r="O77" s="529"/>
      <c r="P77" s="529"/>
      <c r="Q77" s="549"/>
      <c r="R77" s="520"/>
      <c r="S77" s="520"/>
      <c r="T77" s="520"/>
      <c r="U77" s="520"/>
      <c r="V77" s="550"/>
      <c r="W77" s="324"/>
      <c r="X77" s="324"/>
      <c r="Y77" s="324"/>
      <c r="Z77" s="324"/>
      <c r="AA77" s="372"/>
      <c r="AB77" s="324"/>
      <c r="AC77" s="324"/>
      <c r="AD77" s="324"/>
      <c r="AE77" s="324"/>
      <c r="AF77" s="372"/>
      <c r="AG77" s="324"/>
      <c r="AH77" s="324"/>
      <c r="AI77" s="324"/>
      <c r="AJ77" s="373"/>
      <c r="AK77" s="372"/>
      <c r="AL77" s="709"/>
      <c r="AM77" s="709"/>
      <c r="AN77" s="709"/>
      <c r="AO77" s="709"/>
      <c r="AP77" s="46"/>
      <c r="AQ77" s="709"/>
      <c r="AR77" s="709"/>
      <c r="AS77" s="709"/>
      <c r="AT77" s="709"/>
      <c r="AU77" s="46"/>
      <c r="AV77" s="709"/>
      <c r="AW77" s="280"/>
      <c r="AX77" s="709"/>
      <c r="AY77" s="709"/>
      <c r="AZ77" s="46"/>
      <c r="BA77" s="364"/>
      <c r="BB77" s="280"/>
      <c r="BC77" s="280"/>
      <c r="BD77" s="280"/>
      <c r="BE77" s="46"/>
      <c r="BF77" s="28"/>
      <c r="BG77" s="28"/>
      <c r="BH77" s="28"/>
      <c r="BI77" s="28"/>
      <c r="BJ77" s="46"/>
      <c r="BK77" s="28"/>
      <c r="BL77" s="28"/>
      <c r="BM77" s="28"/>
      <c r="BN77" s="28"/>
      <c r="BO77" s="46"/>
      <c r="BP77" s="28"/>
      <c r="BQ77" s="28"/>
      <c r="BR77" s="28"/>
      <c r="BS77" s="28"/>
      <c r="BT77" s="46"/>
      <c r="BU77" s="28"/>
      <c r="BV77" s="28"/>
      <c r="BW77" s="28"/>
      <c r="BX77" s="28"/>
      <c r="BY77" s="46"/>
      <c r="BZ77" s="28"/>
      <c r="CA77" s="28"/>
      <c r="CB77" s="28"/>
      <c r="CC77" s="28"/>
      <c r="CD77" s="46"/>
    </row>
    <row r="78" spans="1:84" x14ac:dyDescent="0.15">
      <c r="B78" s="713" t="s">
        <v>231</v>
      </c>
      <c r="C78" s="522"/>
      <c r="D78" s="522"/>
      <c r="E78" s="522"/>
      <c r="F78" s="522"/>
      <c r="G78" s="523"/>
      <c r="H78" s="522"/>
      <c r="I78" s="522"/>
      <c r="J78" s="522"/>
      <c r="K78" s="522"/>
      <c r="L78" s="523"/>
      <c r="M78" s="522"/>
      <c r="N78" s="522"/>
      <c r="O78" s="522"/>
      <c r="P78" s="522"/>
      <c r="Q78" s="523"/>
      <c r="R78" s="485"/>
      <c r="S78" s="485"/>
      <c r="T78" s="485"/>
      <c r="U78" s="485"/>
      <c r="V78" s="486"/>
      <c r="W78" s="487"/>
      <c r="X78" s="487"/>
      <c r="Y78" s="487"/>
      <c r="Z78" s="487"/>
      <c r="AA78" s="472"/>
      <c r="AB78" s="487"/>
      <c r="AC78" s="487"/>
      <c r="AD78" s="487"/>
      <c r="AE78" s="487"/>
      <c r="AF78" s="472"/>
      <c r="AG78" s="487"/>
      <c r="AH78" s="487"/>
      <c r="AI78" s="487"/>
      <c r="AJ78" s="714"/>
      <c r="AK78" s="472"/>
      <c r="AL78" s="715"/>
      <c r="AM78" s="715"/>
      <c r="AN78" s="715"/>
      <c r="AO78" s="715"/>
      <c r="AP78" s="716"/>
      <c r="AQ78" s="715"/>
      <c r="AR78" s="715"/>
      <c r="AS78" s="715"/>
      <c r="AT78" s="715"/>
      <c r="AU78" s="716"/>
      <c r="AV78" s="715"/>
      <c r="AW78" s="717"/>
      <c r="AX78" s="715"/>
      <c r="AY78" s="715"/>
      <c r="AZ78" s="46"/>
      <c r="BA78" s="718"/>
      <c r="BB78" s="707"/>
      <c r="BC78" s="707"/>
      <c r="BD78" s="707"/>
      <c r="BE78" s="277">
        <f>BE74+(BE74/BE$80*BE$81)</f>
        <v>464.4433172045334</v>
      </c>
      <c r="BF78" s="719"/>
      <c r="BG78" s="719"/>
      <c r="BH78" s="719"/>
      <c r="BI78" s="719"/>
      <c r="BJ78" s="277">
        <f>BJ74+(BJ74/BJ$80*BJ$81)</f>
        <v>493.87455166649085</v>
      </c>
      <c r="BK78" s="719"/>
      <c r="BL78" s="719"/>
      <c r="BM78" s="719"/>
      <c r="BN78" s="719"/>
      <c r="BO78" s="277">
        <f>BO74+(BO74/BO$80*BO$81)</f>
        <v>521.2821056086957</v>
      </c>
      <c r="BP78" s="719"/>
      <c r="BQ78" s="719"/>
      <c r="BR78" s="719"/>
      <c r="BS78" s="719"/>
      <c r="BT78" s="277">
        <f>BT74+(BT74/BT$80*BT$81)</f>
        <v>550.53464199061955</v>
      </c>
      <c r="BU78" s="719"/>
      <c r="BV78" s="719"/>
      <c r="BW78" s="719"/>
      <c r="BX78" s="719"/>
      <c r="BY78" s="277">
        <f>BY74+(BY74/BY$80*BY$81)</f>
        <v>596.51304115579762</v>
      </c>
      <c r="BZ78" s="719"/>
      <c r="CA78" s="719"/>
      <c r="CB78" s="719"/>
      <c r="CC78" s="719"/>
      <c r="CD78" s="277">
        <f>CD74+(CD74/CD$80*CD$81)</f>
        <v>628.95802173634263</v>
      </c>
    </row>
    <row r="79" spans="1:84" x14ac:dyDescent="0.15">
      <c r="A79" s="720"/>
      <c r="B79" s="721"/>
      <c r="C79" s="529"/>
      <c r="D79" s="529"/>
      <c r="E79" s="529"/>
      <c r="F79" s="529"/>
      <c r="G79" s="712"/>
      <c r="H79" s="529"/>
      <c r="I79" s="529"/>
      <c r="J79" s="529"/>
      <c r="K79" s="529"/>
      <c r="L79" s="712"/>
      <c r="M79" s="529"/>
      <c r="N79" s="529"/>
      <c r="O79" s="529"/>
      <c r="P79" s="529"/>
      <c r="Q79" s="712"/>
      <c r="R79" s="520"/>
      <c r="S79" s="520"/>
      <c r="T79" s="520"/>
      <c r="U79" s="520"/>
      <c r="V79" s="557"/>
      <c r="W79" s="324"/>
      <c r="X79" s="324"/>
      <c r="Y79" s="324"/>
      <c r="Z79" s="324"/>
      <c r="AA79" s="461"/>
      <c r="AB79" s="324"/>
      <c r="AC79" s="324"/>
      <c r="AD79" s="324"/>
      <c r="AE79" s="324"/>
      <c r="AF79" s="461"/>
      <c r="AG79" s="324"/>
      <c r="AH79" s="324"/>
      <c r="AI79" s="324"/>
      <c r="AJ79" s="373"/>
      <c r="AK79" s="461"/>
      <c r="AL79" s="709"/>
      <c r="AM79" s="709"/>
      <c r="AN79" s="709"/>
      <c r="AO79" s="709"/>
      <c r="AP79" s="45"/>
      <c r="AQ79" s="709"/>
      <c r="AR79" s="709"/>
      <c r="AS79" s="709"/>
      <c r="AT79" s="709"/>
      <c r="AU79" s="45"/>
      <c r="AV79" s="709"/>
      <c r="AW79" s="280"/>
      <c r="AX79" s="709"/>
      <c r="AY79" s="709"/>
      <c r="AZ79" s="722"/>
      <c r="BA79" s="723"/>
      <c r="BB79" s="724"/>
      <c r="BC79" s="724"/>
      <c r="BD79" s="724"/>
      <c r="BE79" s="722"/>
      <c r="BF79" s="725"/>
      <c r="BG79" s="725"/>
      <c r="BH79" s="725"/>
      <c r="BI79" s="725"/>
      <c r="BJ79" s="722"/>
      <c r="BK79" s="725"/>
      <c r="BL79" s="725"/>
      <c r="BM79" s="725"/>
      <c r="BN79" s="725"/>
      <c r="BO79" s="722"/>
      <c r="BP79" s="725"/>
      <c r="BQ79" s="725"/>
      <c r="BR79" s="725"/>
      <c r="BS79" s="725"/>
      <c r="BT79" s="722"/>
      <c r="BU79" s="725"/>
      <c r="BV79" s="725"/>
      <c r="BW79" s="725"/>
      <c r="BX79" s="725"/>
      <c r="BY79" s="722"/>
      <c r="BZ79" s="725"/>
      <c r="CA79" s="725"/>
      <c r="CB79" s="725"/>
      <c r="CC79" s="725"/>
      <c r="CD79" s="722"/>
      <c r="CE79" s="720"/>
      <c r="CF79" s="726"/>
    </row>
    <row r="80" spans="1:84" x14ac:dyDescent="0.15">
      <c r="B80" s="217" t="s">
        <v>237</v>
      </c>
      <c r="AZ80" s="580">
        <f>IS!AZ20</f>
        <v>3846.2000000000003</v>
      </c>
      <c r="BA80" s="580"/>
      <c r="BB80" s="580"/>
      <c r="BC80" s="580"/>
      <c r="BD80" s="580"/>
      <c r="BE80" s="580">
        <f>IS!BE20</f>
        <v>5091.1000000000004</v>
      </c>
      <c r="BF80" s="580">
        <f>IS!BF20</f>
        <v>958.97312000000022</v>
      </c>
      <c r="BG80" s="580">
        <f>IS!BG20</f>
        <v>1309.4867420000005</v>
      </c>
      <c r="BH80" s="580">
        <f>IS!BH20</f>
        <v>1395.0711780000001</v>
      </c>
      <c r="BI80" s="580">
        <f>IS!BI20</f>
        <v>1526.7284390000002</v>
      </c>
      <c r="BJ80" s="580">
        <f>IS!BJ20</f>
        <v>5190.2594790000003</v>
      </c>
      <c r="BK80" s="580">
        <f>IS!BK20</f>
        <v>0</v>
      </c>
      <c r="BL80" s="580">
        <f>IS!BL20</f>
        <v>0</v>
      </c>
      <c r="BM80" s="580">
        <f>IS!BM20</f>
        <v>0</v>
      </c>
      <c r="BN80" s="580">
        <f>IS!BN20</f>
        <v>0</v>
      </c>
      <c r="BO80" s="580">
        <f>IS!BO20</f>
        <v>5633.6811345500028</v>
      </c>
      <c r="BP80" s="580">
        <f>IS!BP20</f>
        <v>0</v>
      </c>
      <c r="BQ80" s="580">
        <f>IS!BQ20</f>
        <v>0</v>
      </c>
      <c r="BR80" s="580">
        <f>IS!BR20</f>
        <v>0</v>
      </c>
      <c r="BS80" s="580">
        <f>IS!BS20</f>
        <v>0</v>
      </c>
      <c r="BT80" s="580">
        <f>IS!BT20</f>
        <v>6076.2228770882994</v>
      </c>
      <c r="BU80" s="580">
        <f>IS!BU20</f>
        <v>0</v>
      </c>
      <c r="BV80" s="580">
        <f>IS!BV20</f>
        <v>0</v>
      </c>
      <c r="BW80" s="580">
        <f>IS!BW20</f>
        <v>0</v>
      </c>
      <c r="BX80" s="580">
        <f>IS!BX20</f>
        <v>0</v>
      </c>
      <c r="BY80" s="580">
        <f>IS!BY20</f>
        <v>6572.1256777861618</v>
      </c>
      <c r="BZ80" s="580">
        <f>IS!BZ20</f>
        <v>0</v>
      </c>
      <c r="CA80" s="580">
        <f>IS!CA20</f>
        <v>0</v>
      </c>
      <c r="CB80" s="580">
        <f>IS!CB20</f>
        <v>0</v>
      </c>
      <c r="CC80" s="580">
        <f>IS!CC20</f>
        <v>0</v>
      </c>
      <c r="CD80" s="580">
        <f>IS!CD20</f>
        <v>6938.176746250776</v>
      </c>
      <c r="CE80" s="727">
        <f>IS!CE20</f>
        <v>0</v>
      </c>
    </row>
    <row r="81" spans="2:86" x14ac:dyDescent="0.15">
      <c r="B81" s="217" t="s">
        <v>238</v>
      </c>
      <c r="AZ81" s="580">
        <f>'BS &amp; CF'!AL105</f>
        <v>186.89999999999992</v>
      </c>
      <c r="BE81" s="580">
        <f>'BS &amp; CF'!AQ105</f>
        <v>188.59999999999991</v>
      </c>
      <c r="BJ81" s="580">
        <f>'BS &amp; CF'!AV105</f>
        <v>200</v>
      </c>
      <c r="BO81" s="580">
        <f>'BS &amp; CF'!BA105</f>
        <v>200</v>
      </c>
      <c r="BT81" s="580">
        <f>'BS &amp; CF'!BF105</f>
        <v>200</v>
      </c>
      <c r="BY81" s="580">
        <f>'BS &amp; CF'!BK105</f>
        <v>200</v>
      </c>
      <c r="CD81" s="580">
        <f>'BS &amp; CF'!BP105</f>
        <v>200</v>
      </c>
    </row>
    <row r="82" spans="2:86" x14ac:dyDescent="0.15">
      <c r="B82" s="217" t="s">
        <v>239</v>
      </c>
      <c r="AZ82" s="580">
        <f>IS!AZ96</f>
        <v>4033.1</v>
      </c>
      <c r="BE82" s="580">
        <f>IS!BE96</f>
        <v>5279.7000000000007</v>
      </c>
      <c r="BJ82" s="580">
        <f>IS!BJ96</f>
        <v>5590.2594790000003</v>
      </c>
      <c r="BO82" s="580">
        <f>IS!BO96</f>
        <v>6033.6811345500028</v>
      </c>
      <c r="BT82" s="580">
        <f>IS!BT96</f>
        <v>6476.2228770882994</v>
      </c>
      <c r="BY82" s="580">
        <f>IS!BY96</f>
        <v>6972.1256777861618</v>
      </c>
      <c r="CD82" s="580">
        <f>IS!CD96</f>
        <v>7338.176746250776</v>
      </c>
    </row>
    <row r="84" spans="2:86" ht="13" thickBot="1" x14ac:dyDescent="0.2"/>
    <row r="85" spans="2:86" x14ac:dyDescent="0.15">
      <c r="B85" s="728" t="s">
        <v>240</v>
      </c>
      <c r="C85" s="729"/>
      <c r="D85" s="729"/>
      <c r="E85" s="729"/>
      <c r="F85" s="729"/>
      <c r="G85" s="729"/>
      <c r="H85" s="729"/>
      <c r="I85" s="729"/>
      <c r="J85" s="729"/>
      <c r="K85" s="729"/>
      <c r="L85" s="729"/>
      <c r="M85" s="729"/>
      <c r="N85" s="729"/>
      <c r="O85" s="729"/>
      <c r="P85" s="729"/>
      <c r="Q85" s="729"/>
      <c r="R85" s="729"/>
      <c r="S85" s="729"/>
      <c r="T85" s="729"/>
      <c r="U85" s="729"/>
      <c r="V85" s="729"/>
      <c r="W85" s="729"/>
      <c r="X85" s="729"/>
      <c r="Y85" s="729"/>
      <c r="Z85" s="729"/>
      <c r="AA85" s="729"/>
      <c r="AB85" s="729"/>
      <c r="AC85" s="729"/>
      <c r="AD85" s="729"/>
      <c r="AE85" s="729"/>
      <c r="AF85" s="729"/>
      <c r="AG85" s="729"/>
      <c r="AH85" s="729"/>
      <c r="AI85" s="729"/>
      <c r="AJ85" s="729"/>
      <c r="AK85" s="729"/>
      <c r="AL85" s="729"/>
      <c r="AM85" s="729"/>
      <c r="AN85" s="729"/>
      <c r="AO85" s="729"/>
      <c r="AP85" s="729"/>
      <c r="AQ85" s="729"/>
      <c r="AR85" s="729"/>
      <c r="AS85" s="729"/>
      <c r="AT85" s="729"/>
      <c r="AU85" s="729"/>
      <c r="AV85" s="729"/>
      <c r="AW85" s="729"/>
      <c r="AX85" s="729"/>
      <c r="AY85" s="729"/>
      <c r="AZ85" s="729"/>
      <c r="BA85" s="729"/>
      <c r="BB85" s="729"/>
      <c r="BC85" s="729"/>
      <c r="BD85" s="729"/>
      <c r="BE85" s="729"/>
      <c r="BF85" s="729"/>
      <c r="BG85" s="729"/>
      <c r="BH85" s="729"/>
      <c r="BI85" s="729"/>
      <c r="BJ85" s="729"/>
      <c r="BK85" s="729"/>
      <c r="BL85" s="729"/>
      <c r="BM85" s="729"/>
      <c r="BN85" s="729"/>
      <c r="BO85" s="729"/>
      <c r="BP85" s="729"/>
      <c r="BQ85" s="729"/>
      <c r="BR85" s="729"/>
      <c r="BS85" s="729"/>
      <c r="BT85" s="729"/>
      <c r="BU85" s="729"/>
      <c r="BV85" s="729"/>
      <c r="BW85" s="729"/>
      <c r="BX85" s="729"/>
      <c r="BY85" s="729"/>
      <c r="BZ85" s="729"/>
      <c r="CA85" s="729"/>
      <c r="CB85" s="729"/>
      <c r="CC85" s="729"/>
      <c r="CD85" s="729"/>
      <c r="CE85" s="729"/>
      <c r="CF85" s="729"/>
      <c r="CG85" s="729"/>
      <c r="CH85" s="730"/>
    </row>
    <row r="86" spans="2:86" x14ac:dyDescent="0.15">
      <c r="B86" s="731"/>
      <c r="C86" s="726"/>
      <c r="D86" s="726"/>
      <c r="E86" s="726"/>
      <c r="F86" s="726"/>
      <c r="G86" s="726"/>
      <c r="H86" s="726"/>
      <c r="I86" s="726"/>
      <c r="J86" s="726"/>
      <c r="K86" s="726"/>
      <c r="L86" s="726"/>
      <c r="M86" s="726"/>
      <c r="N86" s="726"/>
      <c r="O86" s="726"/>
      <c r="P86" s="726"/>
      <c r="Q86" s="726"/>
      <c r="R86" s="726"/>
      <c r="S86" s="726"/>
      <c r="T86" s="726"/>
      <c r="U86" s="726"/>
      <c r="V86" s="726"/>
      <c r="W86" s="726"/>
      <c r="X86" s="726"/>
      <c r="Y86" s="726"/>
      <c r="Z86" s="726"/>
      <c r="AA86" s="726"/>
      <c r="AB86" s="726"/>
      <c r="AC86" s="726"/>
      <c r="AD86" s="726"/>
      <c r="AE86" s="726"/>
      <c r="AF86" s="726"/>
      <c r="AG86" s="726"/>
      <c r="AH86" s="726"/>
      <c r="AI86" s="726"/>
      <c r="AJ86" s="726"/>
      <c r="AK86" s="726"/>
      <c r="AL86" s="726"/>
      <c r="AM86" s="726"/>
      <c r="AN86" s="726"/>
      <c r="AO86" s="726"/>
      <c r="AP86" s="726"/>
      <c r="AQ86" s="726"/>
      <c r="AR86" s="726"/>
      <c r="AS86" s="726"/>
      <c r="AT86" s="726"/>
      <c r="AU86" s="726"/>
      <c r="AV86" s="726"/>
      <c r="AW86" s="726"/>
      <c r="AX86" s="726"/>
      <c r="AY86" s="726"/>
      <c r="AZ86" s="732" t="s">
        <v>26</v>
      </c>
      <c r="BA86" s="733"/>
      <c r="BB86" s="733"/>
      <c r="BC86" s="733"/>
      <c r="BD86" s="733"/>
      <c r="BE86" s="732"/>
      <c r="BF86" s="733"/>
      <c r="BG86" s="733"/>
      <c r="BH86" s="733"/>
      <c r="BI86" s="733"/>
      <c r="BJ86" s="732"/>
      <c r="BK86" s="726"/>
      <c r="BL86" s="726"/>
      <c r="BM86" s="726"/>
      <c r="BN86" s="726"/>
      <c r="BO86" s="726"/>
      <c r="BP86" s="726"/>
      <c r="BQ86" s="726"/>
      <c r="BR86" s="726"/>
      <c r="BS86" s="726"/>
      <c r="BT86" s="726"/>
      <c r="BU86" s="726"/>
      <c r="BV86" s="726"/>
      <c r="BW86" s="726"/>
      <c r="BX86" s="726"/>
      <c r="BY86" s="726"/>
      <c r="BZ86" s="726"/>
      <c r="CA86" s="726"/>
      <c r="CB86" s="726"/>
      <c r="CC86" s="726"/>
      <c r="CD86" s="726"/>
      <c r="CE86" s="720"/>
      <c r="CF86" s="726"/>
      <c r="CG86" s="726"/>
      <c r="CH86" s="734"/>
    </row>
    <row r="87" spans="2:86" ht="15" x14ac:dyDescent="0.3">
      <c r="B87" s="731"/>
      <c r="C87" s="726"/>
      <c r="D87" s="726"/>
      <c r="E87" s="726"/>
      <c r="F87" s="726"/>
      <c r="G87" s="726"/>
      <c r="H87" s="726"/>
      <c r="I87" s="726"/>
      <c r="J87" s="726"/>
      <c r="K87" s="726"/>
      <c r="L87" s="726"/>
      <c r="M87" s="726"/>
      <c r="N87" s="726"/>
      <c r="O87" s="726"/>
      <c r="P87" s="726"/>
      <c r="Q87" s="726"/>
      <c r="R87" s="726"/>
      <c r="S87" s="726"/>
      <c r="T87" s="726"/>
      <c r="U87" s="726"/>
      <c r="V87" s="726"/>
      <c r="W87" s="726"/>
      <c r="X87" s="726"/>
      <c r="Y87" s="726"/>
      <c r="Z87" s="726"/>
      <c r="AA87" s="726"/>
      <c r="AB87" s="726"/>
      <c r="AC87" s="726"/>
      <c r="AD87" s="726"/>
      <c r="AE87" s="726"/>
      <c r="AF87" s="726"/>
      <c r="AG87" s="726"/>
      <c r="AH87" s="726"/>
      <c r="AI87" s="726"/>
      <c r="AJ87" s="726"/>
      <c r="AK87" s="726"/>
      <c r="AL87" s="726"/>
      <c r="AM87" s="726"/>
      <c r="AN87" s="726"/>
      <c r="AO87" s="726"/>
      <c r="AP87" s="726"/>
      <c r="AQ87" s="726"/>
      <c r="AR87" s="726"/>
      <c r="AS87" s="726"/>
      <c r="AT87" s="726"/>
      <c r="AU87" s="726"/>
      <c r="AV87" s="726"/>
      <c r="AW87" s="726"/>
      <c r="AX87" s="726"/>
      <c r="AY87" s="726"/>
      <c r="AZ87" s="735" t="s">
        <v>102</v>
      </c>
      <c r="BA87" s="736"/>
      <c r="BB87" s="736"/>
      <c r="BC87" s="736"/>
      <c r="BD87" s="736"/>
      <c r="BE87" s="735" t="s">
        <v>241</v>
      </c>
      <c r="BF87" s="736"/>
      <c r="BG87" s="736"/>
      <c r="BH87" s="736"/>
      <c r="BI87" s="736"/>
      <c r="BJ87" s="735" t="s">
        <v>242</v>
      </c>
      <c r="BK87" s="726"/>
      <c r="BL87" s="726"/>
      <c r="BM87" s="726"/>
      <c r="BN87" s="726"/>
      <c r="BO87" s="1002" t="s">
        <v>243</v>
      </c>
      <c r="BP87" s="1002"/>
      <c r="BQ87" s="1002"/>
      <c r="BR87" s="1002"/>
      <c r="BS87" s="1002"/>
      <c r="BT87" s="1002"/>
      <c r="BU87" s="1002"/>
      <c r="BV87" s="1002"/>
      <c r="BW87" s="1002"/>
      <c r="BX87" s="1002"/>
      <c r="BY87" s="1002"/>
      <c r="BZ87" s="1002"/>
      <c r="CA87" s="1002"/>
      <c r="CB87" s="1002"/>
      <c r="CC87" s="1002"/>
      <c r="CD87" s="1002"/>
      <c r="CE87" s="1002"/>
      <c r="CF87" s="1002"/>
      <c r="CG87" s="1002"/>
      <c r="CH87" s="1003"/>
    </row>
    <row r="88" spans="2:86" x14ac:dyDescent="0.15">
      <c r="B88" s="737" t="s">
        <v>244</v>
      </c>
      <c r="C88" s="390"/>
      <c r="D88" s="390"/>
      <c r="E88" s="390"/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0"/>
      <c r="AG88" s="390"/>
      <c r="AH88" s="390"/>
      <c r="AI88" s="390"/>
      <c r="AJ88" s="390"/>
      <c r="AK88" s="390"/>
      <c r="AL88" s="390"/>
      <c r="AM88" s="390"/>
      <c r="AN88" s="390"/>
      <c r="AO88" s="390"/>
      <c r="AP88" s="390"/>
      <c r="AQ88" s="390"/>
      <c r="AR88" s="390"/>
      <c r="AS88" s="390"/>
      <c r="AT88" s="390"/>
      <c r="AU88" s="390"/>
      <c r="AV88" s="390"/>
      <c r="AW88" s="390"/>
      <c r="AX88" s="390"/>
      <c r="AY88" s="390"/>
      <c r="AZ88" s="738">
        <f>BJ22</f>
        <v>1081.7367216500197</v>
      </c>
      <c r="BA88" s="726"/>
      <c r="BB88" s="726"/>
      <c r="BC88" s="726"/>
      <c r="BD88" s="726"/>
      <c r="BE88" s="739">
        <v>15</v>
      </c>
      <c r="BF88" s="726"/>
      <c r="BG88" s="726"/>
      <c r="BH88" s="726"/>
      <c r="BI88" s="726"/>
      <c r="BJ88" s="738">
        <f>AZ88*BE88</f>
        <v>16226.050824750295</v>
      </c>
      <c r="BK88" s="726"/>
      <c r="BL88" s="726"/>
      <c r="BM88" s="726"/>
      <c r="BN88" s="726"/>
      <c r="BO88" s="726" t="s">
        <v>443</v>
      </c>
      <c r="BP88" s="726"/>
      <c r="BQ88" s="726"/>
      <c r="BR88" s="726"/>
      <c r="BS88" s="726"/>
      <c r="BT88" s="726"/>
      <c r="BU88" s="726"/>
      <c r="BV88" s="726"/>
      <c r="BW88" s="726"/>
      <c r="BX88" s="726"/>
      <c r="BY88" s="726"/>
      <c r="BZ88" s="726"/>
      <c r="CA88" s="726"/>
      <c r="CB88" s="726"/>
      <c r="CC88" s="726"/>
      <c r="CD88" s="726"/>
      <c r="CE88" s="720"/>
      <c r="CF88" s="726"/>
      <c r="CG88" s="726"/>
      <c r="CH88" s="734"/>
    </row>
    <row r="89" spans="2:86" x14ac:dyDescent="0.15">
      <c r="B89" s="737" t="s">
        <v>245</v>
      </c>
      <c r="C89" s="390"/>
      <c r="D89" s="390"/>
      <c r="E89" s="390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0"/>
      <c r="AG89" s="390"/>
      <c r="AH89" s="390"/>
      <c r="AI89" s="390"/>
      <c r="AJ89" s="390"/>
      <c r="AK89" s="390"/>
      <c r="AL89" s="390"/>
      <c r="AM89" s="390"/>
      <c r="AN89" s="390"/>
      <c r="AO89" s="390"/>
      <c r="AP89" s="390"/>
      <c r="AQ89" s="390"/>
      <c r="AR89" s="390"/>
      <c r="AS89" s="390"/>
      <c r="AT89" s="390"/>
      <c r="AU89" s="390"/>
      <c r="AV89" s="390"/>
      <c r="AW89" s="390"/>
      <c r="AX89" s="390"/>
      <c r="AY89" s="390"/>
      <c r="AZ89" s="738">
        <f>BJ31</f>
        <v>1230.3508968306246</v>
      </c>
      <c r="BA89" s="726"/>
      <c r="BB89" s="726"/>
      <c r="BC89" s="726"/>
      <c r="BD89" s="726"/>
      <c r="BE89" s="739">
        <v>12</v>
      </c>
      <c r="BF89" s="726"/>
      <c r="BG89" s="726"/>
      <c r="BH89" s="726"/>
      <c r="BI89" s="726"/>
      <c r="BJ89" s="738">
        <f t="shared" ref="BJ89:BJ93" si="6">AZ89*BE89</f>
        <v>14764.210761967495</v>
      </c>
      <c r="BK89" s="726"/>
      <c r="BL89" s="726"/>
      <c r="BM89" s="726"/>
      <c r="BN89" s="726"/>
      <c r="BO89" s="726" t="s">
        <v>246</v>
      </c>
      <c r="BP89" s="726"/>
      <c r="BQ89" s="726"/>
      <c r="BR89" s="726"/>
      <c r="BS89" s="726"/>
      <c r="BT89" s="726"/>
      <c r="BU89" s="726"/>
      <c r="BV89" s="726"/>
      <c r="BW89" s="726"/>
      <c r="BX89" s="726"/>
      <c r="BY89" s="726"/>
      <c r="BZ89" s="726"/>
      <c r="CA89" s="726"/>
      <c r="CB89" s="726"/>
      <c r="CC89" s="726"/>
      <c r="CD89" s="726"/>
      <c r="CE89" s="720"/>
      <c r="CF89" s="726"/>
      <c r="CG89" s="726"/>
      <c r="CH89" s="734"/>
    </row>
    <row r="90" spans="2:86" x14ac:dyDescent="0.15">
      <c r="B90" s="737" t="s">
        <v>247</v>
      </c>
      <c r="C90" s="390"/>
      <c r="D90" s="390"/>
      <c r="E90" s="390"/>
      <c r="F90" s="390"/>
      <c r="G90" s="390"/>
      <c r="H90" s="390"/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0"/>
      <c r="AG90" s="390"/>
      <c r="AH90" s="390"/>
      <c r="AI90" s="390"/>
      <c r="AJ90" s="390"/>
      <c r="AK90" s="390"/>
      <c r="AL90" s="390"/>
      <c r="AM90" s="390"/>
      <c r="AN90" s="390"/>
      <c r="AO90" s="390"/>
      <c r="AP90" s="390"/>
      <c r="AQ90" s="390"/>
      <c r="AR90" s="390"/>
      <c r="AS90" s="390"/>
      <c r="AT90" s="390"/>
      <c r="AU90" s="390"/>
      <c r="AV90" s="390"/>
      <c r="AW90" s="390"/>
      <c r="AX90" s="390"/>
      <c r="AY90" s="390"/>
      <c r="AZ90" s="738">
        <f>BJ39</f>
        <v>742.7802422417775</v>
      </c>
      <c r="BA90" s="726"/>
      <c r="BB90" s="726"/>
      <c r="BC90" s="726"/>
      <c r="BD90" s="726"/>
      <c r="BE90" s="739">
        <v>10</v>
      </c>
      <c r="BF90" s="726"/>
      <c r="BG90" s="726"/>
      <c r="BH90" s="726"/>
      <c r="BI90" s="726"/>
      <c r="BJ90" s="738">
        <f t="shared" si="6"/>
        <v>7427.8024224177752</v>
      </c>
      <c r="BK90" s="726"/>
      <c r="BL90" s="726"/>
      <c r="BM90" s="726"/>
      <c r="BN90" s="726"/>
      <c r="BO90" s="726" t="s">
        <v>444</v>
      </c>
      <c r="BP90" s="726"/>
      <c r="BQ90" s="726"/>
      <c r="BR90" s="726"/>
      <c r="BS90" s="726"/>
      <c r="BT90" s="726"/>
      <c r="BU90" s="726"/>
      <c r="BV90" s="726"/>
      <c r="BW90" s="726"/>
      <c r="BX90" s="726"/>
      <c r="BY90" s="726"/>
      <c r="BZ90" s="726"/>
      <c r="CA90" s="726"/>
      <c r="CB90" s="726"/>
      <c r="CC90" s="726"/>
      <c r="CD90" s="726"/>
      <c r="CE90" s="720"/>
      <c r="CF90" s="726"/>
      <c r="CG90" s="726"/>
      <c r="CH90" s="734"/>
    </row>
    <row r="91" spans="2:86" x14ac:dyDescent="0.15">
      <c r="B91" s="737" t="s">
        <v>248</v>
      </c>
      <c r="C91" s="390"/>
      <c r="D91" s="390"/>
      <c r="E91" s="390"/>
      <c r="F91" s="390"/>
      <c r="G91" s="390"/>
      <c r="H91" s="390"/>
      <c r="I91" s="390"/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0"/>
      <c r="AG91" s="390"/>
      <c r="AH91" s="390"/>
      <c r="AI91" s="390"/>
      <c r="AJ91" s="390"/>
      <c r="AK91" s="390"/>
      <c r="AL91" s="390"/>
      <c r="AM91" s="390"/>
      <c r="AN91" s="390"/>
      <c r="AO91" s="390"/>
      <c r="AP91" s="390"/>
      <c r="AQ91" s="390"/>
      <c r="AR91" s="390"/>
      <c r="AS91" s="390"/>
      <c r="AT91" s="390"/>
      <c r="AU91" s="390"/>
      <c r="AV91" s="390"/>
      <c r="AW91" s="390"/>
      <c r="AX91" s="390"/>
      <c r="AY91" s="390"/>
      <c r="AZ91" s="738">
        <f>BJ47</f>
        <v>889.7754991346095</v>
      </c>
      <c r="BA91" s="726"/>
      <c r="BB91" s="726"/>
      <c r="BC91" s="726"/>
      <c r="BD91" s="726"/>
      <c r="BE91" s="739">
        <v>6</v>
      </c>
      <c r="BF91" s="726"/>
      <c r="BG91" s="726"/>
      <c r="BH91" s="726"/>
      <c r="BI91" s="726"/>
      <c r="BJ91" s="738">
        <f t="shared" si="6"/>
        <v>5338.6529948076568</v>
      </c>
      <c r="BK91" s="726"/>
      <c r="BL91" s="726"/>
      <c r="BM91" s="726"/>
      <c r="BN91" s="726"/>
      <c r="BO91" s="726"/>
      <c r="BP91" s="726"/>
      <c r="BQ91" s="726"/>
      <c r="BR91" s="726"/>
      <c r="BS91" s="726"/>
      <c r="BT91" s="726"/>
      <c r="BU91" s="726"/>
      <c r="BV91" s="726"/>
      <c r="BW91" s="726"/>
      <c r="BX91" s="726"/>
      <c r="BY91" s="726"/>
      <c r="BZ91" s="726"/>
      <c r="CA91" s="726"/>
      <c r="CB91" s="726"/>
      <c r="CC91" s="726"/>
      <c r="CD91" s="726"/>
      <c r="CE91" s="720"/>
      <c r="CF91" s="726"/>
      <c r="CG91" s="726"/>
      <c r="CH91" s="734"/>
    </row>
    <row r="92" spans="2:86" x14ac:dyDescent="0.15">
      <c r="B92" s="737" t="s">
        <v>196</v>
      </c>
      <c r="C92" s="390"/>
      <c r="D92" s="390"/>
      <c r="E92" s="390"/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/>
      <c r="T92" s="390"/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0"/>
      <c r="AF92" s="390"/>
      <c r="AG92" s="390"/>
      <c r="AH92" s="390"/>
      <c r="AI92" s="390"/>
      <c r="AJ92" s="390"/>
      <c r="AK92" s="390"/>
      <c r="AL92" s="390"/>
      <c r="AM92" s="390"/>
      <c r="AN92" s="390"/>
      <c r="AO92" s="390"/>
      <c r="AP92" s="390"/>
      <c r="AQ92" s="390"/>
      <c r="AR92" s="390"/>
      <c r="AS92" s="390"/>
      <c r="AT92" s="390"/>
      <c r="AU92" s="390"/>
      <c r="AV92" s="390"/>
      <c r="AW92" s="390"/>
      <c r="AX92" s="390"/>
      <c r="AY92" s="390"/>
      <c r="AZ92" s="738">
        <f>BJ55</f>
        <v>685.809116579136</v>
      </c>
      <c r="BA92" s="726"/>
      <c r="BB92" s="726"/>
      <c r="BC92" s="726"/>
      <c r="BD92" s="726"/>
      <c r="BE92" s="739">
        <v>10</v>
      </c>
      <c r="BF92" s="726"/>
      <c r="BG92" s="726"/>
      <c r="BH92" s="726"/>
      <c r="BI92" s="726"/>
      <c r="BJ92" s="738">
        <f t="shared" si="6"/>
        <v>6858.0911657913603</v>
      </c>
      <c r="BK92" s="726"/>
      <c r="BL92" s="726"/>
      <c r="BM92" s="726"/>
      <c r="BN92" s="726"/>
      <c r="BO92" s="726" t="s">
        <v>249</v>
      </c>
      <c r="BP92" s="726"/>
      <c r="BQ92" s="726"/>
      <c r="BR92" s="726"/>
      <c r="BS92" s="726"/>
      <c r="BT92" s="726"/>
      <c r="BU92" s="726"/>
      <c r="BV92" s="726"/>
      <c r="BW92" s="726"/>
      <c r="BX92" s="726"/>
      <c r="BY92" s="726"/>
      <c r="BZ92" s="726"/>
      <c r="CA92" s="726"/>
      <c r="CB92" s="726"/>
      <c r="CC92" s="726"/>
      <c r="CD92" s="726"/>
      <c r="CE92" s="720"/>
      <c r="CF92" s="726"/>
      <c r="CG92" s="726"/>
      <c r="CH92" s="734"/>
    </row>
    <row r="93" spans="2:86" ht="15" x14ac:dyDescent="0.3">
      <c r="B93" s="737" t="s">
        <v>250</v>
      </c>
      <c r="C93" s="390"/>
      <c r="D93" s="390"/>
      <c r="E93" s="390"/>
      <c r="F93" s="390"/>
      <c r="G93" s="390"/>
      <c r="H93" s="390"/>
      <c r="I93" s="390"/>
      <c r="J93" s="390"/>
      <c r="K93" s="390"/>
      <c r="L93" s="390"/>
      <c r="M93" s="390"/>
      <c r="N93" s="390"/>
      <c r="O93" s="390"/>
      <c r="P93" s="390"/>
      <c r="Q93" s="390"/>
      <c r="R93" s="390"/>
      <c r="S93" s="390"/>
      <c r="T93" s="390"/>
      <c r="U93" s="390"/>
      <c r="V93" s="390"/>
      <c r="W93" s="390"/>
      <c r="X93" s="390"/>
      <c r="Y93" s="390"/>
      <c r="Z93" s="390"/>
      <c r="AA93" s="390"/>
      <c r="AB93" s="390"/>
      <c r="AC93" s="390"/>
      <c r="AD93" s="390"/>
      <c r="AE93" s="390"/>
      <c r="AF93" s="390"/>
      <c r="AG93" s="390"/>
      <c r="AH93" s="390"/>
      <c r="AI93" s="390"/>
      <c r="AJ93" s="390"/>
      <c r="AK93" s="390"/>
      <c r="AL93" s="390"/>
      <c r="AM93" s="390"/>
      <c r="AN93" s="390"/>
      <c r="AO93" s="390"/>
      <c r="AP93" s="390"/>
      <c r="AQ93" s="390"/>
      <c r="AR93" s="390"/>
      <c r="AS93" s="390"/>
      <c r="AT93" s="390"/>
      <c r="AU93" s="390"/>
      <c r="AV93" s="390"/>
      <c r="AW93" s="390"/>
      <c r="AX93" s="390"/>
      <c r="AY93" s="390"/>
      <c r="AZ93" s="738">
        <f>BJ70+BJ78</f>
        <v>759.80700256383204</v>
      </c>
      <c r="BA93" s="726"/>
      <c r="BB93" s="726"/>
      <c r="BC93" s="726"/>
      <c r="BD93" s="726"/>
      <c r="BE93" s="739">
        <v>12</v>
      </c>
      <c r="BF93" s="726"/>
      <c r="BG93" s="726"/>
      <c r="BH93" s="726"/>
      <c r="BI93" s="726"/>
      <c r="BJ93" s="740">
        <f t="shared" si="6"/>
        <v>9117.6840307659841</v>
      </c>
      <c r="BK93" s="726"/>
      <c r="BL93" s="726"/>
      <c r="BM93" s="726"/>
      <c r="BN93" s="726"/>
      <c r="BO93" s="726" t="s">
        <v>251</v>
      </c>
      <c r="BP93" s="726"/>
      <c r="BQ93" s="726"/>
      <c r="BR93" s="726"/>
      <c r="BS93" s="726"/>
      <c r="BT93" s="726"/>
      <c r="BU93" s="726"/>
      <c r="BV93" s="726"/>
      <c r="BW93" s="726"/>
      <c r="BX93" s="726"/>
      <c r="BY93" s="726"/>
      <c r="BZ93" s="726"/>
      <c r="CA93" s="726"/>
      <c r="CB93" s="726"/>
      <c r="CC93" s="726"/>
      <c r="CD93" s="726"/>
      <c r="CE93" s="720"/>
      <c r="CF93" s="726"/>
      <c r="CG93" s="726"/>
      <c r="CH93" s="734"/>
    </row>
    <row r="94" spans="2:86" x14ac:dyDescent="0.15">
      <c r="B94" s="737" t="s">
        <v>252</v>
      </c>
      <c r="C94" s="741"/>
      <c r="D94" s="741"/>
      <c r="E94" s="741"/>
      <c r="F94" s="741"/>
      <c r="G94" s="741"/>
      <c r="H94" s="741"/>
      <c r="I94" s="741"/>
      <c r="J94" s="741"/>
      <c r="K94" s="741"/>
      <c r="L94" s="741"/>
      <c r="M94" s="741"/>
      <c r="N94" s="741"/>
      <c r="O94" s="741"/>
      <c r="P94" s="741"/>
      <c r="Q94" s="741"/>
      <c r="R94" s="741"/>
      <c r="S94" s="741"/>
      <c r="T94" s="741"/>
      <c r="U94" s="741"/>
      <c r="V94" s="741"/>
      <c r="W94" s="741"/>
      <c r="X94" s="741"/>
      <c r="Y94" s="741"/>
      <c r="Z94" s="741"/>
      <c r="AA94" s="741"/>
      <c r="AB94" s="741"/>
      <c r="AC94" s="741"/>
      <c r="AD94" s="741"/>
      <c r="AE94" s="741"/>
      <c r="AF94" s="741"/>
      <c r="AG94" s="741"/>
      <c r="AH94" s="741"/>
      <c r="AI94" s="741"/>
      <c r="AJ94" s="741"/>
      <c r="AK94" s="741"/>
      <c r="AL94" s="741"/>
      <c r="AM94" s="741"/>
      <c r="AN94" s="741"/>
      <c r="AO94" s="741"/>
      <c r="AP94" s="741"/>
      <c r="AQ94" s="741"/>
      <c r="AR94" s="741"/>
      <c r="AS94" s="741"/>
      <c r="AT94" s="741"/>
      <c r="AU94" s="741"/>
      <c r="AV94" s="741"/>
      <c r="AW94" s="741"/>
      <c r="AX94" s="741"/>
      <c r="AY94" s="741"/>
      <c r="AZ94" s="742">
        <f>SUM(AZ88:AZ93)</f>
        <v>5390.2594789999994</v>
      </c>
      <c r="BA94" s="726"/>
      <c r="BB94" s="726"/>
      <c r="BC94" s="726"/>
      <c r="BD94" s="726"/>
      <c r="BE94" s="743">
        <f>BJ94/AZ94</f>
        <v>11.081561552502874</v>
      </c>
      <c r="BF94" s="726"/>
      <c r="BG94" s="726"/>
      <c r="BH94" s="726"/>
      <c r="BI94" s="726"/>
      <c r="BJ94" s="742">
        <f>SUM(BJ88:BJ93)</f>
        <v>59732.492200500565</v>
      </c>
      <c r="BK94" s="726"/>
      <c r="BL94" s="726"/>
      <c r="BM94" s="726"/>
      <c r="BN94" s="726"/>
      <c r="BO94" s="726"/>
      <c r="BP94" s="726"/>
      <c r="BQ94" s="726"/>
      <c r="BR94" s="726"/>
      <c r="BS94" s="726"/>
      <c r="BT94" s="726"/>
      <c r="BU94" s="726"/>
      <c r="BV94" s="726"/>
      <c r="BW94" s="726"/>
      <c r="BX94" s="726"/>
      <c r="BY94" s="726"/>
      <c r="BZ94" s="726"/>
      <c r="CA94" s="726"/>
      <c r="CB94" s="726"/>
      <c r="CC94" s="726"/>
      <c r="CD94" s="726"/>
      <c r="CE94" s="720"/>
      <c r="CF94" s="726"/>
      <c r="CG94" s="726"/>
      <c r="CH94" s="734"/>
    </row>
    <row r="95" spans="2:86" x14ac:dyDescent="0.15">
      <c r="B95" s="744"/>
      <c r="C95" s="390"/>
      <c r="D95" s="390"/>
      <c r="E95" s="390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0"/>
      <c r="AF95" s="390"/>
      <c r="AG95" s="390"/>
      <c r="AH95" s="390"/>
      <c r="AI95" s="390"/>
      <c r="AJ95" s="390"/>
      <c r="AK95" s="390"/>
      <c r="AL95" s="390"/>
      <c r="AM95" s="390"/>
      <c r="AN95" s="390"/>
      <c r="AO95" s="390"/>
      <c r="AP95" s="390"/>
      <c r="AQ95" s="390"/>
      <c r="AR95" s="390"/>
      <c r="AS95" s="390"/>
      <c r="AT95" s="390"/>
      <c r="AU95" s="390"/>
      <c r="AV95" s="390"/>
      <c r="AW95" s="390"/>
      <c r="AX95" s="390"/>
      <c r="AY95" s="390"/>
      <c r="AZ95" s="390"/>
      <c r="BA95" s="390"/>
      <c r="BB95" s="390"/>
      <c r="BC95" s="390"/>
      <c r="BD95" s="390"/>
      <c r="BE95" s="390"/>
      <c r="BF95" s="390"/>
      <c r="BG95" s="390"/>
      <c r="BH95" s="390"/>
      <c r="BI95" s="390"/>
      <c r="BJ95" s="390"/>
      <c r="BK95" s="390"/>
      <c r="BL95" s="390"/>
      <c r="BM95" s="390"/>
      <c r="BN95" s="390"/>
      <c r="BO95" s="390"/>
      <c r="BP95" s="726"/>
      <c r="BQ95" s="726"/>
      <c r="BR95" s="726"/>
      <c r="BS95" s="726"/>
      <c r="BT95" s="726"/>
      <c r="BU95" s="726"/>
      <c r="BV95" s="726"/>
      <c r="BW95" s="726"/>
      <c r="BX95" s="726"/>
      <c r="BY95" s="726"/>
      <c r="BZ95" s="726"/>
      <c r="CA95" s="726"/>
      <c r="CB95" s="726"/>
      <c r="CC95" s="726"/>
      <c r="CD95" s="726"/>
      <c r="CE95" s="720"/>
      <c r="CF95" s="726"/>
      <c r="CG95" s="726"/>
      <c r="CH95" s="734"/>
    </row>
    <row r="96" spans="2:86" x14ac:dyDescent="0.15">
      <c r="B96" s="744" t="s">
        <v>253</v>
      </c>
      <c r="C96" s="390"/>
      <c r="D96" s="39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  <c r="AV96" s="390"/>
      <c r="AW96" s="390"/>
      <c r="AX96" s="390"/>
      <c r="AY96" s="390"/>
      <c r="AZ96" s="390"/>
      <c r="BA96" s="390"/>
      <c r="BB96" s="390"/>
      <c r="BC96" s="390"/>
      <c r="BD96" s="390"/>
      <c r="BE96" s="390"/>
      <c r="BF96" s="390"/>
      <c r="BG96" s="390"/>
      <c r="BH96" s="390"/>
      <c r="BI96" s="390"/>
      <c r="BJ96" s="738">
        <f>'BS &amp; CF'!AQ84</f>
        <v>30542.018888888884</v>
      </c>
      <c r="BK96" s="390"/>
      <c r="BL96" s="390"/>
      <c r="BM96" s="390"/>
      <c r="BN96" s="390"/>
      <c r="BO96" s="390"/>
      <c r="BP96" s="726"/>
      <c r="BQ96" s="726"/>
      <c r="BR96" s="726"/>
      <c r="BS96" s="726"/>
      <c r="BT96" s="726"/>
      <c r="BU96" s="726"/>
      <c r="BV96" s="726"/>
      <c r="BW96" s="726"/>
      <c r="BX96" s="726"/>
      <c r="BY96" s="726"/>
      <c r="BZ96" s="726"/>
      <c r="CA96" s="726"/>
      <c r="CB96" s="726"/>
      <c r="CC96" s="726"/>
      <c r="CD96" s="726"/>
      <c r="CE96" s="720"/>
      <c r="CF96" s="726"/>
      <c r="CG96" s="726"/>
      <c r="CH96" s="734"/>
    </row>
    <row r="97" spans="2:86" x14ac:dyDescent="0.15">
      <c r="B97" s="737" t="s">
        <v>254</v>
      </c>
      <c r="C97" s="390"/>
      <c r="D97" s="390"/>
      <c r="E97" s="390"/>
      <c r="F97" s="390"/>
      <c r="G97" s="390"/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0"/>
      <c r="AF97" s="390"/>
      <c r="AG97" s="390"/>
      <c r="AH97" s="390"/>
      <c r="AI97" s="390"/>
      <c r="AJ97" s="390"/>
      <c r="AK97" s="390"/>
      <c r="AL97" s="390"/>
      <c r="AM97" s="390"/>
      <c r="AN97" s="390"/>
      <c r="AO97" s="390"/>
      <c r="AP97" s="390"/>
      <c r="AQ97" s="390"/>
      <c r="AR97" s="390"/>
      <c r="AS97" s="390"/>
      <c r="AT97" s="390"/>
      <c r="AU97" s="390"/>
      <c r="AV97" s="390"/>
      <c r="AW97" s="390"/>
      <c r="AX97" s="390"/>
      <c r="AY97" s="390"/>
      <c r="AZ97" s="390"/>
      <c r="BA97" s="390"/>
      <c r="BB97" s="390"/>
      <c r="BC97" s="390"/>
      <c r="BD97" s="390"/>
      <c r="BE97" s="390"/>
      <c r="BF97" s="390"/>
      <c r="BG97" s="390"/>
      <c r="BH97" s="390"/>
      <c r="BI97" s="390"/>
      <c r="BJ97" s="742">
        <f>BJ94-BJ96</f>
        <v>29190.47331161168</v>
      </c>
      <c r="BK97" s="390"/>
      <c r="BL97" s="390"/>
      <c r="BM97" s="390"/>
      <c r="BN97" s="390"/>
      <c r="BO97" s="390"/>
      <c r="BP97" s="726"/>
      <c r="BQ97" s="726"/>
      <c r="BR97" s="726"/>
      <c r="BS97" s="726"/>
      <c r="BT97" s="726"/>
      <c r="BU97" s="726"/>
      <c r="BV97" s="726"/>
      <c r="BW97" s="726"/>
      <c r="BX97" s="726"/>
      <c r="BY97" s="726"/>
      <c r="BZ97" s="726"/>
      <c r="CA97" s="726"/>
      <c r="CB97" s="726"/>
      <c r="CC97" s="726"/>
      <c r="CD97" s="726"/>
      <c r="CE97" s="720"/>
      <c r="CF97" s="726"/>
      <c r="CG97" s="726"/>
      <c r="CH97" s="734"/>
    </row>
    <row r="98" spans="2:86" x14ac:dyDescent="0.15">
      <c r="B98" s="744" t="s">
        <v>255</v>
      </c>
      <c r="C98" s="390"/>
      <c r="D98" s="390"/>
      <c r="E98" s="390"/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0"/>
      <c r="AF98" s="390"/>
      <c r="AG98" s="390"/>
      <c r="AH98" s="390"/>
      <c r="AI98" s="390"/>
      <c r="AJ98" s="390"/>
      <c r="AK98" s="390"/>
      <c r="AL98" s="390"/>
      <c r="AM98" s="390"/>
      <c r="AN98" s="390"/>
      <c r="AO98" s="390"/>
      <c r="AP98" s="390"/>
      <c r="AQ98" s="390"/>
      <c r="AR98" s="390"/>
      <c r="AS98" s="390"/>
      <c r="AT98" s="390"/>
      <c r="AU98" s="390"/>
      <c r="AV98" s="390"/>
      <c r="AW98" s="390"/>
      <c r="AX98" s="390"/>
      <c r="AY98" s="390"/>
      <c r="AZ98" s="390"/>
      <c r="BA98" s="390"/>
      <c r="BB98" s="390"/>
      <c r="BC98" s="390"/>
      <c r="BD98" s="390"/>
      <c r="BE98" s="390"/>
      <c r="BF98" s="390"/>
      <c r="BG98" s="390"/>
      <c r="BH98" s="390"/>
      <c r="BI98" s="390"/>
      <c r="BJ98" s="738">
        <f>IS!BD33</f>
        <v>349.9</v>
      </c>
      <c r="BK98" s="390"/>
      <c r="BL98" s="390"/>
      <c r="BM98" s="390"/>
      <c r="BN98" s="390"/>
      <c r="BO98" s="390"/>
      <c r="BP98" s="726"/>
      <c r="BQ98" s="726"/>
      <c r="BR98" s="726"/>
      <c r="BS98" s="726"/>
      <c r="BT98" s="726"/>
      <c r="BU98" s="726"/>
      <c r="BV98" s="726"/>
      <c r="BW98" s="726"/>
      <c r="BX98" s="726"/>
      <c r="BY98" s="726"/>
      <c r="BZ98" s="726"/>
      <c r="CA98" s="726"/>
      <c r="CB98" s="726"/>
      <c r="CC98" s="726"/>
      <c r="CD98" s="726"/>
      <c r="CE98" s="720"/>
      <c r="CF98" s="726"/>
      <c r="CG98" s="726"/>
      <c r="CH98" s="734"/>
    </row>
    <row r="99" spans="2:86" ht="13" thickBot="1" x14ac:dyDescent="0.2">
      <c r="B99" s="745" t="s">
        <v>256</v>
      </c>
      <c r="C99" s="746"/>
      <c r="D99" s="746"/>
      <c r="E99" s="746"/>
      <c r="F99" s="746"/>
      <c r="G99" s="746"/>
      <c r="H99" s="746"/>
      <c r="I99" s="746"/>
      <c r="J99" s="746"/>
      <c r="K99" s="746"/>
      <c r="L99" s="746"/>
      <c r="M99" s="746"/>
      <c r="N99" s="746"/>
      <c r="O99" s="746"/>
      <c r="P99" s="746"/>
      <c r="Q99" s="746"/>
      <c r="R99" s="746"/>
      <c r="S99" s="746"/>
      <c r="T99" s="746"/>
      <c r="U99" s="746"/>
      <c r="V99" s="746"/>
      <c r="W99" s="746"/>
      <c r="X99" s="746"/>
      <c r="Y99" s="746"/>
      <c r="Z99" s="746"/>
      <c r="AA99" s="746"/>
      <c r="AB99" s="746"/>
      <c r="AC99" s="746"/>
      <c r="AD99" s="746"/>
      <c r="AE99" s="746"/>
      <c r="AF99" s="746"/>
      <c r="AG99" s="746"/>
      <c r="AH99" s="746"/>
      <c r="AI99" s="746"/>
      <c r="AJ99" s="746"/>
      <c r="AK99" s="746"/>
      <c r="AL99" s="746"/>
      <c r="AM99" s="746"/>
      <c r="AN99" s="746"/>
      <c r="AO99" s="746"/>
      <c r="AP99" s="746"/>
      <c r="AQ99" s="746"/>
      <c r="AR99" s="746"/>
      <c r="AS99" s="746"/>
      <c r="AT99" s="746"/>
      <c r="AU99" s="746"/>
      <c r="AV99" s="746"/>
      <c r="AW99" s="746"/>
      <c r="AX99" s="746"/>
      <c r="AY99" s="746"/>
      <c r="AZ99" s="746"/>
      <c r="BA99" s="746"/>
      <c r="BB99" s="746"/>
      <c r="BC99" s="746"/>
      <c r="BD99" s="746"/>
      <c r="BE99" s="746"/>
      <c r="BF99" s="746"/>
      <c r="BG99" s="746"/>
      <c r="BH99" s="746"/>
      <c r="BI99" s="746"/>
      <c r="BJ99" s="747">
        <f>BJ97/BJ98</f>
        <v>83.425188086915355</v>
      </c>
      <c r="BK99" s="746"/>
      <c r="BL99" s="746"/>
      <c r="BM99" s="746"/>
      <c r="BN99" s="746"/>
      <c r="BO99" s="746"/>
      <c r="BP99" s="748"/>
      <c r="BQ99" s="748"/>
      <c r="BR99" s="748"/>
      <c r="BS99" s="748"/>
      <c r="BT99" s="748"/>
      <c r="BU99" s="748"/>
      <c r="BV99" s="748"/>
      <c r="BW99" s="748"/>
      <c r="BX99" s="748"/>
      <c r="BY99" s="748"/>
      <c r="BZ99" s="748"/>
      <c r="CA99" s="748"/>
      <c r="CB99" s="748"/>
      <c r="CC99" s="748"/>
      <c r="CD99" s="748"/>
      <c r="CE99" s="749"/>
      <c r="CF99" s="748"/>
      <c r="CG99" s="748"/>
      <c r="CH99" s="750"/>
    </row>
    <row r="100" spans="2:86" ht="13" thickBot="1" x14ac:dyDescent="0.2">
      <c r="B100" s="198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</row>
    <row r="101" spans="2:86" x14ac:dyDescent="0.15">
      <c r="B101" s="728" t="s">
        <v>257</v>
      </c>
      <c r="C101" s="729"/>
      <c r="D101" s="729"/>
      <c r="E101" s="729"/>
      <c r="F101" s="729"/>
      <c r="G101" s="729"/>
      <c r="H101" s="729"/>
      <c r="I101" s="729"/>
      <c r="J101" s="729"/>
      <c r="K101" s="729"/>
      <c r="L101" s="729"/>
      <c r="M101" s="729"/>
      <c r="N101" s="729"/>
      <c r="O101" s="729"/>
      <c r="P101" s="729"/>
      <c r="Q101" s="729"/>
      <c r="R101" s="729"/>
      <c r="S101" s="729"/>
      <c r="T101" s="729"/>
      <c r="U101" s="729"/>
      <c r="V101" s="729"/>
      <c r="W101" s="729"/>
      <c r="X101" s="729"/>
      <c r="Y101" s="729"/>
      <c r="Z101" s="729"/>
      <c r="AA101" s="729"/>
      <c r="AB101" s="729"/>
      <c r="AC101" s="729"/>
      <c r="AD101" s="729"/>
      <c r="AE101" s="729"/>
      <c r="AF101" s="729"/>
      <c r="AG101" s="729"/>
      <c r="AH101" s="729"/>
      <c r="AI101" s="729"/>
      <c r="AJ101" s="729"/>
      <c r="AK101" s="729"/>
      <c r="AL101" s="729"/>
      <c r="AM101" s="729"/>
      <c r="AN101" s="729"/>
      <c r="AO101" s="729"/>
      <c r="AP101" s="729"/>
      <c r="AQ101" s="729"/>
      <c r="AR101" s="729"/>
      <c r="AS101" s="729"/>
      <c r="AT101" s="729"/>
      <c r="AU101" s="729"/>
      <c r="AV101" s="729"/>
      <c r="AW101" s="729"/>
      <c r="AX101" s="729"/>
      <c r="AY101" s="729"/>
      <c r="AZ101" s="729"/>
      <c r="BA101" s="729"/>
      <c r="BB101" s="729"/>
      <c r="BC101" s="729"/>
      <c r="BD101" s="729"/>
      <c r="BE101" s="729"/>
      <c r="BF101" s="729"/>
      <c r="BG101" s="729"/>
      <c r="BH101" s="729"/>
      <c r="BI101" s="729"/>
      <c r="BJ101" s="729"/>
      <c r="BK101" s="729"/>
      <c r="BL101" s="729"/>
      <c r="BM101" s="729"/>
      <c r="BN101" s="729"/>
      <c r="BO101" s="729"/>
      <c r="BP101" s="729"/>
      <c r="BQ101" s="729"/>
      <c r="BR101" s="729"/>
      <c r="BS101" s="729"/>
      <c r="BT101" s="729"/>
      <c r="BU101" s="729"/>
      <c r="BV101" s="729"/>
      <c r="BW101" s="729"/>
      <c r="BX101" s="729"/>
      <c r="BY101" s="729"/>
      <c r="BZ101" s="729"/>
      <c r="CA101" s="729"/>
      <c r="CB101" s="729"/>
      <c r="CC101" s="729"/>
      <c r="CD101" s="729"/>
      <c r="CE101" s="729"/>
      <c r="CF101" s="729"/>
      <c r="CG101" s="729"/>
      <c r="CH101" s="730"/>
    </row>
    <row r="102" spans="2:86" x14ac:dyDescent="0.15">
      <c r="B102" s="731"/>
      <c r="C102" s="726"/>
      <c r="D102" s="726"/>
      <c r="E102" s="726"/>
      <c r="F102" s="726"/>
      <c r="G102" s="726"/>
      <c r="H102" s="726"/>
      <c r="I102" s="726"/>
      <c r="J102" s="726"/>
      <c r="K102" s="726"/>
      <c r="L102" s="726"/>
      <c r="M102" s="726"/>
      <c r="N102" s="726"/>
      <c r="O102" s="726"/>
      <c r="P102" s="726"/>
      <c r="Q102" s="726"/>
      <c r="R102" s="726"/>
      <c r="S102" s="726"/>
      <c r="T102" s="726"/>
      <c r="U102" s="726"/>
      <c r="V102" s="726"/>
      <c r="W102" s="726"/>
      <c r="X102" s="726"/>
      <c r="Y102" s="726"/>
      <c r="Z102" s="726"/>
      <c r="AA102" s="726"/>
      <c r="AB102" s="726"/>
      <c r="AC102" s="726"/>
      <c r="AD102" s="726"/>
      <c r="AE102" s="726"/>
      <c r="AF102" s="726"/>
      <c r="AG102" s="726"/>
      <c r="AH102" s="726"/>
      <c r="AI102" s="726"/>
      <c r="AJ102" s="726"/>
      <c r="AK102" s="726"/>
      <c r="AL102" s="726"/>
      <c r="AM102" s="726"/>
      <c r="AN102" s="726"/>
      <c r="AO102" s="726"/>
      <c r="AP102" s="726"/>
      <c r="AQ102" s="726"/>
      <c r="AR102" s="726"/>
      <c r="AS102" s="726"/>
      <c r="AT102" s="726"/>
      <c r="AU102" s="726"/>
      <c r="AV102" s="726"/>
      <c r="AW102" s="726"/>
      <c r="AX102" s="726"/>
      <c r="AY102" s="726"/>
      <c r="AZ102" s="732" t="s">
        <v>26</v>
      </c>
      <c r="BA102" s="733"/>
      <c r="BB102" s="733"/>
      <c r="BC102" s="733"/>
      <c r="BD102" s="733"/>
      <c r="BE102" s="732"/>
      <c r="BF102" s="733"/>
      <c r="BG102" s="733"/>
      <c r="BH102" s="733"/>
      <c r="BI102" s="733"/>
      <c r="BJ102" s="732"/>
      <c r="BK102" s="726"/>
      <c r="BL102" s="726"/>
      <c r="BM102" s="726"/>
      <c r="BN102" s="726"/>
      <c r="BO102" s="726"/>
      <c r="BP102" s="726"/>
      <c r="BQ102" s="726"/>
      <c r="BR102" s="726"/>
      <c r="BS102" s="726"/>
      <c r="BT102" s="726"/>
      <c r="BU102" s="726"/>
      <c r="BV102" s="726"/>
      <c r="BW102" s="726"/>
      <c r="BX102" s="726"/>
      <c r="BY102" s="726"/>
      <c r="BZ102" s="726"/>
      <c r="CA102" s="726"/>
      <c r="CB102" s="726"/>
      <c r="CC102" s="726"/>
      <c r="CD102" s="726"/>
      <c r="CE102" s="720"/>
      <c r="CF102" s="726"/>
      <c r="CG102" s="726"/>
      <c r="CH102" s="734"/>
    </row>
    <row r="103" spans="2:86" ht="15" x14ac:dyDescent="0.3">
      <c r="B103" s="731"/>
      <c r="C103" s="726"/>
      <c r="D103" s="726"/>
      <c r="E103" s="726"/>
      <c r="F103" s="726"/>
      <c r="G103" s="726"/>
      <c r="H103" s="726"/>
      <c r="I103" s="726"/>
      <c r="J103" s="726"/>
      <c r="K103" s="726"/>
      <c r="L103" s="726"/>
      <c r="M103" s="726"/>
      <c r="N103" s="726"/>
      <c r="O103" s="726"/>
      <c r="P103" s="726"/>
      <c r="Q103" s="726"/>
      <c r="R103" s="726"/>
      <c r="S103" s="726"/>
      <c r="T103" s="726"/>
      <c r="U103" s="726"/>
      <c r="V103" s="726"/>
      <c r="W103" s="726"/>
      <c r="X103" s="726"/>
      <c r="Y103" s="726"/>
      <c r="Z103" s="726"/>
      <c r="AA103" s="726"/>
      <c r="AB103" s="726"/>
      <c r="AC103" s="726"/>
      <c r="AD103" s="726"/>
      <c r="AE103" s="726"/>
      <c r="AF103" s="726"/>
      <c r="AG103" s="726"/>
      <c r="AH103" s="726"/>
      <c r="AI103" s="726"/>
      <c r="AJ103" s="726"/>
      <c r="AK103" s="726"/>
      <c r="AL103" s="726"/>
      <c r="AM103" s="726"/>
      <c r="AN103" s="726"/>
      <c r="AO103" s="726"/>
      <c r="AP103" s="726"/>
      <c r="AQ103" s="726"/>
      <c r="AR103" s="726"/>
      <c r="AS103" s="726"/>
      <c r="AT103" s="726"/>
      <c r="AU103" s="726"/>
      <c r="AV103" s="726"/>
      <c r="AW103" s="726"/>
      <c r="AX103" s="726"/>
      <c r="AY103" s="726"/>
      <c r="AZ103" s="735" t="s">
        <v>102</v>
      </c>
      <c r="BA103" s="736"/>
      <c r="BB103" s="736"/>
      <c r="BC103" s="736"/>
      <c r="BD103" s="736"/>
      <c r="BE103" s="735" t="s">
        <v>241</v>
      </c>
      <c r="BF103" s="736"/>
      <c r="BG103" s="736"/>
      <c r="BH103" s="736"/>
      <c r="BI103" s="736"/>
      <c r="BJ103" s="735" t="s">
        <v>242</v>
      </c>
      <c r="BK103" s="726"/>
      <c r="BL103" s="726"/>
      <c r="BM103" s="726"/>
      <c r="BN103" s="726"/>
      <c r="BO103" s="1002" t="s">
        <v>243</v>
      </c>
      <c r="BP103" s="1002"/>
      <c r="BQ103" s="1002"/>
      <c r="BR103" s="1002"/>
      <c r="BS103" s="1002"/>
      <c r="BT103" s="1002"/>
      <c r="BU103" s="1002"/>
      <c r="BV103" s="1002"/>
      <c r="BW103" s="1002"/>
      <c r="BX103" s="1002"/>
      <c r="BY103" s="1002"/>
      <c r="BZ103" s="1002"/>
      <c r="CA103" s="1002"/>
      <c r="CB103" s="1002"/>
      <c r="CC103" s="1002"/>
      <c r="CD103" s="1002"/>
      <c r="CE103" s="1002"/>
      <c r="CF103" s="1002"/>
      <c r="CG103" s="1002"/>
      <c r="CH103" s="1003"/>
    </row>
    <row r="104" spans="2:86" x14ac:dyDescent="0.15">
      <c r="B104" s="737" t="s">
        <v>244</v>
      </c>
      <c r="C104" s="390"/>
      <c r="D104" s="390"/>
      <c r="E104" s="390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0"/>
      <c r="AF104" s="390"/>
      <c r="AG104" s="390"/>
      <c r="AH104" s="390"/>
      <c r="AI104" s="390"/>
      <c r="AJ104" s="390"/>
      <c r="AK104" s="390"/>
      <c r="AL104" s="390"/>
      <c r="AM104" s="390"/>
      <c r="AN104" s="390"/>
      <c r="AO104" s="390"/>
      <c r="AP104" s="390"/>
      <c r="AQ104" s="390"/>
      <c r="AR104" s="390"/>
      <c r="AS104" s="390"/>
      <c r="AT104" s="390"/>
      <c r="AU104" s="390"/>
      <c r="AV104" s="390"/>
      <c r="AW104" s="390"/>
      <c r="AX104" s="390"/>
      <c r="AY104" s="390"/>
      <c r="AZ104" s="738">
        <f>AZ88</f>
        <v>1081.7367216500197</v>
      </c>
      <c r="BA104" s="726"/>
      <c r="BB104" s="726"/>
      <c r="BC104" s="726"/>
      <c r="BD104" s="726"/>
      <c r="BE104" s="739">
        <v>12.5</v>
      </c>
      <c r="BF104" s="726"/>
      <c r="BG104" s="726"/>
      <c r="BH104" s="726"/>
      <c r="BI104" s="726"/>
      <c r="BJ104" s="738">
        <f>AZ104*BE104</f>
        <v>13521.709020625247</v>
      </c>
      <c r="BK104" s="726"/>
      <c r="BL104" s="726"/>
      <c r="BM104" s="726"/>
      <c r="BN104" s="726"/>
      <c r="BO104" s="726" t="s">
        <v>258</v>
      </c>
      <c r="BP104" s="726"/>
      <c r="BQ104" s="726"/>
      <c r="BR104" s="726"/>
      <c r="BS104" s="726"/>
      <c r="BT104" s="726"/>
      <c r="BU104" s="726"/>
      <c r="BV104" s="726"/>
      <c r="BW104" s="726"/>
      <c r="BX104" s="726"/>
      <c r="BY104" s="726"/>
      <c r="BZ104" s="726"/>
      <c r="CA104" s="726"/>
      <c r="CB104" s="726"/>
      <c r="CC104" s="726"/>
      <c r="CD104" s="726"/>
      <c r="CE104" s="720"/>
      <c r="CF104" s="726"/>
      <c r="CG104" s="726"/>
      <c r="CH104" s="734"/>
    </row>
    <row r="105" spans="2:86" x14ac:dyDescent="0.15">
      <c r="B105" s="737" t="s">
        <v>245</v>
      </c>
      <c r="C105" s="390"/>
      <c r="D105" s="390"/>
      <c r="E105" s="390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0"/>
      <c r="AF105" s="390"/>
      <c r="AG105" s="390"/>
      <c r="AH105" s="390"/>
      <c r="AI105" s="390"/>
      <c r="AJ105" s="390"/>
      <c r="AK105" s="390"/>
      <c r="AL105" s="390"/>
      <c r="AM105" s="390"/>
      <c r="AN105" s="390"/>
      <c r="AO105" s="390"/>
      <c r="AP105" s="390"/>
      <c r="AQ105" s="390"/>
      <c r="AR105" s="390"/>
      <c r="AS105" s="390"/>
      <c r="AT105" s="390"/>
      <c r="AU105" s="390"/>
      <c r="AV105" s="390"/>
      <c r="AW105" s="390"/>
      <c r="AX105" s="390"/>
      <c r="AY105" s="390"/>
      <c r="AZ105" s="738">
        <f t="shared" ref="AZ105:AZ109" si="7">AZ89</f>
        <v>1230.3508968306246</v>
      </c>
      <c r="BA105" s="726"/>
      <c r="BB105" s="726"/>
      <c r="BC105" s="726"/>
      <c r="BD105" s="726"/>
      <c r="BE105" s="739">
        <v>10</v>
      </c>
      <c r="BF105" s="726"/>
      <c r="BG105" s="726"/>
      <c r="BH105" s="726"/>
      <c r="BI105" s="726"/>
      <c r="BJ105" s="738">
        <f t="shared" ref="BJ105:BJ109" si="8">AZ105*BE105</f>
        <v>12303.508968306247</v>
      </c>
      <c r="BK105" s="726"/>
      <c r="BL105" s="726"/>
      <c r="BM105" s="726"/>
      <c r="BN105" s="726"/>
      <c r="BO105" s="726" t="s">
        <v>246</v>
      </c>
      <c r="BP105" s="726"/>
      <c r="BQ105" s="726"/>
      <c r="BR105" s="726"/>
      <c r="BS105" s="726"/>
      <c r="BT105" s="726"/>
      <c r="BU105" s="726"/>
      <c r="BV105" s="726"/>
      <c r="BW105" s="726"/>
      <c r="BX105" s="726"/>
      <c r="BY105" s="726"/>
      <c r="BZ105" s="726"/>
      <c r="CA105" s="726"/>
      <c r="CB105" s="726"/>
      <c r="CC105" s="726"/>
      <c r="CD105" s="726"/>
      <c r="CE105" s="720"/>
      <c r="CF105" s="726"/>
      <c r="CG105" s="726"/>
      <c r="CH105" s="734"/>
    </row>
    <row r="106" spans="2:86" x14ac:dyDescent="0.15">
      <c r="B106" s="737" t="s">
        <v>247</v>
      </c>
      <c r="C106" s="390"/>
      <c r="D106" s="390"/>
      <c r="E106" s="390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0"/>
      <c r="AF106" s="390"/>
      <c r="AG106" s="390"/>
      <c r="AH106" s="390"/>
      <c r="AI106" s="390"/>
      <c r="AJ106" s="390"/>
      <c r="AK106" s="390"/>
      <c r="AL106" s="390"/>
      <c r="AM106" s="390"/>
      <c r="AN106" s="390"/>
      <c r="AO106" s="390"/>
      <c r="AP106" s="390"/>
      <c r="AQ106" s="390"/>
      <c r="AR106" s="390"/>
      <c r="AS106" s="390"/>
      <c r="AT106" s="390"/>
      <c r="AU106" s="390"/>
      <c r="AV106" s="390"/>
      <c r="AW106" s="390"/>
      <c r="AX106" s="390"/>
      <c r="AY106" s="390"/>
      <c r="AZ106" s="738">
        <f t="shared" si="7"/>
        <v>742.7802422417775</v>
      </c>
      <c r="BA106" s="726"/>
      <c r="BB106" s="726"/>
      <c r="BC106" s="726"/>
      <c r="BD106" s="726"/>
      <c r="BE106" s="739">
        <v>7</v>
      </c>
      <c r="BF106" s="726"/>
      <c r="BG106" s="726"/>
      <c r="BH106" s="726"/>
      <c r="BI106" s="726"/>
      <c r="BJ106" s="738">
        <f t="shared" si="8"/>
        <v>5199.4616956924428</v>
      </c>
      <c r="BK106" s="726"/>
      <c r="BL106" s="726"/>
      <c r="BM106" s="726"/>
      <c r="BN106" s="726"/>
      <c r="BO106" s="726" t="s">
        <v>259</v>
      </c>
      <c r="BP106" s="726"/>
      <c r="BQ106" s="726"/>
      <c r="BR106" s="726"/>
      <c r="BS106" s="726"/>
      <c r="BT106" s="726"/>
      <c r="BU106" s="726"/>
      <c r="BV106" s="726"/>
      <c r="BW106" s="726"/>
      <c r="BX106" s="726"/>
      <c r="BY106" s="726"/>
      <c r="BZ106" s="726"/>
      <c r="CA106" s="726"/>
      <c r="CB106" s="726"/>
      <c r="CC106" s="726"/>
      <c r="CD106" s="726"/>
      <c r="CE106" s="720"/>
      <c r="CF106" s="726"/>
      <c r="CG106" s="726"/>
      <c r="CH106" s="734"/>
    </row>
    <row r="107" spans="2:86" x14ac:dyDescent="0.15">
      <c r="B107" s="737" t="s">
        <v>248</v>
      </c>
      <c r="C107" s="390"/>
      <c r="D107" s="390"/>
      <c r="E107" s="390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  <c r="AB107" s="390"/>
      <c r="AC107" s="390"/>
      <c r="AD107" s="390"/>
      <c r="AE107" s="390"/>
      <c r="AF107" s="390"/>
      <c r="AG107" s="390"/>
      <c r="AH107" s="390"/>
      <c r="AI107" s="390"/>
      <c r="AJ107" s="390"/>
      <c r="AK107" s="390"/>
      <c r="AL107" s="390"/>
      <c r="AM107" s="390"/>
      <c r="AN107" s="390"/>
      <c r="AO107" s="390"/>
      <c r="AP107" s="390"/>
      <c r="AQ107" s="390"/>
      <c r="AR107" s="390"/>
      <c r="AS107" s="390"/>
      <c r="AT107" s="390"/>
      <c r="AU107" s="390"/>
      <c r="AV107" s="390"/>
      <c r="AW107" s="390"/>
      <c r="AX107" s="390"/>
      <c r="AY107" s="390"/>
      <c r="AZ107" s="738">
        <f t="shared" si="7"/>
        <v>889.7754991346095</v>
      </c>
      <c r="BA107" s="726"/>
      <c r="BB107" s="726"/>
      <c r="BC107" s="726"/>
      <c r="BD107" s="726"/>
      <c r="BE107" s="739">
        <v>5</v>
      </c>
      <c r="BF107" s="726"/>
      <c r="BG107" s="726"/>
      <c r="BH107" s="726"/>
      <c r="BI107" s="726"/>
      <c r="BJ107" s="738">
        <f t="shared" si="8"/>
        <v>4448.8774956730476</v>
      </c>
      <c r="BK107" s="726"/>
      <c r="BL107" s="726"/>
      <c r="BM107" s="726"/>
      <c r="BN107" s="726"/>
      <c r="BO107" s="726"/>
      <c r="BP107" s="726"/>
      <c r="BQ107" s="726"/>
      <c r="BR107" s="726"/>
      <c r="BS107" s="726"/>
      <c r="BT107" s="726"/>
      <c r="BU107" s="726"/>
      <c r="BV107" s="726"/>
      <c r="BW107" s="726"/>
      <c r="BX107" s="726"/>
      <c r="BY107" s="726"/>
      <c r="BZ107" s="726"/>
      <c r="CA107" s="726"/>
      <c r="CB107" s="726"/>
      <c r="CC107" s="726"/>
      <c r="CD107" s="726"/>
      <c r="CE107" s="720"/>
      <c r="CF107" s="726"/>
      <c r="CG107" s="726"/>
      <c r="CH107" s="734"/>
    </row>
    <row r="108" spans="2:86" x14ac:dyDescent="0.15">
      <c r="B108" s="737" t="s">
        <v>196</v>
      </c>
      <c r="C108" s="390"/>
      <c r="D108" s="390"/>
      <c r="E108" s="390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0"/>
      <c r="AF108" s="390"/>
      <c r="AG108" s="390"/>
      <c r="AH108" s="390"/>
      <c r="AI108" s="390"/>
      <c r="AJ108" s="390"/>
      <c r="AK108" s="390"/>
      <c r="AL108" s="390"/>
      <c r="AM108" s="390"/>
      <c r="AN108" s="390"/>
      <c r="AO108" s="390"/>
      <c r="AP108" s="390"/>
      <c r="AQ108" s="390"/>
      <c r="AR108" s="390"/>
      <c r="AS108" s="390"/>
      <c r="AT108" s="390"/>
      <c r="AU108" s="390"/>
      <c r="AV108" s="390"/>
      <c r="AW108" s="390"/>
      <c r="AX108" s="390"/>
      <c r="AY108" s="390"/>
      <c r="AZ108" s="738">
        <f t="shared" si="7"/>
        <v>685.809116579136</v>
      </c>
      <c r="BA108" s="726"/>
      <c r="BB108" s="726"/>
      <c r="BC108" s="726"/>
      <c r="BD108" s="726"/>
      <c r="BE108" s="739">
        <v>8</v>
      </c>
      <c r="BF108" s="726"/>
      <c r="BG108" s="726"/>
      <c r="BH108" s="726"/>
      <c r="BI108" s="726"/>
      <c r="BJ108" s="738">
        <f t="shared" si="8"/>
        <v>5486.472932633088</v>
      </c>
      <c r="BK108" s="726"/>
      <c r="BL108" s="726"/>
      <c r="BM108" s="726"/>
      <c r="BN108" s="726"/>
      <c r="BO108" s="726" t="s">
        <v>249</v>
      </c>
      <c r="BP108" s="726"/>
      <c r="BQ108" s="726"/>
      <c r="BR108" s="726"/>
      <c r="BS108" s="726"/>
      <c r="BT108" s="726"/>
      <c r="BU108" s="726"/>
      <c r="BV108" s="726"/>
      <c r="BW108" s="726"/>
      <c r="BX108" s="726"/>
      <c r="BY108" s="726"/>
      <c r="BZ108" s="726"/>
      <c r="CA108" s="726"/>
      <c r="CB108" s="726"/>
      <c r="CC108" s="726"/>
      <c r="CD108" s="726"/>
      <c r="CE108" s="720"/>
      <c r="CF108" s="726"/>
      <c r="CG108" s="726"/>
      <c r="CH108" s="734"/>
    </row>
    <row r="109" spans="2:86" ht="15" x14ac:dyDescent="0.3">
      <c r="B109" s="737" t="s">
        <v>250</v>
      </c>
      <c r="C109" s="390"/>
      <c r="D109" s="390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0"/>
      <c r="AF109" s="390"/>
      <c r="AG109" s="390"/>
      <c r="AH109" s="390"/>
      <c r="AI109" s="390"/>
      <c r="AJ109" s="390"/>
      <c r="AK109" s="390"/>
      <c r="AL109" s="390"/>
      <c r="AM109" s="390"/>
      <c r="AN109" s="390"/>
      <c r="AO109" s="390"/>
      <c r="AP109" s="390"/>
      <c r="AQ109" s="390"/>
      <c r="AR109" s="390"/>
      <c r="AS109" s="390"/>
      <c r="AT109" s="390"/>
      <c r="AU109" s="390"/>
      <c r="AV109" s="390"/>
      <c r="AW109" s="390"/>
      <c r="AX109" s="390"/>
      <c r="AY109" s="390"/>
      <c r="AZ109" s="738">
        <f t="shared" si="7"/>
        <v>759.80700256383204</v>
      </c>
      <c r="BA109" s="726"/>
      <c r="BB109" s="726"/>
      <c r="BC109" s="726"/>
      <c r="BD109" s="726"/>
      <c r="BE109" s="739">
        <v>8</v>
      </c>
      <c r="BF109" s="726"/>
      <c r="BG109" s="726"/>
      <c r="BH109" s="726"/>
      <c r="BI109" s="726"/>
      <c r="BJ109" s="740">
        <f t="shared" si="8"/>
        <v>6078.4560205106563</v>
      </c>
      <c r="BK109" s="726"/>
      <c r="BL109" s="726"/>
      <c r="BM109" s="726"/>
      <c r="BN109" s="726"/>
      <c r="BO109" s="726" t="s">
        <v>251</v>
      </c>
      <c r="BP109" s="726"/>
      <c r="BQ109" s="726"/>
      <c r="BR109" s="726"/>
      <c r="BS109" s="726"/>
      <c r="BT109" s="726"/>
      <c r="BU109" s="726"/>
      <c r="BV109" s="726"/>
      <c r="BW109" s="726"/>
      <c r="BX109" s="726"/>
      <c r="BY109" s="726"/>
      <c r="BZ109" s="726"/>
      <c r="CA109" s="726"/>
      <c r="CB109" s="726"/>
      <c r="CC109" s="726"/>
      <c r="CD109" s="726"/>
      <c r="CE109" s="720"/>
      <c r="CF109" s="726"/>
      <c r="CG109" s="726"/>
      <c r="CH109" s="734"/>
    </row>
    <row r="110" spans="2:86" x14ac:dyDescent="0.15">
      <c r="B110" s="737" t="s">
        <v>252</v>
      </c>
      <c r="C110" s="741"/>
      <c r="D110" s="741"/>
      <c r="E110" s="741"/>
      <c r="F110" s="741"/>
      <c r="G110" s="741"/>
      <c r="H110" s="741"/>
      <c r="I110" s="741"/>
      <c r="J110" s="741"/>
      <c r="K110" s="741"/>
      <c r="L110" s="741"/>
      <c r="M110" s="741"/>
      <c r="N110" s="741"/>
      <c r="O110" s="741"/>
      <c r="P110" s="741"/>
      <c r="Q110" s="741"/>
      <c r="R110" s="741"/>
      <c r="S110" s="741"/>
      <c r="T110" s="741"/>
      <c r="U110" s="741"/>
      <c r="V110" s="741"/>
      <c r="W110" s="741"/>
      <c r="X110" s="741"/>
      <c r="Y110" s="741"/>
      <c r="Z110" s="741"/>
      <c r="AA110" s="741"/>
      <c r="AB110" s="741"/>
      <c r="AC110" s="741"/>
      <c r="AD110" s="741"/>
      <c r="AE110" s="741"/>
      <c r="AF110" s="741"/>
      <c r="AG110" s="741"/>
      <c r="AH110" s="741"/>
      <c r="AI110" s="741"/>
      <c r="AJ110" s="741"/>
      <c r="AK110" s="741"/>
      <c r="AL110" s="741"/>
      <c r="AM110" s="741"/>
      <c r="AN110" s="741"/>
      <c r="AO110" s="741"/>
      <c r="AP110" s="741"/>
      <c r="AQ110" s="741"/>
      <c r="AR110" s="741"/>
      <c r="AS110" s="741"/>
      <c r="AT110" s="741"/>
      <c r="AU110" s="741"/>
      <c r="AV110" s="741"/>
      <c r="AW110" s="741"/>
      <c r="AX110" s="741"/>
      <c r="AY110" s="741"/>
      <c r="AZ110" s="742">
        <f>SUM(AZ104:AZ109)</f>
        <v>5390.2594789999994</v>
      </c>
      <c r="BA110" s="726"/>
      <c r="BB110" s="726"/>
      <c r="BC110" s="726"/>
      <c r="BD110" s="726"/>
      <c r="BE110" s="743">
        <f>BJ110/AZ110</f>
        <v>8.7265717572036632</v>
      </c>
      <c r="BF110" s="726"/>
      <c r="BG110" s="726"/>
      <c r="BH110" s="726"/>
      <c r="BI110" s="726"/>
      <c r="BJ110" s="742">
        <f>SUM(BJ104:BJ109)</f>
        <v>47038.486133440725</v>
      </c>
      <c r="BK110" s="726"/>
      <c r="BL110" s="726"/>
      <c r="BM110" s="726"/>
      <c r="BN110" s="726"/>
      <c r="BO110" s="726"/>
      <c r="BP110" s="726"/>
      <c r="BQ110" s="726"/>
      <c r="BR110" s="726"/>
      <c r="BS110" s="726"/>
      <c r="BT110" s="726"/>
      <c r="BU110" s="726"/>
      <c r="BV110" s="726"/>
      <c r="BW110" s="726"/>
      <c r="BX110" s="726"/>
      <c r="BY110" s="726"/>
      <c r="BZ110" s="726"/>
      <c r="CA110" s="726"/>
      <c r="CB110" s="726"/>
      <c r="CC110" s="726"/>
      <c r="CD110" s="726"/>
      <c r="CE110" s="720"/>
      <c r="CF110" s="726"/>
      <c r="CG110" s="726"/>
      <c r="CH110" s="734"/>
    </row>
    <row r="111" spans="2:86" x14ac:dyDescent="0.15">
      <c r="B111" s="744"/>
      <c r="C111" s="390"/>
      <c r="D111" s="390"/>
      <c r="E111" s="390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0"/>
      <c r="AF111" s="390"/>
      <c r="AG111" s="390"/>
      <c r="AH111" s="390"/>
      <c r="AI111" s="390"/>
      <c r="AJ111" s="390"/>
      <c r="AK111" s="390"/>
      <c r="AL111" s="390"/>
      <c r="AM111" s="390"/>
      <c r="AN111" s="390"/>
      <c r="AO111" s="390"/>
      <c r="AP111" s="390"/>
      <c r="AQ111" s="390"/>
      <c r="AR111" s="390"/>
      <c r="AS111" s="390"/>
      <c r="AT111" s="390"/>
      <c r="AU111" s="390"/>
      <c r="AV111" s="390"/>
      <c r="AW111" s="390"/>
      <c r="AX111" s="390"/>
      <c r="AY111" s="390"/>
      <c r="AZ111" s="390"/>
      <c r="BA111" s="390"/>
      <c r="BB111" s="390"/>
      <c r="BC111" s="390"/>
      <c r="BD111" s="390"/>
      <c r="BE111" s="390"/>
      <c r="BF111" s="390"/>
      <c r="BG111" s="390"/>
      <c r="BH111" s="390"/>
      <c r="BI111" s="390"/>
      <c r="BJ111" s="390"/>
      <c r="BK111" s="390"/>
      <c r="BL111" s="390"/>
      <c r="BM111" s="390"/>
      <c r="BN111" s="390"/>
      <c r="BO111" s="390"/>
      <c r="BP111" s="726"/>
      <c r="BQ111" s="726"/>
      <c r="BR111" s="726"/>
      <c r="BS111" s="726"/>
      <c r="BT111" s="726"/>
      <c r="BU111" s="726"/>
      <c r="BV111" s="726"/>
      <c r="BW111" s="726"/>
      <c r="BX111" s="726"/>
      <c r="BY111" s="726"/>
      <c r="BZ111" s="726"/>
      <c r="CA111" s="726"/>
      <c r="CB111" s="726"/>
      <c r="CC111" s="726"/>
      <c r="CD111" s="726"/>
      <c r="CE111" s="720"/>
      <c r="CF111" s="726"/>
      <c r="CG111" s="726"/>
      <c r="CH111" s="734"/>
    </row>
    <row r="112" spans="2:86" x14ac:dyDescent="0.15">
      <c r="B112" s="744" t="s">
        <v>253</v>
      </c>
      <c r="C112" s="390"/>
      <c r="D112" s="390"/>
      <c r="E112" s="390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  <c r="AB112" s="390"/>
      <c r="AC112" s="390"/>
      <c r="AD112" s="390"/>
      <c r="AE112" s="390"/>
      <c r="AF112" s="390"/>
      <c r="AG112" s="390"/>
      <c r="AH112" s="390"/>
      <c r="AI112" s="390"/>
      <c r="AJ112" s="390"/>
      <c r="AK112" s="390"/>
      <c r="AL112" s="390"/>
      <c r="AM112" s="390"/>
      <c r="AN112" s="390"/>
      <c r="AO112" s="390"/>
      <c r="AP112" s="390"/>
      <c r="AQ112" s="390"/>
      <c r="AR112" s="390"/>
      <c r="AS112" s="390"/>
      <c r="AT112" s="390"/>
      <c r="AU112" s="390"/>
      <c r="AV112" s="390"/>
      <c r="AW112" s="390"/>
      <c r="AX112" s="390"/>
      <c r="AY112" s="390"/>
      <c r="AZ112" s="390"/>
      <c r="BA112" s="390"/>
      <c r="BB112" s="390"/>
      <c r="BC112" s="390"/>
      <c r="BD112" s="390"/>
      <c r="BE112" s="390"/>
      <c r="BF112" s="390"/>
      <c r="BG112" s="390"/>
      <c r="BH112" s="390"/>
      <c r="BI112" s="390"/>
      <c r="BJ112" s="738">
        <f>BJ96</f>
        <v>30542.018888888884</v>
      </c>
      <c r="BK112" s="390"/>
      <c r="BL112" s="390"/>
      <c r="BM112" s="390"/>
      <c r="BN112" s="390"/>
      <c r="BO112" s="390"/>
      <c r="BP112" s="726"/>
      <c r="BQ112" s="726"/>
      <c r="BR112" s="726"/>
      <c r="BS112" s="726"/>
      <c r="BT112" s="726"/>
      <c r="BU112" s="726"/>
      <c r="BV112" s="726"/>
      <c r="BW112" s="726"/>
      <c r="BX112" s="726"/>
      <c r="BY112" s="726"/>
      <c r="BZ112" s="726"/>
      <c r="CA112" s="726"/>
      <c r="CB112" s="726"/>
      <c r="CC112" s="726"/>
      <c r="CD112" s="726"/>
      <c r="CE112" s="720"/>
      <c r="CF112" s="726"/>
      <c r="CG112" s="726"/>
      <c r="CH112" s="734"/>
    </row>
    <row r="113" spans="2:86" x14ac:dyDescent="0.15">
      <c r="B113" s="737" t="s">
        <v>254</v>
      </c>
      <c r="C113" s="390"/>
      <c r="D113" s="390"/>
      <c r="E113" s="390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0"/>
      <c r="AF113" s="390"/>
      <c r="AG113" s="390"/>
      <c r="AH113" s="390"/>
      <c r="AI113" s="390"/>
      <c r="AJ113" s="390"/>
      <c r="AK113" s="390"/>
      <c r="AL113" s="390"/>
      <c r="AM113" s="390"/>
      <c r="AN113" s="390"/>
      <c r="AO113" s="390"/>
      <c r="AP113" s="390"/>
      <c r="AQ113" s="390"/>
      <c r="AR113" s="390"/>
      <c r="AS113" s="390"/>
      <c r="AT113" s="390"/>
      <c r="AU113" s="390"/>
      <c r="AV113" s="390"/>
      <c r="AW113" s="390"/>
      <c r="AX113" s="390"/>
      <c r="AY113" s="390"/>
      <c r="AZ113" s="390"/>
      <c r="BA113" s="390"/>
      <c r="BB113" s="390"/>
      <c r="BC113" s="390"/>
      <c r="BD113" s="390"/>
      <c r="BE113" s="390"/>
      <c r="BF113" s="390"/>
      <c r="BG113" s="390"/>
      <c r="BH113" s="390"/>
      <c r="BI113" s="390"/>
      <c r="BJ113" s="742">
        <f>BJ110-BJ112</f>
        <v>16496.467244551841</v>
      </c>
      <c r="BK113" s="390"/>
      <c r="BL113" s="390"/>
      <c r="BM113" s="390"/>
      <c r="BN113" s="390"/>
      <c r="BO113" s="390"/>
      <c r="BP113" s="726"/>
      <c r="BQ113" s="726"/>
      <c r="BR113" s="726"/>
      <c r="BS113" s="726"/>
      <c r="BT113" s="726"/>
      <c r="BU113" s="726"/>
      <c r="BV113" s="726"/>
      <c r="BW113" s="726"/>
      <c r="BX113" s="726"/>
      <c r="BY113" s="726"/>
      <c r="BZ113" s="726"/>
      <c r="CA113" s="726"/>
      <c r="CB113" s="726"/>
      <c r="CC113" s="726"/>
      <c r="CD113" s="726"/>
      <c r="CE113" s="720"/>
      <c r="CF113" s="726"/>
      <c r="CG113" s="726"/>
      <c r="CH113" s="734"/>
    </row>
    <row r="114" spans="2:86" x14ac:dyDescent="0.15">
      <c r="B114" s="744" t="s">
        <v>255</v>
      </c>
      <c r="C114" s="390"/>
      <c r="D114" s="390"/>
      <c r="E114" s="390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0"/>
      <c r="AF114" s="390"/>
      <c r="AG114" s="390"/>
      <c r="AH114" s="390"/>
      <c r="AI114" s="390"/>
      <c r="AJ114" s="390"/>
      <c r="AK114" s="390"/>
      <c r="AL114" s="390"/>
      <c r="AM114" s="390"/>
      <c r="AN114" s="390"/>
      <c r="AO114" s="390"/>
      <c r="AP114" s="390"/>
      <c r="AQ114" s="390"/>
      <c r="AR114" s="390"/>
      <c r="AS114" s="390"/>
      <c r="AT114" s="390"/>
      <c r="AU114" s="390"/>
      <c r="AV114" s="390"/>
      <c r="AW114" s="390"/>
      <c r="AX114" s="390"/>
      <c r="AY114" s="390"/>
      <c r="AZ114" s="390"/>
      <c r="BA114" s="390"/>
      <c r="BB114" s="390"/>
      <c r="BC114" s="390"/>
      <c r="BD114" s="390"/>
      <c r="BE114" s="390"/>
      <c r="BF114" s="390"/>
      <c r="BG114" s="390"/>
      <c r="BH114" s="390"/>
      <c r="BI114" s="390"/>
      <c r="BJ114" s="738">
        <f>BJ98</f>
        <v>349.9</v>
      </c>
      <c r="BK114" s="390"/>
      <c r="BL114" s="390"/>
      <c r="BM114" s="390"/>
      <c r="BN114" s="390"/>
      <c r="BO114" s="390"/>
      <c r="BP114" s="726"/>
      <c r="BQ114" s="726"/>
      <c r="BR114" s="726"/>
      <c r="BS114" s="726"/>
      <c r="BT114" s="726" t="s">
        <v>39</v>
      </c>
      <c r="BU114" s="726"/>
      <c r="BV114" s="726"/>
      <c r="BW114" s="726"/>
      <c r="BX114" s="726"/>
      <c r="BY114" s="726"/>
      <c r="BZ114" s="726"/>
      <c r="CA114" s="726"/>
      <c r="CB114" s="726"/>
      <c r="CC114" s="726"/>
      <c r="CD114" s="726"/>
      <c r="CE114" s="720"/>
      <c r="CF114" s="726"/>
      <c r="CG114" s="726"/>
      <c r="CH114" s="734"/>
    </row>
    <row r="115" spans="2:86" ht="13" thickBot="1" x14ac:dyDescent="0.2">
      <c r="B115" s="745" t="s">
        <v>256</v>
      </c>
      <c r="C115" s="746"/>
      <c r="D115" s="746"/>
      <c r="E115" s="746"/>
      <c r="F115" s="746"/>
      <c r="G115" s="746"/>
      <c r="H115" s="746"/>
      <c r="I115" s="746"/>
      <c r="J115" s="746"/>
      <c r="K115" s="746"/>
      <c r="L115" s="746"/>
      <c r="M115" s="746"/>
      <c r="N115" s="746"/>
      <c r="O115" s="746"/>
      <c r="P115" s="746"/>
      <c r="Q115" s="746"/>
      <c r="R115" s="746"/>
      <c r="S115" s="746"/>
      <c r="T115" s="746"/>
      <c r="U115" s="746"/>
      <c r="V115" s="746"/>
      <c r="W115" s="746"/>
      <c r="X115" s="746"/>
      <c r="Y115" s="746"/>
      <c r="Z115" s="746"/>
      <c r="AA115" s="746"/>
      <c r="AB115" s="746"/>
      <c r="AC115" s="746"/>
      <c r="AD115" s="746"/>
      <c r="AE115" s="746"/>
      <c r="AF115" s="746"/>
      <c r="AG115" s="746"/>
      <c r="AH115" s="746"/>
      <c r="AI115" s="746"/>
      <c r="AJ115" s="746"/>
      <c r="AK115" s="746"/>
      <c r="AL115" s="746"/>
      <c r="AM115" s="746"/>
      <c r="AN115" s="746"/>
      <c r="AO115" s="746"/>
      <c r="AP115" s="746"/>
      <c r="AQ115" s="746"/>
      <c r="AR115" s="746"/>
      <c r="AS115" s="746"/>
      <c r="AT115" s="746"/>
      <c r="AU115" s="746"/>
      <c r="AV115" s="746"/>
      <c r="AW115" s="746"/>
      <c r="AX115" s="746"/>
      <c r="AY115" s="746"/>
      <c r="AZ115" s="746"/>
      <c r="BA115" s="746"/>
      <c r="BB115" s="746"/>
      <c r="BC115" s="746"/>
      <c r="BD115" s="746"/>
      <c r="BE115" s="746"/>
      <c r="BF115" s="746"/>
      <c r="BG115" s="746"/>
      <c r="BH115" s="746"/>
      <c r="BI115" s="746"/>
      <c r="BJ115" s="747">
        <f>BJ113/BJ114</f>
        <v>47.146233908407666</v>
      </c>
      <c r="BK115" s="746"/>
      <c r="BL115" s="746"/>
      <c r="BM115" s="746"/>
      <c r="BN115" s="746"/>
      <c r="BO115" s="746"/>
      <c r="BP115" s="748"/>
      <c r="BQ115" s="748"/>
      <c r="BR115" s="748"/>
      <c r="BS115" s="748"/>
      <c r="BT115" s="748"/>
      <c r="BU115" s="748"/>
      <c r="BV115" s="748"/>
      <c r="BW115" s="748"/>
      <c r="BX115" s="748"/>
      <c r="BY115" s="748"/>
      <c r="BZ115" s="748"/>
      <c r="CA115" s="748"/>
      <c r="CB115" s="748"/>
      <c r="CC115" s="748"/>
      <c r="CD115" s="748"/>
      <c r="CE115" s="749"/>
      <c r="CF115" s="748"/>
      <c r="CG115" s="748"/>
      <c r="CH115" s="750"/>
    </row>
    <row r="116" spans="2:86" ht="13" thickBot="1" x14ac:dyDescent="0.2"/>
    <row r="117" spans="2:86" x14ac:dyDescent="0.15">
      <c r="B117" s="728" t="s">
        <v>260</v>
      </c>
      <c r="C117" s="729"/>
      <c r="D117" s="729"/>
      <c r="E117" s="729"/>
      <c r="F117" s="729"/>
      <c r="G117" s="729"/>
      <c r="H117" s="729"/>
      <c r="I117" s="729"/>
      <c r="J117" s="729"/>
      <c r="K117" s="729"/>
      <c r="L117" s="729"/>
      <c r="M117" s="729"/>
      <c r="N117" s="729"/>
      <c r="O117" s="729"/>
      <c r="P117" s="729"/>
      <c r="Q117" s="729"/>
      <c r="R117" s="729"/>
      <c r="S117" s="729"/>
      <c r="T117" s="729"/>
      <c r="U117" s="729"/>
      <c r="V117" s="729"/>
      <c r="W117" s="729"/>
      <c r="X117" s="729"/>
      <c r="Y117" s="729"/>
      <c r="Z117" s="729"/>
      <c r="AA117" s="729"/>
      <c r="AB117" s="729"/>
      <c r="AC117" s="729"/>
      <c r="AD117" s="729"/>
      <c r="AE117" s="729"/>
      <c r="AF117" s="729"/>
      <c r="AG117" s="729"/>
      <c r="AH117" s="729"/>
      <c r="AI117" s="729"/>
      <c r="AJ117" s="729"/>
      <c r="AK117" s="729"/>
      <c r="AL117" s="729"/>
      <c r="AM117" s="729"/>
      <c r="AN117" s="729"/>
      <c r="AO117" s="729"/>
      <c r="AP117" s="729"/>
      <c r="AQ117" s="729"/>
      <c r="AR117" s="729"/>
      <c r="AS117" s="729"/>
      <c r="AT117" s="729"/>
      <c r="AU117" s="729"/>
      <c r="AV117" s="729"/>
      <c r="AW117" s="729"/>
      <c r="AX117" s="729"/>
      <c r="AY117" s="729"/>
      <c r="AZ117" s="729"/>
      <c r="BA117" s="729"/>
      <c r="BB117" s="729"/>
      <c r="BC117" s="729"/>
      <c r="BD117" s="729"/>
      <c r="BE117" s="729"/>
      <c r="BF117" s="729"/>
      <c r="BG117" s="729"/>
      <c r="BH117" s="729"/>
      <c r="BI117" s="729"/>
      <c r="BJ117" s="729"/>
      <c r="BK117" s="729"/>
      <c r="BL117" s="729"/>
      <c r="BM117" s="729"/>
      <c r="BN117" s="729"/>
      <c r="BO117" s="729"/>
      <c r="BP117" s="729"/>
      <c r="BQ117" s="729"/>
      <c r="BR117" s="729"/>
      <c r="BS117" s="729"/>
      <c r="BT117" s="729"/>
      <c r="BU117" s="729"/>
      <c r="BV117" s="729"/>
      <c r="BW117" s="729"/>
      <c r="BX117" s="729"/>
      <c r="BY117" s="729"/>
      <c r="BZ117" s="729"/>
      <c r="CA117" s="729"/>
      <c r="CB117" s="729"/>
      <c r="CC117" s="729"/>
      <c r="CD117" s="729"/>
      <c r="CE117" s="729"/>
      <c r="CF117" s="729"/>
      <c r="CG117" s="729"/>
      <c r="CH117" s="730"/>
    </row>
    <row r="118" spans="2:86" x14ac:dyDescent="0.15">
      <c r="B118" s="731"/>
      <c r="C118" s="726"/>
      <c r="D118" s="726"/>
      <c r="E118" s="726"/>
      <c r="F118" s="726"/>
      <c r="G118" s="726"/>
      <c r="H118" s="726"/>
      <c r="I118" s="726"/>
      <c r="J118" s="726"/>
      <c r="K118" s="726"/>
      <c r="L118" s="726"/>
      <c r="M118" s="726"/>
      <c r="N118" s="726"/>
      <c r="O118" s="726"/>
      <c r="P118" s="726"/>
      <c r="Q118" s="726"/>
      <c r="R118" s="726"/>
      <c r="S118" s="726"/>
      <c r="T118" s="726"/>
      <c r="U118" s="726"/>
      <c r="V118" s="726"/>
      <c r="W118" s="726"/>
      <c r="X118" s="726"/>
      <c r="Y118" s="726"/>
      <c r="Z118" s="726"/>
      <c r="AA118" s="726"/>
      <c r="AB118" s="726"/>
      <c r="AC118" s="726"/>
      <c r="AD118" s="726"/>
      <c r="AE118" s="726"/>
      <c r="AF118" s="726"/>
      <c r="AG118" s="726"/>
      <c r="AH118" s="726"/>
      <c r="AI118" s="726"/>
      <c r="AJ118" s="726"/>
      <c r="AK118" s="726"/>
      <c r="AL118" s="726"/>
      <c r="AM118" s="726"/>
      <c r="AN118" s="726"/>
      <c r="AO118" s="726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26"/>
      <c r="AZ118" s="732" t="s">
        <v>26</v>
      </c>
      <c r="BA118" s="733"/>
      <c r="BB118" s="733"/>
      <c r="BC118" s="733"/>
      <c r="BD118" s="733"/>
      <c r="BE118" s="732"/>
      <c r="BF118" s="733"/>
      <c r="BG118" s="733"/>
      <c r="BH118" s="733"/>
      <c r="BI118" s="733"/>
      <c r="BJ118" s="732"/>
      <c r="BK118" s="726"/>
      <c r="BL118" s="726"/>
      <c r="BM118" s="726"/>
      <c r="BN118" s="726"/>
      <c r="BO118" s="726"/>
      <c r="BP118" s="726"/>
      <c r="BQ118" s="726"/>
      <c r="BR118" s="726"/>
      <c r="BS118" s="726"/>
      <c r="BT118" s="726"/>
      <c r="BU118" s="726"/>
      <c r="BV118" s="726"/>
      <c r="BW118" s="726"/>
      <c r="BX118" s="726"/>
      <c r="BY118" s="726"/>
      <c r="BZ118" s="726"/>
      <c r="CA118" s="726"/>
      <c r="CB118" s="726"/>
      <c r="CC118" s="726"/>
      <c r="CD118" s="726"/>
      <c r="CE118" s="720"/>
      <c r="CF118" s="726"/>
      <c r="CG118" s="726"/>
      <c r="CH118" s="734"/>
    </row>
    <row r="119" spans="2:86" ht="15" x14ac:dyDescent="0.3">
      <c r="B119" s="731"/>
      <c r="C119" s="726"/>
      <c r="D119" s="726"/>
      <c r="E119" s="726"/>
      <c r="F119" s="726"/>
      <c r="G119" s="726"/>
      <c r="H119" s="726"/>
      <c r="I119" s="726"/>
      <c r="J119" s="726"/>
      <c r="K119" s="726"/>
      <c r="L119" s="726"/>
      <c r="M119" s="726"/>
      <c r="N119" s="726"/>
      <c r="O119" s="726"/>
      <c r="P119" s="726"/>
      <c r="Q119" s="726"/>
      <c r="R119" s="726"/>
      <c r="S119" s="726"/>
      <c r="T119" s="726"/>
      <c r="U119" s="726"/>
      <c r="V119" s="726"/>
      <c r="W119" s="726"/>
      <c r="X119" s="726"/>
      <c r="Y119" s="726"/>
      <c r="Z119" s="726"/>
      <c r="AA119" s="726"/>
      <c r="AB119" s="726"/>
      <c r="AC119" s="726"/>
      <c r="AD119" s="726"/>
      <c r="AE119" s="726"/>
      <c r="AF119" s="726"/>
      <c r="AG119" s="726"/>
      <c r="AH119" s="726"/>
      <c r="AI119" s="726"/>
      <c r="AJ119" s="726"/>
      <c r="AK119" s="726"/>
      <c r="AL119" s="726"/>
      <c r="AM119" s="726"/>
      <c r="AN119" s="726"/>
      <c r="AO119" s="726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26"/>
      <c r="AZ119" s="735" t="s">
        <v>102</v>
      </c>
      <c r="BA119" s="736"/>
      <c r="BB119" s="736"/>
      <c r="BC119" s="736"/>
      <c r="BD119" s="736"/>
      <c r="BE119" s="735" t="s">
        <v>241</v>
      </c>
      <c r="BF119" s="736"/>
      <c r="BG119" s="736"/>
      <c r="BH119" s="736"/>
      <c r="BI119" s="736"/>
      <c r="BJ119" s="735" t="s">
        <v>242</v>
      </c>
      <c r="BK119" s="726"/>
      <c r="BL119" s="726"/>
      <c r="BM119" s="726"/>
      <c r="BN119" s="726"/>
      <c r="BO119" s="1002" t="s">
        <v>243</v>
      </c>
      <c r="BP119" s="1002"/>
      <c r="BQ119" s="1002"/>
      <c r="BR119" s="1002"/>
      <c r="BS119" s="1002"/>
      <c r="BT119" s="1002"/>
      <c r="BU119" s="1002"/>
      <c r="BV119" s="1002"/>
      <c r="BW119" s="1002"/>
      <c r="BX119" s="1002"/>
      <c r="BY119" s="1002"/>
      <c r="BZ119" s="1002"/>
      <c r="CA119" s="1002"/>
      <c r="CB119" s="1002"/>
      <c r="CC119" s="1002"/>
      <c r="CD119" s="1002"/>
      <c r="CE119" s="1002"/>
      <c r="CF119" s="1002"/>
      <c r="CG119" s="1002"/>
      <c r="CH119" s="1003"/>
    </row>
    <row r="120" spans="2:86" x14ac:dyDescent="0.15">
      <c r="B120" s="737" t="s">
        <v>244</v>
      </c>
      <c r="C120" s="390"/>
      <c r="D120" s="390"/>
      <c r="E120" s="390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0"/>
      <c r="AF120" s="390"/>
      <c r="AG120" s="390"/>
      <c r="AH120" s="390"/>
      <c r="AI120" s="390"/>
      <c r="AJ120" s="390"/>
      <c r="AK120" s="390"/>
      <c r="AL120" s="390"/>
      <c r="AM120" s="390"/>
      <c r="AN120" s="390"/>
      <c r="AO120" s="390"/>
      <c r="AP120" s="390"/>
      <c r="AQ120" s="390"/>
      <c r="AR120" s="390"/>
      <c r="AS120" s="390"/>
      <c r="AT120" s="390"/>
      <c r="AU120" s="390"/>
      <c r="AV120" s="390"/>
      <c r="AW120" s="390"/>
      <c r="AX120" s="390"/>
      <c r="AY120" s="390"/>
      <c r="AZ120" s="738">
        <f>AZ104</f>
        <v>1081.7367216500197</v>
      </c>
      <c r="BA120" s="726"/>
      <c r="BB120" s="726"/>
      <c r="BC120" s="726"/>
      <c r="BD120" s="726"/>
      <c r="BE120" s="739">
        <v>11</v>
      </c>
      <c r="BF120" s="726"/>
      <c r="BG120" s="726"/>
      <c r="BH120" s="726"/>
      <c r="BI120" s="726"/>
      <c r="BJ120" s="738">
        <f>AZ120*BE120</f>
        <v>11899.103938150216</v>
      </c>
      <c r="BK120" s="726"/>
      <c r="BL120" s="726"/>
      <c r="BM120" s="726"/>
      <c r="BN120" s="726"/>
      <c r="BO120" s="726" t="s">
        <v>261</v>
      </c>
      <c r="BP120" s="726"/>
      <c r="BQ120" s="726"/>
      <c r="BR120" s="726"/>
      <c r="BS120" s="726"/>
      <c r="BT120" s="726"/>
      <c r="BU120" s="726"/>
      <c r="BV120" s="726"/>
      <c r="BW120" s="726"/>
      <c r="BX120" s="726"/>
      <c r="BY120" s="726"/>
      <c r="BZ120" s="726"/>
      <c r="CA120" s="726"/>
      <c r="CB120" s="726"/>
      <c r="CC120" s="726"/>
      <c r="CD120" s="726"/>
      <c r="CE120" s="720"/>
      <c r="CF120" s="726"/>
      <c r="CG120" s="726"/>
      <c r="CH120" s="734"/>
    </row>
    <row r="121" spans="2:86" x14ac:dyDescent="0.15">
      <c r="B121" s="737" t="s">
        <v>245</v>
      </c>
      <c r="C121" s="390"/>
      <c r="D121" s="390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  <c r="W121" s="390"/>
      <c r="X121" s="390"/>
      <c r="Y121" s="390"/>
      <c r="Z121" s="390"/>
      <c r="AA121" s="390"/>
      <c r="AB121" s="390"/>
      <c r="AC121" s="390"/>
      <c r="AD121" s="390"/>
      <c r="AE121" s="390"/>
      <c r="AF121" s="390"/>
      <c r="AG121" s="390"/>
      <c r="AH121" s="390"/>
      <c r="AI121" s="390"/>
      <c r="AJ121" s="390"/>
      <c r="AK121" s="390"/>
      <c r="AL121" s="390"/>
      <c r="AM121" s="390"/>
      <c r="AN121" s="390"/>
      <c r="AO121" s="390"/>
      <c r="AP121" s="390"/>
      <c r="AQ121" s="390"/>
      <c r="AR121" s="390"/>
      <c r="AS121" s="390"/>
      <c r="AT121" s="390"/>
      <c r="AU121" s="390"/>
      <c r="AV121" s="390"/>
      <c r="AW121" s="390"/>
      <c r="AX121" s="390"/>
      <c r="AY121" s="390"/>
      <c r="AZ121" s="738">
        <f t="shared" ref="AZ121:AZ125" si="9">AZ105</f>
        <v>1230.3508968306246</v>
      </c>
      <c r="BA121" s="726"/>
      <c r="BB121" s="726"/>
      <c r="BC121" s="726"/>
      <c r="BD121" s="726"/>
      <c r="BE121" s="739">
        <v>9</v>
      </c>
      <c r="BF121" s="726"/>
      <c r="BG121" s="726"/>
      <c r="BH121" s="726"/>
      <c r="BI121" s="726"/>
      <c r="BJ121" s="738">
        <f t="shared" ref="BJ121:BJ125" si="10">AZ121*BE121</f>
        <v>11073.158071475622</v>
      </c>
      <c r="BK121" s="726"/>
      <c r="BL121" s="726"/>
      <c r="BM121" s="726"/>
      <c r="BN121" s="726"/>
      <c r="BO121" s="726" t="s">
        <v>246</v>
      </c>
      <c r="BP121" s="726"/>
      <c r="BQ121" s="726"/>
      <c r="BR121" s="726"/>
      <c r="BS121" s="726"/>
      <c r="BT121" s="726"/>
      <c r="BU121" s="726"/>
      <c r="BV121" s="726"/>
      <c r="BW121" s="726"/>
      <c r="BX121" s="726"/>
      <c r="BY121" s="726"/>
      <c r="BZ121" s="726"/>
      <c r="CA121" s="726"/>
      <c r="CB121" s="726"/>
      <c r="CC121" s="726"/>
      <c r="CD121" s="726"/>
      <c r="CE121" s="720"/>
      <c r="CF121" s="726"/>
      <c r="CG121" s="726"/>
      <c r="CH121" s="734"/>
    </row>
    <row r="122" spans="2:86" x14ac:dyDescent="0.15">
      <c r="B122" s="737" t="s">
        <v>247</v>
      </c>
      <c r="C122" s="390"/>
      <c r="D122" s="390"/>
      <c r="E122" s="390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0"/>
      <c r="AF122" s="390"/>
      <c r="AG122" s="390"/>
      <c r="AH122" s="390"/>
      <c r="AI122" s="390"/>
      <c r="AJ122" s="390"/>
      <c r="AK122" s="390"/>
      <c r="AL122" s="390"/>
      <c r="AM122" s="390"/>
      <c r="AN122" s="390"/>
      <c r="AO122" s="390"/>
      <c r="AP122" s="390"/>
      <c r="AQ122" s="390"/>
      <c r="AR122" s="390"/>
      <c r="AS122" s="390"/>
      <c r="AT122" s="390"/>
      <c r="AU122" s="390"/>
      <c r="AV122" s="390"/>
      <c r="AW122" s="390"/>
      <c r="AX122" s="390"/>
      <c r="AY122" s="390"/>
      <c r="AZ122" s="738">
        <f t="shared" si="9"/>
        <v>742.7802422417775</v>
      </c>
      <c r="BA122" s="726"/>
      <c r="BB122" s="726"/>
      <c r="BC122" s="726"/>
      <c r="BD122" s="726"/>
      <c r="BE122" s="739">
        <v>6</v>
      </c>
      <c r="BF122" s="726"/>
      <c r="BG122" s="726"/>
      <c r="BH122" s="726"/>
      <c r="BI122" s="726"/>
      <c r="BJ122" s="738">
        <f t="shared" si="10"/>
        <v>4456.6814534506648</v>
      </c>
      <c r="BK122" s="726"/>
      <c r="BL122" s="726"/>
      <c r="BM122" s="726"/>
      <c r="BN122" s="726"/>
      <c r="BO122" s="726"/>
      <c r="BP122" s="726"/>
      <c r="BQ122" s="726"/>
      <c r="BR122" s="726"/>
      <c r="BS122" s="726"/>
      <c r="BT122" s="726"/>
      <c r="BU122" s="726"/>
      <c r="BV122" s="726"/>
      <c r="BW122" s="726"/>
      <c r="BX122" s="726"/>
      <c r="BY122" s="726"/>
      <c r="BZ122" s="726"/>
      <c r="CA122" s="726"/>
      <c r="CB122" s="726"/>
      <c r="CC122" s="726"/>
      <c r="CD122" s="726"/>
      <c r="CE122" s="720"/>
      <c r="CF122" s="726"/>
      <c r="CG122" s="726"/>
      <c r="CH122" s="734"/>
    </row>
    <row r="123" spans="2:86" x14ac:dyDescent="0.15">
      <c r="B123" s="737" t="s">
        <v>248</v>
      </c>
      <c r="C123" s="390"/>
      <c r="D123" s="390"/>
      <c r="E123" s="390"/>
      <c r="F123" s="390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390"/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0"/>
      <c r="AF123" s="390"/>
      <c r="AG123" s="390"/>
      <c r="AH123" s="390"/>
      <c r="AI123" s="390"/>
      <c r="AJ123" s="390"/>
      <c r="AK123" s="390"/>
      <c r="AL123" s="390"/>
      <c r="AM123" s="390"/>
      <c r="AN123" s="390"/>
      <c r="AO123" s="390"/>
      <c r="AP123" s="390"/>
      <c r="AQ123" s="390"/>
      <c r="AR123" s="390"/>
      <c r="AS123" s="390"/>
      <c r="AT123" s="390"/>
      <c r="AU123" s="390"/>
      <c r="AV123" s="390"/>
      <c r="AW123" s="390"/>
      <c r="AX123" s="390"/>
      <c r="AY123" s="390"/>
      <c r="AZ123" s="738">
        <f t="shared" si="9"/>
        <v>889.7754991346095</v>
      </c>
      <c r="BA123" s="726"/>
      <c r="BB123" s="726"/>
      <c r="BC123" s="726"/>
      <c r="BD123" s="726"/>
      <c r="BE123" s="739">
        <v>5</v>
      </c>
      <c r="BF123" s="726"/>
      <c r="BG123" s="726"/>
      <c r="BH123" s="726"/>
      <c r="BI123" s="726"/>
      <c r="BJ123" s="738">
        <f t="shared" si="10"/>
        <v>4448.8774956730476</v>
      </c>
      <c r="BK123" s="726"/>
      <c r="BL123" s="726"/>
      <c r="BM123" s="726"/>
      <c r="BN123" s="726"/>
      <c r="BO123" s="726"/>
      <c r="BP123" s="726"/>
      <c r="BQ123" s="726"/>
      <c r="BR123" s="726"/>
      <c r="BS123" s="726"/>
      <c r="BT123" s="726"/>
      <c r="BU123" s="726"/>
      <c r="BV123" s="726"/>
      <c r="BW123" s="726"/>
      <c r="BX123" s="726"/>
      <c r="BY123" s="726"/>
      <c r="BZ123" s="726"/>
      <c r="CA123" s="726"/>
      <c r="CB123" s="726"/>
      <c r="CC123" s="726"/>
      <c r="CD123" s="726"/>
      <c r="CE123" s="720"/>
      <c r="CF123" s="726"/>
      <c r="CG123" s="726"/>
      <c r="CH123" s="734"/>
    </row>
    <row r="124" spans="2:86" x14ac:dyDescent="0.15">
      <c r="B124" s="737" t="s">
        <v>196</v>
      </c>
      <c r="C124" s="390"/>
      <c r="D124" s="390"/>
      <c r="E124" s="390"/>
      <c r="F124" s="390"/>
      <c r="G124" s="390"/>
      <c r="H124" s="390"/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0"/>
      <c r="AF124" s="390"/>
      <c r="AG124" s="390"/>
      <c r="AH124" s="390"/>
      <c r="AI124" s="390"/>
      <c r="AJ124" s="390"/>
      <c r="AK124" s="390"/>
      <c r="AL124" s="390"/>
      <c r="AM124" s="390"/>
      <c r="AN124" s="390"/>
      <c r="AO124" s="390"/>
      <c r="AP124" s="390"/>
      <c r="AQ124" s="390"/>
      <c r="AR124" s="390"/>
      <c r="AS124" s="390"/>
      <c r="AT124" s="390"/>
      <c r="AU124" s="390"/>
      <c r="AV124" s="390"/>
      <c r="AW124" s="390"/>
      <c r="AX124" s="390"/>
      <c r="AY124" s="390"/>
      <c r="AZ124" s="738">
        <f t="shared" si="9"/>
        <v>685.809116579136</v>
      </c>
      <c r="BA124" s="726"/>
      <c r="BB124" s="726"/>
      <c r="BC124" s="726"/>
      <c r="BD124" s="726"/>
      <c r="BE124" s="739">
        <v>7</v>
      </c>
      <c r="BF124" s="726"/>
      <c r="BG124" s="726"/>
      <c r="BH124" s="726"/>
      <c r="BI124" s="726"/>
      <c r="BJ124" s="738">
        <f t="shared" si="10"/>
        <v>4800.6638160539524</v>
      </c>
      <c r="BK124" s="726"/>
      <c r="BL124" s="726"/>
      <c r="BM124" s="726"/>
      <c r="BN124" s="726"/>
      <c r="BO124" s="726"/>
      <c r="BP124" s="726"/>
      <c r="BQ124" s="726"/>
      <c r="BR124" s="726"/>
      <c r="BS124" s="726"/>
      <c r="BT124" s="726"/>
      <c r="BU124" s="726"/>
      <c r="BV124" s="726"/>
      <c r="BW124" s="726"/>
      <c r="BX124" s="726"/>
      <c r="BY124" s="726"/>
      <c r="BZ124" s="726"/>
      <c r="CA124" s="726"/>
      <c r="CB124" s="726"/>
      <c r="CC124" s="726"/>
      <c r="CD124" s="726"/>
      <c r="CE124" s="720"/>
      <c r="CF124" s="726"/>
      <c r="CG124" s="726"/>
      <c r="CH124" s="734"/>
    </row>
    <row r="125" spans="2:86" ht="15" x14ac:dyDescent="0.3">
      <c r="B125" s="737" t="s">
        <v>250</v>
      </c>
      <c r="C125" s="390"/>
      <c r="D125" s="390"/>
      <c r="E125" s="390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0"/>
      <c r="AF125" s="390"/>
      <c r="AG125" s="390"/>
      <c r="AH125" s="390"/>
      <c r="AI125" s="390"/>
      <c r="AJ125" s="390"/>
      <c r="AK125" s="390"/>
      <c r="AL125" s="390"/>
      <c r="AM125" s="390"/>
      <c r="AN125" s="390"/>
      <c r="AO125" s="390"/>
      <c r="AP125" s="390"/>
      <c r="AQ125" s="390"/>
      <c r="AR125" s="390"/>
      <c r="AS125" s="390"/>
      <c r="AT125" s="390"/>
      <c r="AU125" s="390"/>
      <c r="AV125" s="390"/>
      <c r="AW125" s="390"/>
      <c r="AX125" s="390"/>
      <c r="AY125" s="390"/>
      <c r="AZ125" s="738">
        <f t="shared" si="9"/>
        <v>759.80700256383204</v>
      </c>
      <c r="BA125" s="726"/>
      <c r="BB125" s="726"/>
      <c r="BC125" s="726"/>
      <c r="BD125" s="726"/>
      <c r="BE125" s="739">
        <v>7</v>
      </c>
      <c r="BF125" s="726"/>
      <c r="BG125" s="726"/>
      <c r="BH125" s="726"/>
      <c r="BI125" s="726"/>
      <c r="BJ125" s="740">
        <f t="shared" si="10"/>
        <v>5318.6490179468246</v>
      </c>
      <c r="BK125" s="726"/>
      <c r="BL125" s="726"/>
      <c r="BM125" s="726"/>
      <c r="BN125" s="726"/>
      <c r="BO125" s="726"/>
      <c r="BP125" s="726"/>
      <c r="BQ125" s="726"/>
      <c r="BR125" s="726"/>
      <c r="BS125" s="726"/>
      <c r="BT125" s="726"/>
      <c r="BU125" s="726"/>
      <c r="BV125" s="726"/>
      <c r="BW125" s="726"/>
      <c r="BX125" s="726"/>
      <c r="BY125" s="726"/>
      <c r="BZ125" s="726"/>
      <c r="CA125" s="726"/>
      <c r="CB125" s="726"/>
      <c r="CC125" s="726"/>
      <c r="CD125" s="726"/>
      <c r="CE125" s="720"/>
      <c r="CF125" s="726"/>
      <c r="CG125" s="726"/>
      <c r="CH125" s="734"/>
    </row>
    <row r="126" spans="2:86" x14ac:dyDescent="0.15">
      <c r="B126" s="737" t="s">
        <v>252</v>
      </c>
      <c r="C126" s="741"/>
      <c r="D126" s="741"/>
      <c r="E126" s="741"/>
      <c r="F126" s="741"/>
      <c r="G126" s="741"/>
      <c r="H126" s="741"/>
      <c r="I126" s="741"/>
      <c r="J126" s="741"/>
      <c r="K126" s="741"/>
      <c r="L126" s="741"/>
      <c r="M126" s="741"/>
      <c r="N126" s="741"/>
      <c r="O126" s="741"/>
      <c r="P126" s="741"/>
      <c r="Q126" s="741"/>
      <c r="R126" s="741"/>
      <c r="S126" s="741"/>
      <c r="T126" s="741"/>
      <c r="U126" s="741"/>
      <c r="V126" s="741"/>
      <c r="W126" s="741"/>
      <c r="X126" s="741"/>
      <c r="Y126" s="741"/>
      <c r="Z126" s="741"/>
      <c r="AA126" s="741"/>
      <c r="AB126" s="741"/>
      <c r="AC126" s="741"/>
      <c r="AD126" s="741"/>
      <c r="AE126" s="741"/>
      <c r="AF126" s="741"/>
      <c r="AG126" s="741"/>
      <c r="AH126" s="741"/>
      <c r="AI126" s="741"/>
      <c r="AJ126" s="741"/>
      <c r="AK126" s="741"/>
      <c r="AL126" s="741"/>
      <c r="AM126" s="741"/>
      <c r="AN126" s="741"/>
      <c r="AO126" s="741"/>
      <c r="AP126" s="741"/>
      <c r="AQ126" s="741"/>
      <c r="AR126" s="741"/>
      <c r="AS126" s="741"/>
      <c r="AT126" s="741"/>
      <c r="AU126" s="741"/>
      <c r="AV126" s="741"/>
      <c r="AW126" s="741"/>
      <c r="AX126" s="741"/>
      <c r="AY126" s="741"/>
      <c r="AZ126" s="742">
        <f>SUM(AZ120:AZ125)</f>
        <v>5390.2594789999994</v>
      </c>
      <c r="BA126" s="726"/>
      <c r="BB126" s="726"/>
      <c r="BC126" s="726"/>
      <c r="BD126" s="726"/>
      <c r="BE126" s="743">
        <f>BJ126/AZ126</f>
        <v>7.7913009487516609</v>
      </c>
      <c r="BF126" s="726"/>
      <c r="BG126" s="726"/>
      <c r="BH126" s="726"/>
      <c r="BI126" s="726"/>
      <c r="BJ126" s="742">
        <f>SUM(BJ120:BJ125)</f>
        <v>41997.133792750326</v>
      </c>
      <c r="BK126" s="726"/>
      <c r="BL126" s="726"/>
      <c r="BM126" s="726"/>
      <c r="BN126" s="726"/>
      <c r="BO126" s="726"/>
      <c r="BP126" s="726"/>
      <c r="BQ126" s="726"/>
      <c r="BR126" s="726"/>
      <c r="BS126" s="726"/>
      <c r="BT126" s="726"/>
      <c r="BU126" s="726"/>
      <c r="BV126" s="726"/>
      <c r="BW126" s="726"/>
      <c r="BX126" s="726"/>
      <c r="BY126" s="726"/>
      <c r="BZ126" s="726"/>
      <c r="CA126" s="726"/>
      <c r="CB126" s="726"/>
      <c r="CC126" s="726"/>
      <c r="CD126" s="726"/>
      <c r="CE126" s="720"/>
      <c r="CF126" s="726"/>
      <c r="CG126" s="726"/>
      <c r="CH126" s="734"/>
    </row>
    <row r="127" spans="2:86" x14ac:dyDescent="0.15">
      <c r="B127" s="744"/>
      <c r="C127" s="390"/>
      <c r="D127" s="390"/>
      <c r="E127" s="390"/>
      <c r="F127" s="390"/>
      <c r="G127" s="390"/>
      <c r="H127" s="390"/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0"/>
      <c r="T127" s="390"/>
      <c r="U127" s="390"/>
      <c r="V127" s="390"/>
      <c r="W127" s="390"/>
      <c r="X127" s="390"/>
      <c r="Y127" s="390"/>
      <c r="Z127" s="390"/>
      <c r="AA127" s="390"/>
      <c r="AB127" s="390"/>
      <c r="AC127" s="390"/>
      <c r="AD127" s="390"/>
      <c r="AE127" s="390"/>
      <c r="AF127" s="390"/>
      <c r="AG127" s="390"/>
      <c r="AH127" s="390"/>
      <c r="AI127" s="390"/>
      <c r="AJ127" s="390"/>
      <c r="AK127" s="390"/>
      <c r="AL127" s="390"/>
      <c r="AM127" s="390"/>
      <c r="AN127" s="390"/>
      <c r="AO127" s="390"/>
      <c r="AP127" s="390"/>
      <c r="AQ127" s="390"/>
      <c r="AR127" s="390"/>
      <c r="AS127" s="390"/>
      <c r="AT127" s="390"/>
      <c r="AU127" s="390"/>
      <c r="AV127" s="390"/>
      <c r="AW127" s="390"/>
      <c r="AX127" s="390"/>
      <c r="AY127" s="390"/>
      <c r="AZ127" s="390"/>
      <c r="BA127" s="390"/>
      <c r="BB127" s="390"/>
      <c r="BC127" s="390"/>
      <c r="BD127" s="390"/>
      <c r="BE127" s="390"/>
      <c r="BF127" s="390"/>
      <c r="BG127" s="390"/>
      <c r="BH127" s="390"/>
      <c r="BI127" s="390"/>
      <c r="BJ127" s="390"/>
      <c r="BK127" s="390"/>
      <c r="BL127" s="390"/>
      <c r="BM127" s="390"/>
      <c r="BN127" s="390"/>
      <c r="BO127" s="390"/>
      <c r="BP127" s="726"/>
      <c r="BQ127" s="726"/>
      <c r="BR127" s="726"/>
      <c r="BS127" s="726"/>
      <c r="BT127" s="726"/>
      <c r="BU127" s="726"/>
      <c r="BV127" s="726"/>
      <c r="BW127" s="726"/>
      <c r="BX127" s="726"/>
      <c r="BY127" s="726"/>
      <c r="BZ127" s="726"/>
      <c r="CA127" s="726"/>
      <c r="CB127" s="726"/>
      <c r="CC127" s="726"/>
      <c r="CD127" s="726"/>
      <c r="CE127" s="720"/>
      <c r="CF127" s="726"/>
      <c r="CG127" s="726"/>
      <c r="CH127" s="734"/>
    </row>
    <row r="128" spans="2:86" x14ac:dyDescent="0.15">
      <c r="B128" s="744" t="s">
        <v>253</v>
      </c>
      <c r="C128" s="390"/>
      <c r="D128" s="390"/>
      <c r="E128" s="390"/>
      <c r="F128" s="390"/>
      <c r="G128" s="390"/>
      <c r="H128" s="390"/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0"/>
      <c r="T128" s="390"/>
      <c r="U128" s="390"/>
      <c r="V128" s="390"/>
      <c r="W128" s="390"/>
      <c r="X128" s="390"/>
      <c r="Y128" s="390"/>
      <c r="Z128" s="390"/>
      <c r="AA128" s="390"/>
      <c r="AB128" s="390"/>
      <c r="AC128" s="390"/>
      <c r="AD128" s="390"/>
      <c r="AE128" s="390"/>
      <c r="AF128" s="390"/>
      <c r="AG128" s="390"/>
      <c r="AH128" s="390"/>
      <c r="AI128" s="390"/>
      <c r="AJ128" s="390"/>
      <c r="AK128" s="390"/>
      <c r="AL128" s="390"/>
      <c r="AM128" s="390"/>
      <c r="AN128" s="390"/>
      <c r="AO128" s="390"/>
      <c r="AP128" s="390"/>
      <c r="AQ128" s="390"/>
      <c r="AR128" s="390"/>
      <c r="AS128" s="390"/>
      <c r="AT128" s="390"/>
      <c r="AU128" s="390"/>
      <c r="AV128" s="390"/>
      <c r="AW128" s="390"/>
      <c r="AX128" s="390"/>
      <c r="AY128" s="390"/>
      <c r="AZ128" s="390"/>
      <c r="BA128" s="390"/>
      <c r="BB128" s="390"/>
      <c r="BC128" s="390"/>
      <c r="BD128" s="390"/>
      <c r="BE128" s="390"/>
      <c r="BF128" s="390"/>
      <c r="BG128" s="390"/>
      <c r="BH128" s="390"/>
      <c r="BI128" s="390"/>
      <c r="BJ128" s="738">
        <f>BJ112</f>
        <v>30542.018888888884</v>
      </c>
      <c r="BK128" s="390"/>
      <c r="BL128" s="390"/>
      <c r="BM128" s="390"/>
      <c r="BN128" s="390"/>
      <c r="BO128" s="390"/>
      <c r="BP128" s="726"/>
      <c r="BQ128" s="726"/>
      <c r="BR128" s="726"/>
      <c r="BS128" s="726"/>
      <c r="BT128" s="726"/>
      <c r="BU128" s="726"/>
      <c r="BV128" s="726"/>
      <c r="BW128" s="726"/>
      <c r="BX128" s="726"/>
      <c r="BY128" s="726"/>
      <c r="BZ128" s="726"/>
      <c r="CA128" s="726"/>
      <c r="CB128" s="726"/>
      <c r="CC128" s="726"/>
      <c r="CD128" s="726"/>
      <c r="CE128" s="720"/>
      <c r="CF128" s="726"/>
      <c r="CG128" s="726"/>
      <c r="CH128" s="734"/>
    </row>
    <row r="129" spans="2:86" x14ac:dyDescent="0.15">
      <c r="B129" s="737" t="s">
        <v>254</v>
      </c>
      <c r="C129" s="390"/>
      <c r="D129" s="390"/>
      <c r="E129" s="390"/>
      <c r="F129" s="390"/>
      <c r="G129" s="390"/>
      <c r="H129" s="390"/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0"/>
      <c r="T129" s="390"/>
      <c r="U129" s="390"/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0"/>
      <c r="AF129" s="390"/>
      <c r="AG129" s="390"/>
      <c r="AH129" s="390"/>
      <c r="AI129" s="390"/>
      <c r="AJ129" s="390"/>
      <c r="AK129" s="390"/>
      <c r="AL129" s="390"/>
      <c r="AM129" s="390"/>
      <c r="AN129" s="390"/>
      <c r="AO129" s="390"/>
      <c r="AP129" s="390"/>
      <c r="AQ129" s="390"/>
      <c r="AR129" s="390"/>
      <c r="AS129" s="390"/>
      <c r="AT129" s="390"/>
      <c r="AU129" s="390"/>
      <c r="AV129" s="390"/>
      <c r="AW129" s="390"/>
      <c r="AX129" s="390"/>
      <c r="AY129" s="390"/>
      <c r="AZ129" s="390"/>
      <c r="BA129" s="390"/>
      <c r="BB129" s="390"/>
      <c r="BC129" s="390"/>
      <c r="BD129" s="390"/>
      <c r="BE129" s="390"/>
      <c r="BF129" s="390"/>
      <c r="BG129" s="390"/>
      <c r="BH129" s="390"/>
      <c r="BI129" s="390"/>
      <c r="BJ129" s="742">
        <f>BJ126-BJ128</f>
        <v>11455.114903861442</v>
      </c>
      <c r="BK129" s="390"/>
      <c r="BL129" s="390"/>
      <c r="BM129" s="390"/>
      <c r="BN129" s="390"/>
      <c r="BO129" s="390"/>
      <c r="BP129" s="726"/>
      <c r="BQ129" s="726"/>
      <c r="BR129" s="726"/>
      <c r="BS129" s="726"/>
      <c r="BT129" s="726"/>
      <c r="BU129" s="726"/>
      <c r="BV129" s="726"/>
      <c r="BW129" s="726"/>
      <c r="BX129" s="726"/>
      <c r="BY129" s="726"/>
      <c r="BZ129" s="726"/>
      <c r="CA129" s="726"/>
      <c r="CB129" s="726"/>
      <c r="CC129" s="726"/>
      <c r="CD129" s="726"/>
      <c r="CE129" s="720"/>
      <c r="CF129" s="726"/>
      <c r="CG129" s="726"/>
      <c r="CH129" s="734"/>
    </row>
    <row r="130" spans="2:86" x14ac:dyDescent="0.15">
      <c r="B130" s="744" t="s">
        <v>255</v>
      </c>
      <c r="C130" s="390"/>
      <c r="D130" s="390"/>
      <c r="E130" s="390"/>
      <c r="F130" s="390"/>
      <c r="G130" s="390"/>
      <c r="H130" s="390"/>
      <c r="I130" s="390"/>
      <c r="J130" s="390"/>
      <c r="K130" s="390"/>
      <c r="L130" s="390"/>
      <c r="M130" s="390"/>
      <c r="N130" s="390"/>
      <c r="O130" s="390"/>
      <c r="P130" s="390"/>
      <c r="Q130" s="390"/>
      <c r="R130" s="390"/>
      <c r="S130" s="390"/>
      <c r="T130" s="390"/>
      <c r="U130" s="390"/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0"/>
      <c r="AF130" s="390"/>
      <c r="AG130" s="390"/>
      <c r="AH130" s="390"/>
      <c r="AI130" s="390"/>
      <c r="AJ130" s="390"/>
      <c r="AK130" s="390"/>
      <c r="AL130" s="390"/>
      <c r="AM130" s="390"/>
      <c r="AN130" s="390"/>
      <c r="AO130" s="390"/>
      <c r="AP130" s="390"/>
      <c r="AQ130" s="390"/>
      <c r="AR130" s="390"/>
      <c r="AS130" s="390"/>
      <c r="AT130" s="390"/>
      <c r="AU130" s="390"/>
      <c r="AV130" s="390"/>
      <c r="AW130" s="390"/>
      <c r="AX130" s="390"/>
      <c r="AY130" s="390"/>
      <c r="AZ130" s="390"/>
      <c r="BA130" s="390"/>
      <c r="BB130" s="390"/>
      <c r="BC130" s="390"/>
      <c r="BD130" s="390"/>
      <c r="BE130" s="390"/>
      <c r="BF130" s="390"/>
      <c r="BG130" s="390"/>
      <c r="BH130" s="390"/>
      <c r="BI130" s="390"/>
      <c r="BJ130" s="738">
        <f>BJ114</f>
        <v>349.9</v>
      </c>
      <c r="BK130" s="390"/>
      <c r="BL130" s="390"/>
      <c r="BM130" s="390"/>
      <c r="BN130" s="390"/>
      <c r="BO130" s="390"/>
      <c r="BP130" s="726"/>
      <c r="BQ130" s="726"/>
      <c r="BR130" s="726"/>
      <c r="BS130" s="726"/>
      <c r="BT130" s="726"/>
      <c r="BU130" s="726"/>
      <c r="BV130" s="726"/>
      <c r="BW130" s="726"/>
      <c r="BX130" s="726"/>
      <c r="BY130" s="726"/>
      <c r="BZ130" s="726"/>
      <c r="CA130" s="726"/>
      <c r="CB130" s="726"/>
      <c r="CC130" s="726"/>
      <c r="CD130" s="726"/>
      <c r="CE130" s="720"/>
      <c r="CF130" s="726"/>
      <c r="CG130" s="726"/>
      <c r="CH130" s="734"/>
    </row>
    <row r="131" spans="2:86" ht="13" thickBot="1" x14ac:dyDescent="0.2">
      <c r="B131" s="745" t="s">
        <v>256</v>
      </c>
      <c r="C131" s="746"/>
      <c r="D131" s="746"/>
      <c r="E131" s="746"/>
      <c r="F131" s="746"/>
      <c r="G131" s="746"/>
      <c r="H131" s="746"/>
      <c r="I131" s="746"/>
      <c r="J131" s="746"/>
      <c r="K131" s="746"/>
      <c r="L131" s="746"/>
      <c r="M131" s="746"/>
      <c r="N131" s="746"/>
      <c r="O131" s="746"/>
      <c r="P131" s="746"/>
      <c r="Q131" s="746"/>
      <c r="R131" s="746"/>
      <c r="S131" s="746"/>
      <c r="T131" s="746"/>
      <c r="U131" s="746"/>
      <c r="V131" s="746"/>
      <c r="W131" s="746"/>
      <c r="X131" s="746"/>
      <c r="Y131" s="746"/>
      <c r="Z131" s="746"/>
      <c r="AA131" s="746"/>
      <c r="AB131" s="746"/>
      <c r="AC131" s="746"/>
      <c r="AD131" s="746"/>
      <c r="AE131" s="746"/>
      <c r="AF131" s="746"/>
      <c r="AG131" s="746"/>
      <c r="AH131" s="746"/>
      <c r="AI131" s="746"/>
      <c r="AJ131" s="746"/>
      <c r="AK131" s="746"/>
      <c r="AL131" s="746"/>
      <c r="AM131" s="746"/>
      <c r="AN131" s="746"/>
      <c r="AO131" s="746"/>
      <c r="AP131" s="746"/>
      <c r="AQ131" s="746"/>
      <c r="AR131" s="746"/>
      <c r="AS131" s="746"/>
      <c r="AT131" s="746"/>
      <c r="AU131" s="746"/>
      <c r="AV131" s="746"/>
      <c r="AW131" s="746"/>
      <c r="AX131" s="746"/>
      <c r="AY131" s="746"/>
      <c r="AZ131" s="746"/>
      <c r="BA131" s="746"/>
      <c r="BB131" s="746"/>
      <c r="BC131" s="746"/>
      <c r="BD131" s="746"/>
      <c r="BE131" s="746"/>
      <c r="BF131" s="746"/>
      <c r="BG131" s="746"/>
      <c r="BH131" s="746"/>
      <c r="BI131" s="746"/>
      <c r="BJ131" s="747">
        <f>BJ129/BJ130</f>
        <v>32.738253512036131</v>
      </c>
      <c r="BK131" s="746"/>
      <c r="BL131" s="746"/>
      <c r="BM131" s="746"/>
      <c r="BN131" s="746"/>
      <c r="BO131" s="746"/>
      <c r="BP131" s="748"/>
      <c r="BQ131" s="748"/>
      <c r="BR131" s="748"/>
      <c r="BS131" s="748"/>
      <c r="BT131" s="748"/>
      <c r="BU131" s="748"/>
      <c r="BV131" s="748"/>
      <c r="BW131" s="748"/>
      <c r="BX131" s="748"/>
      <c r="BY131" s="748"/>
      <c r="BZ131" s="748"/>
      <c r="CA131" s="748"/>
      <c r="CB131" s="748"/>
      <c r="CC131" s="748"/>
      <c r="CD131" s="748"/>
      <c r="CE131" s="749"/>
      <c r="CF131" s="748"/>
      <c r="CG131" s="748"/>
      <c r="CH131" s="750"/>
    </row>
  </sheetData>
  <mergeCells count="3">
    <mergeCell ref="BO87:CH87"/>
    <mergeCell ref="BO103:CH103"/>
    <mergeCell ref="BO119:CH119"/>
  </mergeCells>
  <conditionalFormatting sqref="AY1:CD1 A1:AX8 AY7:AZ7 BE7:CD7 AY8:CD8 AY4:CD6 A49:GI49 A41 AP42:AP48 AS44:CD46 AK42:AK48 A42:AF48 A72:GI72 A65:A71 A73:A79 CE73:GI79 AK26:AK31 AS26:BD26 BF26:BI26 BK26:BN26 BP26:BS26 BU26:BX26 BZ26:CC26 AS27:CD30 A40:GI40 A33:AX39 BZ33:CC34 BU33:BX34 BP33:BS34 BK33:BN34 AZ33:BI34 A13:A14 AZ36:BI38 AZ35:BD35 BK36:BN38 BP36:BS38 BU36:BX38 BZ36:CC38 AS42:BD43 C65:BD65 CE65:GI65 C66:GI69 CE33:GI39 BK17:BN24 BP17:BS24 BU17:BX24 BZ17:CC24 A17:BI24 A16 A56:GI64 BJ19:BJ24 BO19:BO24 BT19:BT24 BY19:BY24 AS31:BD31 AZ39:BD39 AS48:CD48 AS47:BD47 C71:GI71 C70:BD70 CE70:GI70 CE1:GI6 CE7:CF9 A86:BE87 CE13:CJ13 A10:CJ12 CH9:CJ9 CI7:GI8 CE15:CJ18 CD19:CJ24 CL15:GI24 CL9:GI13 A80:GI85 A116:GI116 A101:A115 CI101:GI115 BK86:GI86 BK87:BN87 CI87:GI87 A94:GI100 BP89:GI89 BF89:BN89 A88:BD93 BF90:GI93 BF88:GI88 A132:GI65097 A117:A131 CI117:GI131">
    <cfRule type="expression" dxfId="628" priority="122" stopIfTrue="1">
      <formula>ISERROR(A1)</formula>
    </cfRule>
  </conditionalFormatting>
  <conditionalFormatting sqref="A15">
    <cfRule type="expression" dxfId="627" priority="121" stopIfTrue="1">
      <formula>ISERROR(A15)</formula>
    </cfRule>
  </conditionalFormatting>
  <conditionalFormatting sqref="A25:A31 C26:AE31">
    <cfRule type="expression" dxfId="626" priority="120" stopIfTrue="1">
      <formula>ISERROR(A25)</formula>
    </cfRule>
  </conditionalFormatting>
  <conditionalFormatting sqref="BA7:BD7">
    <cfRule type="expression" dxfId="625" priority="119" stopIfTrue="1">
      <formula>ISERROR(BA7)</formula>
    </cfRule>
  </conditionalFormatting>
  <conditionalFormatting sqref="AY33:AY39">
    <cfRule type="expression" dxfId="624" priority="118" stopIfTrue="1">
      <formula>ISERROR(AY33)</formula>
    </cfRule>
  </conditionalFormatting>
  <conditionalFormatting sqref="BJ33 BJ36:BJ38">
    <cfRule type="expression" dxfId="623" priority="117" stopIfTrue="1">
      <formula>ISERROR(BJ33)</formula>
    </cfRule>
  </conditionalFormatting>
  <conditionalFormatting sqref="BO33 BO36:BO38">
    <cfRule type="expression" dxfId="622" priority="116" stopIfTrue="1">
      <formula>ISERROR(BO33)</formula>
    </cfRule>
  </conditionalFormatting>
  <conditionalFormatting sqref="BT33 BT36:BT38">
    <cfRule type="expression" dxfId="621" priority="115" stopIfTrue="1">
      <formula>ISERROR(BT33)</formula>
    </cfRule>
  </conditionalFormatting>
  <conditionalFormatting sqref="BY33 BY36:BY38">
    <cfRule type="expression" dxfId="620" priority="114" stopIfTrue="1">
      <formula>ISERROR(BY33)</formula>
    </cfRule>
  </conditionalFormatting>
  <conditionalFormatting sqref="CD33 CD36:CD38">
    <cfRule type="expression" dxfId="619" priority="113" stopIfTrue="1">
      <formula>ISERROR(CD33)</formula>
    </cfRule>
  </conditionalFormatting>
  <conditionalFormatting sqref="B65:B71">
    <cfRule type="expression" dxfId="618" priority="88" stopIfTrue="1">
      <formula>ISERROR(B65)</formula>
    </cfRule>
  </conditionalFormatting>
  <conditionalFormatting sqref="B26:B31">
    <cfRule type="expression" dxfId="617" priority="112" stopIfTrue="1">
      <formula>ISERROR(B26)</formula>
    </cfRule>
  </conditionalFormatting>
  <conditionalFormatting sqref="B13:CD13">
    <cfRule type="expression" dxfId="616" priority="111" stopIfTrue="1">
      <formula>ISERROR(B13)</formula>
    </cfRule>
  </conditionalFormatting>
  <conditionalFormatting sqref="B41:CD41">
    <cfRule type="expression" dxfId="615" priority="110" stopIfTrue="1">
      <formula>ISERROR(B41)</formula>
    </cfRule>
  </conditionalFormatting>
  <conditionalFormatting sqref="B14:CD14">
    <cfRule type="expression" dxfId="614" priority="109" stopIfTrue="1">
      <formula>ISERROR(B14)</formula>
    </cfRule>
  </conditionalFormatting>
  <conditionalFormatting sqref="B15:CD15">
    <cfRule type="expression" dxfId="613" priority="108" stopIfTrue="1">
      <formula>ISERROR(B15)</formula>
    </cfRule>
  </conditionalFormatting>
  <conditionalFormatting sqref="B16:CD16">
    <cfRule type="expression" dxfId="612" priority="107" stopIfTrue="1">
      <formula>ISERROR(B16)</formula>
    </cfRule>
  </conditionalFormatting>
  <conditionalFormatting sqref="B25:CD25">
    <cfRule type="expression" dxfId="611" priority="106" stopIfTrue="1">
      <formula>ISERROR(B25)</formula>
    </cfRule>
  </conditionalFormatting>
  <conditionalFormatting sqref="AK50:AK55 AU50:AU55 AZ50:AZ55 BE50:BI54 BK50:BN54 BP50:BS54 BU50:BX54 BZ50:CC54">
    <cfRule type="expression" dxfId="610" priority="105" stopIfTrue="1">
      <formula>ISERROR(AK50)</formula>
    </cfRule>
  </conditionalFormatting>
  <conditionalFormatting sqref="A50:A55 C50:AE55">
    <cfRule type="expression" dxfId="609" priority="104" stopIfTrue="1">
      <formula>ISERROR(A50)</formula>
    </cfRule>
  </conditionalFormatting>
  <conditionalFormatting sqref="BB50:BB55">
    <cfRule type="expression" dxfId="608" priority="103" stopIfTrue="1">
      <formula>ISERROR(BB50)</formula>
    </cfRule>
  </conditionalFormatting>
  <conditionalFormatting sqref="AW50:AX55">
    <cfRule type="expression" dxfId="607" priority="102" stopIfTrue="1">
      <formula>ISERROR(AW50)</formula>
    </cfRule>
  </conditionalFormatting>
  <conditionalFormatting sqref="BA50:BA55">
    <cfRule type="expression" dxfId="606" priority="101" stopIfTrue="1">
      <formula>ISERROR(BA50)</formula>
    </cfRule>
  </conditionalFormatting>
  <conditionalFormatting sqref="AV50:AV55">
    <cfRule type="expression" dxfId="605" priority="100" stopIfTrue="1">
      <formula>ISERROR(AV50)</formula>
    </cfRule>
  </conditionalFormatting>
  <conditionalFormatting sqref="AY50:AY55">
    <cfRule type="expression" dxfId="604" priority="99" stopIfTrue="1">
      <formula>ISERROR(AY50)</formula>
    </cfRule>
  </conditionalFormatting>
  <conditionalFormatting sqref="AT50:AT55">
    <cfRule type="expression" dxfId="603" priority="98" stopIfTrue="1">
      <formula>ISERROR(AT50)</formula>
    </cfRule>
  </conditionalFormatting>
  <conditionalFormatting sqref="AS50:AS55">
    <cfRule type="expression" dxfId="602" priority="97" stopIfTrue="1">
      <formula>ISERROR(AS50)</formula>
    </cfRule>
  </conditionalFormatting>
  <conditionalFormatting sqref="CD51:CD54">
    <cfRule type="expression" dxfId="601" priority="90" stopIfTrue="1">
      <formula>ISERROR(CD51)</formula>
    </cfRule>
  </conditionalFormatting>
  <conditionalFormatting sqref="BO51:BO54">
    <cfRule type="expression" dxfId="600" priority="93" stopIfTrue="1">
      <formula>ISERROR(BO51)</formula>
    </cfRule>
  </conditionalFormatting>
  <conditionalFormatting sqref="BC50:BC55">
    <cfRule type="expression" dxfId="599" priority="96" stopIfTrue="1">
      <formula>ISERROR(BC50)</formula>
    </cfRule>
  </conditionalFormatting>
  <conditionalFormatting sqref="BD50:BD55">
    <cfRule type="expression" dxfId="598" priority="95" stopIfTrue="1">
      <formula>ISERROR(BD50)</formula>
    </cfRule>
  </conditionalFormatting>
  <conditionalFormatting sqref="BJ51:BJ54">
    <cfRule type="expression" dxfId="597" priority="94" stopIfTrue="1">
      <formula>ISERROR(BJ51)</formula>
    </cfRule>
  </conditionalFormatting>
  <conditionalFormatting sqref="BT51:BT54">
    <cfRule type="expression" dxfId="596" priority="92" stopIfTrue="1">
      <formula>ISERROR(BT51)</formula>
    </cfRule>
  </conditionalFormatting>
  <conditionalFormatting sqref="BY51:BY54">
    <cfRule type="expression" dxfId="595" priority="91" stopIfTrue="1">
      <formula>ISERROR(BY51)</formula>
    </cfRule>
  </conditionalFormatting>
  <conditionalFormatting sqref="B50:B55">
    <cfRule type="expression" dxfId="594" priority="89" stopIfTrue="1">
      <formula>ISERROR(B50)</formula>
    </cfRule>
  </conditionalFormatting>
  <conditionalFormatting sqref="C75:CD77 C73:BD74 C79:CD79 C78:BD78">
    <cfRule type="expression" dxfId="593" priority="87" stopIfTrue="1">
      <formula>ISERROR(C73)</formula>
    </cfRule>
  </conditionalFormatting>
  <conditionalFormatting sqref="B73:B79">
    <cfRule type="expression" dxfId="592" priority="86" stopIfTrue="1">
      <formula>ISERROR(B73)</formula>
    </cfRule>
  </conditionalFormatting>
  <conditionalFormatting sqref="A9:AX9 AZ9:BI9 BK9:BN9 BP9:BS9 BU9:BX9 BZ9:CC9">
    <cfRule type="expression" dxfId="591" priority="85" stopIfTrue="1">
      <formula>ISERROR(A9)</formula>
    </cfRule>
  </conditionalFormatting>
  <conditionalFormatting sqref="AY9">
    <cfRule type="expression" dxfId="590" priority="84" stopIfTrue="1">
      <formula>ISERROR(AY9)</formula>
    </cfRule>
  </conditionalFormatting>
  <conditionalFormatting sqref="BJ9">
    <cfRule type="expression" dxfId="589" priority="83" stopIfTrue="1">
      <formula>ISERROR(BJ9)</formula>
    </cfRule>
  </conditionalFormatting>
  <conditionalFormatting sqref="BO9">
    <cfRule type="expression" dxfId="588" priority="82" stopIfTrue="1">
      <formula>ISERROR(BO9)</formula>
    </cfRule>
  </conditionalFormatting>
  <conditionalFormatting sqref="BT9">
    <cfRule type="expression" dxfId="587" priority="81" stopIfTrue="1">
      <formula>ISERROR(BT9)</formula>
    </cfRule>
  </conditionalFormatting>
  <conditionalFormatting sqref="BY9">
    <cfRule type="expression" dxfId="586" priority="80" stopIfTrue="1">
      <formula>ISERROR(BY9)</formula>
    </cfRule>
  </conditionalFormatting>
  <conditionalFormatting sqref="CD9">
    <cfRule type="expression" dxfId="585" priority="79" stopIfTrue="1">
      <formula>ISERROR(CD9)</formula>
    </cfRule>
  </conditionalFormatting>
  <conditionalFormatting sqref="CD32">
    <cfRule type="expression" dxfId="584" priority="72" stopIfTrue="1">
      <formula>ISERROR(CD32)</formula>
    </cfRule>
  </conditionalFormatting>
  <conditionalFormatting sqref="CD18">
    <cfRule type="expression" dxfId="583" priority="62" stopIfTrue="1">
      <formula>ISERROR(CD18)</formula>
    </cfRule>
  </conditionalFormatting>
  <conditionalFormatting sqref="AZ32:BI32 A32:AX32 CE32:GI32 BZ32:CC32 BU32:BX32 BP32:BS32 BK32:BN32">
    <cfRule type="expression" dxfId="582" priority="78" stopIfTrue="1">
      <formula>ISERROR(A32)</formula>
    </cfRule>
  </conditionalFormatting>
  <conditionalFormatting sqref="AY32">
    <cfRule type="expression" dxfId="581" priority="77" stopIfTrue="1">
      <formula>ISERROR(AY32)</formula>
    </cfRule>
  </conditionalFormatting>
  <conditionalFormatting sqref="BJ32">
    <cfRule type="expression" dxfId="580" priority="76" stopIfTrue="1">
      <formula>ISERROR(BJ32)</formula>
    </cfRule>
  </conditionalFormatting>
  <conditionalFormatting sqref="BO32">
    <cfRule type="expression" dxfId="579" priority="75" stopIfTrue="1">
      <formula>ISERROR(BO32)</formula>
    </cfRule>
  </conditionalFormatting>
  <conditionalFormatting sqref="BT32">
    <cfRule type="expression" dxfId="578" priority="74" stopIfTrue="1">
      <formula>ISERROR(BT32)</formula>
    </cfRule>
  </conditionalFormatting>
  <conditionalFormatting sqref="BY32">
    <cfRule type="expression" dxfId="577" priority="73" stopIfTrue="1">
      <formula>ISERROR(BY32)</formula>
    </cfRule>
  </conditionalFormatting>
  <conditionalFormatting sqref="BJ17">
    <cfRule type="expression" dxfId="576" priority="71" stopIfTrue="1">
      <formula>ISERROR(BJ17)</formula>
    </cfRule>
  </conditionalFormatting>
  <conditionalFormatting sqref="BO17">
    <cfRule type="expression" dxfId="575" priority="70" stopIfTrue="1">
      <formula>ISERROR(BO17)</formula>
    </cfRule>
  </conditionalFormatting>
  <conditionalFormatting sqref="BT17">
    <cfRule type="expression" dxfId="574" priority="69" stopIfTrue="1">
      <formula>ISERROR(BT17)</formula>
    </cfRule>
  </conditionalFormatting>
  <conditionalFormatting sqref="BY17">
    <cfRule type="expression" dxfId="573" priority="68" stopIfTrue="1">
      <formula>ISERROR(BY17)</formula>
    </cfRule>
  </conditionalFormatting>
  <conditionalFormatting sqref="CD17">
    <cfRule type="expression" dxfId="572" priority="67" stopIfTrue="1">
      <formula>ISERROR(CD17)</formula>
    </cfRule>
  </conditionalFormatting>
  <conditionalFormatting sqref="BJ18">
    <cfRule type="expression" dxfId="571" priority="66" stopIfTrue="1">
      <formula>ISERROR(BJ18)</formula>
    </cfRule>
  </conditionalFormatting>
  <conditionalFormatting sqref="BO18">
    <cfRule type="expression" dxfId="570" priority="65" stopIfTrue="1">
      <formula>ISERROR(BO18)</formula>
    </cfRule>
  </conditionalFormatting>
  <conditionalFormatting sqref="BT18">
    <cfRule type="expression" dxfId="569" priority="64" stopIfTrue="1">
      <formula>ISERROR(BT18)</formula>
    </cfRule>
  </conditionalFormatting>
  <conditionalFormatting sqref="BY18">
    <cfRule type="expression" dxfId="568" priority="63" stopIfTrue="1">
      <formula>ISERROR(BY18)</formula>
    </cfRule>
  </conditionalFormatting>
  <conditionalFormatting sqref="BE26">
    <cfRule type="expression" dxfId="567" priority="61" stopIfTrue="1">
      <formula>ISERROR(BE26)</formula>
    </cfRule>
  </conditionalFormatting>
  <conditionalFormatting sqref="BJ26">
    <cfRule type="expression" dxfId="566" priority="60" stopIfTrue="1">
      <formula>ISERROR(BJ26)</formula>
    </cfRule>
  </conditionalFormatting>
  <conditionalFormatting sqref="BO26">
    <cfRule type="expression" dxfId="565" priority="59" stopIfTrue="1">
      <formula>ISERROR(BO26)</formula>
    </cfRule>
  </conditionalFormatting>
  <conditionalFormatting sqref="BT26">
    <cfRule type="expression" dxfId="564" priority="58" stopIfTrue="1">
      <formula>ISERROR(BT26)</formula>
    </cfRule>
  </conditionalFormatting>
  <conditionalFormatting sqref="BJ34">
    <cfRule type="expression" dxfId="563" priority="57" stopIfTrue="1">
      <formula>ISERROR(BJ34)</formula>
    </cfRule>
  </conditionalFormatting>
  <conditionalFormatting sqref="BO34">
    <cfRule type="expression" dxfId="562" priority="56" stopIfTrue="1">
      <formula>ISERROR(BO34)</formula>
    </cfRule>
  </conditionalFormatting>
  <conditionalFormatting sqref="BT34">
    <cfRule type="expression" dxfId="561" priority="55" stopIfTrue="1">
      <formula>ISERROR(BT34)</formula>
    </cfRule>
  </conditionalFormatting>
  <conditionalFormatting sqref="BY34">
    <cfRule type="expression" dxfId="560" priority="54" stopIfTrue="1">
      <formula>ISERROR(BY34)</formula>
    </cfRule>
  </conditionalFormatting>
  <conditionalFormatting sqref="CD34">
    <cfRule type="expression" dxfId="559" priority="53" stopIfTrue="1">
      <formula>ISERROR(CD34)</formula>
    </cfRule>
  </conditionalFormatting>
  <conditionalFormatting sqref="BE35:CD35">
    <cfRule type="expression" dxfId="558" priority="52" stopIfTrue="1">
      <formula>ISERROR(BE35)</formula>
    </cfRule>
  </conditionalFormatting>
  <conditionalFormatting sqref="BZ42:CC42 BU42:BX42 BP42:BS42 BK42:BN42 BE42:BI42">
    <cfRule type="expression" dxfId="557" priority="51" stopIfTrue="1">
      <formula>ISERROR(BE42)</formula>
    </cfRule>
  </conditionalFormatting>
  <conditionalFormatting sqref="BJ42">
    <cfRule type="expression" dxfId="556" priority="50" stopIfTrue="1">
      <formula>ISERROR(BJ42)</formula>
    </cfRule>
  </conditionalFormatting>
  <conditionalFormatting sqref="BE43:CD43">
    <cfRule type="expression" dxfId="555" priority="49" stopIfTrue="1">
      <formula>ISERROR(BE43)</formula>
    </cfRule>
  </conditionalFormatting>
  <conditionalFormatting sqref="BZ65:CC65 BU65:BX65 BP65:BS65 BK65:BN65 BE65:BI65">
    <cfRule type="expression" dxfId="554" priority="48" stopIfTrue="1">
      <formula>ISERROR(BE65)</formula>
    </cfRule>
  </conditionalFormatting>
  <conditionalFormatting sqref="BJ65">
    <cfRule type="expression" dxfId="553" priority="47" stopIfTrue="1">
      <formula>ISERROR(BJ65)</formula>
    </cfRule>
  </conditionalFormatting>
  <conditionalFormatting sqref="BO65">
    <cfRule type="expression" dxfId="552" priority="46" stopIfTrue="1">
      <formula>ISERROR(BO65)</formula>
    </cfRule>
  </conditionalFormatting>
  <conditionalFormatting sqref="BT65">
    <cfRule type="expression" dxfId="551" priority="45" stopIfTrue="1">
      <formula>ISERROR(BT65)</formula>
    </cfRule>
  </conditionalFormatting>
  <conditionalFormatting sqref="BY65">
    <cfRule type="expression" dxfId="550" priority="44" stopIfTrue="1">
      <formula>ISERROR(BY65)</formula>
    </cfRule>
  </conditionalFormatting>
  <conditionalFormatting sqref="CD65">
    <cfRule type="expression" dxfId="549" priority="43" stopIfTrue="1">
      <formula>ISERROR(CD65)</formula>
    </cfRule>
  </conditionalFormatting>
  <conditionalFormatting sqref="BT73">
    <cfRule type="expression" dxfId="548" priority="38" stopIfTrue="1">
      <formula>ISERROR(BT73)</formula>
    </cfRule>
  </conditionalFormatting>
  <conditionalFormatting sqref="BE74:CD74">
    <cfRule type="expression" dxfId="547" priority="42" stopIfTrue="1">
      <formula>ISERROR(BE74)</formula>
    </cfRule>
  </conditionalFormatting>
  <conditionalFormatting sqref="BZ73:CC73 BU73:BX73 BP73:BS73 BK73:BN73 BE73:BI73">
    <cfRule type="expression" dxfId="546" priority="41" stopIfTrue="1">
      <formula>ISERROR(BE73)</formula>
    </cfRule>
  </conditionalFormatting>
  <conditionalFormatting sqref="BJ73">
    <cfRule type="expression" dxfId="545" priority="40" stopIfTrue="1">
      <formula>ISERROR(BJ73)</formula>
    </cfRule>
  </conditionalFormatting>
  <conditionalFormatting sqref="BO73">
    <cfRule type="expression" dxfId="544" priority="39" stopIfTrue="1">
      <formula>ISERROR(BO73)</formula>
    </cfRule>
  </conditionalFormatting>
  <conditionalFormatting sqref="BY73">
    <cfRule type="expression" dxfId="543" priority="37" stopIfTrue="1">
      <formula>ISERROR(BY73)</formula>
    </cfRule>
  </conditionalFormatting>
  <conditionalFormatting sqref="CD73">
    <cfRule type="expression" dxfId="542" priority="36" stopIfTrue="1">
      <formula>ISERROR(CD73)</formula>
    </cfRule>
  </conditionalFormatting>
  <conditionalFormatting sqref="BJ50">
    <cfRule type="expression" dxfId="541" priority="35" stopIfTrue="1">
      <formula>ISERROR(BJ50)</formula>
    </cfRule>
  </conditionalFormatting>
  <conditionalFormatting sqref="BO50">
    <cfRule type="expression" dxfId="540" priority="34" stopIfTrue="1">
      <formula>ISERROR(BO50)</formula>
    </cfRule>
  </conditionalFormatting>
  <conditionalFormatting sqref="BT50">
    <cfRule type="expression" dxfId="539" priority="33" stopIfTrue="1">
      <formula>ISERROR(BT50)</formula>
    </cfRule>
  </conditionalFormatting>
  <conditionalFormatting sqref="BY50">
    <cfRule type="expression" dxfId="538" priority="32" stopIfTrue="1">
      <formula>ISERROR(BY50)</formula>
    </cfRule>
  </conditionalFormatting>
  <conditionalFormatting sqref="CD50">
    <cfRule type="expression" dxfId="537" priority="31" stopIfTrue="1">
      <formula>ISERROR(CD50)</formula>
    </cfRule>
  </conditionalFormatting>
  <conditionalFormatting sqref="BE31:CD31">
    <cfRule type="expression" dxfId="536" priority="30" stopIfTrue="1">
      <formula>ISERROR(BE31)</formula>
    </cfRule>
  </conditionalFormatting>
  <conditionalFormatting sqref="BE39:CD39">
    <cfRule type="expression" dxfId="535" priority="29" stopIfTrue="1">
      <formula>ISERROR(BE39)</formula>
    </cfRule>
  </conditionalFormatting>
  <conditionalFormatting sqref="BE47:CD47">
    <cfRule type="expression" dxfId="534" priority="28" stopIfTrue="1">
      <formula>ISERROR(BE47)</formula>
    </cfRule>
  </conditionalFormatting>
  <conditionalFormatting sqref="BE55:CD55">
    <cfRule type="expression" dxfId="533" priority="27" stopIfTrue="1">
      <formula>ISERROR(BE55)</formula>
    </cfRule>
  </conditionalFormatting>
  <conditionalFormatting sqref="BE70:CD70">
    <cfRule type="expression" dxfId="532" priority="26" stopIfTrue="1">
      <formula>ISERROR(BE70)</formula>
    </cfRule>
  </conditionalFormatting>
  <conditionalFormatting sqref="BE78:CD78">
    <cfRule type="expression" dxfId="531" priority="25" stopIfTrue="1">
      <formula>ISERROR(BE78)</formula>
    </cfRule>
  </conditionalFormatting>
  <conditionalFormatting sqref="BJ86:BJ87">
    <cfRule type="expression" dxfId="530" priority="24" stopIfTrue="1">
      <formula>ISERROR(BJ86)</formula>
    </cfRule>
  </conditionalFormatting>
  <conditionalFormatting sqref="CK9:CK13 CK15:CK24">
    <cfRule type="expression" dxfId="529" priority="23" stopIfTrue="1">
      <formula>ISERROR(CK9)</formula>
    </cfRule>
  </conditionalFormatting>
  <conditionalFormatting sqref="BK102:CH102 B102:BE103 B101:CH101 B110:CH111 B112:BI115 BK112:CH115 BK103:BN103 B104:BD109 BF104:CH104 BF109:CH109 BF108:BN108 BP108:CH108 BF106:CH107 BF105:BN105 BP105:CH105">
    <cfRule type="expression" dxfId="528" priority="22" stopIfTrue="1">
      <formula>ISERROR(B101)</formula>
    </cfRule>
  </conditionalFormatting>
  <conditionalFormatting sqref="BJ102:BJ103">
    <cfRule type="expression" dxfId="527" priority="21" stopIfTrue="1">
      <formula>ISERROR(BJ102)</formula>
    </cfRule>
  </conditionalFormatting>
  <conditionalFormatting sqref="BJ112:BJ115">
    <cfRule type="expression" dxfId="526" priority="20" stopIfTrue="1">
      <formula>ISERROR(BJ112)</formula>
    </cfRule>
  </conditionalFormatting>
  <conditionalFormatting sqref="BO87">
    <cfRule type="expression" dxfId="525" priority="19" stopIfTrue="1">
      <formula>ISERROR(BO87)</formula>
    </cfRule>
  </conditionalFormatting>
  <conditionalFormatting sqref="BO103">
    <cfRule type="expression" dxfId="524" priority="18" stopIfTrue="1">
      <formula>ISERROR(BO103)</formula>
    </cfRule>
  </conditionalFormatting>
  <conditionalFormatting sqref="BO89">
    <cfRule type="expression" dxfId="523" priority="17" stopIfTrue="1">
      <formula>ISERROR(BO89)</formula>
    </cfRule>
  </conditionalFormatting>
  <conditionalFormatting sqref="BE88:BE93">
    <cfRule type="expression" dxfId="522" priority="16" stopIfTrue="1">
      <formula>ISERROR(BE88)</formula>
    </cfRule>
  </conditionalFormatting>
  <conditionalFormatting sqref="BE104:BE109">
    <cfRule type="expression" dxfId="521" priority="15" stopIfTrue="1">
      <formula>ISERROR(BE104)</formula>
    </cfRule>
  </conditionalFormatting>
  <conditionalFormatting sqref="BY26">
    <cfRule type="expression" dxfId="520" priority="14" stopIfTrue="1">
      <formula>ISERROR(BY26)</formula>
    </cfRule>
  </conditionalFormatting>
  <conditionalFormatting sqref="CD26">
    <cfRule type="expression" dxfId="519" priority="13" stopIfTrue="1">
      <formula>ISERROR(CD26)</formula>
    </cfRule>
  </conditionalFormatting>
  <conditionalFormatting sqref="BO42">
    <cfRule type="expression" dxfId="518" priority="12" stopIfTrue="1">
      <formula>ISERROR(BO42)</formula>
    </cfRule>
  </conditionalFormatting>
  <conditionalFormatting sqref="BT42">
    <cfRule type="expression" dxfId="517" priority="11" stopIfTrue="1">
      <formula>ISERROR(BT42)</formula>
    </cfRule>
  </conditionalFormatting>
  <conditionalFormatting sqref="BY42">
    <cfRule type="expression" dxfId="516" priority="10" stopIfTrue="1">
      <formula>ISERROR(BY42)</formula>
    </cfRule>
  </conditionalFormatting>
  <conditionalFormatting sqref="CD42">
    <cfRule type="expression" dxfId="515" priority="9" stopIfTrue="1">
      <formula>ISERROR(CD42)</formula>
    </cfRule>
  </conditionalFormatting>
  <conditionalFormatting sqref="BK118:CH118 B118:BE119 B117:CH117 B126:CH127 B128:BI131 BK128:CH131 BK119:BN119 B120:BD125 BF120:CH120 BF122:CH125 BF121:BN121 BP121:CH121">
    <cfRule type="expression" dxfId="514" priority="8" stopIfTrue="1">
      <formula>ISERROR(B117)</formula>
    </cfRule>
  </conditionalFormatting>
  <conditionalFormatting sqref="BJ118:BJ119">
    <cfRule type="expression" dxfId="513" priority="7" stopIfTrue="1">
      <formula>ISERROR(BJ118)</formula>
    </cfRule>
  </conditionalFormatting>
  <conditionalFormatting sqref="BJ128:BJ131">
    <cfRule type="expression" dxfId="512" priority="6" stopIfTrue="1">
      <formula>ISERROR(BJ128)</formula>
    </cfRule>
  </conditionalFormatting>
  <conditionalFormatting sqref="BO119">
    <cfRule type="expression" dxfId="511" priority="5" stopIfTrue="1">
      <formula>ISERROR(BO119)</formula>
    </cfRule>
  </conditionalFormatting>
  <conditionalFormatting sqref="BE120:BE125">
    <cfRule type="expression" dxfId="510" priority="4" stopIfTrue="1">
      <formula>ISERROR(BE120)</formula>
    </cfRule>
  </conditionalFormatting>
  <conditionalFormatting sqref="BO108">
    <cfRule type="expression" dxfId="509" priority="3" stopIfTrue="1">
      <formula>ISERROR(BO108)</formula>
    </cfRule>
  </conditionalFormatting>
  <conditionalFormatting sqref="BO105">
    <cfRule type="expression" dxfId="508" priority="2" stopIfTrue="1">
      <formula>ISERROR(BO105)</formula>
    </cfRule>
  </conditionalFormatting>
  <conditionalFormatting sqref="BO121">
    <cfRule type="expression" dxfId="507" priority="1" stopIfTrue="1">
      <formula>ISERROR(BO121)</formula>
    </cfRule>
  </conditionalFormatting>
  <dataValidations count="1">
    <dataValidation type="custom" allowBlank="1" showInputMessage="1" showErrorMessage="1" sqref="BK8:BN8 BZ8:CC8 BU8:BX8 BP8:BS8 BF8:BI8 W7:Z8 AV7:AY8 AQ7:AT8 AL7:AO8 AB7:AE8 AG7:AJ8 R6:U8 BA7:BD8">
      <formula1>-1</formula1>
    </dataValidation>
  </dataValidations>
  <pageMargins left="0.75" right="0.75" top="1" bottom="1" header="0.5" footer="0.5"/>
  <pageSetup scale="3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7"/>
  <sheetViews>
    <sheetView showGridLines="0" tabSelected="1" workbookViewId="0"/>
  </sheetViews>
  <sheetFormatPr baseColWidth="10" defaultRowHeight="16" x14ac:dyDescent="0.2"/>
  <cols>
    <col min="1" max="1" width="4.33203125" style="1006" customWidth="1"/>
    <col min="2" max="3" width="3.33203125" style="1006" customWidth="1"/>
    <col min="4" max="4" width="72" style="1006" customWidth="1"/>
    <col min="5" max="5" width="1.1640625" style="1006" customWidth="1"/>
    <col min="6" max="6" width="67.33203125" style="1006" customWidth="1"/>
    <col min="7" max="8" width="3.1640625" style="1006" customWidth="1"/>
    <col min="9" max="16384" width="10.83203125" style="1006"/>
  </cols>
  <sheetData>
    <row r="1" spans="2:8" ht="17" thickBot="1" x14ac:dyDescent="0.25"/>
    <row r="2" spans="2:8" x14ac:dyDescent="0.2">
      <c r="B2" s="1007"/>
      <c r="C2" s="1008"/>
      <c r="D2" s="1008"/>
      <c r="E2" s="1008"/>
      <c r="F2" s="1008"/>
      <c r="G2" s="1008"/>
      <c r="H2" s="1009"/>
    </row>
    <row r="3" spans="2:8" x14ac:dyDescent="0.2">
      <c r="B3" s="1010"/>
      <c r="C3" s="1011"/>
      <c r="D3" s="1011"/>
      <c r="E3" s="1011"/>
      <c r="F3" s="1011"/>
      <c r="G3" s="1011"/>
      <c r="H3" s="1012"/>
    </row>
    <row r="4" spans="2:8" x14ac:dyDescent="0.2">
      <c r="B4" s="1010"/>
      <c r="C4" s="1011"/>
      <c r="D4" s="1011"/>
      <c r="E4" s="1011"/>
      <c r="F4" s="1011"/>
      <c r="G4" s="1011"/>
      <c r="H4" s="1012"/>
    </row>
    <row r="5" spans="2:8" x14ac:dyDescent="0.2">
      <c r="B5" s="1010"/>
      <c r="C5" s="1011"/>
      <c r="D5" s="1011"/>
      <c r="E5" s="1011"/>
      <c r="F5" s="1011"/>
      <c r="G5" s="1011"/>
      <c r="H5" s="1012"/>
    </row>
    <row r="6" spans="2:8" x14ac:dyDescent="0.2">
      <c r="B6" s="1010"/>
      <c r="C6" s="1011"/>
      <c r="D6" s="1011"/>
      <c r="E6" s="1011"/>
      <c r="F6" s="1011"/>
      <c r="G6" s="1011"/>
      <c r="H6" s="1012"/>
    </row>
    <row r="7" spans="2:8" x14ac:dyDescent="0.2">
      <c r="B7" s="1010"/>
      <c r="C7" s="1011"/>
      <c r="D7" s="1011"/>
      <c r="E7" s="1011"/>
      <c r="F7" s="1011"/>
      <c r="G7" s="1011"/>
      <c r="H7" s="1012"/>
    </row>
    <row r="8" spans="2:8" x14ac:dyDescent="0.2">
      <c r="B8" s="1010"/>
      <c r="C8" s="1011"/>
      <c r="D8" s="1011"/>
      <c r="E8" s="1011"/>
      <c r="F8" s="1011"/>
      <c r="G8" s="1011"/>
      <c r="H8" s="1012"/>
    </row>
    <row r="9" spans="2:8" x14ac:dyDescent="0.2">
      <c r="B9" s="1010"/>
      <c r="C9" s="1011"/>
      <c r="D9" s="1011"/>
      <c r="E9" s="1011"/>
      <c r="F9" s="1011"/>
      <c r="G9" s="1011"/>
      <c r="H9" s="1012"/>
    </row>
    <row r="10" spans="2:8" x14ac:dyDescent="0.2">
      <c r="B10" s="1010"/>
      <c r="C10" s="1011"/>
      <c r="D10" s="1011"/>
      <c r="E10" s="1011"/>
      <c r="F10" s="1011"/>
      <c r="G10" s="1011"/>
      <c r="H10" s="1012"/>
    </row>
    <row r="11" spans="2:8" x14ac:dyDescent="0.2">
      <c r="B11" s="1010"/>
      <c r="C11" s="1011"/>
      <c r="D11" s="1011"/>
      <c r="E11" s="1011"/>
      <c r="F11" s="1011"/>
      <c r="G11" s="1011"/>
      <c r="H11" s="1012"/>
    </row>
    <row r="12" spans="2:8" x14ac:dyDescent="0.2">
      <c r="B12" s="1010"/>
      <c r="C12" s="1011"/>
      <c r="D12" s="1011"/>
      <c r="E12" s="1011"/>
      <c r="F12" s="1011"/>
      <c r="G12" s="1011"/>
      <c r="H12" s="1012"/>
    </row>
    <row r="13" spans="2:8" ht="71" customHeight="1" x14ac:dyDescent="0.2">
      <c r="B13" s="1010"/>
      <c r="C13" s="1011"/>
      <c r="D13" s="1013" t="s">
        <v>445</v>
      </c>
      <c r="E13" s="1013"/>
      <c r="F13" s="1013"/>
      <c r="G13" s="1011"/>
      <c r="H13" s="1012"/>
    </row>
    <row r="14" spans="2:8" ht="24" x14ac:dyDescent="0.2">
      <c r="B14" s="1010"/>
      <c r="C14" s="1011"/>
      <c r="D14" s="1014"/>
      <c r="E14" s="1014"/>
      <c r="F14" s="1014"/>
      <c r="G14" s="1011"/>
      <c r="H14" s="1012"/>
    </row>
    <row r="15" spans="2:8" ht="24" x14ac:dyDescent="0.3">
      <c r="B15" s="1010"/>
      <c r="C15" s="1011"/>
      <c r="D15" s="1015" t="s">
        <v>446</v>
      </c>
      <c r="E15" s="1016"/>
      <c r="F15" s="1015" t="s">
        <v>447</v>
      </c>
      <c r="G15" s="1011"/>
      <c r="H15" s="1012"/>
    </row>
    <row r="16" spans="2:8" ht="5" customHeight="1" x14ac:dyDescent="0.2">
      <c r="B16" s="1010"/>
      <c r="C16" s="1011"/>
      <c r="D16" s="1017"/>
      <c r="E16" s="1017"/>
      <c r="F16" s="1018"/>
      <c r="G16" s="1011"/>
      <c r="H16" s="1012"/>
    </row>
    <row r="17" spans="2:8" ht="24" x14ac:dyDescent="0.3">
      <c r="B17" s="1010"/>
      <c r="C17" s="1011"/>
      <c r="D17" s="1019" t="s">
        <v>448</v>
      </c>
      <c r="E17" s="1019"/>
      <c r="F17" s="1020" t="s">
        <v>449</v>
      </c>
      <c r="G17" s="1011"/>
      <c r="H17" s="1012"/>
    </row>
    <row r="18" spans="2:8" ht="24" x14ac:dyDescent="0.3">
      <c r="B18" s="1010"/>
      <c r="C18" s="1011"/>
      <c r="D18" s="1020" t="s">
        <v>450</v>
      </c>
      <c r="E18" s="1020"/>
      <c r="F18" s="1020" t="s">
        <v>451</v>
      </c>
      <c r="G18" s="1011"/>
      <c r="H18" s="1012"/>
    </row>
    <row r="19" spans="2:8" ht="24" x14ac:dyDescent="0.3">
      <c r="B19" s="1010"/>
      <c r="C19" s="1011"/>
      <c r="D19" s="1020" t="s">
        <v>452</v>
      </c>
      <c r="E19" s="1020"/>
      <c r="F19" s="1020" t="s">
        <v>453</v>
      </c>
      <c r="G19" s="1011"/>
      <c r="H19" s="1012"/>
    </row>
    <row r="20" spans="2:8" ht="24" x14ac:dyDescent="0.3">
      <c r="B20" s="1010"/>
      <c r="C20" s="1011"/>
      <c r="D20" s="1020" t="s">
        <v>454</v>
      </c>
      <c r="E20" s="1020"/>
      <c r="F20" s="1020" t="s">
        <v>455</v>
      </c>
      <c r="G20" s="1011"/>
      <c r="H20" s="1012"/>
    </row>
    <row r="21" spans="2:8" ht="24" x14ac:dyDescent="0.3">
      <c r="B21" s="1010"/>
      <c r="C21" s="1011"/>
      <c r="D21" s="1020" t="s">
        <v>456</v>
      </c>
      <c r="E21" s="1020"/>
      <c r="F21" s="1021"/>
      <c r="G21" s="1011"/>
      <c r="H21" s="1012"/>
    </row>
    <row r="22" spans="2:8" x14ac:dyDescent="0.2">
      <c r="B22" s="1022"/>
      <c r="C22" s="1023"/>
      <c r="D22" s="1017"/>
      <c r="E22" s="1017"/>
      <c r="F22" s="1024"/>
      <c r="G22" s="1011"/>
      <c r="H22" s="1012"/>
    </row>
    <row r="23" spans="2:8" x14ac:dyDescent="0.2">
      <c r="B23" s="1022"/>
      <c r="C23" s="1023"/>
      <c r="D23" s="1017"/>
      <c r="E23" s="1017"/>
      <c r="F23" s="1024"/>
      <c r="G23" s="1011"/>
      <c r="H23" s="1012"/>
    </row>
    <row r="24" spans="2:8" x14ac:dyDescent="0.2">
      <c r="B24" s="1010"/>
      <c r="C24" s="1011"/>
      <c r="D24" s="1017"/>
      <c r="E24" s="1017"/>
      <c r="F24" s="1018"/>
      <c r="G24" s="1011"/>
      <c r="H24" s="1012"/>
    </row>
    <row r="25" spans="2:8" x14ac:dyDescent="0.2">
      <c r="B25" s="1010"/>
      <c r="C25" s="1011"/>
      <c r="D25" s="1017"/>
      <c r="E25" s="1017"/>
      <c r="F25" s="1018"/>
      <c r="G25" s="1011"/>
      <c r="H25" s="1012"/>
    </row>
    <row r="26" spans="2:8" x14ac:dyDescent="0.2">
      <c r="B26" s="1010"/>
      <c r="C26" s="1011"/>
      <c r="D26" s="1011"/>
      <c r="E26" s="1011"/>
      <c r="F26" s="1011"/>
      <c r="G26" s="1011"/>
      <c r="H26" s="1012"/>
    </row>
    <row r="27" spans="2:8" ht="17" thickBot="1" x14ac:dyDescent="0.25">
      <c r="B27" s="1025"/>
      <c r="C27" s="1026"/>
      <c r="D27" s="1026"/>
      <c r="E27" s="1026"/>
      <c r="F27" s="1026"/>
      <c r="G27" s="1026"/>
      <c r="H27" s="1027"/>
    </row>
  </sheetData>
  <mergeCells count="1">
    <mergeCell ref="D13:F13"/>
  </mergeCells>
  <hyperlinks>
    <hyperlink ref="D17" r:id="rId1"/>
    <hyperlink ref="D18" r:id="rId2"/>
    <hyperlink ref="D19" r:id="rId3"/>
    <hyperlink ref="F17" r:id="rId4" display="Interview &amp; Prep Courses (IB, PE, HF, Consulting)"/>
    <hyperlink ref="D20" r:id="rId5" display="WSO Templates (Resume, Networking, Models, etc)"/>
    <hyperlink ref="F18" r:id="rId6" display="Resume Review Service"/>
    <hyperlink ref="F19" r:id="rId7" display="Find a Mentor"/>
    <hyperlink ref="D21" r:id="rId8" display="The Talent Oasis - Land a Job!"/>
    <hyperlink ref="F20" r:id="rId9" display="GMAT/Series 7 Exam Prep Courses"/>
  </hyperlinks>
  <pageMargins left="0.7" right="0.7" top="0.75" bottom="0.75" header="0.3" footer="0.3"/>
  <pageSetup orientation="portrait" horizontalDpi="0" verticalDpi="0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105"/>
  <sheetViews>
    <sheetView showGridLines="0" workbookViewId="0">
      <pane xSplit="3" ySplit="3" topLeftCell="D77" activePane="bottomRight" state="frozen"/>
      <selection activeCell="L4" sqref="L4"/>
      <selection pane="topRight" activeCell="L4" sqref="L4"/>
      <selection pane="bottomLeft" activeCell="L4" sqref="L4"/>
      <selection pane="bottomRight" activeCell="B111" sqref="B111"/>
    </sheetView>
  </sheetViews>
  <sheetFormatPr baseColWidth="10" defaultColWidth="9.1640625" defaultRowHeight="13" x14ac:dyDescent="0.15"/>
  <cols>
    <col min="1" max="1" width="2" style="914" customWidth="1"/>
    <col min="2" max="2" width="44" style="898" bestFit="1" customWidth="1"/>
    <col min="3" max="3" width="9.83203125" style="898" customWidth="1"/>
    <col min="4" max="4" width="10.33203125" style="898" bestFit="1" customWidth="1"/>
    <col min="5" max="20" width="9.1640625" style="898"/>
    <col min="21" max="21" width="9.33203125" style="898" bestFit="1" customWidth="1"/>
    <col min="22" max="22" width="1.5" style="898" customWidth="1"/>
    <col min="23" max="16384" width="9.1640625" style="898"/>
  </cols>
  <sheetData>
    <row r="3" spans="2:23" x14ac:dyDescent="0.15">
      <c r="B3" s="895" t="s">
        <v>400</v>
      </c>
      <c r="C3" s="896"/>
      <c r="D3" s="896">
        <v>2014</v>
      </c>
      <c r="E3" s="896">
        <v>2015</v>
      </c>
      <c r="F3" s="896">
        <v>2016</v>
      </c>
      <c r="G3" s="896">
        <v>2017</v>
      </c>
      <c r="H3" s="896">
        <v>2018</v>
      </c>
      <c r="I3" s="896">
        <v>2019</v>
      </c>
      <c r="J3" s="896">
        <v>2020</v>
      </c>
      <c r="K3" s="896">
        <v>2021</v>
      </c>
      <c r="L3" s="896">
        <v>2022</v>
      </c>
      <c r="M3" s="896">
        <v>2023</v>
      </c>
      <c r="N3" s="896">
        <v>2024</v>
      </c>
      <c r="O3" s="896">
        <v>2025</v>
      </c>
      <c r="P3" s="896">
        <v>2026</v>
      </c>
      <c r="Q3" s="896">
        <v>2027</v>
      </c>
      <c r="R3" s="896">
        <v>2028</v>
      </c>
      <c r="S3" s="896">
        <v>2029</v>
      </c>
      <c r="T3" s="896">
        <v>2030</v>
      </c>
      <c r="U3" s="897" t="s">
        <v>401</v>
      </c>
    </row>
    <row r="4" spans="2:23" x14ac:dyDescent="0.15">
      <c r="B4" s="899" t="s">
        <v>338</v>
      </c>
      <c r="C4" s="900"/>
      <c r="D4" s="900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0"/>
      <c r="Q4" s="900"/>
      <c r="R4" s="900"/>
      <c r="S4" s="900"/>
      <c r="T4" s="900"/>
      <c r="U4" s="901"/>
    </row>
    <row r="5" spans="2:23" x14ac:dyDescent="0.15">
      <c r="B5" s="902" t="str">
        <f>Sales!B27</f>
        <v>Total Dermatology</v>
      </c>
      <c r="C5" s="903"/>
      <c r="D5" s="904">
        <f>Sales!AZ27</f>
        <v>1300</v>
      </c>
      <c r="E5" s="904">
        <f>Sales!BE27</f>
        <v>1666.1999999999998</v>
      </c>
      <c r="F5" s="904">
        <f>Sales!BJ27</f>
        <v>1521.7450000000001</v>
      </c>
      <c r="G5" s="904">
        <f>Sales!BO27</f>
        <v>1597.4701</v>
      </c>
      <c r="H5" s="904">
        <f>Sales!BT27</f>
        <v>1657.0353020000002</v>
      </c>
      <c r="I5" s="904">
        <f>Sales!BY27</f>
        <v>1758.1176580400002</v>
      </c>
      <c r="J5" s="904">
        <f>Sales!CD27</f>
        <v>1871.6736487008002</v>
      </c>
      <c r="K5" s="904">
        <f t="shared" ref="K5:T5" si="0">J5*(1+K6)</f>
        <v>1871.6736487008002</v>
      </c>
      <c r="L5" s="904">
        <f t="shared" si="0"/>
        <v>1871.6736487008002</v>
      </c>
      <c r="M5" s="904">
        <f t="shared" si="0"/>
        <v>1871.6736487008002</v>
      </c>
      <c r="N5" s="904">
        <f t="shared" si="0"/>
        <v>1871.6736487008002</v>
      </c>
      <c r="O5" s="904">
        <f t="shared" si="0"/>
        <v>1871.6736487008002</v>
      </c>
      <c r="P5" s="904">
        <f t="shared" si="0"/>
        <v>1871.6736487008002</v>
      </c>
      <c r="Q5" s="904">
        <f t="shared" si="0"/>
        <v>1871.6736487008002</v>
      </c>
      <c r="R5" s="904">
        <f t="shared" si="0"/>
        <v>1871.6736487008002</v>
      </c>
      <c r="S5" s="904">
        <f t="shared" si="0"/>
        <v>1871.6736487008002</v>
      </c>
      <c r="T5" s="904">
        <f t="shared" si="0"/>
        <v>1497.3389189606403</v>
      </c>
      <c r="U5" s="905"/>
      <c r="W5" s="898" t="s">
        <v>402</v>
      </c>
    </row>
    <row r="6" spans="2:23" s="911" customFormat="1" x14ac:dyDescent="0.15">
      <c r="B6" s="906" t="s">
        <v>126</v>
      </c>
      <c r="C6" s="907"/>
      <c r="D6" s="904"/>
      <c r="E6" s="908">
        <f t="shared" ref="E6:J6" si="1">E5/D5-1</f>
        <v>0.28169230769230746</v>
      </c>
      <c r="F6" s="908">
        <f t="shared" si="1"/>
        <v>-8.6697275237066163E-2</v>
      </c>
      <c r="G6" s="908">
        <f t="shared" si="1"/>
        <v>4.9762016632221462E-2</v>
      </c>
      <c r="H6" s="908">
        <f t="shared" si="1"/>
        <v>3.7287209319285752E-2</v>
      </c>
      <c r="I6" s="908">
        <f t="shared" si="1"/>
        <v>6.1001932739752851E-2</v>
      </c>
      <c r="J6" s="908">
        <f t="shared" si="1"/>
        <v>6.4589528545771824E-2</v>
      </c>
      <c r="K6" s="909">
        <v>0</v>
      </c>
      <c r="L6" s="909">
        <v>0</v>
      </c>
      <c r="M6" s="909">
        <v>0</v>
      </c>
      <c r="N6" s="909">
        <v>0</v>
      </c>
      <c r="O6" s="909">
        <v>0</v>
      </c>
      <c r="P6" s="909">
        <v>0</v>
      </c>
      <c r="Q6" s="909">
        <v>0</v>
      </c>
      <c r="R6" s="909">
        <v>0</v>
      </c>
      <c r="S6" s="910">
        <v>0</v>
      </c>
      <c r="T6" s="910">
        <v>-0.2</v>
      </c>
      <c r="U6" s="905"/>
    </row>
    <row r="7" spans="2:23" x14ac:dyDescent="0.15">
      <c r="B7" s="902" t="str">
        <f>Sales!B43</f>
        <v>Total Consumer</v>
      </c>
      <c r="C7" s="903"/>
      <c r="D7" s="904">
        <f>Sales!AZ43</f>
        <v>587.4</v>
      </c>
      <c r="E7" s="904">
        <f>Sales!BE43</f>
        <v>625.6</v>
      </c>
      <c r="F7" s="904">
        <f>Sales!BJ43</f>
        <v>613</v>
      </c>
      <c r="G7" s="904">
        <f>Sales!BO43</f>
        <v>663.46999999999991</v>
      </c>
      <c r="H7" s="904">
        <f>Sales!BT43</f>
        <v>695.25839999999994</v>
      </c>
      <c r="I7" s="904">
        <f>Sales!BY43</f>
        <v>725.26664800000003</v>
      </c>
      <c r="J7" s="904">
        <f>Sales!CD43</f>
        <v>753.09635168</v>
      </c>
      <c r="K7" s="904">
        <f>J7*(1+K8)</f>
        <v>783.2202057472</v>
      </c>
      <c r="L7" s="904">
        <f>K7*(1+L8)</f>
        <v>814.54901397708807</v>
      </c>
      <c r="M7" s="904">
        <f t="shared" ref="M7:T7" si="2">L7*(1+M8)</f>
        <v>838.98548439640069</v>
      </c>
      <c r="N7" s="904">
        <f t="shared" si="2"/>
        <v>864.15504892829279</v>
      </c>
      <c r="O7" s="904">
        <f t="shared" si="2"/>
        <v>890.07970039614156</v>
      </c>
      <c r="P7" s="904">
        <f t="shared" si="2"/>
        <v>916.78209140802585</v>
      </c>
      <c r="Q7" s="904">
        <f t="shared" si="2"/>
        <v>944.28555415026665</v>
      </c>
      <c r="R7" s="904">
        <f t="shared" si="2"/>
        <v>972.61412077477462</v>
      </c>
      <c r="S7" s="904">
        <f t="shared" si="2"/>
        <v>1001.7925443980179</v>
      </c>
      <c r="T7" s="904">
        <f t="shared" si="2"/>
        <v>1031.8463207299585</v>
      </c>
      <c r="U7" s="905"/>
    </row>
    <row r="8" spans="2:23" s="911" customFormat="1" x14ac:dyDescent="0.15">
      <c r="B8" s="906" t="s">
        <v>126</v>
      </c>
      <c r="C8" s="907"/>
      <c r="D8" s="904"/>
      <c r="E8" s="908">
        <f t="shared" ref="E8:J8" si="3">E7/D7-1</f>
        <v>6.5032345931222313E-2</v>
      </c>
      <c r="F8" s="908">
        <f t="shared" si="3"/>
        <v>-2.0140664961636912E-2</v>
      </c>
      <c r="G8" s="908">
        <f t="shared" si="3"/>
        <v>8.2332789559543151E-2</v>
      </c>
      <c r="H8" s="908">
        <f t="shared" si="3"/>
        <v>4.7912339668711557E-2</v>
      </c>
      <c r="I8" s="908">
        <f t="shared" si="3"/>
        <v>4.3161287947042659E-2</v>
      </c>
      <c r="J8" s="908">
        <f t="shared" si="3"/>
        <v>3.8371685443889358E-2</v>
      </c>
      <c r="K8" s="909">
        <v>0.04</v>
      </c>
      <c r="L8" s="909">
        <v>0.04</v>
      </c>
      <c r="M8" s="909">
        <v>0.03</v>
      </c>
      <c r="N8" s="909">
        <v>0.03</v>
      </c>
      <c r="O8" s="909">
        <v>0.03</v>
      </c>
      <c r="P8" s="909">
        <v>0.03</v>
      </c>
      <c r="Q8" s="909">
        <v>0.03</v>
      </c>
      <c r="R8" s="909">
        <v>0.03</v>
      </c>
      <c r="S8" s="909">
        <v>0.03</v>
      </c>
      <c r="T8" s="909">
        <v>0.03</v>
      </c>
      <c r="U8" s="905"/>
    </row>
    <row r="9" spans="2:23" x14ac:dyDescent="0.15">
      <c r="B9" s="902" t="str">
        <f>Sales!B53</f>
        <v>Total Ophthalmology Rx</v>
      </c>
      <c r="C9" s="903"/>
      <c r="D9" s="904">
        <f>Sales!AZ53</f>
        <v>465.40000000000003</v>
      </c>
      <c r="E9" s="904">
        <f>Sales!BE53</f>
        <v>490.8</v>
      </c>
      <c r="F9" s="904">
        <f>Sales!BJ53</f>
        <v>492</v>
      </c>
      <c r="G9" s="904">
        <f>Sales!BO53</f>
        <v>608.6</v>
      </c>
      <c r="H9" s="904">
        <f>Sales!BT53</f>
        <v>702.94399999999996</v>
      </c>
      <c r="I9" s="904">
        <f>Sales!BY53</f>
        <v>816.19360000000006</v>
      </c>
      <c r="J9" s="904">
        <f>Sales!CD53</f>
        <v>901.517472</v>
      </c>
      <c r="K9" s="904">
        <f t="shared" ref="K9:T9" si="4">J9*(1+K10)</f>
        <v>973.63886976000003</v>
      </c>
      <c r="L9" s="904">
        <f t="shared" si="4"/>
        <v>1022.320813248</v>
      </c>
      <c r="M9" s="904">
        <f t="shared" si="4"/>
        <v>1052.9904376454401</v>
      </c>
      <c r="N9" s="904">
        <f t="shared" si="4"/>
        <v>1074.0502463983489</v>
      </c>
      <c r="O9" s="904">
        <f t="shared" si="4"/>
        <v>1074.0502463983489</v>
      </c>
      <c r="P9" s="904">
        <f t="shared" si="4"/>
        <v>1074.0502463983489</v>
      </c>
      <c r="Q9" s="904">
        <f t="shared" si="4"/>
        <v>1074.0502463983489</v>
      </c>
      <c r="R9" s="904">
        <f t="shared" si="4"/>
        <v>1074.0502463983489</v>
      </c>
      <c r="S9" s="904">
        <f t="shared" si="4"/>
        <v>1074.0502463983489</v>
      </c>
      <c r="T9" s="904">
        <f t="shared" si="4"/>
        <v>1074.0502463983489</v>
      </c>
      <c r="U9" s="905"/>
    </row>
    <row r="10" spans="2:23" s="911" customFormat="1" x14ac:dyDescent="0.15">
      <c r="B10" s="906" t="s">
        <v>126</v>
      </c>
      <c r="C10" s="907"/>
      <c r="D10" s="904"/>
      <c r="E10" s="908">
        <f t="shared" ref="E10:J10" si="5">E9/D9-1</f>
        <v>5.4576708207993097E-2</v>
      </c>
      <c r="F10" s="908">
        <f t="shared" si="5"/>
        <v>2.4449877750611915E-3</v>
      </c>
      <c r="G10" s="908">
        <f t="shared" si="5"/>
        <v>0.23699186991869925</v>
      </c>
      <c r="H10" s="908">
        <f t="shared" si="5"/>
        <v>0.15501807426881364</v>
      </c>
      <c r="I10" s="908">
        <f t="shared" si="5"/>
        <v>0.1611075704465792</v>
      </c>
      <c r="J10" s="908">
        <f t="shared" si="5"/>
        <v>0.10453876629270309</v>
      </c>
      <c r="K10" s="909">
        <v>0.08</v>
      </c>
      <c r="L10" s="909">
        <v>0.05</v>
      </c>
      <c r="M10" s="909">
        <v>0.03</v>
      </c>
      <c r="N10" s="909">
        <v>0.02</v>
      </c>
      <c r="O10" s="909">
        <v>0</v>
      </c>
      <c r="P10" s="909">
        <v>0</v>
      </c>
      <c r="Q10" s="909">
        <v>0</v>
      </c>
      <c r="R10" s="909">
        <v>0</v>
      </c>
      <c r="S10" s="909">
        <v>0</v>
      </c>
      <c r="T10" s="909">
        <v>0</v>
      </c>
      <c r="U10" s="905"/>
    </row>
    <row r="11" spans="2:23" s="911" customFormat="1" x14ac:dyDescent="0.15">
      <c r="B11" s="902" t="str">
        <f>Sales!B56</f>
        <v>Total Contact Lenses</v>
      </c>
      <c r="C11" s="907"/>
      <c r="D11" s="904">
        <f>Sales!AZ56</f>
        <v>170.4</v>
      </c>
      <c r="E11" s="904">
        <f>Sales!BE56</f>
        <v>212.8</v>
      </c>
      <c r="F11" s="904">
        <f>Sales!BJ56</f>
        <v>237</v>
      </c>
      <c r="G11" s="904">
        <f>Sales!BO56</f>
        <v>265.44</v>
      </c>
      <c r="H11" s="904">
        <f>Sales!BT56</f>
        <v>291.98400000000004</v>
      </c>
      <c r="I11" s="904">
        <f>Sales!BY56</f>
        <v>321.18240000000009</v>
      </c>
      <c r="J11" s="904">
        <f>Sales!CD56</f>
        <v>353.3006400000001</v>
      </c>
      <c r="K11" s="904">
        <f t="shared" ref="K11:T11" si="6">J11*(1+K12)</f>
        <v>381.56469120000014</v>
      </c>
      <c r="L11" s="904">
        <f t="shared" si="6"/>
        <v>412.08986649600018</v>
      </c>
      <c r="M11" s="904">
        <f t="shared" si="6"/>
        <v>445.0570558156802</v>
      </c>
      <c r="N11" s="904">
        <f t="shared" si="6"/>
        <v>480.66162028093464</v>
      </c>
      <c r="O11" s="904">
        <f t="shared" si="6"/>
        <v>519.1145499034094</v>
      </c>
      <c r="P11" s="904">
        <f t="shared" si="6"/>
        <v>550.26142289761401</v>
      </c>
      <c r="Q11" s="904">
        <f t="shared" si="6"/>
        <v>583.27710827147087</v>
      </c>
      <c r="R11" s="904">
        <f t="shared" si="6"/>
        <v>618.27373476775915</v>
      </c>
      <c r="S11" s="904">
        <f t="shared" si="6"/>
        <v>649.18742150614719</v>
      </c>
      <c r="T11" s="904">
        <f t="shared" si="6"/>
        <v>681.64679258145463</v>
      </c>
      <c r="U11" s="905"/>
    </row>
    <row r="12" spans="2:23" s="911" customFormat="1" x14ac:dyDescent="0.15">
      <c r="B12" s="906" t="s">
        <v>126</v>
      </c>
      <c r="C12" s="907"/>
      <c r="D12" s="904"/>
      <c r="E12" s="908"/>
      <c r="F12" s="908"/>
      <c r="G12" s="908">
        <f>G11/F11-1</f>
        <v>0.11999999999999988</v>
      </c>
      <c r="H12" s="908">
        <f>H11/G11-1</f>
        <v>0.10000000000000009</v>
      </c>
      <c r="I12" s="908">
        <f>I11/H11-1</f>
        <v>0.10000000000000009</v>
      </c>
      <c r="J12" s="908">
        <f>J11/I11-1</f>
        <v>0.10000000000000009</v>
      </c>
      <c r="K12" s="909">
        <v>0.08</v>
      </c>
      <c r="L12" s="909">
        <v>0.08</v>
      </c>
      <c r="M12" s="909">
        <v>0.08</v>
      </c>
      <c r="N12" s="909">
        <v>0.08</v>
      </c>
      <c r="O12" s="909">
        <v>0.08</v>
      </c>
      <c r="P12" s="909">
        <v>0.06</v>
      </c>
      <c r="Q12" s="909">
        <v>0.06</v>
      </c>
      <c r="R12" s="909">
        <v>0.06</v>
      </c>
      <c r="S12" s="909">
        <v>0.05</v>
      </c>
      <c r="T12" s="909">
        <v>0.05</v>
      </c>
      <c r="U12" s="905"/>
    </row>
    <row r="13" spans="2:23" s="911" customFormat="1" x14ac:dyDescent="0.15">
      <c r="B13" s="902" t="str">
        <f>Sales!B59</f>
        <v>Total Surgical</v>
      </c>
      <c r="C13" s="907"/>
      <c r="D13" s="904">
        <f>Sales!AZ59</f>
        <v>215.1</v>
      </c>
      <c r="E13" s="904">
        <f>Sales!BE59</f>
        <v>224.6</v>
      </c>
      <c r="F13" s="904">
        <f>Sales!BJ59</f>
        <v>310</v>
      </c>
      <c r="G13" s="904">
        <f>Sales!BO59</f>
        <v>319.3</v>
      </c>
      <c r="H13" s="904">
        <f>Sales!BT59</f>
        <v>328.87900000000002</v>
      </c>
      <c r="I13" s="904">
        <f>Sales!BY59</f>
        <v>335.45658000000003</v>
      </c>
      <c r="J13" s="904">
        <f>Sales!CD59</f>
        <v>342.16571160000007</v>
      </c>
      <c r="K13" s="904">
        <f t="shared" ref="K13:T13" si="7">J13*(1+K14)</f>
        <v>342.16571160000007</v>
      </c>
      <c r="L13" s="904">
        <f t="shared" si="7"/>
        <v>342.16571160000007</v>
      </c>
      <c r="M13" s="904">
        <f t="shared" si="7"/>
        <v>342.16571160000007</v>
      </c>
      <c r="N13" s="904">
        <f t="shared" si="7"/>
        <v>342.16571160000007</v>
      </c>
      <c r="O13" s="904">
        <f t="shared" si="7"/>
        <v>342.16571160000007</v>
      </c>
      <c r="P13" s="904">
        <f t="shared" si="7"/>
        <v>342.16571160000007</v>
      </c>
      <c r="Q13" s="904">
        <f t="shared" si="7"/>
        <v>342.16571160000007</v>
      </c>
      <c r="R13" s="904">
        <f t="shared" si="7"/>
        <v>342.16571160000007</v>
      </c>
      <c r="S13" s="904">
        <f t="shared" si="7"/>
        <v>342.16571160000007</v>
      </c>
      <c r="T13" s="904">
        <f t="shared" si="7"/>
        <v>342.16571160000007</v>
      </c>
      <c r="U13" s="905"/>
    </row>
    <row r="14" spans="2:23" s="911" customFormat="1" x14ac:dyDescent="0.15">
      <c r="B14" s="906" t="s">
        <v>126</v>
      </c>
      <c r="C14" s="907"/>
      <c r="D14" s="904"/>
      <c r="E14" s="908">
        <f t="shared" ref="E14:J14" si="8">E13/D13-1</f>
        <v>4.4165504416550538E-2</v>
      </c>
      <c r="F14" s="908">
        <f t="shared" si="8"/>
        <v>0.38023152270703475</v>
      </c>
      <c r="G14" s="908">
        <f t="shared" si="8"/>
        <v>3.0000000000000027E-2</v>
      </c>
      <c r="H14" s="908">
        <f t="shared" si="8"/>
        <v>3.0000000000000027E-2</v>
      </c>
      <c r="I14" s="908">
        <f t="shared" si="8"/>
        <v>2.0000000000000018E-2</v>
      </c>
      <c r="J14" s="908">
        <f t="shared" si="8"/>
        <v>2.0000000000000018E-2</v>
      </c>
      <c r="K14" s="909">
        <v>0</v>
      </c>
      <c r="L14" s="909">
        <v>0</v>
      </c>
      <c r="M14" s="909">
        <v>0</v>
      </c>
      <c r="N14" s="909">
        <v>0</v>
      </c>
      <c r="O14" s="909">
        <v>0</v>
      </c>
      <c r="P14" s="909">
        <v>0</v>
      </c>
      <c r="Q14" s="909">
        <v>0</v>
      </c>
      <c r="R14" s="909">
        <v>0</v>
      </c>
      <c r="S14" s="909">
        <v>0</v>
      </c>
      <c r="T14" s="909">
        <v>0</v>
      </c>
      <c r="U14" s="905"/>
    </row>
    <row r="15" spans="2:23" s="911" customFormat="1" x14ac:dyDescent="0.15">
      <c r="B15" s="902" t="str">
        <f>Sales!B73</f>
        <v>Total Neuro/Other/Generics</v>
      </c>
      <c r="C15" s="907"/>
      <c r="D15" s="904">
        <f>Sales!AZ73</f>
        <v>1604.7</v>
      </c>
      <c r="E15" s="904">
        <f>Sales!BE73</f>
        <v>2169.3000000000002</v>
      </c>
      <c r="F15" s="904">
        <f>Sales!BJ73</f>
        <v>1586.595</v>
      </c>
      <c r="G15" s="904">
        <f>Sales!BO73</f>
        <v>1538.2652499999999</v>
      </c>
      <c r="H15" s="904">
        <f>Sales!BT73</f>
        <v>1533.1692499999999</v>
      </c>
      <c r="I15" s="904">
        <f>Sales!BY73</f>
        <v>1512.1101699999999</v>
      </c>
      <c r="J15" s="904">
        <f>Sales!CD73</f>
        <v>1491.9542216</v>
      </c>
      <c r="K15" s="904">
        <f t="shared" ref="K15:T15" si="9">J15*(1+K16)</f>
        <v>1462.115137168</v>
      </c>
      <c r="L15" s="904">
        <f t="shared" si="9"/>
        <v>1432.8728344246401</v>
      </c>
      <c r="M15" s="904">
        <f t="shared" si="9"/>
        <v>1404.2153777361473</v>
      </c>
      <c r="N15" s="904">
        <f t="shared" si="9"/>
        <v>1376.1310701814243</v>
      </c>
      <c r="O15" s="904">
        <f t="shared" si="9"/>
        <v>1348.6084487777957</v>
      </c>
      <c r="P15" s="904">
        <f t="shared" si="9"/>
        <v>1281.178026338906</v>
      </c>
      <c r="Q15" s="904">
        <f t="shared" si="9"/>
        <v>1217.1191250219606</v>
      </c>
      <c r="R15" s="904">
        <f t="shared" si="9"/>
        <v>1156.2631687708624</v>
      </c>
      <c r="S15" s="904">
        <f t="shared" si="9"/>
        <v>1098.4500103323192</v>
      </c>
      <c r="T15" s="904">
        <f t="shared" si="9"/>
        <v>1043.5275098157031</v>
      </c>
      <c r="U15" s="905"/>
    </row>
    <row r="16" spans="2:23" s="911" customFormat="1" x14ac:dyDescent="0.15">
      <c r="B16" s="906" t="s">
        <v>126</v>
      </c>
      <c r="C16" s="907"/>
      <c r="D16" s="904"/>
      <c r="E16" s="908">
        <f t="shared" ref="E16:J16" si="10">E15/D15-1</f>
        <v>0.35184146569452235</v>
      </c>
      <c r="F16" s="908">
        <f t="shared" si="10"/>
        <v>-0.26861429954363159</v>
      </c>
      <c r="G16" s="908">
        <f t="shared" si="10"/>
        <v>-3.046130234874056E-2</v>
      </c>
      <c r="H16" s="908">
        <f t="shared" si="10"/>
        <v>-3.3128226747630718E-3</v>
      </c>
      <c r="I16" s="908">
        <f t="shared" si="10"/>
        <v>-1.3735652472810833E-2</v>
      </c>
      <c r="J16" s="908">
        <f t="shared" si="10"/>
        <v>-1.332968245296573E-2</v>
      </c>
      <c r="K16" s="909">
        <v>-0.02</v>
      </c>
      <c r="L16" s="909">
        <v>-0.02</v>
      </c>
      <c r="M16" s="909">
        <v>-0.02</v>
      </c>
      <c r="N16" s="909">
        <v>-0.02</v>
      </c>
      <c r="O16" s="909">
        <v>-0.02</v>
      </c>
      <c r="P16" s="909">
        <v>-0.05</v>
      </c>
      <c r="Q16" s="909">
        <v>-0.05</v>
      </c>
      <c r="R16" s="909">
        <v>-0.05</v>
      </c>
      <c r="S16" s="909">
        <v>-0.05</v>
      </c>
      <c r="T16" s="909">
        <v>-0.05</v>
      </c>
      <c r="U16" s="905"/>
    </row>
    <row r="17" spans="2:21" s="911" customFormat="1" x14ac:dyDescent="0.15">
      <c r="B17" s="902" t="str">
        <f>Sales!B81</f>
        <v>Total Dental</v>
      </c>
      <c r="C17" s="907"/>
      <c r="D17" s="904">
        <f>Sales!AZ81</f>
        <v>123.4</v>
      </c>
      <c r="E17" s="904">
        <f>Sales!BE81</f>
        <v>182.3</v>
      </c>
      <c r="F17" s="904">
        <f>Sales!BJ81</f>
        <v>190</v>
      </c>
      <c r="G17" s="904">
        <f>Sales!BO81</f>
        <v>209</v>
      </c>
      <c r="H17" s="904">
        <f>Sales!BT81</f>
        <v>229.90000000000003</v>
      </c>
      <c r="I17" s="904">
        <f>Sales!BY81</f>
        <v>251.92200000000005</v>
      </c>
      <c r="J17" s="904">
        <f>Sales!CD81</f>
        <v>275.02332000000007</v>
      </c>
      <c r="K17" s="904">
        <f t="shared" ref="K17:T17" si="11">J17*(1+K18)</f>
        <v>291.52471920000011</v>
      </c>
      <c r="L17" s="904">
        <f t="shared" si="11"/>
        <v>145.76235960000005</v>
      </c>
      <c r="M17" s="904">
        <f t="shared" si="11"/>
        <v>116.60988768000004</v>
      </c>
      <c r="N17" s="904">
        <f t="shared" si="11"/>
        <v>110.77939329600004</v>
      </c>
      <c r="O17" s="904">
        <f t="shared" si="11"/>
        <v>105.24042363120003</v>
      </c>
      <c r="P17" s="904">
        <f t="shared" si="11"/>
        <v>105.24042363120003</v>
      </c>
      <c r="Q17" s="904">
        <f t="shared" si="11"/>
        <v>105.24042363120003</v>
      </c>
      <c r="R17" s="904">
        <f t="shared" si="11"/>
        <v>105.24042363120003</v>
      </c>
      <c r="S17" s="904">
        <f t="shared" si="11"/>
        <v>105.24042363120003</v>
      </c>
      <c r="T17" s="904">
        <f t="shared" si="11"/>
        <v>105.24042363120003</v>
      </c>
      <c r="U17" s="905"/>
    </row>
    <row r="18" spans="2:21" s="911" customFormat="1" x14ac:dyDescent="0.15">
      <c r="B18" s="906" t="s">
        <v>126</v>
      </c>
      <c r="C18" s="907"/>
      <c r="D18" s="904"/>
      <c r="E18" s="908">
        <f t="shared" ref="E18:J18" si="12">E17/D17-1</f>
        <v>0.47730956239870337</v>
      </c>
      <c r="F18" s="908">
        <f t="shared" si="12"/>
        <v>4.2238069116840249E-2</v>
      </c>
      <c r="G18" s="908">
        <f t="shared" si="12"/>
        <v>0.10000000000000009</v>
      </c>
      <c r="H18" s="908">
        <f t="shared" si="12"/>
        <v>0.10000000000000009</v>
      </c>
      <c r="I18" s="908">
        <f t="shared" si="12"/>
        <v>9.5789473684210646E-2</v>
      </c>
      <c r="J18" s="908">
        <f t="shared" si="12"/>
        <v>9.1700288184437984E-2</v>
      </c>
      <c r="K18" s="909">
        <v>0.06</v>
      </c>
      <c r="L18" s="910">
        <v>-0.5</v>
      </c>
      <c r="M18" s="909">
        <v>-0.2</v>
      </c>
      <c r="N18" s="909">
        <v>-0.05</v>
      </c>
      <c r="O18" s="909">
        <v>-0.05</v>
      </c>
      <c r="P18" s="909">
        <v>0</v>
      </c>
      <c r="Q18" s="909">
        <v>0</v>
      </c>
      <c r="R18" s="909">
        <v>0</v>
      </c>
      <c r="S18" s="909">
        <v>0</v>
      </c>
      <c r="T18" s="909">
        <v>0</v>
      </c>
      <c r="U18" s="905"/>
    </row>
    <row r="19" spans="2:21" s="911" customFormat="1" x14ac:dyDescent="0.15">
      <c r="B19" s="902" t="str">
        <f>Sales!B84</f>
        <v>Total Oncology/Urology (Provenge)</v>
      </c>
      <c r="C19" s="907"/>
      <c r="D19" s="904">
        <f>Sales!AZ84</f>
        <v>0</v>
      </c>
      <c r="E19" s="904">
        <f>Sales!BE84</f>
        <v>250.10000000000002</v>
      </c>
      <c r="F19" s="904">
        <f>Sales!BJ84</f>
        <v>305</v>
      </c>
      <c r="G19" s="904">
        <f>Sales!BO84</f>
        <v>314.15000000000003</v>
      </c>
      <c r="H19" s="904">
        <f>Sales!BT84</f>
        <v>320.43300000000005</v>
      </c>
      <c r="I19" s="904">
        <f>Sales!BY84</f>
        <v>326.84166000000005</v>
      </c>
      <c r="J19" s="904">
        <f>Sales!CD84</f>
        <v>326.84166000000005</v>
      </c>
      <c r="K19" s="904">
        <f t="shared" ref="K19:T19" si="13">J19*(1+K20)</f>
        <v>310.49957700000004</v>
      </c>
      <c r="L19" s="904">
        <f t="shared" si="13"/>
        <v>294.97459815000002</v>
      </c>
      <c r="M19" s="904">
        <f t="shared" si="13"/>
        <v>280.22586824249998</v>
      </c>
      <c r="N19" s="904">
        <f t="shared" si="13"/>
        <v>266.214574830375</v>
      </c>
      <c r="O19" s="904">
        <f t="shared" si="13"/>
        <v>252.90384608885623</v>
      </c>
      <c r="P19" s="904">
        <f t="shared" si="13"/>
        <v>240.25865378441341</v>
      </c>
      <c r="Q19" s="904">
        <f t="shared" si="13"/>
        <v>228.24572109519272</v>
      </c>
      <c r="R19" s="904">
        <f t="shared" si="13"/>
        <v>216.83343504043307</v>
      </c>
      <c r="S19" s="904">
        <f t="shared" si="13"/>
        <v>205.99176328841142</v>
      </c>
      <c r="T19" s="904">
        <f t="shared" si="13"/>
        <v>195.69217512399084</v>
      </c>
      <c r="U19" s="905"/>
    </row>
    <row r="20" spans="2:21" s="911" customFormat="1" x14ac:dyDescent="0.15">
      <c r="B20" s="906" t="s">
        <v>126</v>
      </c>
      <c r="C20" s="907"/>
      <c r="D20" s="904"/>
      <c r="E20" s="908"/>
      <c r="F20" s="908">
        <f t="shared" ref="F20:J20" si="14">F19/E19-1</f>
        <v>0.21951219512195119</v>
      </c>
      <c r="G20" s="908">
        <f t="shared" si="14"/>
        <v>3.0000000000000027E-2</v>
      </c>
      <c r="H20" s="908">
        <f t="shared" si="14"/>
        <v>2.0000000000000018E-2</v>
      </c>
      <c r="I20" s="908">
        <f t="shared" si="14"/>
        <v>2.0000000000000018E-2</v>
      </c>
      <c r="J20" s="908">
        <f t="shared" si="14"/>
        <v>0</v>
      </c>
      <c r="K20" s="909">
        <v>-0.05</v>
      </c>
      <c r="L20" s="909">
        <v>-0.05</v>
      </c>
      <c r="M20" s="909">
        <v>-0.05</v>
      </c>
      <c r="N20" s="909">
        <v>-0.05</v>
      </c>
      <c r="O20" s="909">
        <v>-0.05</v>
      </c>
      <c r="P20" s="909">
        <v>-0.05</v>
      </c>
      <c r="Q20" s="909">
        <v>-0.05</v>
      </c>
      <c r="R20" s="909">
        <v>-0.05</v>
      </c>
      <c r="S20" s="909">
        <v>-0.05</v>
      </c>
      <c r="T20" s="909">
        <v>-0.05</v>
      </c>
      <c r="U20" s="905"/>
    </row>
    <row r="21" spans="2:21" s="911" customFormat="1" x14ac:dyDescent="0.15">
      <c r="B21" s="902" t="str">
        <f>Sales!B87</f>
        <v>Total Women's Health (Addyi)</v>
      </c>
      <c r="C21" s="907"/>
      <c r="D21" s="904">
        <f>Sales!AZ87</f>
        <v>0</v>
      </c>
      <c r="E21" s="904">
        <f>Sales!BE87</f>
        <v>0</v>
      </c>
      <c r="F21" s="904">
        <f>Sales!BJ87</f>
        <v>23</v>
      </c>
      <c r="G21" s="904">
        <f>Sales!BO87</f>
        <v>34.5</v>
      </c>
      <c r="H21" s="904">
        <f>Sales!BT87</f>
        <v>44.85</v>
      </c>
      <c r="I21" s="904">
        <f>Sales!BY87</f>
        <v>56.0625</v>
      </c>
      <c r="J21" s="904">
        <f>Sales!CD87</f>
        <v>67.274999999999991</v>
      </c>
      <c r="K21" s="904">
        <f t="shared" ref="K21:T21" si="15">J21*(1+K22)</f>
        <v>72.656999999999996</v>
      </c>
      <c r="L21" s="904">
        <f t="shared" si="15"/>
        <v>78.469560000000001</v>
      </c>
      <c r="M21" s="904">
        <f t="shared" si="15"/>
        <v>83.17773360000001</v>
      </c>
      <c r="N21" s="904">
        <f t="shared" si="15"/>
        <v>88.168397616000021</v>
      </c>
      <c r="O21" s="904">
        <f t="shared" si="15"/>
        <v>92.576817496800032</v>
      </c>
      <c r="P21" s="904">
        <f t="shared" si="15"/>
        <v>95.354122021704029</v>
      </c>
      <c r="Q21" s="904">
        <f t="shared" si="15"/>
        <v>9.5354122021704004</v>
      </c>
      <c r="R21" s="904">
        <f t="shared" si="15"/>
        <v>9.0586415920618801</v>
      </c>
      <c r="S21" s="904">
        <f t="shared" si="15"/>
        <v>8.6057095124587857</v>
      </c>
      <c r="T21" s="904">
        <f t="shared" si="15"/>
        <v>8.175424036835846</v>
      </c>
      <c r="U21" s="905"/>
    </row>
    <row r="22" spans="2:21" s="911" customFormat="1" x14ac:dyDescent="0.15">
      <c r="B22" s="906" t="s">
        <v>126</v>
      </c>
      <c r="C22" s="907"/>
      <c r="D22" s="904"/>
      <c r="E22" s="908"/>
      <c r="F22" s="908"/>
      <c r="G22" s="908">
        <f t="shared" ref="G22:J22" si="16">G21/F21-1</f>
        <v>0.5</v>
      </c>
      <c r="H22" s="908">
        <f t="shared" si="16"/>
        <v>0.30000000000000004</v>
      </c>
      <c r="I22" s="908">
        <f t="shared" si="16"/>
        <v>0.25</v>
      </c>
      <c r="J22" s="908">
        <f t="shared" si="16"/>
        <v>0.19999999999999996</v>
      </c>
      <c r="K22" s="909">
        <v>0.08</v>
      </c>
      <c r="L22" s="909">
        <v>0.08</v>
      </c>
      <c r="M22" s="909">
        <v>0.06</v>
      </c>
      <c r="N22" s="909">
        <v>0.06</v>
      </c>
      <c r="O22" s="909">
        <v>0.05</v>
      </c>
      <c r="P22" s="909">
        <v>0.03</v>
      </c>
      <c r="Q22" s="910">
        <v>-0.9</v>
      </c>
      <c r="R22" s="909">
        <v>-0.05</v>
      </c>
      <c r="S22" s="909">
        <v>-0.05</v>
      </c>
      <c r="T22" s="909">
        <v>-0.05</v>
      </c>
      <c r="U22" s="905"/>
    </row>
    <row r="23" spans="2:21" s="911" customFormat="1" x14ac:dyDescent="0.15">
      <c r="B23" s="902" t="str">
        <f>Sales!B113</f>
        <v>Total Gastrointestinal (Salix)</v>
      </c>
      <c r="C23" s="907"/>
      <c r="D23" s="904">
        <f>Sales!AZ113</f>
        <v>0</v>
      </c>
      <c r="E23" s="904">
        <f>Sales!BE113</f>
        <v>1285.0999999999999</v>
      </c>
      <c r="F23" s="904">
        <f>Sales!BJ113</f>
        <v>2154</v>
      </c>
      <c r="G23" s="904">
        <f>Sales!BO113</f>
        <v>2504.77</v>
      </c>
      <c r="H23" s="904">
        <f>Sales!BT113</f>
        <v>2797.9175</v>
      </c>
      <c r="I23" s="904">
        <f>Sales!BY113</f>
        <v>3075.81916</v>
      </c>
      <c r="J23" s="904">
        <f>Sales!CD113</f>
        <v>3204.2119913000001</v>
      </c>
      <c r="K23" s="904">
        <f t="shared" ref="K23:T23" si="17">J23*(1+K24)</f>
        <v>3268.2962311260003</v>
      </c>
      <c r="L23" s="904">
        <f t="shared" si="17"/>
        <v>3399.0280803710402</v>
      </c>
      <c r="M23" s="904">
        <f t="shared" si="17"/>
        <v>3534.989203585882</v>
      </c>
      <c r="N23" s="904">
        <f t="shared" si="17"/>
        <v>1413.9956814343529</v>
      </c>
      <c r="O23" s="904">
        <f t="shared" si="17"/>
        <v>1442.2755950630401</v>
      </c>
      <c r="P23" s="904">
        <f t="shared" si="17"/>
        <v>1471.1211069643009</v>
      </c>
      <c r="Q23" s="904">
        <f t="shared" si="17"/>
        <v>1500.5435291035869</v>
      </c>
      <c r="R23" s="904">
        <f t="shared" si="17"/>
        <v>1530.5543996856586</v>
      </c>
      <c r="S23" s="904">
        <f t="shared" si="17"/>
        <v>1561.1654876793718</v>
      </c>
      <c r="T23" s="904">
        <f t="shared" si="17"/>
        <v>1092.8158413755602</v>
      </c>
      <c r="U23" s="905"/>
    </row>
    <row r="24" spans="2:21" s="911" customFormat="1" x14ac:dyDescent="0.15">
      <c r="B24" s="906" t="s">
        <v>126</v>
      </c>
      <c r="C24" s="907"/>
      <c r="D24" s="912"/>
      <c r="E24" s="912"/>
      <c r="F24" s="908">
        <f t="shared" ref="F24:J24" si="18">F23/E23-1</f>
        <v>0.67613415298420376</v>
      </c>
      <c r="G24" s="908">
        <f t="shared" si="18"/>
        <v>0.16284586815227486</v>
      </c>
      <c r="H24" s="908">
        <f t="shared" si="18"/>
        <v>0.11703569589223761</v>
      </c>
      <c r="I24" s="908">
        <f t="shared" si="18"/>
        <v>9.9324465428305198E-2</v>
      </c>
      <c r="J24" s="908">
        <f t="shared" si="18"/>
        <v>4.1742646306943465E-2</v>
      </c>
      <c r="K24" s="910">
        <v>0.02</v>
      </c>
      <c r="L24" s="909">
        <v>0.04</v>
      </c>
      <c r="M24" s="909">
        <v>0.04</v>
      </c>
      <c r="N24" s="910">
        <v>-0.6</v>
      </c>
      <c r="O24" s="909">
        <v>0.02</v>
      </c>
      <c r="P24" s="909">
        <v>0.02</v>
      </c>
      <c r="Q24" s="909">
        <v>0.02</v>
      </c>
      <c r="R24" s="909">
        <v>0.02</v>
      </c>
      <c r="S24" s="909">
        <v>0.02</v>
      </c>
      <c r="T24" s="910">
        <v>-0.3</v>
      </c>
      <c r="U24" s="905"/>
    </row>
    <row r="25" spans="2:21" s="911" customFormat="1" x14ac:dyDescent="0.15">
      <c r="B25" s="913" t="s">
        <v>403</v>
      </c>
      <c r="C25" s="907"/>
      <c r="D25" s="912">
        <f>SUM(D5,D7,D9,D11,D13,D15,D17,D19,D23,D21)</f>
        <v>4466.3999999999996</v>
      </c>
      <c r="E25" s="912">
        <f t="shared" ref="E25:T25" si="19">SUM(E5,E7,E9,E11,E13,E15,E17,E19,E23,E21)</f>
        <v>7106.8000000000011</v>
      </c>
      <c r="F25" s="912">
        <f t="shared" si="19"/>
        <v>7432.34</v>
      </c>
      <c r="G25" s="912">
        <f t="shared" si="19"/>
        <v>8054.9653500000004</v>
      </c>
      <c r="H25" s="912">
        <f t="shared" si="19"/>
        <v>8602.3704519999992</v>
      </c>
      <c r="I25" s="912">
        <f t="shared" si="19"/>
        <v>9178.9723760400011</v>
      </c>
      <c r="J25" s="912">
        <f t="shared" si="19"/>
        <v>9587.0600168807996</v>
      </c>
      <c r="K25" s="912">
        <f t="shared" si="19"/>
        <v>9757.3557915019992</v>
      </c>
      <c r="L25" s="912">
        <f t="shared" si="19"/>
        <v>9813.9064865675682</v>
      </c>
      <c r="M25" s="912">
        <f t="shared" si="19"/>
        <v>9970.0904090028507</v>
      </c>
      <c r="N25" s="912">
        <f t="shared" si="19"/>
        <v>7887.9953932665294</v>
      </c>
      <c r="O25" s="912">
        <f t="shared" si="19"/>
        <v>7938.6889880563922</v>
      </c>
      <c r="P25" s="912">
        <f t="shared" si="19"/>
        <v>7948.0854537453133</v>
      </c>
      <c r="Q25" s="912">
        <f t="shared" si="19"/>
        <v>7876.1364801749987</v>
      </c>
      <c r="R25" s="912">
        <f t="shared" si="19"/>
        <v>7896.727530961899</v>
      </c>
      <c r="S25" s="912">
        <f t="shared" si="19"/>
        <v>7918.3229670470755</v>
      </c>
      <c r="T25" s="912">
        <f t="shared" si="19"/>
        <v>7072.4993642536911</v>
      </c>
      <c r="U25" s="905"/>
    </row>
    <row r="26" spans="2:21" s="911" customFormat="1" x14ac:dyDescent="0.15">
      <c r="B26" s="906" t="s">
        <v>126</v>
      </c>
      <c r="C26" s="907"/>
      <c r="D26" s="912"/>
      <c r="E26" s="908">
        <f t="shared" ref="E26:T26" si="20">E25/D25-1</f>
        <v>0.59116962206698953</v>
      </c>
      <c r="F26" s="908">
        <f t="shared" si="20"/>
        <v>4.5806832892440807E-2</v>
      </c>
      <c r="G26" s="908">
        <f t="shared" si="20"/>
        <v>8.3772452551955423E-2</v>
      </c>
      <c r="H26" s="908">
        <f t="shared" si="20"/>
        <v>6.7958715924209212E-2</v>
      </c>
      <c r="I26" s="908">
        <f t="shared" si="20"/>
        <v>6.7028260089164737E-2</v>
      </c>
      <c r="J26" s="908">
        <f t="shared" si="20"/>
        <v>4.4458968185375092E-2</v>
      </c>
      <c r="K26" s="908">
        <f t="shared" si="20"/>
        <v>1.7763086318573595E-2</v>
      </c>
      <c r="L26" s="908">
        <f t="shared" si="20"/>
        <v>5.7956987808951421E-3</v>
      </c>
      <c r="M26" s="908">
        <f t="shared" si="20"/>
        <v>1.5914551728106741E-2</v>
      </c>
      <c r="N26" s="908">
        <f t="shared" si="20"/>
        <v>-0.20883411587283296</v>
      </c>
      <c r="O26" s="908">
        <f t="shared" si="20"/>
        <v>6.4266765207718901E-3</v>
      </c>
      <c r="P26" s="908">
        <f t="shared" si="20"/>
        <v>1.183629400655084E-3</v>
      </c>
      <c r="Q26" s="908">
        <f t="shared" si="20"/>
        <v>-9.0523653764204015E-3</v>
      </c>
      <c r="R26" s="908">
        <f t="shared" si="20"/>
        <v>2.6143593167449186E-3</v>
      </c>
      <c r="S26" s="908">
        <f t="shared" si="20"/>
        <v>2.7347323306399218E-3</v>
      </c>
      <c r="T26" s="908">
        <f t="shared" si="20"/>
        <v>-0.10681852790210344</v>
      </c>
      <c r="U26" s="905"/>
    </row>
    <row r="27" spans="2:21" s="911" customFormat="1" x14ac:dyDescent="0.15">
      <c r="B27" s="902"/>
      <c r="C27" s="907"/>
      <c r="D27" s="912"/>
      <c r="E27" s="912"/>
      <c r="F27" s="912"/>
      <c r="G27" s="912"/>
      <c r="H27" s="912"/>
      <c r="I27" s="912"/>
      <c r="J27" s="912"/>
      <c r="K27" s="912"/>
      <c r="L27" s="912"/>
      <c r="M27" s="912"/>
      <c r="N27" s="912"/>
      <c r="O27" s="912"/>
      <c r="P27" s="912"/>
      <c r="Q27" s="912"/>
      <c r="R27" s="912"/>
      <c r="S27" s="912"/>
      <c r="T27" s="912"/>
      <c r="U27" s="905"/>
    </row>
    <row r="28" spans="2:21" s="911" customFormat="1" x14ac:dyDescent="0.15">
      <c r="B28" s="913" t="str">
        <f>Sales!B117</f>
        <v>Total Developed ROW (Canada/Austraila/Japan/WEU)</v>
      </c>
      <c r="C28" s="907"/>
      <c r="D28" s="912">
        <f>Sales!AZ117</f>
        <v>1700.7</v>
      </c>
      <c r="E28" s="912">
        <f>Sales!BE117</f>
        <v>1473.9</v>
      </c>
      <c r="F28" s="912">
        <f>Sales!BJ117</f>
        <v>1444.0820000000003</v>
      </c>
      <c r="G28" s="912">
        <f>Sales!BO117</f>
        <v>1472.9636400000004</v>
      </c>
      <c r="H28" s="912">
        <f>Sales!BT117</f>
        <v>1502.4229128000004</v>
      </c>
      <c r="I28" s="912">
        <f>Sales!BY117</f>
        <v>1532.4713710560004</v>
      </c>
      <c r="J28" s="912">
        <f>Sales!CD117</f>
        <v>1563.1207984771204</v>
      </c>
      <c r="K28" s="912">
        <f t="shared" ref="K28:T28" si="21">J28*(1+K29)</f>
        <v>1563.1207984771204</v>
      </c>
      <c r="L28" s="912">
        <f t="shared" si="21"/>
        <v>1563.1207984771204</v>
      </c>
      <c r="M28" s="912">
        <f t="shared" si="21"/>
        <v>1563.1207984771204</v>
      </c>
      <c r="N28" s="912">
        <f t="shared" si="21"/>
        <v>1563.1207984771204</v>
      </c>
      <c r="O28" s="912">
        <f t="shared" si="21"/>
        <v>1563.1207984771204</v>
      </c>
      <c r="P28" s="912">
        <f t="shared" si="21"/>
        <v>1563.1207984771204</v>
      </c>
      <c r="Q28" s="912">
        <f t="shared" si="21"/>
        <v>1563.1207984771204</v>
      </c>
      <c r="R28" s="912">
        <f t="shared" si="21"/>
        <v>1563.1207984771204</v>
      </c>
      <c r="S28" s="912">
        <f t="shared" si="21"/>
        <v>1563.1207984771204</v>
      </c>
      <c r="T28" s="912">
        <f t="shared" si="21"/>
        <v>1563.1207984771204</v>
      </c>
      <c r="U28" s="905"/>
    </row>
    <row r="29" spans="2:21" s="911" customFormat="1" x14ac:dyDescent="0.15">
      <c r="B29" s="906" t="s">
        <v>126</v>
      </c>
      <c r="C29" s="907"/>
      <c r="D29" s="904"/>
      <c r="E29" s="908">
        <f t="shared" ref="E29:J29" si="22">E28/D28-1</f>
        <v>-0.13335685306050449</v>
      </c>
      <c r="F29" s="908">
        <f t="shared" si="22"/>
        <v>-2.023068050749699E-2</v>
      </c>
      <c r="G29" s="908">
        <f t="shared" si="22"/>
        <v>2.0000000000000018E-2</v>
      </c>
      <c r="H29" s="908">
        <f t="shared" si="22"/>
        <v>2.0000000000000018E-2</v>
      </c>
      <c r="I29" s="908">
        <f t="shared" si="22"/>
        <v>2.0000000000000018E-2</v>
      </c>
      <c r="J29" s="908">
        <f t="shared" si="22"/>
        <v>2.0000000000000018E-2</v>
      </c>
      <c r="K29" s="909">
        <v>0</v>
      </c>
      <c r="L29" s="909">
        <v>0</v>
      </c>
      <c r="M29" s="909">
        <v>0</v>
      </c>
      <c r="N29" s="909">
        <v>0</v>
      </c>
      <c r="O29" s="909">
        <v>0</v>
      </c>
      <c r="P29" s="909">
        <v>0</v>
      </c>
      <c r="Q29" s="909">
        <v>0</v>
      </c>
      <c r="R29" s="909">
        <v>0</v>
      </c>
      <c r="S29" s="909">
        <v>0</v>
      </c>
      <c r="T29" s="909">
        <v>0</v>
      </c>
      <c r="U29" s="905"/>
    </row>
    <row r="30" spans="2:21" s="911" customFormat="1" x14ac:dyDescent="0.15">
      <c r="B30" s="906"/>
      <c r="C30" s="907"/>
      <c r="D30" s="904"/>
      <c r="E30" s="908"/>
      <c r="F30" s="908"/>
      <c r="G30" s="908"/>
      <c r="H30" s="908"/>
      <c r="I30" s="908"/>
      <c r="J30" s="908"/>
      <c r="K30" s="908"/>
      <c r="L30" s="908"/>
      <c r="M30" s="908"/>
      <c r="N30" s="908"/>
      <c r="O30" s="908"/>
      <c r="P30" s="908"/>
      <c r="Q30" s="908"/>
      <c r="R30" s="908"/>
      <c r="S30" s="908"/>
      <c r="T30" s="908"/>
      <c r="U30" s="905"/>
    </row>
    <row r="31" spans="2:21" s="911" customFormat="1" x14ac:dyDescent="0.15">
      <c r="B31" s="902" t="str">
        <f>Sales!B125</f>
        <v>Emerging Mkts - EMEA</v>
      </c>
      <c r="C31" s="907"/>
      <c r="D31" s="904">
        <f>Sales!AZ125</f>
        <v>1134.7</v>
      </c>
      <c r="E31" s="904">
        <f>Sales!BE125</f>
        <v>976.40000000000009</v>
      </c>
      <c r="F31" s="904">
        <f>Sales!BJ125</f>
        <v>1132.471</v>
      </c>
      <c r="G31" s="904">
        <f>Sales!BO125</f>
        <v>1189.09455</v>
      </c>
      <c r="H31" s="904">
        <f>Sales!BT125</f>
        <v>1248.5492775</v>
      </c>
      <c r="I31" s="904">
        <f>Sales!BY125</f>
        <v>1310.9767413750001</v>
      </c>
      <c r="J31" s="904">
        <f>Sales!CD125</f>
        <v>1376.5255784437502</v>
      </c>
      <c r="K31" s="904">
        <f t="shared" ref="K31:T31" si="23">J31*(1+K32)</f>
        <v>1431.5866015815002</v>
      </c>
      <c r="L31" s="904">
        <f t="shared" si="23"/>
        <v>1488.8500656447602</v>
      </c>
      <c r="M31" s="904">
        <f t="shared" si="23"/>
        <v>1548.4040682705506</v>
      </c>
      <c r="N31" s="904">
        <f t="shared" si="23"/>
        <v>1594.8561903186671</v>
      </c>
      <c r="O31" s="904">
        <f t="shared" si="23"/>
        <v>1642.7018760282272</v>
      </c>
      <c r="P31" s="904">
        <f t="shared" si="23"/>
        <v>1675.5559135487918</v>
      </c>
      <c r="Q31" s="904">
        <f t="shared" si="23"/>
        <v>1709.0670318197676</v>
      </c>
      <c r="R31" s="904">
        <f t="shared" si="23"/>
        <v>1743.248372456163</v>
      </c>
      <c r="S31" s="904">
        <f t="shared" si="23"/>
        <v>1743.248372456163</v>
      </c>
      <c r="T31" s="904">
        <f t="shared" si="23"/>
        <v>1743.248372456163</v>
      </c>
      <c r="U31" s="905"/>
    </row>
    <row r="32" spans="2:21" s="911" customFormat="1" x14ac:dyDescent="0.15">
      <c r="B32" s="906" t="s">
        <v>126</v>
      </c>
      <c r="C32" s="907"/>
      <c r="D32" s="904"/>
      <c r="E32" s="908">
        <f t="shared" ref="E32:J32" si="24">E31/D31-1</f>
        <v>-0.13950824006345286</v>
      </c>
      <c r="F32" s="908">
        <f t="shared" si="24"/>
        <v>0.15984330192544038</v>
      </c>
      <c r="G32" s="908">
        <f t="shared" si="24"/>
        <v>5.0000000000000044E-2</v>
      </c>
      <c r="H32" s="908">
        <f t="shared" si="24"/>
        <v>5.0000000000000044E-2</v>
      </c>
      <c r="I32" s="908">
        <f t="shared" si="24"/>
        <v>5.0000000000000044E-2</v>
      </c>
      <c r="J32" s="908">
        <f t="shared" si="24"/>
        <v>5.0000000000000044E-2</v>
      </c>
      <c r="K32" s="909">
        <v>0.04</v>
      </c>
      <c r="L32" s="909">
        <v>0.04</v>
      </c>
      <c r="M32" s="909">
        <v>0.04</v>
      </c>
      <c r="N32" s="909">
        <v>0.03</v>
      </c>
      <c r="O32" s="909">
        <v>0.03</v>
      </c>
      <c r="P32" s="909">
        <v>0.02</v>
      </c>
      <c r="Q32" s="909">
        <v>0.02</v>
      </c>
      <c r="R32" s="909">
        <v>0.02</v>
      </c>
      <c r="S32" s="909">
        <v>0</v>
      </c>
      <c r="T32" s="909">
        <v>0</v>
      </c>
      <c r="U32" s="905"/>
    </row>
    <row r="33" spans="1:21" s="911" customFormat="1" x14ac:dyDescent="0.15">
      <c r="B33" s="902" t="str">
        <f>Sales!B129</f>
        <v>Emerging Mkts - Latin America</v>
      </c>
      <c r="C33" s="907"/>
      <c r="D33" s="904">
        <f>Sales!AZ129</f>
        <v>435.4</v>
      </c>
      <c r="E33" s="904">
        <f>Sales!BE129</f>
        <v>376.29999999999995</v>
      </c>
      <c r="F33" s="904">
        <f>Sales!BJ129</f>
        <v>359.572</v>
      </c>
      <c r="G33" s="904">
        <f>Sales!BO129</f>
        <v>377.55060000000003</v>
      </c>
      <c r="H33" s="904">
        <f>Sales!BT129</f>
        <v>396.42813000000007</v>
      </c>
      <c r="I33" s="904">
        <f>Sales!BY129</f>
        <v>416.24953650000009</v>
      </c>
      <c r="J33" s="904">
        <f>Sales!CD129</f>
        <v>437.06201332500012</v>
      </c>
      <c r="K33" s="904">
        <f t="shared" ref="K33:T33" si="25">J33*(1+K34)</f>
        <v>454.54449385800012</v>
      </c>
      <c r="L33" s="904">
        <f t="shared" si="25"/>
        <v>472.72627361232014</v>
      </c>
      <c r="M33" s="904">
        <f t="shared" si="25"/>
        <v>491.63532455681298</v>
      </c>
      <c r="N33" s="904">
        <f t="shared" si="25"/>
        <v>506.38438429351737</v>
      </c>
      <c r="O33" s="904">
        <f t="shared" si="25"/>
        <v>521.57591582232294</v>
      </c>
      <c r="P33" s="904">
        <f t="shared" si="25"/>
        <v>532.00743413876944</v>
      </c>
      <c r="Q33" s="904">
        <f t="shared" si="25"/>
        <v>542.6475828215448</v>
      </c>
      <c r="R33" s="904">
        <f t="shared" si="25"/>
        <v>553.50053447797575</v>
      </c>
      <c r="S33" s="904">
        <f t="shared" si="25"/>
        <v>553.50053447797575</v>
      </c>
      <c r="T33" s="904">
        <f t="shared" si="25"/>
        <v>553.50053447797575</v>
      </c>
      <c r="U33" s="905"/>
    </row>
    <row r="34" spans="1:21" s="911" customFormat="1" x14ac:dyDescent="0.15">
      <c r="B34" s="906" t="s">
        <v>126</v>
      </c>
      <c r="C34" s="907"/>
      <c r="D34" s="904"/>
      <c r="E34" s="908">
        <f t="shared" ref="E34:J34" si="26">E33/D33-1</f>
        <v>-0.13573725310059725</v>
      </c>
      <c r="F34" s="908">
        <f t="shared" si="26"/>
        <v>-4.4453893170342651E-2</v>
      </c>
      <c r="G34" s="908">
        <f t="shared" si="26"/>
        <v>5.0000000000000044E-2</v>
      </c>
      <c r="H34" s="908">
        <f t="shared" si="26"/>
        <v>5.0000000000000044E-2</v>
      </c>
      <c r="I34" s="908">
        <f t="shared" si="26"/>
        <v>5.0000000000000044E-2</v>
      </c>
      <c r="J34" s="908">
        <f t="shared" si="26"/>
        <v>5.0000000000000044E-2</v>
      </c>
      <c r="K34" s="909">
        <v>0.04</v>
      </c>
      <c r="L34" s="909">
        <v>0.04</v>
      </c>
      <c r="M34" s="909">
        <v>0.04</v>
      </c>
      <c r="N34" s="909">
        <v>0.03</v>
      </c>
      <c r="O34" s="909">
        <v>0.03</v>
      </c>
      <c r="P34" s="909">
        <v>0.02</v>
      </c>
      <c r="Q34" s="909">
        <v>0.02</v>
      </c>
      <c r="R34" s="909">
        <v>0.02</v>
      </c>
      <c r="S34" s="909">
        <v>0</v>
      </c>
      <c r="T34" s="909">
        <v>0</v>
      </c>
      <c r="U34" s="905"/>
    </row>
    <row r="35" spans="1:21" s="911" customFormat="1" x14ac:dyDescent="0.15">
      <c r="B35" s="902" t="str">
        <f>Sales!B133</f>
        <v>Emerging Mkts - Asia</v>
      </c>
      <c r="C35" s="907"/>
      <c r="D35" s="904">
        <f>Sales!AZ133</f>
        <v>526.29999999999995</v>
      </c>
      <c r="E35" s="904">
        <f>Sales!BE133</f>
        <v>561.20000000000005</v>
      </c>
      <c r="F35" s="904">
        <f>Sales!BJ133</f>
        <v>598.28600000000006</v>
      </c>
      <c r="G35" s="904">
        <f>Sales!BO133</f>
        <v>646.14888000000008</v>
      </c>
      <c r="H35" s="904">
        <f>Sales!BT133</f>
        <v>697.84079040000017</v>
      </c>
      <c r="I35" s="904">
        <f>Sales!BY133</f>
        <v>746.68964572800019</v>
      </c>
      <c r="J35" s="904">
        <f>Sales!CD133</f>
        <v>798.95792092896022</v>
      </c>
      <c r="K35" s="904">
        <f t="shared" ref="K35:T35" si="27">J35*(1+K36)</f>
        <v>846.89539618469792</v>
      </c>
      <c r="L35" s="904">
        <f t="shared" si="27"/>
        <v>897.70911995577978</v>
      </c>
      <c r="M35" s="904">
        <f t="shared" si="27"/>
        <v>942.59457595356878</v>
      </c>
      <c r="N35" s="904">
        <f t="shared" si="27"/>
        <v>989.72430475124725</v>
      </c>
      <c r="O35" s="904">
        <f t="shared" si="27"/>
        <v>1039.2105199888097</v>
      </c>
      <c r="P35" s="904">
        <f t="shared" si="27"/>
        <v>1070.386835588474</v>
      </c>
      <c r="Q35" s="904">
        <f t="shared" si="27"/>
        <v>1102.4984406561282</v>
      </c>
      <c r="R35" s="904">
        <f t="shared" si="27"/>
        <v>1135.5733938758121</v>
      </c>
      <c r="S35" s="904">
        <f t="shared" si="27"/>
        <v>1158.2848617533284</v>
      </c>
      <c r="T35" s="904">
        <f t="shared" si="27"/>
        <v>1181.450558988395</v>
      </c>
      <c r="U35" s="905"/>
    </row>
    <row r="36" spans="1:21" s="911" customFormat="1" x14ac:dyDescent="0.15">
      <c r="B36" s="906" t="s">
        <v>126</v>
      </c>
      <c r="C36" s="907"/>
      <c r="D36" s="904"/>
      <c r="E36" s="908">
        <f t="shared" ref="E36:J36" si="28">E35/D35-1</f>
        <v>6.6311989359681078E-2</v>
      </c>
      <c r="F36" s="908">
        <f t="shared" si="28"/>
        <v>6.6083392729864521E-2</v>
      </c>
      <c r="G36" s="908">
        <f t="shared" si="28"/>
        <v>8.0000000000000071E-2</v>
      </c>
      <c r="H36" s="908">
        <f t="shared" si="28"/>
        <v>8.0000000000000071E-2</v>
      </c>
      <c r="I36" s="908">
        <f t="shared" si="28"/>
        <v>7.0000000000000062E-2</v>
      </c>
      <c r="J36" s="908">
        <f t="shared" si="28"/>
        <v>7.0000000000000062E-2</v>
      </c>
      <c r="K36" s="909">
        <v>0.06</v>
      </c>
      <c r="L36" s="909">
        <v>0.06</v>
      </c>
      <c r="M36" s="909">
        <v>0.05</v>
      </c>
      <c r="N36" s="909">
        <v>0.05</v>
      </c>
      <c r="O36" s="909">
        <v>0.05</v>
      </c>
      <c r="P36" s="909">
        <v>0.03</v>
      </c>
      <c r="Q36" s="909">
        <v>0.03</v>
      </c>
      <c r="R36" s="909">
        <v>0.03</v>
      </c>
      <c r="S36" s="909">
        <v>0.02</v>
      </c>
      <c r="T36" s="909">
        <v>0.02</v>
      </c>
      <c r="U36" s="905"/>
    </row>
    <row r="37" spans="1:21" s="911" customFormat="1" x14ac:dyDescent="0.15">
      <c r="B37" s="913" t="str">
        <f>Sales!B137</f>
        <v>Total Emerging Markets</v>
      </c>
      <c r="C37" s="907"/>
      <c r="D37" s="912">
        <f>SUM(D31,D33,D35)</f>
        <v>2096.3999999999996</v>
      </c>
      <c r="E37" s="912">
        <f t="shared" ref="E37:T37" si="29">SUM(E31,E33,E35)</f>
        <v>1913.9</v>
      </c>
      <c r="F37" s="912">
        <f t="shared" si="29"/>
        <v>2090.3290000000002</v>
      </c>
      <c r="G37" s="912">
        <f t="shared" si="29"/>
        <v>2212.79403</v>
      </c>
      <c r="H37" s="912">
        <f t="shared" si="29"/>
        <v>2342.8181979000001</v>
      </c>
      <c r="I37" s="912">
        <f t="shared" si="29"/>
        <v>2473.915923603</v>
      </c>
      <c r="J37" s="912">
        <f t="shared" si="29"/>
        <v>2612.5455126977104</v>
      </c>
      <c r="K37" s="912">
        <f t="shared" si="29"/>
        <v>2733.0264916241981</v>
      </c>
      <c r="L37" s="912">
        <f t="shared" si="29"/>
        <v>2859.2854592128601</v>
      </c>
      <c r="M37" s="912">
        <f t="shared" si="29"/>
        <v>2982.6339687809323</v>
      </c>
      <c r="N37" s="912">
        <f t="shared" si="29"/>
        <v>3090.9648793634315</v>
      </c>
      <c r="O37" s="912">
        <f t="shared" si="29"/>
        <v>3203.4883118393595</v>
      </c>
      <c r="P37" s="912">
        <f t="shared" si="29"/>
        <v>3277.9501832760352</v>
      </c>
      <c r="Q37" s="912">
        <f t="shared" si="29"/>
        <v>3354.2130552974404</v>
      </c>
      <c r="R37" s="912">
        <f t="shared" si="29"/>
        <v>3432.3223008099508</v>
      </c>
      <c r="S37" s="912">
        <f t="shared" si="29"/>
        <v>3455.0337686874673</v>
      </c>
      <c r="T37" s="912">
        <f t="shared" si="29"/>
        <v>3478.1994659225338</v>
      </c>
      <c r="U37" s="905"/>
    </row>
    <row r="38" spans="1:21" s="911" customFormat="1" x14ac:dyDescent="0.15">
      <c r="B38" s="906" t="s">
        <v>126</v>
      </c>
      <c r="C38" s="904"/>
      <c r="D38" s="904"/>
      <c r="E38" s="908">
        <f t="shared" ref="E38:T38" si="30">E37/D37-1</f>
        <v>-8.7053997328753852E-2</v>
      </c>
      <c r="F38" s="908">
        <f t="shared" si="30"/>
        <v>9.2182977167041269E-2</v>
      </c>
      <c r="G38" s="908">
        <f t="shared" si="30"/>
        <v>5.8586485668045585E-2</v>
      </c>
      <c r="H38" s="908">
        <f t="shared" si="30"/>
        <v>5.8760176562840716E-2</v>
      </c>
      <c r="I38" s="908">
        <f t="shared" si="30"/>
        <v>5.5957276505923526E-2</v>
      </c>
      <c r="J38" s="908">
        <f t="shared" si="30"/>
        <v>5.6036499774337889E-2</v>
      </c>
      <c r="K38" s="908">
        <f t="shared" si="30"/>
        <v>4.6116317721898392E-2</v>
      </c>
      <c r="L38" s="908">
        <f t="shared" si="30"/>
        <v>4.6197491307019112E-2</v>
      </c>
      <c r="M38" s="908">
        <f t="shared" si="30"/>
        <v>4.3139627479527265E-2</v>
      </c>
      <c r="N38" s="908">
        <f t="shared" si="30"/>
        <v>3.6320551471079821E-2</v>
      </c>
      <c r="O38" s="908">
        <f t="shared" si="30"/>
        <v>3.6403982855703454E-2</v>
      </c>
      <c r="P38" s="908">
        <f t="shared" si="30"/>
        <v>2.3243996602541506E-2</v>
      </c>
      <c r="Q38" s="908">
        <f t="shared" si="30"/>
        <v>2.3265415200784734E-2</v>
      </c>
      <c r="R38" s="908">
        <f t="shared" si="30"/>
        <v>2.3286906414352382E-2</v>
      </c>
      <c r="S38" s="908">
        <f t="shared" si="30"/>
        <v>6.6169391703561065E-3</v>
      </c>
      <c r="T38" s="908">
        <f t="shared" si="30"/>
        <v>6.7049119591866546E-3</v>
      </c>
      <c r="U38" s="905"/>
    </row>
    <row r="39" spans="1:21" x14ac:dyDescent="0.15">
      <c r="B39" s="915" t="s">
        <v>188</v>
      </c>
      <c r="C39" s="916"/>
      <c r="D39" s="917">
        <f>D25+D28+D37</f>
        <v>8263.5</v>
      </c>
      <c r="E39" s="917">
        <f t="shared" ref="E39:T39" si="31">E25+E28+E37</f>
        <v>10494.6</v>
      </c>
      <c r="F39" s="917">
        <f t="shared" si="31"/>
        <v>10966.751</v>
      </c>
      <c r="G39" s="917">
        <f t="shared" si="31"/>
        <v>11740.723020000001</v>
      </c>
      <c r="H39" s="917">
        <f t="shared" si="31"/>
        <v>12447.6115627</v>
      </c>
      <c r="I39" s="917">
        <f t="shared" si="31"/>
        <v>13185.359670699003</v>
      </c>
      <c r="J39" s="917">
        <f t="shared" si="31"/>
        <v>13762.726328055631</v>
      </c>
      <c r="K39" s="917">
        <f t="shared" si="31"/>
        <v>14053.503081603318</v>
      </c>
      <c r="L39" s="917">
        <f t="shared" si="31"/>
        <v>14236.31274425755</v>
      </c>
      <c r="M39" s="917">
        <f t="shared" si="31"/>
        <v>14515.845176260904</v>
      </c>
      <c r="N39" s="917">
        <f t="shared" si="31"/>
        <v>12542.081071107081</v>
      </c>
      <c r="O39" s="917">
        <f t="shared" si="31"/>
        <v>12705.298098372872</v>
      </c>
      <c r="P39" s="917">
        <f t="shared" si="31"/>
        <v>12789.156435498469</v>
      </c>
      <c r="Q39" s="917">
        <f t="shared" si="31"/>
        <v>12793.470333949561</v>
      </c>
      <c r="R39" s="917">
        <f t="shared" si="31"/>
        <v>12892.170630248969</v>
      </c>
      <c r="S39" s="917">
        <f t="shared" si="31"/>
        <v>12936.477534211663</v>
      </c>
      <c r="T39" s="917">
        <f t="shared" si="31"/>
        <v>12113.819628653346</v>
      </c>
      <c r="U39" s="916"/>
    </row>
    <row r="40" spans="1:21" x14ac:dyDescent="0.15">
      <c r="B40" s="918" t="s">
        <v>126</v>
      </c>
      <c r="C40" s="919"/>
      <c r="D40" s="920"/>
      <c r="E40" s="920">
        <f t="shared" ref="E40:T40" si="32">E39/D39-1</f>
        <v>0.26999455436558373</v>
      </c>
      <c r="F40" s="920">
        <f t="shared" si="32"/>
        <v>4.4989899567396519E-2</v>
      </c>
      <c r="G40" s="920">
        <f t="shared" si="32"/>
        <v>7.0574413515908319E-2</v>
      </c>
      <c r="H40" s="920">
        <f t="shared" si="32"/>
        <v>6.0208263281216423E-2</v>
      </c>
      <c r="I40" s="920">
        <f t="shared" si="32"/>
        <v>5.9268246304351901E-2</v>
      </c>
      <c r="J40" s="920">
        <f t="shared" si="32"/>
        <v>4.3788464765179835E-2</v>
      </c>
      <c r="K40" s="920">
        <f t="shared" si="32"/>
        <v>2.1127845356841313E-2</v>
      </c>
      <c r="L40" s="920">
        <f t="shared" si="32"/>
        <v>1.3008120579810267E-2</v>
      </c>
      <c r="M40" s="920">
        <f t="shared" si="32"/>
        <v>1.9635170779463751E-2</v>
      </c>
      <c r="N40" s="920">
        <f t="shared" si="32"/>
        <v>-0.1359730750216116</v>
      </c>
      <c r="O40" s="920">
        <f t="shared" si="32"/>
        <v>1.3013552243876791E-2</v>
      </c>
      <c r="P40" s="920">
        <f t="shared" si="32"/>
        <v>6.6002652182035604E-3</v>
      </c>
      <c r="Q40" s="920">
        <f t="shared" si="32"/>
        <v>3.3730906904216873E-4</v>
      </c>
      <c r="R40" s="920">
        <f t="shared" si="32"/>
        <v>7.7148962496509377E-3</v>
      </c>
      <c r="S40" s="920">
        <f t="shared" si="32"/>
        <v>3.4367295650536978E-3</v>
      </c>
      <c r="T40" s="920">
        <f t="shared" si="32"/>
        <v>-6.3592110246605049E-2</v>
      </c>
      <c r="U40" s="921"/>
    </row>
    <row r="41" spans="1:21" s="924" customFormat="1" x14ac:dyDescent="0.15">
      <c r="A41" s="922"/>
      <c r="B41" s="923"/>
      <c r="C41" s="923"/>
    </row>
    <row r="42" spans="1:21" s="924" customFormat="1" x14ac:dyDescent="0.15">
      <c r="A42" s="922"/>
      <c r="B42" s="899" t="s">
        <v>355</v>
      </c>
      <c r="C42" s="901"/>
      <c r="D42" s="900"/>
      <c r="E42" s="900"/>
      <c r="F42" s="900"/>
      <c r="G42" s="900"/>
      <c r="H42" s="900"/>
      <c r="I42" s="900"/>
      <c r="J42" s="900"/>
      <c r="K42" s="925"/>
      <c r="L42" s="925"/>
      <c r="M42" s="925"/>
      <c r="N42" s="925"/>
      <c r="O42" s="925"/>
      <c r="P42" s="925"/>
      <c r="Q42" s="925"/>
      <c r="R42" s="925"/>
      <c r="S42" s="925"/>
      <c r="T42" s="925"/>
      <c r="U42" s="926"/>
    </row>
    <row r="43" spans="1:21" s="924" customFormat="1" x14ac:dyDescent="0.15">
      <c r="A43" s="922"/>
      <c r="B43" s="927" t="s">
        <v>404</v>
      </c>
      <c r="C43" s="923"/>
      <c r="D43" s="923"/>
      <c r="E43" s="923">
        <f>SUM($D$70:E70)/$C$81*-1</f>
        <v>0</v>
      </c>
      <c r="F43" s="923">
        <f>SUM($D$70:F70)/$C$81*-1</f>
        <v>0</v>
      </c>
      <c r="G43" s="923">
        <f>SUM($D$70:G70)/$C$81*-1</f>
        <v>0</v>
      </c>
      <c r="H43" s="923">
        <f>SUM($D$70:H70)/$C$81*-1</f>
        <v>0</v>
      </c>
      <c r="I43" s="923">
        <f>SUM($D$70:I70)/$C$81*-1</f>
        <v>0</v>
      </c>
      <c r="J43" s="923">
        <f>SUM($D$70:J70)/$C$81*-1</f>
        <v>0</v>
      </c>
      <c r="K43" s="923">
        <f>SUM($D$70:K70)/$C$81*-1</f>
        <v>0</v>
      </c>
      <c r="L43" s="923">
        <f>SUM($D$70:L70)/$C$81*-1</f>
        <v>0</v>
      </c>
      <c r="M43" s="923">
        <f>SUM($D$70:M70)/$C$81*-1</f>
        <v>0</v>
      </c>
      <c r="N43" s="923">
        <f>SUM($D$70:N70)/$C$81*-1</f>
        <v>0</v>
      </c>
      <c r="O43" s="923">
        <f>SUM($D$70:O70)/$C$81*-1</f>
        <v>0</v>
      </c>
      <c r="P43" s="923">
        <f>SUM($D$70:P70)/$C$81*-1</f>
        <v>0</v>
      </c>
      <c r="Q43" s="923">
        <f>SUM($D$70:Q70)/$C$81*-1</f>
        <v>0</v>
      </c>
      <c r="R43" s="923">
        <f>SUM($D$70:R70)/$C$81*-1</f>
        <v>0</v>
      </c>
      <c r="S43" s="923">
        <f>SUM($D$70:S70)/$C$81*-1</f>
        <v>0</v>
      </c>
      <c r="T43" s="923">
        <f>SUM($D$70:T70)/$C$81*-1</f>
        <v>0</v>
      </c>
      <c r="U43" s="928"/>
    </row>
    <row r="44" spans="1:21" s="924" customFormat="1" x14ac:dyDescent="0.15">
      <c r="A44" s="922"/>
      <c r="B44" s="929" t="s">
        <v>405</v>
      </c>
      <c r="C44" s="930"/>
      <c r="D44" s="930">
        <f>D39+D43</f>
        <v>8263.5</v>
      </c>
      <c r="E44" s="930">
        <f t="shared" ref="E44:T44" si="33">E39+E43</f>
        <v>10494.6</v>
      </c>
      <c r="F44" s="930">
        <f t="shared" si="33"/>
        <v>10966.751</v>
      </c>
      <c r="G44" s="930">
        <f t="shared" si="33"/>
        <v>11740.723020000001</v>
      </c>
      <c r="H44" s="930">
        <f t="shared" si="33"/>
        <v>12447.6115627</v>
      </c>
      <c r="I44" s="930">
        <f t="shared" si="33"/>
        <v>13185.359670699003</v>
      </c>
      <c r="J44" s="930">
        <f t="shared" si="33"/>
        <v>13762.726328055631</v>
      </c>
      <c r="K44" s="930">
        <f t="shared" si="33"/>
        <v>14053.503081603318</v>
      </c>
      <c r="L44" s="930">
        <f t="shared" si="33"/>
        <v>14236.31274425755</v>
      </c>
      <c r="M44" s="930">
        <f t="shared" si="33"/>
        <v>14515.845176260904</v>
      </c>
      <c r="N44" s="930">
        <f t="shared" si="33"/>
        <v>12542.081071107081</v>
      </c>
      <c r="O44" s="930">
        <f t="shared" si="33"/>
        <v>12705.298098372872</v>
      </c>
      <c r="P44" s="930">
        <f t="shared" si="33"/>
        <v>12789.156435498469</v>
      </c>
      <c r="Q44" s="930">
        <f t="shared" si="33"/>
        <v>12793.470333949561</v>
      </c>
      <c r="R44" s="930">
        <f t="shared" si="33"/>
        <v>12892.170630248969</v>
      </c>
      <c r="S44" s="930">
        <f t="shared" si="33"/>
        <v>12936.477534211663</v>
      </c>
      <c r="T44" s="930">
        <f t="shared" si="33"/>
        <v>12113.819628653346</v>
      </c>
      <c r="U44" s="931"/>
    </row>
    <row r="45" spans="1:21" s="924" customFormat="1" x14ac:dyDescent="0.15">
      <c r="A45" s="922"/>
      <c r="B45" s="923"/>
      <c r="C45" s="923"/>
    </row>
    <row r="46" spans="1:21" x14ac:dyDescent="0.15">
      <c r="B46" s="899" t="s">
        <v>72</v>
      </c>
      <c r="C46" s="901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900"/>
      <c r="P46" s="900"/>
      <c r="Q46" s="900"/>
      <c r="R46" s="900"/>
      <c r="S46" s="900"/>
      <c r="T46" s="900"/>
      <c r="U46" s="901"/>
    </row>
    <row r="47" spans="1:21" x14ac:dyDescent="0.15">
      <c r="B47" s="932" t="s">
        <v>191</v>
      </c>
      <c r="C47" s="933"/>
      <c r="D47" s="934">
        <f t="shared" ref="D47:S51" si="34">D54/D$39</f>
        <v>0.26129364070914257</v>
      </c>
      <c r="E47" s="935">
        <f t="shared" si="34"/>
        <v>0.23476835705982124</v>
      </c>
      <c r="F47" s="935">
        <f t="shared" si="34"/>
        <v>0.23770658009833537</v>
      </c>
      <c r="G47" s="935">
        <f t="shared" si="34"/>
        <v>0.23515892675832831</v>
      </c>
      <c r="H47" s="935">
        <f t="shared" si="34"/>
        <v>0.23085632307999876</v>
      </c>
      <c r="I47" s="935">
        <f t="shared" si="34"/>
        <v>0.22555886210741871</v>
      </c>
      <c r="J47" s="935">
        <f t="shared" si="34"/>
        <v>0.22087192385660209</v>
      </c>
      <c r="K47" s="936">
        <f t="shared" ref="K47:T49" si="35">J47</f>
        <v>0.22087192385660209</v>
      </c>
      <c r="L47" s="936">
        <f>K47</f>
        <v>0.22087192385660209</v>
      </c>
      <c r="M47" s="936">
        <f t="shared" ref="M47:T47" si="36">L47</f>
        <v>0.22087192385660209</v>
      </c>
      <c r="N47" s="936">
        <f t="shared" si="36"/>
        <v>0.22087192385660209</v>
      </c>
      <c r="O47" s="936">
        <f t="shared" si="36"/>
        <v>0.22087192385660209</v>
      </c>
      <c r="P47" s="936">
        <f t="shared" si="36"/>
        <v>0.22087192385660209</v>
      </c>
      <c r="Q47" s="936">
        <f t="shared" si="36"/>
        <v>0.22087192385660209</v>
      </c>
      <c r="R47" s="936">
        <f t="shared" si="36"/>
        <v>0.22087192385660209</v>
      </c>
      <c r="S47" s="936">
        <f t="shared" si="36"/>
        <v>0.22087192385660209</v>
      </c>
      <c r="T47" s="936">
        <f t="shared" si="36"/>
        <v>0.22087192385660209</v>
      </c>
      <c r="U47" s="937" t="s">
        <v>39</v>
      </c>
    </row>
    <row r="48" spans="1:21" x14ac:dyDescent="0.15">
      <c r="B48" s="932" t="s">
        <v>42</v>
      </c>
      <c r="C48" s="933"/>
      <c r="D48" s="934">
        <f t="shared" si="34"/>
        <v>0.24364978519997582</v>
      </c>
      <c r="E48" s="934">
        <f t="shared" si="34"/>
        <v>0.24834676881443787</v>
      </c>
      <c r="F48" s="935">
        <f t="shared" si="34"/>
        <v>0.25139332104832141</v>
      </c>
      <c r="G48" s="935">
        <f t="shared" si="34"/>
        <v>0.25</v>
      </c>
      <c r="H48" s="935">
        <f t="shared" si="34"/>
        <v>0.24799999999999997</v>
      </c>
      <c r="I48" s="935">
        <f t="shared" si="34"/>
        <v>0.245</v>
      </c>
      <c r="J48" s="935">
        <f t="shared" si="34"/>
        <v>0.245</v>
      </c>
      <c r="K48" s="936">
        <f t="shared" si="35"/>
        <v>0.245</v>
      </c>
      <c r="L48" s="936">
        <f t="shared" si="35"/>
        <v>0.245</v>
      </c>
      <c r="M48" s="936">
        <f t="shared" si="35"/>
        <v>0.245</v>
      </c>
      <c r="N48" s="936">
        <f t="shared" si="35"/>
        <v>0.245</v>
      </c>
      <c r="O48" s="936">
        <f t="shared" si="35"/>
        <v>0.245</v>
      </c>
      <c r="P48" s="936">
        <f t="shared" si="35"/>
        <v>0.245</v>
      </c>
      <c r="Q48" s="936">
        <f t="shared" si="35"/>
        <v>0.245</v>
      </c>
      <c r="R48" s="936">
        <f t="shared" si="35"/>
        <v>0.245</v>
      </c>
      <c r="S48" s="936">
        <f t="shared" si="35"/>
        <v>0.245</v>
      </c>
      <c r="T48" s="936">
        <f t="shared" si="35"/>
        <v>0.245</v>
      </c>
      <c r="U48" s="937"/>
    </row>
    <row r="49" spans="1:21" x14ac:dyDescent="0.15">
      <c r="B49" s="932" t="s">
        <v>40</v>
      </c>
      <c r="C49" s="933"/>
      <c r="D49" s="934">
        <f t="shared" si="34"/>
        <v>2.9612149815453501E-2</v>
      </c>
      <c r="E49" s="934">
        <f t="shared" si="34"/>
        <v>3.1730604310788404E-2</v>
      </c>
      <c r="F49" s="935">
        <f t="shared" si="34"/>
        <v>3.7627797968605291E-2</v>
      </c>
      <c r="G49" s="935">
        <f t="shared" si="34"/>
        <v>3.5000000000000003E-2</v>
      </c>
      <c r="H49" s="935">
        <f t="shared" si="34"/>
        <v>3.3000000000000002E-2</v>
      </c>
      <c r="I49" s="935">
        <f t="shared" si="34"/>
        <v>3.1E-2</v>
      </c>
      <c r="J49" s="935">
        <f t="shared" si="34"/>
        <v>3.0000000000000002E-2</v>
      </c>
      <c r="K49" s="938">
        <f t="shared" si="35"/>
        <v>3.0000000000000002E-2</v>
      </c>
      <c r="L49" s="938">
        <f t="shared" si="35"/>
        <v>3.0000000000000002E-2</v>
      </c>
      <c r="M49" s="938">
        <f t="shared" si="35"/>
        <v>3.0000000000000002E-2</v>
      </c>
      <c r="N49" s="938">
        <f t="shared" si="35"/>
        <v>3.0000000000000002E-2</v>
      </c>
      <c r="O49" s="938">
        <f t="shared" si="35"/>
        <v>3.0000000000000002E-2</v>
      </c>
      <c r="P49" s="938">
        <f t="shared" si="35"/>
        <v>3.0000000000000002E-2</v>
      </c>
      <c r="Q49" s="938">
        <f t="shared" si="35"/>
        <v>3.0000000000000002E-2</v>
      </c>
      <c r="R49" s="938">
        <f t="shared" si="35"/>
        <v>3.0000000000000002E-2</v>
      </c>
      <c r="S49" s="938">
        <f t="shared" si="35"/>
        <v>3.0000000000000002E-2</v>
      </c>
      <c r="T49" s="938">
        <f t="shared" si="35"/>
        <v>3.0000000000000002E-2</v>
      </c>
      <c r="U49" s="939" t="s">
        <v>39</v>
      </c>
    </row>
    <row r="50" spans="1:21" x14ac:dyDescent="0.15">
      <c r="B50" s="932" t="s">
        <v>406</v>
      </c>
      <c r="C50" s="933"/>
      <c r="D50" s="934">
        <f t="shared" si="34"/>
        <v>0.53455557572457191</v>
      </c>
      <c r="E50" s="934">
        <f t="shared" si="34"/>
        <v>0.51484573018504753</v>
      </c>
      <c r="F50" s="934">
        <f t="shared" si="34"/>
        <v>0.52672769911526207</v>
      </c>
      <c r="G50" s="934">
        <f t="shared" si="34"/>
        <v>0.52015892675832831</v>
      </c>
      <c r="H50" s="934">
        <f t="shared" si="34"/>
        <v>0.51185632307999873</v>
      </c>
      <c r="I50" s="934">
        <f t="shared" si="34"/>
        <v>0.50155886210741873</v>
      </c>
      <c r="J50" s="934">
        <f t="shared" si="34"/>
        <v>0.49587192385660211</v>
      </c>
      <c r="K50" s="934">
        <f t="shared" si="34"/>
        <v>0.49587192385660211</v>
      </c>
      <c r="L50" s="934">
        <f t="shared" si="34"/>
        <v>0.49587192385660211</v>
      </c>
      <c r="M50" s="934">
        <f t="shared" si="34"/>
        <v>0.49587192385660211</v>
      </c>
      <c r="N50" s="934">
        <f t="shared" si="34"/>
        <v>0.49587192385660211</v>
      </c>
      <c r="O50" s="934">
        <f t="shared" si="34"/>
        <v>0.495871923856602</v>
      </c>
      <c r="P50" s="934">
        <f t="shared" si="34"/>
        <v>0.49587192385660211</v>
      </c>
      <c r="Q50" s="934">
        <f t="shared" si="34"/>
        <v>0.49587192385660211</v>
      </c>
      <c r="R50" s="934">
        <f t="shared" si="34"/>
        <v>0.49587192385660217</v>
      </c>
      <c r="S50" s="934">
        <f t="shared" si="34"/>
        <v>0.49587192385660217</v>
      </c>
      <c r="T50" s="934">
        <f t="shared" ref="N50:T51" si="37">T57/T$39</f>
        <v>0.49587192385660206</v>
      </c>
      <c r="U50" s="940"/>
    </row>
    <row r="51" spans="1:21" x14ac:dyDescent="0.15">
      <c r="B51" s="941" t="s">
        <v>407</v>
      </c>
      <c r="C51" s="942"/>
      <c r="D51" s="943">
        <f t="shared" si="34"/>
        <v>0.46544442427542809</v>
      </c>
      <c r="E51" s="943">
        <f t="shared" si="34"/>
        <v>0.48515426981495241</v>
      </c>
      <c r="F51" s="943">
        <f t="shared" si="34"/>
        <v>0.47327230088473787</v>
      </c>
      <c r="G51" s="943">
        <f t="shared" si="34"/>
        <v>0.47984107324167163</v>
      </c>
      <c r="H51" s="943">
        <f t="shared" si="34"/>
        <v>0.48814367692000127</v>
      </c>
      <c r="I51" s="943">
        <f t="shared" si="34"/>
        <v>0.49844113789258127</v>
      </c>
      <c r="J51" s="943">
        <f t="shared" si="34"/>
        <v>0.50412807614339794</v>
      </c>
      <c r="K51" s="943">
        <f t="shared" si="34"/>
        <v>0.50412807614339794</v>
      </c>
      <c r="L51" s="943">
        <f t="shared" si="34"/>
        <v>0.50412807614339783</v>
      </c>
      <c r="M51" s="943">
        <f t="shared" si="34"/>
        <v>0.50412807614339783</v>
      </c>
      <c r="N51" s="943">
        <f t="shared" si="37"/>
        <v>0.50412807614339794</v>
      </c>
      <c r="O51" s="943">
        <f t="shared" si="37"/>
        <v>0.50412807614339794</v>
      </c>
      <c r="P51" s="943">
        <f t="shared" si="37"/>
        <v>0.50412807614339794</v>
      </c>
      <c r="Q51" s="943">
        <f t="shared" si="37"/>
        <v>0.50412807614339794</v>
      </c>
      <c r="R51" s="943">
        <f t="shared" si="37"/>
        <v>0.50412807614339783</v>
      </c>
      <c r="S51" s="943">
        <f t="shared" si="37"/>
        <v>0.50412807614339783</v>
      </c>
      <c r="T51" s="943">
        <f t="shared" si="37"/>
        <v>0.50412807614339794</v>
      </c>
      <c r="U51" s="944"/>
    </row>
    <row r="52" spans="1:21" s="924" customFormat="1" ht="3.75" customHeight="1" x14ac:dyDescent="0.15">
      <c r="A52" s="922"/>
      <c r="B52" s="923"/>
      <c r="C52" s="923"/>
    </row>
    <row r="53" spans="1:21" x14ac:dyDescent="0.15">
      <c r="B53" s="899" t="s">
        <v>408</v>
      </c>
      <c r="C53" s="901"/>
      <c r="D53" s="900"/>
      <c r="E53" s="900"/>
      <c r="F53" s="900"/>
      <c r="G53" s="900"/>
      <c r="H53" s="900"/>
      <c r="I53" s="900"/>
      <c r="J53" s="900"/>
      <c r="K53" s="900"/>
      <c r="L53" s="900"/>
      <c r="M53" s="900"/>
      <c r="N53" s="900"/>
      <c r="O53" s="900"/>
      <c r="P53" s="900"/>
      <c r="Q53" s="900"/>
      <c r="R53" s="900"/>
      <c r="S53" s="900"/>
      <c r="T53" s="900"/>
      <c r="U53" s="901"/>
    </row>
    <row r="54" spans="1:21" x14ac:dyDescent="0.15">
      <c r="B54" s="932" t="s">
        <v>191</v>
      </c>
      <c r="C54" s="933"/>
      <c r="D54" s="945">
        <f>IS!AZ11</f>
        <v>2159.1999999999998</v>
      </c>
      <c r="E54" s="945">
        <f>IS!BE11</f>
        <v>2463.8000000000002</v>
      </c>
      <c r="F54" s="945">
        <f>IS!BJ11</f>
        <v>2606.8688749999997</v>
      </c>
      <c r="G54" s="945">
        <f>IS!BO11</f>
        <v>2760.9358247499995</v>
      </c>
      <c r="H54" s="945">
        <f>IS!BT11</f>
        <v>2873.6098364929994</v>
      </c>
      <c r="I54" s="945">
        <f>IS!BY11</f>
        <v>2974.0747237999162</v>
      </c>
      <c r="J54" s="945">
        <f>IS!CD11</f>
        <v>3039.7998415895563</v>
      </c>
      <c r="K54" s="945">
        <f t="shared" ref="K54:T56" si="38">K47*K$39</f>
        <v>3104.024262558411</v>
      </c>
      <c r="L54" s="945">
        <f t="shared" si="38"/>
        <v>3144.4017844484274</v>
      </c>
      <c r="M54" s="945">
        <f t="shared" si="38"/>
        <v>3206.142650485323</v>
      </c>
      <c r="N54" s="945">
        <f t="shared" si="38"/>
        <v>2770.1935753408934</v>
      </c>
      <c r="O54" s="945">
        <f t="shared" si="38"/>
        <v>2806.2436341592443</v>
      </c>
      <c r="P54" s="945">
        <f t="shared" si="38"/>
        <v>2824.7655864115904</v>
      </c>
      <c r="Q54" s="945">
        <f t="shared" si="38"/>
        <v>2825.7184054618051</v>
      </c>
      <c r="R54" s="945">
        <f t="shared" si="38"/>
        <v>2847.5185297906723</v>
      </c>
      <c r="S54" s="945">
        <f t="shared" si="38"/>
        <v>2857.304680909042</v>
      </c>
      <c r="T54" s="945">
        <f t="shared" si="38"/>
        <v>2675.6026466325338</v>
      </c>
      <c r="U54" s="933"/>
    </row>
    <row r="55" spans="1:21" x14ac:dyDescent="0.15">
      <c r="B55" s="932" t="s">
        <v>42</v>
      </c>
      <c r="C55" s="933"/>
      <c r="D55" s="945">
        <f>IS!AZ15</f>
        <v>2013.4</v>
      </c>
      <c r="E55" s="945">
        <f>IS!BE15</f>
        <v>2606.2999999999997</v>
      </c>
      <c r="F55" s="945">
        <f>IS!BJ15</f>
        <v>2756.9679550000001</v>
      </c>
      <c r="G55" s="945">
        <f>IS!BO15</f>
        <v>2935.1807550000003</v>
      </c>
      <c r="H55" s="945">
        <f>IS!BT15</f>
        <v>3087.0076675495998</v>
      </c>
      <c r="I55" s="945">
        <f>IS!BY15</f>
        <v>3230.4131193212556</v>
      </c>
      <c r="J55" s="945">
        <f>IS!CD15</f>
        <v>3371.8679503736294</v>
      </c>
      <c r="K55" s="945">
        <f t="shared" si="38"/>
        <v>3443.1082549928128</v>
      </c>
      <c r="L55" s="945">
        <f t="shared" si="38"/>
        <v>3487.8966223430998</v>
      </c>
      <c r="M55" s="945">
        <f t="shared" si="38"/>
        <v>3556.3820681839215</v>
      </c>
      <c r="N55" s="945">
        <f t="shared" si="38"/>
        <v>3072.8098624212348</v>
      </c>
      <c r="O55" s="945">
        <f t="shared" si="38"/>
        <v>3112.7980341013536</v>
      </c>
      <c r="P55" s="945">
        <f t="shared" si="38"/>
        <v>3133.3433266971251</v>
      </c>
      <c r="Q55" s="945">
        <f t="shared" si="38"/>
        <v>3134.4002318176422</v>
      </c>
      <c r="R55" s="945">
        <f t="shared" si="38"/>
        <v>3158.5818044109974</v>
      </c>
      <c r="S55" s="945">
        <f t="shared" si="38"/>
        <v>3169.4369958818575</v>
      </c>
      <c r="T55" s="945">
        <f t="shared" si="38"/>
        <v>2967.8858090200697</v>
      </c>
      <c r="U55" s="933"/>
    </row>
    <row r="56" spans="1:21" ht="16" x14ac:dyDescent="0.3">
      <c r="B56" s="946" t="s">
        <v>40</v>
      </c>
      <c r="C56" s="947"/>
      <c r="D56" s="948">
        <f>IS!AZ14</f>
        <v>244.70000000000002</v>
      </c>
      <c r="E56" s="948">
        <f>IS!BE14</f>
        <v>333</v>
      </c>
      <c r="F56" s="948">
        <f>IS!BJ14</f>
        <v>412.65469100000001</v>
      </c>
      <c r="G56" s="948">
        <f>IS!BO14</f>
        <v>410.92530570000008</v>
      </c>
      <c r="H56" s="948">
        <f>IS!BT14</f>
        <v>410.77118156910001</v>
      </c>
      <c r="I56" s="948">
        <f>IS!BY14</f>
        <v>408.7461497916691</v>
      </c>
      <c r="J56" s="948">
        <f>IS!CD14</f>
        <v>412.88178984166893</v>
      </c>
      <c r="K56" s="948">
        <f t="shared" si="38"/>
        <v>421.60509244809958</v>
      </c>
      <c r="L56" s="948">
        <f t="shared" si="38"/>
        <v>427.08938232772653</v>
      </c>
      <c r="M56" s="948">
        <f t="shared" si="38"/>
        <v>435.47535528782714</v>
      </c>
      <c r="N56" s="948">
        <f t="shared" si="38"/>
        <v>376.26243213321243</v>
      </c>
      <c r="O56" s="948">
        <f t="shared" si="38"/>
        <v>381.15894295118619</v>
      </c>
      <c r="P56" s="948">
        <f t="shared" si="38"/>
        <v>383.67469306495411</v>
      </c>
      <c r="Q56" s="948">
        <f t="shared" si="38"/>
        <v>383.80411001848688</v>
      </c>
      <c r="R56" s="948">
        <f t="shared" si="38"/>
        <v>386.76511890746912</v>
      </c>
      <c r="S56" s="948">
        <f t="shared" si="38"/>
        <v>388.0943260263499</v>
      </c>
      <c r="T56" s="948">
        <f t="shared" si="38"/>
        <v>363.41458885960043</v>
      </c>
      <c r="U56" s="947"/>
    </row>
    <row r="57" spans="1:21" x14ac:dyDescent="0.15">
      <c r="B57" s="932" t="s">
        <v>406</v>
      </c>
      <c r="C57" s="933"/>
      <c r="D57" s="945">
        <f t="shared" ref="D57:T57" si="39">SUM(D54:D56)</f>
        <v>4417.3</v>
      </c>
      <c r="E57" s="945">
        <f t="shared" si="39"/>
        <v>5403.1</v>
      </c>
      <c r="F57" s="945">
        <f t="shared" si="39"/>
        <v>5776.4915209999999</v>
      </c>
      <c r="G57" s="945">
        <f t="shared" si="39"/>
        <v>6107.0418854500003</v>
      </c>
      <c r="H57" s="945">
        <f t="shared" si="39"/>
        <v>6371.3886856116987</v>
      </c>
      <c r="I57" s="945">
        <f t="shared" si="39"/>
        <v>6613.2339929128411</v>
      </c>
      <c r="J57" s="945">
        <f t="shared" si="39"/>
        <v>6824.5495818048548</v>
      </c>
      <c r="K57" s="945">
        <f t="shared" si="39"/>
        <v>6968.7376099993235</v>
      </c>
      <c r="L57" s="945">
        <f t="shared" si="39"/>
        <v>7059.3877891192542</v>
      </c>
      <c r="M57" s="945">
        <f t="shared" si="39"/>
        <v>7198.0000739570723</v>
      </c>
      <c r="N57" s="945">
        <f t="shared" si="39"/>
        <v>6219.265869895341</v>
      </c>
      <c r="O57" s="945">
        <f t="shared" si="39"/>
        <v>6300.2006112117833</v>
      </c>
      <c r="P57" s="945">
        <f t="shared" si="39"/>
        <v>6341.7836061736698</v>
      </c>
      <c r="Q57" s="945">
        <f t="shared" si="39"/>
        <v>6343.9227472979346</v>
      </c>
      <c r="R57" s="945">
        <f t="shared" si="39"/>
        <v>6392.8654531091397</v>
      </c>
      <c r="S57" s="945">
        <f t="shared" si="39"/>
        <v>6414.8360028172501</v>
      </c>
      <c r="T57" s="945">
        <f t="shared" si="39"/>
        <v>6006.9030445122035</v>
      </c>
      <c r="U57" s="933"/>
    </row>
    <row r="58" spans="1:21" x14ac:dyDescent="0.15">
      <c r="B58" s="949" t="s">
        <v>409</v>
      </c>
      <c r="C58" s="950"/>
      <c r="D58" s="951">
        <f t="shared" ref="D58:T58" si="40">D39-D57</f>
        <v>3846.2</v>
      </c>
      <c r="E58" s="951">
        <f t="shared" si="40"/>
        <v>5091.5</v>
      </c>
      <c r="F58" s="951">
        <f t="shared" si="40"/>
        <v>5190.2594790000003</v>
      </c>
      <c r="G58" s="951">
        <f t="shared" si="40"/>
        <v>5633.6811345500009</v>
      </c>
      <c r="H58" s="951">
        <f t="shared" si="40"/>
        <v>6076.2228770883012</v>
      </c>
      <c r="I58" s="951">
        <f t="shared" si="40"/>
        <v>6572.1256777861618</v>
      </c>
      <c r="J58" s="951">
        <f t="shared" si="40"/>
        <v>6938.176746250776</v>
      </c>
      <c r="K58" s="951">
        <f t="shared" si="40"/>
        <v>7084.7654716039942</v>
      </c>
      <c r="L58" s="951">
        <f t="shared" si="40"/>
        <v>7176.9249551382954</v>
      </c>
      <c r="M58" s="951">
        <f t="shared" si="40"/>
        <v>7317.8451023038315</v>
      </c>
      <c r="N58" s="951">
        <f t="shared" si="40"/>
        <v>6322.8152012117398</v>
      </c>
      <c r="O58" s="951">
        <f t="shared" si="40"/>
        <v>6405.0974871610888</v>
      </c>
      <c r="P58" s="951">
        <f t="shared" si="40"/>
        <v>6447.3728293247996</v>
      </c>
      <c r="Q58" s="951">
        <f t="shared" si="40"/>
        <v>6449.5475866516263</v>
      </c>
      <c r="R58" s="951">
        <f t="shared" si="40"/>
        <v>6499.3051771398295</v>
      </c>
      <c r="S58" s="951">
        <f t="shared" si="40"/>
        <v>6521.6415313944126</v>
      </c>
      <c r="T58" s="951">
        <f t="shared" si="40"/>
        <v>6106.9165841411423</v>
      </c>
      <c r="U58" s="950"/>
    </row>
    <row r="59" spans="1:21" x14ac:dyDescent="0.15">
      <c r="B59" s="949" t="s">
        <v>410</v>
      </c>
      <c r="C59" s="950"/>
      <c r="D59" s="951">
        <f>D43*D51</f>
        <v>0</v>
      </c>
      <c r="E59" s="951">
        <f t="shared" ref="E59:T59" si="41">E43*E51</f>
        <v>0</v>
      </c>
      <c r="F59" s="951">
        <f t="shared" si="41"/>
        <v>0</v>
      </c>
      <c r="G59" s="951">
        <f>G43*G51</f>
        <v>0</v>
      </c>
      <c r="H59" s="951">
        <f t="shared" si="41"/>
        <v>0</v>
      </c>
      <c r="I59" s="951">
        <f t="shared" si="41"/>
        <v>0</v>
      </c>
      <c r="J59" s="951">
        <f t="shared" si="41"/>
        <v>0</v>
      </c>
      <c r="K59" s="951">
        <f t="shared" si="41"/>
        <v>0</v>
      </c>
      <c r="L59" s="951">
        <f t="shared" si="41"/>
        <v>0</v>
      </c>
      <c r="M59" s="951">
        <f t="shared" si="41"/>
        <v>0</v>
      </c>
      <c r="N59" s="951">
        <f t="shared" si="41"/>
        <v>0</v>
      </c>
      <c r="O59" s="951">
        <f t="shared" si="41"/>
        <v>0</v>
      </c>
      <c r="P59" s="951">
        <f t="shared" si="41"/>
        <v>0</v>
      </c>
      <c r="Q59" s="951">
        <f t="shared" si="41"/>
        <v>0</v>
      </c>
      <c r="R59" s="951">
        <f t="shared" si="41"/>
        <v>0</v>
      </c>
      <c r="S59" s="951">
        <f t="shared" si="41"/>
        <v>0</v>
      </c>
      <c r="T59" s="951">
        <f t="shared" si="41"/>
        <v>0</v>
      </c>
      <c r="U59" s="950"/>
    </row>
    <row r="60" spans="1:21" x14ac:dyDescent="0.15">
      <c r="B60" s="952" t="s">
        <v>411</v>
      </c>
      <c r="C60" s="953"/>
      <c r="D60" s="954">
        <f>IS!AZ58</f>
        <v>3.3456618370601605E-2</v>
      </c>
      <c r="E60" s="954">
        <f>IS!BE58</f>
        <v>3.6792657760399694E-2</v>
      </c>
      <c r="F60" s="954">
        <f>IS!BJ58</f>
        <v>0.15</v>
      </c>
      <c r="G60" s="954">
        <f>IS!BO58</f>
        <v>0.15</v>
      </c>
      <c r="H60" s="954">
        <f>IS!BT58</f>
        <v>0.15</v>
      </c>
      <c r="I60" s="954">
        <f>IS!BY58</f>
        <v>0.15</v>
      </c>
      <c r="J60" s="954">
        <f>IS!CD58</f>
        <v>0.15</v>
      </c>
      <c r="K60" s="955">
        <v>0.2</v>
      </c>
      <c r="L60" s="955">
        <f t="shared" ref="L60:T60" si="42">K60</f>
        <v>0.2</v>
      </c>
      <c r="M60" s="955">
        <f t="shared" si="42"/>
        <v>0.2</v>
      </c>
      <c r="N60" s="955">
        <f t="shared" si="42"/>
        <v>0.2</v>
      </c>
      <c r="O60" s="955">
        <f t="shared" si="42"/>
        <v>0.2</v>
      </c>
      <c r="P60" s="955">
        <f t="shared" si="42"/>
        <v>0.2</v>
      </c>
      <c r="Q60" s="955">
        <f t="shared" si="42"/>
        <v>0.2</v>
      </c>
      <c r="R60" s="955">
        <f t="shared" si="42"/>
        <v>0.2</v>
      </c>
      <c r="S60" s="955">
        <f t="shared" si="42"/>
        <v>0.2</v>
      </c>
      <c r="T60" s="955">
        <f t="shared" si="42"/>
        <v>0.2</v>
      </c>
      <c r="U60" s="956" t="s">
        <v>39</v>
      </c>
    </row>
    <row r="61" spans="1:21" x14ac:dyDescent="0.15">
      <c r="B61" s="932" t="s">
        <v>412</v>
      </c>
      <c r="C61" s="933"/>
      <c r="D61" s="945">
        <f>IS!AZ27*-1</f>
        <v>-98.6</v>
      </c>
      <c r="E61" s="945">
        <f>IS!BE27*-1</f>
        <v>-135.5</v>
      </c>
      <c r="F61" s="945">
        <f>IS!BJ27*-1</f>
        <v>-534.1922406000001</v>
      </c>
      <c r="G61" s="945">
        <f>IS!BO27*-1</f>
        <v>-641.23119518250041</v>
      </c>
      <c r="H61" s="945">
        <f>IS!BT27*-1</f>
        <v>-740.6124565632449</v>
      </c>
      <c r="I61" s="945">
        <f>IS!BY27*-1</f>
        <v>-839.74787666792429</v>
      </c>
      <c r="J61" s="945">
        <f>IS!CD27*-1</f>
        <v>-919.40553693761638</v>
      </c>
      <c r="K61" s="945">
        <f t="shared" ref="K61:T61" si="43">-(K58+K59)*K60</f>
        <v>-1416.953094320799</v>
      </c>
      <c r="L61" s="945">
        <f t="shared" si="43"/>
        <v>-1435.3849910276592</v>
      </c>
      <c r="M61" s="945">
        <f t="shared" si="43"/>
        <v>-1463.5690204607663</v>
      </c>
      <c r="N61" s="945">
        <f t="shared" si="43"/>
        <v>-1264.5630402423481</v>
      </c>
      <c r="O61" s="945">
        <f t="shared" si="43"/>
        <v>-1281.0194974322178</v>
      </c>
      <c r="P61" s="945">
        <f t="shared" si="43"/>
        <v>-1289.4745658649599</v>
      </c>
      <c r="Q61" s="945">
        <f t="shared" si="43"/>
        <v>-1289.9095173303253</v>
      </c>
      <c r="R61" s="945">
        <f t="shared" si="43"/>
        <v>-1299.861035427966</v>
      </c>
      <c r="S61" s="945">
        <f t="shared" si="43"/>
        <v>-1304.3283062788826</v>
      </c>
      <c r="T61" s="945">
        <f t="shared" si="43"/>
        <v>-1221.3833168282285</v>
      </c>
      <c r="U61" s="933"/>
    </row>
    <row r="62" spans="1:21" x14ac:dyDescent="0.15">
      <c r="B62" s="932" t="s">
        <v>413</v>
      </c>
      <c r="C62" s="933"/>
      <c r="D62" s="945">
        <f t="shared" ref="D62:T62" si="44">D59*D60*-1</f>
        <v>0</v>
      </c>
      <c r="E62" s="945">
        <f t="shared" si="44"/>
        <v>0</v>
      </c>
      <c r="F62" s="945">
        <f t="shared" si="44"/>
        <v>0</v>
      </c>
      <c r="G62" s="945">
        <f t="shared" si="44"/>
        <v>0</v>
      </c>
      <c r="H62" s="945">
        <f t="shared" si="44"/>
        <v>0</v>
      </c>
      <c r="I62" s="945">
        <f t="shared" si="44"/>
        <v>0</v>
      </c>
      <c r="J62" s="945">
        <f t="shared" si="44"/>
        <v>0</v>
      </c>
      <c r="K62" s="945">
        <f t="shared" si="44"/>
        <v>0</v>
      </c>
      <c r="L62" s="945">
        <f t="shared" si="44"/>
        <v>0</v>
      </c>
      <c r="M62" s="945">
        <f t="shared" si="44"/>
        <v>0</v>
      </c>
      <c r="N62" s="945">
        <f t="shared" si="44"/>
        <v>0</v>
      </c>
      <c r="O62" s="945">
        <f t="shared" si="44"/>
        <v>0</v>
      </c>
      <c r="P62" s="945">
        <f t="shared" si="44"/>
        <v>0</v>
      </c>
      <c r="Q62" s="945">
        <f t="shared" si="44"/>
        <v>0</v>
      </c>
      <c r="R62" s="945">
        <f t="shared" si="44"/>
        <v>0</v>
      </c>
      <c r="S62" s="945">
        <f t="shared" si="44"/>
        <v>0</v>
      </c>
      <c r="T62" s="945">
        <f t="shared" si="44"/>
        <v>0</v>
      </c>
      <c r="U62" s="933"/>
    </row>
    <row r="63" spans="1:21" x14ac:dyDescent="0.15">
      <c r="B63" s="957" t="s">
        <v>414</v>
      </c>
      <c r="C63" s="933"/>
      <c r="D63" s="958">
        <f>'BS &amp; CF'!AL105</f>
        <v>186.89999999999992</v>
      </c>
      <c r="E63" s="958">
        <f>'BS &amp; CF'!AQ105</f>
        <v>188.59999999999991</v>
      </c>
      <c r="F63" s="958">
        <f>'BS &amp; CF'!AV105</f>
        <v>200</v>
      </c>
      <c r="G63" s="958">
        <f>'BS &amp; CF'!BA105</f>
        <v>200</v>
      </c>
      <c r="H63" s="958">
        <f>'BS &amp; CF'!BF105</f>
        <v>200</v>
      </c>
      <c r="I63" s="958">
        <f>'BS &amp; CF'!BK105</f>
        <v>200</v>
      </c>
      <c r="J63" s="958">
        <f>'BS &amp; CF'!BP105</f>
        <v>200</v>
      </c>
      <c r="K63" s="945">
        <f t="shared" ref="K63:T65" si="45">J63</f>
        <v>200</v>
      </c>
      <c r="L63" s="945">
        <f t="shared" si="45"/>
        <v>200</v>
      </c>
      <c r="M63" s="945">
        <f t="shared" si="45"/>
        <v>200</v>
      </c>
      <c r="N63" s="945">
        <f t="shared" si="45"/>
        <v>200</v>
      </c>
      <c r="O63" s="945">
        <f t="shared" si="45"/>
        <v>200</v>
      </c>
      <c r="P63" s="945">
        <f t="shared" si="45"/>
        <v>200</v>
      </c>
      <c r="Q63" s="945">
        <f t="shared" si="45"/>
        <v>200</v>
      </c>
      <c r="R63" s="945">
        <f t="shared" si="45"/>
        <v>200</v>
      </c>
      <c r="S63" s="945">
        <f t="shared" si="45"/>
        <v>200</v>
      </c>
      <c r="T63" s="945">
        <f t="shared" si="45"/>
        <v>200</v>
      </c>
      <c r="U63" s="933"/>
    </row>
    <row r="64" spans="1:21" x14ac:dyDescent="0.15">
      <c r="B64" s="932" t="s">
        <v>415</v>
      </c>
      <c r="C64" s="933"/>
      <c r="D64" s="958">
        <f>'BS &amp; CF'!AL64</f>
        <v>-668.4</v>
      </c>
      <c r="E64" s="958">
        <f>'BS &amp; CF'!AQ64</f>
        <v>-927.71888888888861</v>
      </c>
      <c r="F64" s="958">
        <f>'BS &amp; CF'!AV64</f>
        <v>-192.08088466666709</v>
      </c>
      <c r="G64" s="958">
        <f>'BS &amp; CF'!BA64</f>
        <v>-249.64870474722181</v>
      </c>
      <c r="H64" s="958">
        <f>'BS &amp; CF'!BF64</f>
        <v>-227.31354876481112</v>
      </c>
      <c r="I64" s="958">
        <f>'BS &amp; CF'!BK64</f>
        <v>-231.33740109433791</v>
      </c>
      <c r="J64" s="958">
        <f>'BS &amp; CF'!BP64</f>
        <v>-176.60309364486648</v>
      </c>
      <c r="K64" s="945">
        <f t="shared" si="45"/>
        <v>-176.60309364486648</v>
      </c>
      <c r="L64" s="945">
        <f t="shared" si="45"/>
        <v>-176.60309364486648</v>
      </c>
      <c r="M64" s="945">
        <f t="shared" si="45"/>
        <v>-176.60309364486648</v>
      </c>
      <c r="N64" s="945">
        <f t="shared" si="45"/>
        <v>-176.60309364486648</v>
      </c>
      <c r="O64" s="945">
        <f t="shared" si="45"/>
        <v>-176.60309364486648</v>
      </c>
      <c r="P64" s="945">
        <f t="shared" si="45"/>
        <v>-176.60309364486648</v>
      </c>
      <c r="Q64" s="945">
        <f t="shared" si="45"/>
        <v>-176.60309364486648</v>
      </c>
      <c r="R64" s="945">
        <f t="shared" si="45"/>
        <v>-176.60309364486648</v>
      </c>
      <c r="S64" s="945">
        <f t="shared" si="45"/>
        <v>-176.60309364486648</v>
      </c>
      <c r="T64" s="945">
        <f t="shared" si="45"/>
        <v>-176.60309364486648</v>
      </c>
      <c r="U64" s="933"/>
    </row>
    <row r="65" spans="1:21" x14ac:dyDescent="0.15">
      <c r="B65" s="932" t="s">
        <v>416</v>
      </c>
      <c r="C65" s="933"/>
      <c r="D65" s="958"/>
      <c r="E65" s="958">
        <f>'BS &amp; CF'!AQ62</f>
        <v>-75</v>
      </c>
      <c r="F65" s="958">
        <f>'BS &amp; CF'!AV62</f>
        <v>-175</v>
      </c>
      <c r="G65" s="958">
        <f>'BS &amp; CF'!BA62</f>
        <v>0</v>
      </c>
      <c r="H65" s="959">
        <f>G65</f>
        <v>0</v>
      </c>
      <c r="I65" s="959">
        <f>H65</f>
        <v>0</v>
      </c>
      <c r="J65" s="959">
        <f>I65</f>
        <v>0</v>
      </c>
      <c r="K65" s="959">
        <f t="shared" si="45"/>
        <v>0</v>
      </c>
      <c r="L65" s="959">
        <f t="shared" si="45"/>
        <v>0</v>
      </c>
      <c r="M65" s="959">
        <f t="shared" si="45"/>
        <v>0</v>
      </c>
      <c r="N65" s="959">
        <f t="shared" si="45"/>
        <v>0</v>
      </c>
      <c r="O65" s="959">
        <f t="shared" si="45"/>
        <v>0</v>
      </c>
      <c r="P65" s="959">
        <f t="shared" si="45"/>
        <v>0</v>
      </c>
      <c r="Q65" s="959">
        <f t="shared" si="45"/>
        <v>0</v>
      </c>
      <c r="R65" s="959">
        <f t="shared" si="45"/>
        <v>0</v>
      </c>
      <c r="S65" s="959">
        <f t="shared" si="45"/>
        <v>0</v>
      </c>
      <c r="T65" s="959">
        <f t="shared" si="45"/>
        <v>0</v>
      </c>
      <c r="U65" s="933"/>
    </row>
    <row r="66" spans="1:21" x14ac:dyDescent="0.15">
      <c r="B66" s="932" t="s">
        <v>417</v>
      </c>
      <c r="C66" s="933"/>
      <c r="D66" s="958">
        <f>'BS &amp; CF'!AL68</f>
        <v>191.90000000000003</v>
      </c>
      <c r="E66" s="958">
        <f>'BS &amp; CF'!AQ68</f>
        <v>-15450</v>
      </c>
      <c r="F66" s="958">
        <f>'BS &amp; CF'!AV68</f>
        <v>-975</v>
      </c>
      <c r="G66" s="958">
        <f>-'BS &amp; CF'!BA68</f>
        <v>0</v>
      </c>
      <c r="H66" s="958">
        <f>-'BS &amp; CF'!BF68</f>
        <v>0</v>
      </c>
      <c r="I66" s="958">
        <f>-'BS &amp; CF'!BK68</f>
        <v>0</v>
      </c>
      <c r="J66" s="958">
        <f>-'BS &amp; CF'!BP68</f>
        <v>0</v>
      </c>
      <c r="K66" s="960">
        <v>0</v>
      </c>
      <c r="L66" s="960">
        <v>0</v>
      </c>
      <c r="M66" s="960">
        <v>0</v>
      </c>
      <c r="N66" s="960">
        <v>0</v>
      </c>
      <c r="O66" s="960">
        <v>0</v>
      </c>
      <c r="P66" s="960">
        <v>0</v>
      </c>
      <c r="Q66" s="960">
        <v>0</v>
      </c>
      <c r="R66" s="960">
        <v>0</v>
      </c>
      <c r="S66" s="960">
        <v>0</v>
      </c>
      <c r="T66" s="960">
        <v>0</v>
      </c>
      <c r="U66" s="933"/>
    </row>
    <row r="67" spans="1:21" x14ac:dyDescent="0.15">
      <c r="B67" s="932" t="s">
        <v>316</v>
      </c>
      <c r="C67" s="933"/>
      <c r="D67" s="958">
        <f>'BS &amp; CF'!AL67</f>
        <v>-291.60000000000002</v>
      </c>
      <c r="E67" s="958">
        <f>'BS &amp; CF'!AQ67</f>
        <v>-238.7</v>
      </c>
      <c r="F67" s="958">
        <f>'BS &amp; CF'!AV67</f>
        <v>-350</v>
      </c>
      <c r="G67" s="958">
        <f>'BS &amp; CF'!BA67</f>
        <v>-350</v>
      </c>
      <c r="H67" s="958">
        <f>'BS &amp; CF'!BF67</f>
        <v>-350</v>
      </c>
      <c r="I67" s="958">
        <f>'BS &amp; CF'!BK67</f>
        <v>-350</v>
      </c>
      <c r="J67" s="958">
        <f>'BS &amp; CF'!BP67</f>
        <v>-350</v>
      </c>
      <c r="K67" s="945">
        <f t="shared" ref="K67:T67" si="46">J67</f>
        <v>-350</v>
      </c>
      <c r="L67" s="945">
        <f t="shared" si="46"/>
        <v>-350</v>
      </c>
      <c r="M67" s="945">
        <f t="shared" si="46"/>
        <v>-350</v>
      </c>
      <c r="N67" s="945">
        <f t="shared" si="46"/>
        <v>-350</v>
      </c>
      <c r="O67" s="945">
        <f t="shared" si="46"/>
        <v>-350</v>
      </c>
      <c r="P67" s="945">
        <f t="shared" si="46"/>
        <v>-350</v>
      </c>
      <c r="Q67" s="945">
        <f t="shared" si="46"/>
        <v>-350</v>
      </c>
      <c r="R67" s="945">
        <f t="shared" si="46"/>
        <v>-350</v>
      </c>
      <c r="S67" s="945">
        <f t="shared" si="46"/>
        <v>-350</v>
      </c>
      <c r="T67" s="945">
        <f t="shared" si="46"/>
        <v>-350</v>
      </c>
      <c r="U67" s="933"/>
    </row>
    <row r="68" spans="1:21" x14ac:dyDescent="0.15">
      <c r="B68" s="961" t="s">
        <v>418</v>
      </c>
      <c r="C68" s="962"/>
      <c r="D68" s="963">
        <f>D58+D59+D61+D63+D64+D66+D67+D62+D65</f>
        <v>3166.4</v>
      </c>
      <c r="E68" s="963">
        <f t="shared" ref="E68:T68" si="47">E58+E59+E61+E63+E64+E66+E67+E62+E65</f>
        <v>-11546.818888888889</v>
      </c>
      <c r="F68" s="963">
        <f t="shared" si="47"/>
        <v>3163.9863537333331</v>
      </c>
      <c r="G68" s="963">
        <f>G58+G59+G61+G63+G64+G66+G67+G62+G65</f>
        <v>4592.8012346202786</v>
      </c>
      <c r="H68" s="963">
        <f t="shared" si="47"/>
        <v>4958.2968717602444</v>
      </c>
      <c r="I68" s="963">
        <f t="shared" si="47"/>
        <v>5351.0404000238996</v>
      </c>
      <c r="J68" s="963">
        <f t="shared" si="47"/>
        <v>5692.1681156682935</v>
      </c>
      <c r="K68" s="963">
        <f t="shared" si="47"/>
        <v>5341.209283638329</v>
      </c>
      <c r="L68" s="963">
        <f t="shared" si="47"/>
        <v>5414.93687046577</v>
      </c>
      <c r="M68" s="963">
        <f t="shared" si="47"/>
        <v>5527.6729881981992</v>
      </c>
      <c r="N68" s="963">
        <f t="shared" si="47"/>
        <v>4731.6490673245262</v>
      </c>
      <c r="O68" s="963">
        <f t="shared" si="47"/>
        <v>4797.4748960840043</v>
      </c>
      <c r="P68" s="963">
        <f t="shared" si="47"/>
        <v>4831.2951698149736</v>
      </c>
      <c r="Q68" s="963">
        <f t="shared" si="47"/>
        <v>4833.0349756764354</v>
      </c>
      <c r="R68" s="963">
        <f t="shared" si="47"/>
        <v>4872.8410480669972</v>
      </c>
      <c r="S68" s="963">
        <f t="shared" si="47"/>
        <v>4890.7101314706633</v>
      </c>
      <c r="T68" s="963">
        <f t="shared" si="47"/>
        <v>4558.9301736680482</v>
      </c>
      <c r="U68" s="962"/>
    </row>
    <row r="69" spans="1:21" x14ac:dyDescent="0.15">
      <c r="B69" s="915" t="s">
        <v>419</v>
      </c>
      <c r="C69" s="964"/>
      <c r="D69" s="965">
        <f>D68-D66</f>
        <v>2974.5</v>
      </c>
      <c r="E69" s="965">
        <f t="shared" ref="E69:T69" si="48">E68-E66</f>
        <v>3903.181111111111</v>
      </c>
      <c r="F69" s="965">
        <f t="shared" si="48"/>
        <v>4138.9863537333331</v>
      </c>
      <c r="G69" s="965">
        <f>G68-G66</f>
        <v>4592.8012346202786</v>
      </c>
      <c r="H69" s="965">
        <f t="shared" si="48"/>
        <v>4958.2968717602444</v>
      </c>
      <c r="I69" s="965">
        <f t="shared" si="48"/>
        <v>5351.0404000238996</v>
      </c>
      <c r="J69" s="965">
        <f t="shared" si="48"/>
        <v>5692.1681156682935</v>
      </c>
      <c r="K69" s="965">
        <f t="shared" si="48"/>
        <v>5341.209283638329</v>
      </c>
      <c r="L69" s="965">
        <f t="shared" si="48"/>
        <v>5414.93687046577</v>
      </c>
      <c r="M69" s="965">
        <f t="shared" si="48"/>
        <v>5527.6729881981992</v>
      </c>
      <c r="N69" s="965">
        <f t="shared" si="48"/>
        <v>4731.6490673245262</v>
      </c>
      <c r="O69" s="965">
        <f t="shared" si="48"/>
        <v>4797.4748960840043</v>
      </c>
      <c r="P69" s="965">
        <f t="shared" si="48"/>
        <v>4831.2951698149736</v>
      </c>
      <c r="Q69" s="965">
        <f t="shared" si="48"/>
        <v>4833.0349756764354</v>
      </c>
      <c r="R69" s="965">
        <f t="shared" si="48"/>
        <v>4872.8410480669972</v>
      </c>
      <c r="S69" s="965">
        <f t="shared" si="48"/>
        <v>4890.7101314706633</v>
      </c>
      <c r="T69" s="965">
        <f t="shared" si="48"/>
        <v>4558.9301736680482</v>
      </c>
      <c r="U69" s="966"/>
    </row>
    <row r="70" spans="1:21" x14ac:dyDescent="0.15">
      <c r="B70" s="967" t="s">
        <v>355</v>
      </c>
      <c r="C70" s="964"/>
      <c r="D70" s="968"/>
      <c r="E70" s="968"/>
      <c r="F70" s="969">
        <v>0</v>
      </c>
      <c r="G70" s="968">
        <v>0</v>
      </c>
      <c r="H70" s="968">
        <f>MIN($C$82*G68*-1,0)</f>
        <v>0</v>
      </c>
      <c r="I70" s="968">
        <f>MIN($C$82*H68*-1,0)</f>
        <v>0</v>
      </c>
      <c r="J70" s="968">
        <f>MIN($C$82*I68*-1,0)</f>
        <v>0</v>
      </c>
      <c r="K70" s="968"/>
      <c r="L70" s="968"/>
      <c r="M70" s="968"/>
      <c r="N70" s="968"/>
      <c r="O70" s="968"/>
      <c r="P70" s="968"/>
      <c r="Q70" s="968"/>
      <c r="R70" s="968"/>
      <c r="S70" s="968"/>
      <c r="T70" s="968"/>
      <c r="U70" s="966"/>
    </row>
    <row r="71" spans="1:21" x14ac:dyDescent="0.15">
      <c r="B71" s="929" t="s">
        <v>420</v>
      </c>
      <c r="C71" s="970"/>
      <c r="D71" s="971"/>
      <c r="E71" s="971">
        <f t="shared" ref="E71:T71" si="49">E68+E70</f>
        <v>-11546.818888888889</v>
      </c>
      <c r="F71" s="971">
        <f t="shared" si="49"/>
        <v>3163.9863537333331</v>
      </c>
      <c r="G71" s="971">
        <f t="shared" si="49"/>
        <v>4592.8012346202786</v>
      </c>
      <c r="H71" s="971">
        <f t="shared" si="49"/>
        <v>4958.2968717602444</v>
      </c>
      <c r="I71" s="971">
        <f t="shared" si="49"/>
        <v>5351.0404000238996</v>
      </c>
      <c r="J71" s="971">
        <f t="shared" si="49"/>
        <v>5692.1681156682935</v>
      </c>
      <c r="K71" s="971">
        <f t="shared" si="49"/>
        <v>5341.209283638329</v>
      </c>
      <c r="L71" s="971">
        <f t="shared" si="49"/>
        <v>5414.93687046577</v>
      </c>
      <c r="M71" s="971">
        <f t="shared" si="49"/>
        <v>5527.6729881981992</v>
      </c>
      <c r="N71" s="971">
        <f t="shared" si="49"/>
        <v>4731.6490673245262</v>
      </c>
      <c r="O71" s="971">
        <f t="shared" si="49"/>
        <v>4797.4748960840043</v>
      </c>
      <c r="P71" s="971">
        <f t="shared" si="49"/>
        <v>4831.2951698149736</v>
      </c>
      <c r="Q71" s="971">
        <f t="shared" si="49"/>
        <v>4833.0349756764354</v>
      </c>
      <c r="R71" s="971">
        <f t="shared" si="49"/>
        <v>4872.8410480669972</v>
      </c>
      <c r="S71" s="971">
        <f t="shared" si="49"/>
        <v>4890.7101314706633</v>
      </c>
      <c r="T71" s="971">
        <f t="shared" si="49"/>
        <v>4558.9301736680482</v>
      </c>
      <c r="U71" s="942"/>
    </row>
    <row r="72" spans="1:21" s="924" customFormat="1" x14ac:dyDescent="0.15">
      <c r="A72" s="922"/>
      <c r="B72" s="923"/>
      <c r="C72" s="923"/>
    </row>
    <row r="73" spans="1:21" x14ac:dyDescent="0.15">
      <c r="B73" s="899" t="s">
        <v>421</v>
      </c>
      <c r="C73" s="901"/>
      <c r="D73" s="900"/>
      <c r="E73" s="900"/>
      <c r="F73" s="900"/>
      <c r="G73" s="900"/>
      <c r="H73" s="900"/>
      <c r="I73" s="900"/>
      <c r="J73" s="900"/>
      <c r="K73" s="900"/>
      <c r="L73" s="900"/>
      <c r="M73" s="900"/>
      <c r="N73" s="900"/>
      <c r="O73" s="900"/>
      <c r="P73" s="900"/>
      <c r="Q73" s="900"/>
      <c r="R73" s="900"/>
      <c r="S73" s="900"/>
      <c r="T73" s="900"/>
      <c r="U73" s="901"/>
    </row>
    <row r="74" spans="1:21" x14ac:dyDescent="0.15">
      <c r="B74" s="932" t="s">
        <v>422</v>
      </c>
      <c r="C74" s="933"/>
      <c r="D74" s="945"/>
      <c r="E74" s="945"/>
      <c r="F74" s="945">
        <v>0</v>
      </c>
      <c r="G74" s="945">
        <f t="shared" ref="G74:T74" si="50">F74+1</f>
        <v>1</v>
      </c>
      <c r="H74" s="945">
        <f t="shared" si="50"/>
        <v>2</v>
      </c>
      <c r="I74" s="945">
        <f t="shared" si="50"/>
        <v>3</v>
      </c>
      <c r="J74" s="945">
        <f t="shared" si="50"/>
        <v>4</v>
      </c>
      <c r="K74" s="945">
        <f t="shared" si="50"/>
        <v>5</v>
      </c>
      <c r="L74" s="945">
        <f t="shared" si="50"/>
        <v>6</v>
      </c>
      <c r="M74" s="945">
        <f t="shared" si="50"/>
        <v>7</v>
      </c>
      <c r="N74" s="945">
        <f t="shared" si="50"/>
        <v>8</v>
      </c>
      <c r="O74" s="945">
        <f t="shared" si="50"/>
        <v>9</v>
      </c>
      <c r="P74" s="945">
        <f t="shared" si="50"/>
        <v>10</v>
      </c>
      <c r="Q74" s="945">
        <f t="shared" si="50"/>
        <v>11</v>
      </c>
      <c r="R74" s="945">
        <f t="shared" si="50"/>
        <v>12</v>
      </c>
      <c r="S74" s="945">
        <f t="shared" si="50"/>
        <v>13</v>
      </c>
      <c r="T74" s="945">
        <f t="shared" si="50"/>
        <v>14</v>
      </c>
      <c r="U74" s="933"/>
    </row>
    <row r="75" spans="1:21" x14ac:dyDescent="0.15">
      <c r="B75" s="932" t="s">
        <v>423</v>
      </c>
      <c r="C75" s="933"/>
      <c r="D75" s="972"/>
      <c r="E75" s="972"/>
      <c r="F75" s="972">
        <f t="shared" ref="F75:T75" si="51">(1+$C$79)^F74</f>
        <v>1</v>
      </c>
      <c r="G75" s="972">
        <f t="shared" si="51"/>
        <v>1.0900000000000001</v>
      </c>
      <c r="H75" s="972">
        <f t="shared" si="51"/>
        <v>1.1881000000000002</v>
      </c>
      <c r="I75" s="972">
        <f t="shared" si="51"/>
        <v>1.2950290000000002</v>
      </c>
      <c r="J75" s="972">
        <f t="shared" si="51"/>
        <v>1.4115816100000003</v>
      </c>
      <c r="K75" s="972">
        <f t="shared" si="51"/>
        <v>1.5386239549000005</v>
      </c>
      <c r="L75" s="972">
        <f t="shared" si="51"/>
        <v>1.6771001108410006</v>
      </c>
      <c r="M75" s="972">
        <f t="shared" si="51"/>
        <v>1.8280391208166906</v>
      </c>
      <c r="N75" s="972">
        <f t="shared" si="51"/>
        <v>1.9925626416901929</v>
      </c>
      <c r="O75" s="972">
        <f t="shared" si="51"/>
        <v>2.1718932794423105</v>
      </c>
      <c r="P75" s="972">
        <f t="shared" si="51"/>
        <v>2.3673636745921187</v>
      </c>
      <c r="Q75" s="972">
        <f t="shared" si="51"/>
        <v>2.5804264053054093</v>
      </c>
      <c r="R75" s="972">
        <f t="shared" si="51"/>
        <v>2.812664781782896</v>
      </c>
      <c r="S75" s="972">
        <f t="shared" si="51"/>
        <v>3.0658046121433573</v>
      </c>
      <c r="T75" s="972">
        <f t="shared" si="51"/>
        <v>3.3417270272362596</v>
      </c>
      <c r="U75" s="973"/>
    </row>
    <row r="76" spans="1:21" x14ac:dyDescent="0.15">
      <c r="B76" s="961" t="s">
        <v>424</v>
      </c>
      <c r="C76" s="974"/>
      <c r="D76" s="975"/>
      <c r="E76" s="975"/>
      <c r="F76" s="975">
        <f t="shared" ref="F76:T76" si="52">F71/F75</f>
        <v>3163.9863537333331</v>
      </c>
      <c r="G76" s="975">
        <f t="shared" si="52"/>
        <v>4213.5791143305305</v>
      </c>
      <c r="H76" s="975">
        <f t="shared" si="52"/>
        <v>4173.2992776367673</v>
      </c>
      <c r="I76" s="975">
        <f t="shared" si="52"/>
        <v>4131.984998037804</v>
      </c>
      <c r="J76" s="975">
        <f t="shared" si="52"/>
        <v>4032.4753987608924</v>
      </c>
      <c r="K76" s="975">
        <f t="shared" si="52"/>
        <v>3471.4195542246507</v>
      </c>
      <c r="L76" s="975">
        <f t="shared" si="52"/>
        <v>3228.749932972331</v>
      </c>
      <c r="M76" s="975">
        <f t="shared" si="52"/>
        <v>3023.8264188398048</v>
      </c>
      <c r="N76" s="975">
        <f t="shared" si="52"/>
        <v>2374.6551141352829</v>
      </c>
      <c r="O76" s="975">
        <f t="shared" si="52"/>
        <v>2208.8907136891548</v>
      </c>
      <c r="P76" s="975">
        <f t="shared" si="52"/>
        <v>2040.7912910327875</v>
      </c>
      <c r="Q76" s="975">
        <f t="shared" si="52"/>
        <v>1872.9598200280452</v>
      </c>
      <c r="R76" s="975">
        <f t="shared" si="52"/>
        <v>1732.4642024984555</v>
      </c>
      <c r="S76" s="975">
        <f t="shared" si="52"/>
        <v>1595.2452129855342</v>
      </c>
      <c r="T76" s="975">
        <f t="shared" si="52"/>
        <v>1364.2437387946866</v>
      </c>
      <c r="U76" s="974">
        <f>T76*(1+C80)/(C79-C80)</f>
        <v>12154.171491079935</v>
      </c>
    </row>
    <row r="77" spans="1:21" s="924" customFormat="1" ht="3.75" customHeight="1" x14ac:dyDescent="0.15">
      <c r="A77" s="922"/>
      <c r="B77" s="923"/>
      <c r="C77" s="923"/>
    </row>
    <row r="78" spans="1:21" x14ac:dyDescent="0.15">
      <c r="B78" s="899" t="s">
        <v>425</v>
      </c>
      <c r="C78" s="901"/>
    </row>
    <row r="79" spans="1:21" x14ac:dyDescent="0.15">
      <c r="B79" s="932" t="s">
        <v>426</v>
      </c>
      <c r="C79" s="976">
        <v>0.09</v>
      </c>
    </row>
    <row r="80" spans="1:21" x14ac:dyDescent="0.15">
      <c r="B80" s="932" t="s">
        <v>427</v>
      </c>
      <c r="C80" s="977">
        <v>-0.02</v>
      </c>
    </row>
    <row r="81" spans="2:12" x14ac:dyDescent="0.15">
      <c r="B81" s="978" t="s">
        <v>428</v>
      </c>
      <c r="C81" s="1001">
        <v>5</v>
      </c>
    </row>
    <row r="82" spans="2:12" x14ac:dyDescent="0.15">
      <c r="B82" s="979" t="s">
        <v>429</v>
      </c>
      <c r="C82" s="980">
        <v>0</v>
      </c>
      <c r="L82" s="981"/>
    </row>
    <row r="83" spans="2:12" x14ac:dyDescent="0.15">
      <c r="B83" s="932"/>
      <c r="C83" s="982"/>
    </row>
    <row r="84" spans="2:12" x14ac:dyDescent="0.15">
      <c r="B84" s="932" t="s">
        <v>430</v>
      </c>
      <c r="C84" s="914">
        <f>SUM(F76:H76)</f>
        <v>11550.86474570063</v>
      </c>
    </row>
    <row r="85" spans="2:12" x14ac:dyDescent="0.15">
      <c r="B85" s="932" t="s">
        <v>431</v>
      </c>
      <c r="C85" s="914">
        <f>SUM(I76:T76)</f>
        <v>31077.706395999427</v>
      </c>
    </row>
    <row r="86" spans="2:12" ht="16" x14ac:dyDescent="0.3">
      <c r="B86" s="946" t="s">
        <v>432</v>
      </c>
      <c r="C86" s="947">
        <f>U76</f>
        <v>12154.171491079935</v>
      </c>
      <c r="F86" s="983"/>
    </row>
    <row r="87" spans="2:12" x14ac:dyDescent="0.15">
      <c r="B87" s="949" t="s">
        <v>424</v>
      </c>
      <c r="C87" s="950">
        <f>SUM(C84:C86)</f>
        <v>54782.742632779991</v>
      </c>
    </row>
    <row r="88" spans="2:12" ht="16" x14ac:dyDescent="0.3">
      <c r="B88" s="946" t="s">
        <v>433</v>
      </c>
      <c r="C88" s="947">
        <f>'BS &amp; CF'!AQ84</f>
        <v>30542.018888888884</v>
      </c>
    </row>
    <row r="89" spans="2:12" x14ac:dyDescent="0.15">
      <c r="B89" s="949" t="s">
        <v>434</v>
      </c>
      <c r="C89" s="950">
        <f>C87-C88</f>
        <v>24240.723743891107</v>
      </c>
    </row>
    <row r="90" spans="2:12" x14ac:dyDescent="0.15">
      <c r="B90" s="932" t="s">
        <v>255</v>
      </c>
      <c r="C90" s="898">
        <f>IS!BD33</f>
        <v>349.9</v>
      </c>
    </row>
    <row r="91" spans="2:12" x14ac:dyDescent="0.15">
      <c r="B91" s="984" t="s">
        <v>435</v>
      </c>
      <c r="C91" s="985">
        <f>C89/C90</f>
        <v>69.279004698174077</v>
      </c>
    </row>
    <row r="93" spans="2:12" x14ac:dyDescent="0.15">
      <c r="E93" s="355"/>
      <c r="F93" s="355"/>
      <c r="G93" s="355"/>
      <c r="H93" s="355"/>
      <c r="I93" s="355"/>
      <c r="J93" s="355"/>
      <c r="K93" s="355"/>
    </row>
    <row r="94" spans="2:12" ht="14" hidden="1" thickBot="1" x14ac:dyDescent="0.2">
      <c r="B94" s="986" t="s">
        <v>436</v>
      </c>
      <c r="C94" s="987"/>
      <c r="D94" s="988"/>
      <c r="E94" s="355"/>
      <c r="F94" s="355"/>
      <c r="G94" s="355"/>
      <c r="H94" s="355"/>
      <c r="I94" s="355"/>
      <c r="J94" s="355"/>
      <c r="K94" s="355"/>
    </row>
    <row r="95" spans="2:12" hidden="1" x14ac:dyDescent="0.15">
      <c r="B95" s="989" t="s">
        <v>437</v>
      </c>
      <c r="C95" s="990"/>
      <c r="D95" s="991">
        <f>(F68/F75)+(G68/G75)+(H68/H75)</f>
        <v>11550.86474570063</v>
      </c>
      <c r="E95" s="355"/>
      <c r="F95" s="355"/>
      <c r="G95" s="355"/>
      <c r="H95" s="355"/>
      <c r="I95" s="355"/>
      <c r="J95" s="355"/>
      <c r="K95" s="355"/>
    </row>
    <row r="96" spans="2:12" ht="16" hidden="1" x14ac:dyDescent="0.3">
      <c r="B96" s="992" t="s">
        <v>438</v>
      </c>
      <c r="C96" s="993"/>
      <c r="D96" s="994">
        <f>(H68*(1+D103))/(C79-D103)/H75</f>
        <v>30818.210050240748</v>
      </c>
      <c r="E96" s="355"/>
      <c r="F96" s="355"/>
      <c r="G96" s="355"/>
      <c r="H96" s="355"/>
      <c r="I96" s="355"/>
      <c r="J96" s="355"/>
      <c r="K96" s="355"/>
    </row>
    <row r="97" spans="2:11" hidden="1" x14ac:dyDescent="0.15">
      <c r="B97" s="989" t="s">
        <v>424</v>
      </c>
      <c r="C97" s="990"/>
      <c r="D97" s="991">
        <f>SUM(D95:D96)</f>
        <v>42369.074795941378</v>
      </c>
      <c r="E97" s="355"/>
      <c r="F97" s="355"/>
      <c r="G97" s="355"/>
      <c r="H97" s="355"/>
      <c r="I97" s="355"/>
      <c r="J97" s="355"/>
      <c r="K97" s="355"/>
    </row>
    <row r="98" spans="2:11" ht="16" hidden="1" x14ac:dyDescent="0.3">
      <c r="B98" s="992" t="s">
        <v>439</v>
      </c>
      <c r="C98" s="993"/>
      <c r="D98" s="994">
        <f>C88</f>
        <v>30542.018888888884</v>
      </c>
      <c r="E98" s="355"/>
      <c r="F98" s="355"/>
      <c r="G98" s="355"/>
      <c r="H98" s="355"/>
      <c r="I98" s="355"/>
      <c r="J98" s="355"/>
      <c r="K98" s="355"/>
    </row>
    <row r="99" spans="2:11" ht="16" hidden="1" x14ac:dyDescent="0.3">
      <c r="B99" s="989" t="s">
        <v>434</v>
      </c>
      <c r="C99" s="993"/>
      <c r="D99" s="991">
        <f>D97-D98</f>
        <v>11827.055907052494</v>
      </c>
      <c r="E99" s="355"/>
      <c r="F99" s="355"/>
      <c r="G99" s="355"/>
      <c r="H99" s="355"/>
      <c r="I99" s="355"/>
      <c r="J99" s="355"/>
      <c r="K99" s="355"/>
    </row>
    <row r="100" spans="2:11" ht="16" hidden="1" x14ac:dyDescent="0.3">
      <c r="B100" s="992" t="s">
        <v>255</v>
      </c>
      <c r="C100" s="993"/>
      <c r="D100" s="994">
        <f>C90</f>
        <v>349.9</v>
      </c>
      <c r="E100" s="355"/>
      <c r="F100" s="355"/>
      <c r="G100" s="355"/>
      <c r="H100" s="355"/>
      <c r="I100" s="355"/>
      <c r="J100" s="355"/>
      <c r="K100" s="355"/>
    </row>
    <row r="101" spans="2:11" ht="16" hidden="1" x14ac:dyDescent="0.3">
      <c r="B101" s="989" t="s">
        <v>440</v>
      </c>
      <c r="C101" s="993"/>
      <c r="D101" s="995">
        <f>D99/D100</f>
        <v>33.801245804665605</v>
      </c>
      <c r="E101" s="355"/>
      <c r="F101" s="355"/>
      <c r="G101" s="355"/>
      <c r="H101" s="355"/>
      <c r="I101" s="355"/>
      <c r="J101" s="355"/>
      <c r="K101" s="355"/>
    </row>
    <row r="102" spans="2:11" ht="17" hidden="1" thickBot="1" x14ac:dyDescent="0.35">
      <c r="B102" s="989" t="s">
        <v>441</v>
      </c>
      <c r="C102" s="993"/>
      <c r="D102" s="995" t="e">
        <f ca="1">_xll.BDP("vrx us equity","px_last")</f>
        <v>#NAME?</v>
      </c>
      <c r="E102" s="355"/>
      <c r="F102" s="355"/>
      <c r="G102" s="355"/>
      <c r="H102" s="355"/>
      <c r="I102" s="355"/>
      <c r="J102" s="355"/>
      <c r="K102" s="355"/>
    </row>
    <row r="103" spans="2:11" ht="14" hidden="1" thickBot="1" x14ac:dyDescent="0.2">
      <c r="B103" s="996" t="s">
        <v>442</v>
      </c>
      <c r="C103" s="997"/>
      <c r="D103" s="998">
        <v>-0.04</v>
      </c>
      <c r="E103" s="355"/>
      <c r="F103" s="355"/>
      <c r="G103" s="355"/>
      <c r="H103" s="355"/>
      <c r="I103" s="355"/>
      <c r="J103" s="355"/>
      <c r="K103" s="355"/>
    </row>
    <row r="104" spans="2:11" hidden="1" x14ac:dyDescent="0.15">
      <c r="E104" s="355"/>
      <c r="F104" s="355"/>
      <c r="G104" s="355"/>
      <c r="H104" s="355"/>
      <c r="I104" s="355"/>
      <c r="J104" s="355"/>
      <c r="K104" s="355"/>
    </row>
    <row r="105" spans="2:11" x14ac:dyDescent="0.15">
      <c r="E105" s="355"/>
      <c r="F105" s="355"/>
      <c r="G105" s="355"/>
      <c r="H105" s="355"/>
      <c r="I105" s="355"/>
      <c r="J105" s="355"/>
      <c r="K105" s="355"/>
    </row>
  </sheetData>
  <conditionalFormatting sqref="C81:C82 B3:U3">
    <cfRule type="expression" dxfId="506" priority="44" stopIfTrue="1">
      <formula>ISERROR(B3)</formula>
    </cfRule>
  </conditionalFormatting>
  <conditionalFormatting sqref="U77:U65556 U72:U75 V72:IO65556 D72:T92 F60:F71 A1:IO3 D57:E71 G60:J60 G61:T71 A38:C93 E30:T30 C4:IO6 U28:IO71 L31:T38 A4:B20 C7 C8:IO8 K7:IO7 C9 C10:IO10 K9:IO9 C11 C12:IO12 K11:IO11 C13 K13:IO13 C15 K15:IO15 C17 K17:IO17 C19 K19:IO19 C24:E27 C23 F24:J24 U23:IO24 F25:IO27 C29:D30 C28 E29:J29 K31:K36 C31:C36 D38:K38 C37:K37 C20:IO20 C18:IO18 A23:B37 C14:IO14 C16:IO16 A104:C1048576 A94:A103 D106:T65556 M94:T103 D98:D105 L104:T105 D93:D96 L93:T93 D39:T56 F57:T59">
    <cfRule type="expression" dxfId="505" priority="43" stopIfTrue="1">
      <formula>ISERROR(A1)</formula>
    </cfRule>
  </conditionalFormatting>
  <conditionalFormatting sqref="L25:T27 L5:T20">
    <cfRule type="expression" dxfId="504" priority="42" stopIfTrue="1">
      <formula>ISERROR(L5)</formula>
    </cfRule>
  </conditionalFormatting>
  <conditionalFormatting sqref="K6">
    <cfRule type="expression" dxfId="503" priority="41" stopIfTrue="1">
      <formula>ISERROR(K6)</formula>
    </cfRule>
  </conditionalFormatting>
  <conditionalFormatting sqref="K5">
    <cfRule type="expression" dxfId="502" priority="40" stopIfTrue="1">
      <formula>ISERROR(K5)</formula>
    </cfRule>
  </conditionalFormatting>
  <conditionalFormatting sqref="K7:K8">
    <cfRule type="expression" dxfId="501" priority="39" stopIfTrue="1">
      <formula>ISERROR(K7)</formula>
    </cfRule>
  </conditionalFormatting>
  <conditionalFormatting sqref="K9:K10">
    <cfRule type="expression" dxfId="500" priority="38" stopIfTrue="1">
      <formula>ISERROR(K9)</formula>
    </cfRule>
  </conditionalFormatting>
  <conditionalFormatting sqref="K11:K12">
    <cfRule type="expression" dxfId="499" priority="37" stopIfTrue="1">
      <formula>ISERROR(K11)</formula>
    </cfRule>
  </conditionalFormatting>
  <conditionalFormatting sqref="K13:K14 L14:T14">
    <cfRule type="expression" dxfId="498" priority="36" stopIfTrue="1">
      <formula>ISERROR(K13)</formula>
    </cfRule>
  </conditionalFormatting>
  <conditionalFormatting sqref="K15:K16">
    <cfRule type="expression" dxfId="497" priority="35" stopIfTrue="1">
      <formula>ISERROR(K15)</formula>
    </cfRule>
  </conditionalFormatting>
  <conditionalFormatting sqref="K17:K18">
    <cfRule type="expression" dxfId="496" priority="34" stopIfTrue="1">
      <formula>ISERROR(K17)</formula>
    </cfRule>
  </conditionalFormatting>
  <conditionalFormatting sqref="K19:K20 L20:T20">
    <cfRule type="expression" dxfId="495" priority="33" stopIfTrue="1">
      <formula>ISERROR(K19)</formula>
    </cfRule>
  </conditionalFormatting>
  <conditionalFormatting sqref="K31:K32">
    <cfRule type="expression" dxfId="494" priority="32" stopIfTrue="1">
      <formula>ISERROR(K31)</formula>
    </cfRule>
  </conditionalFormatting>
  <conditionalFormatting sqref="K33:K34">
    <cfRule type="expression" dxfId="493" priority="31" stopIfTrue="1">
      <formula>ISERROR(K33)</formula>
    </cfRule>
  </conditionalFormatting>
  <conditionalFormatting sqref="K35:K36">
    <cfRule type="expression" dxfId="492" priority="30" stopIfTrue="1">
      <formula>ISERROR(K35)</formula>
    </cfRule>
  </conditionalFormatting>
  <conditionalFormatting sqref="K37:K38">
    <cfRule type="expression" dxfId="491" priority="29" stopIfTrue="1">
      <formula>ISERROR(K37)</formula>
    </cfRule>
  </conditionalFormatting>
  <conditionalFormatting sqref="D7:J7">
    <cfRule type="expression" dxfId="490" priority="28" stopIfTrue="1">
      <formula>ISERROR(D7)</formula>
    </cfRule>
  </conditionalFormatting>
  <conditionalFormatting sqref="D9:J9">
    <cfRule type="expression" dxfId="489" priority="27" stopIfTrue="1">
      <formula>ISERROR(D9)</formula>
    </cfRule>
  </conditionalFormatting>
  <conditionalFormatting sqref="D11:J11">
    <cfRule type="expression" dxfId="488" priority="26" stopIfTrue="1">
      <formula>ISERROR(D11)</formula>
    </cfRule>
  </conditionalFormatting>
  <conditionalFormatting sqref="D13:J13">
    <cfRule type="expression" dxfId="487" priority="25" stopIfTrue="1">
      <formula>ISERROR(D13)</formula>
    </cfRule>
  </conditionalFormatting>
  <conditionalFormatting sqref="D15:J15">
    <cfRule type="expression" dxfId="486" priority="24" stopIfTrue="1">
      <formula>ISERROR(D15)</formula>
    </cfRule>
  </conditionalFormatting>
  <conditionalFormatting sqref="D17:J17">
    <cfRule type="expression" dxfId="485" priority="23" stopIfTrue="1">
      <formula>ISERROR(D17)</formula>
    </cfRule>
  </conditionalFormatting>
  <conditionalFormatting sqref="D19:J19">
    <cfRule type="expression" dxfId="484" priority="22" stopIfTrue="1">
      <formula>ISERROR(D19)</formula>
    </cfRule>
  </conditionalFormatting>
  <conditionalFormatting sqref="D23:J23">
    <cfRule type="expression" dxfId="483" priority="21" stopIfTrue="1">
      <formula>ISERROR(D23)</formula>
    </cfRule>
  </conditionalFormatting>
  <conditionalFormatting sqref="K23:T24">
    <cfRule type="expression" dxfId="482" priority="20" stopIfTrue="1">
      <formula>ISERROR(K23)</formula>
    </cfRule>
  </conditionalFormatting>
  <conditionalFormatting sqref="L23:T24">
    <cfRule type="expression" dxfId="481" priority="19" stopIfTrue="1">
      <formula>ISERROR(L23)</formula>
    </cfRule>
  </conditionalFormatting>
  <conditionalFormatting sqref="K23:K24 L24:M24">
    <cfRule type="expression" dxfId="480" priority="18" stopIfTrue="1">
      <formula>ISERROR(K23)</formula>
    </cfRule>
  </conditionalFormatting>
  <conditionalFormatting sqref="D28:J28">
    <cfRule type="expression" dxfId="479" priority="17" stopIfTrue="1">
      <formula>ISERROR(D28)</formula>
    </cfRule>
  </conditionalFormatting>
  <conditionalFormatting sqref="K28:T29">
    <cfRule type="expression" dxfId="478" priority="16" stopIfTrue="1">
      <formula>ISERROR(K28)</formula>
    </cfRule>
  </conditionalFormatting>
  <conditionalFormatting sqref="L28:T29">
    <cfRule type="expression" dxfId="477" priority="15" stopIfTrue="1">
      <formula>ISERROR(L28)</formula>
    </cfRule>
  </conditionalFormatting>
  <conditionalFormatting sqref="K28:K29 L29:M29">
    <cfRule type="expression" dxfId="476" priority="14" stopIfTrue="1">
      <formula>ISERROR(K28)</formula>
    </cfRule>
  </conditionalFormatting>
  <conditionalFormatting sqref="D32:J32">
    <cfRule type="expression" dxfId="475" priority="13" stopIfTrue="1">
      <formula>ISERROR(D32)</formula>
    </cfRule>
  </conditionalFormatting>
  <conditionalFormatting sqref="D31:J31">
    <cfRule type="expression" dxfId="474" priority="12" stopIfTrue="1">
      <formula>ISERROR(D31)</formula>
    </cfRule>
  </conditionalFormatting>
  <conditionalFormatting sqref="D34:J34">
    <cfRule type="expression" dxfId="473" priority="11" stopIfTrue="1">
      <formula>ISERROR(D34)</formula>
    </cfRule>
  </conditionalFormatting>
  <conditionalFormatting sqref="D33:J33">
    <cfRule type="expression" dxfId="472" priority="10" stopIfTrue="1">
      <formula>ISERROR(D33)</formula>
    </cfRule>
  </conditionalFormatting>
  <conditionalFormatting sqref="D36:J36">
    <cfRule type="expression" dxfId="471" priority="9" stopIfTrue="1">
      <formula>ISERROR(D36)</formula>
    </cfRule>
  </conditionalFormatting>
  <conditionalFormatting sqref="D35:J35">
    <cfRule type="expression" dxfId="470" priority="8" stopIfTrue="1">
      <formula>ISERROR(D35)</formula>
    </cfRule>
  </conditionalFormatting>
  <conditionalFormatting sqref="A21:B22 C21 K21:IO21 C22:P22 R22:IO22">
    <cfRule type="expression" dxfId="469" priority="7" stopIfTrue="1">
      <formula>ISERROR(A21)</formula>
    </cfRule>
  </conditionalFormatting>
  <conditionalFormatting sqref="L21:T21 L22:P22 R22:T22">
    <cfRule type="expression" dxfId="468" priority="6" stopIfTrue="1">
      <formula>ISERROR(L21)</formula>
    </cfRule>
  </conditionalFormatting>
  <conditionalFormatting sqref="K21:K22 L22:P22 R22:T22">
    <cfRule type="expression" dxfId="467" priority="5" stopIfTrue="1">
      <formula>ISERROR(K21)</formula>
    </cfRule>
  </conditionalFormatting>
  <conditionalFormatting sqref="D21:J21">
    <cfRule type="expression" dxfId="466" priority="4" stopIfTrue="1">
      <formula>ISERROR(D21)</formula>
    </cfRule>
  </conditionalFormatting>
  <conditionalFormatting sqref="Q22">
    <cfRule type="expression" dxfId="465" priority="3" stopIfTrue="1">
      <formula>ISERROR(Q22)</formula>
    </cfRule>
  </conditionalFormatting>
  <conditionalFormatting sqref="Q22">
    <cfRule type="expression" dxfId="464" priority="2" stopIfTrue="1">
      <formula>ISERROR(Q22)</formula>
    </cfRule>
  </conditionalFormatting>
  <conditionalFormatting sqref="B94:C96 C98:C103">
    <cfRule type="expression" dxfId="463" priority="1" stopIfTrue="1">
      <formula>ISERROR(B94)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CE109"/>
  <sheetViews>
    <sheetView showGridLines="0" workbookViewId="0">
      <pane xSplit="2" ySplit="8" topLeftCell="AZ9" activePane="bottomRight" state="frozen"/>
      <selection activeCell="L4" sqref="L4"/>
      <selection pane="topRight" activeCell="L4" sqref="L4"/>
      <selection pane="bottomLeft" activeCell="L4" sqref="L4"/>
      <selection pane="bottomRight" activeCell="B4" sqref="B4:B5"/>
    </sheetView>
  </sheetViews>
  <sheetFormatPr baseColWidth="10" defaultColWidth="9.1640625" defaultRowHeight="12" outlineLevelRow="2" outlineLevelCol="1" x14ac:dyDescent="0.15"/>
  <cols>
    <col min="1" max="1" width="2" style="208" customWidth="1"/>
    <col min="2" max="2" width="35.5" style="217" customWidth="1"/>
    <col min="3" max="3" width="9.5" style="218" hidden="1" customWidth="1" outlineLevel="1"/>
    <col min="4" max="6" width="9.1640625" style="218" hidden="1" customWidth="1" outlineLevel="1"/>
    <col min="7" max="7" width="0" style="218" hidden="1" customWidth="1" collapsed="1"/>
    <col min="8" max="11" width="9.1640625" style="218" hidden="1" customWidth="1" outlineLevel="1"/>
    <col min="12" max="12" width="0" style="218" hidden="1" customWidth="1" collapsed="1"/>
    <col min="13" max="16" width="9.1640625" style="218" hidden="1" customWidth="1" outlineLevel="1"/>
    <col min="17" max="17" width="0" style="218" hidden="1" customWidth="1" collapsed="1"/>
    <col min="18" max="21" width="9.1640625" style="218" hidden="1" customWidth="1" outlineLevel="1"/>
    <col min="22" max="22" width="10.83203125" style="218" hidden="1" customWidth="1" collapsed="1"/>
    <col min="23" max="26" width="9.1640625" style="218" hidden="1" customWidth="1" outlineLevel="1"/>
    <col min="27" max="27" width="11.1640625" style="218" hidden="1" customWidth="1" collapsed="1"/>
    <col min="28" max="31" width="9.1640625" style="218" hidden="1" customWidth="1" outlineLevel="1"/>
    <col min="32" max="32" width="11.1640625" style="218" hidden="1" customWidth="1" collapsed="1"/>
    <col min="33" max="36" width="9.1640625" style="218" hidden="1" customWidth="1" outlineLevel="1"/>
    <col min="37" max="37" width="11.1640625" style="218" hidden="1" customWidth="1" collapsed="1"/>
    <col min="38" max="41" width="9.1640625" style="218" hidden="1" customWidth="1" outlineLevel="1"/>
    <col min="42" max="42" width="11.33203125" style="218" hidden="1" customWidth="1" collapsed="1"/>
    <col min="43" max="46" width="9.1640625" style="218" hidden="1" customWidth="1" outlineLevel="1"/>
    <col min="47" max="47" width="11.1640625" style="218" hidden="1" customWidth="1" collapsed="1"/>
    <col min="48" max="51" width="9.1640625" style="218" hidden="1" customWidth="1" outlineLevel="1"/>
    <col min="52" max="52" width="10.83203125" style="218" bestFit="1" customWidth="1" collapsed="1"/>
    <col min="53" max="56" width="9.1640625" style="218" hidden="1" customWidth="1" outlineLevel="1"/>
    <col min="57" max="57" width="9.1640625" style="218" collapsed="1"/>
    <col min="58" max="61" width="9.1640625" style="218" hidden="1" customWidth="1" outlineLevel="1"/>
    <col min="62" max="62" width="9.1640625" style="218" collapsed="1"/>
    <col min="63" max="66" width="9.1640625" style="218" hidden="1" customWidth="1" outlineLevel="1"/>
    <col min="67" max="67" width="9.1640625" style="218" collapsed="1"/>
    <col min="68" max="71" width="9.1640625" style="218" hidden="1" customWidth="1" outlineLevel="1"/>
    <col min="72" max="72" width="9.1640625" style="218" collapsed="1"/>
    <col min="73" max="76" width="9.1640625" style="218" hidden="1" customWidth="1" outlineLevel="1"/>
    <col min="77" max="77" width="9.1640625" style="218" collapsed="1"/>
    <col min="78" max="81" width="9.1640625" style="218" hidden="1" customWidth="1" outlineLevel="1"/>
    <col min="82" max="82" width="9.1640625" style="218" collapsed="1"/>
    <col min="83" max="83" width="1" style="208" customWidth="1"/>
    <col min="84" max="16384" width="9.1640625" style="218"/>
  </cols>
  <sheetData>
    <row r="2" spans="1:83" s="197" customFormat="1" x14ac:dyDescent="0.15">
      <c r="A2" s="2"/>
      <c r="B2" s="192" t="s">
        <v>1</v>
      </c>
      <c r="C2" s="193"/>
      <c r="D2" s="193"/>
      <c r="E2" s="193"/>
      <c r="F2" s="194"/>
      <c r="G2" s="195"/>
      <c r="H2" s="194"/>
      <c r="I2" s="193"/>
      <c r="J2" s="193"/>
      <c r="K2" s="194"/>
      <c r="L2" s="195"/>
      <c r="M2" s="194"/>
      <c r="N2" s="193"/>
      <c r="O2" s="193"/>
      <c r="P2" s="194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6"/>
      <c r="AS2" s="195"/>
      <c r="AT2" s="195"/>
      <c r="AU2" s="195"/>
      <c r="AV2" s="195"/>
      <c r="AW2" s="195"/>
      <c r="AX2" s="195"/>
      <c r="CE2" s="2"/>
    </row>
    <row r="3" spans="1:83" s="197" customFormat="1" x14ac:dyDescent="0.15">
      <c r="A3" s="2"/>
      <c r="B3" s="192" t="s">
        <v>226</v>
      </c>
      <c r="C3" s="193"/>
      <c r="D3" s="193"/>
      <c r="E3" s="193"/>
      <c r="F3" s="194"/>
      <c r="G3" s="195"/>
      <c r="H3" s="194"/>
      <c r="I3" s="193"/>
      <c r="J3" s="193"/>
      <c r="K3" s="194"/>
      <c r="L3" s="195"/>
      <c r="M3" s="194"/>
      <c r="N3" s="193"/>
      <c r="O3" s="193"/>
      <c r="P3" s="194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9"/>
      <c r="AJ3" s="195"/>
      <c r="AK3" s="195"/>
      <c r="AL3" s="195"/>
      <c r="AM3" s="195"/>
      <c r="AN3" s="195"/>
      <c r="AO3" s="195"/>
      <c r="AP3" s="195"/>
      <c r="AQ3" s="195"/>
      <c r="AR3" s="196"/>
      <c r="AS3" s="195"/>
      <c r="AT3" s="195"/>
      <c r="AU3" s="195"/>
      <c r="AV3" s="195"/>
      <c r="AW3" s="195"/>
      <c r="AX3" s="195"/>
      <c r="BO3" s="201"/>
      <c r="BY3" s="201"/>
      <c r="CE3" s="2"/>
    </row>
    <row r="4" spans="1:83" s="197" customFormat="1" x14ac:dyDescent="0.15">
      <c r="A4" s="2"/>
      <c r="B4" s="198"/>
      <c r="C4" s="193"/>
      <c r="D4" s="193"/>
      <c r="E4" s="193"/>
      <c r="F4" s="194"/>
      <c r="G4" s="202"/>
      <c r="H4" s="194"/>
      <c r="I4" s="193"/>
      <c r="J4" s="193"/>
      <c r="K4" s="194"/>
      <c r="L4" s="203"/>
      <c r="M4" s="194"/>
      <c r="N4" s="193"/>
      <c r="O4" s="193"/>
      <c r="P4" s="194"/>
      <c r="Q4" s="203"/>
      <c r="R4" s="203"/>
      <c r="S4" s="203"/>
      <c r="T4" s="203"/>
      <c r="U4" s="203"/>
      <c r="V4" s="203"/>
      <c r="W4" s="203"/>
      <c r="Y4" s="203"/>
      <c r="Z4" s="203"/>
      <c r="AA4" s="203"/>
      <c r="AB4" s="203"/>
      <c r="AC4" s="203"/>
      <c r="AD4" s="203"/>
      <c r="AE4" s="203"/>
      <c r="AF4" s="203"/>
      <c r="AG4" s="204"/>
      <c r="AH4" s="204"/>
      <c r="AI4" s="204"/>
      <c r="AJ4" s="204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5"/>
      <c r="AY4" s="203"/>
      <c r="AZ4" s="203"/>
      <c r="BA4" s="203"/>
      <c r="BB4" s="203"/>
      <c r="BC4" s="203"/>
      <c r="BD4" s="203"/>
      <c r="BE4" s="204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"/>
    </row>
    <row r="5" spans="1:83" s="197" customFormat="1" x14ac:dyDescent="0.15">
      <c r="A5" s="2"/>
      <c r="B5" s="198"/>
      <c r="C5" s="193"/>
      <c r="D5" s="193"/>
      <c r="E5" s="193"/>
      <c r="F5" s="193"/>
      <c r="G5" s="203"/>
      <c r="H5" s="193"/>
      <c r="I5" s="193"/>
      <c r="J5" s="193"/>
      <c r="K5" s="193"/>
      <c r="L5" s="203"/>
      <c r="M5" s="193"/>
      <c r="N5" s="193"/>
      <c r="O5" s="193"/>
      <c r="P5" s="193"/>
      <c r="Q5" s="203" t="s">
        <v>39</v>
      </c>
      <c r="R5" s="203"/>
      <c r="S5" s="203"/>
      <c r="T5" s="203"/>
      <c r="U5" s="203"/>
      <c r="V5" s="203" t="s">
        <v>39</v>
      </c>
      <c r="W5" s="203"/>
      <c r="X5" s="203"/>
      <c r="Y5" s="203"/>
      <c r="Z5" s="203"/>
      <c r="AA5" s="203" t="s">
        <v>39</v>
      </c>
      <c r="AB5" s="203"/>
      <c r="AC5" s="203"/>
      <c r="AD5" s="203"/>
      <c r="AE5" s="203"/>
      <c r="AF5" s="203" t="s">
        <v>39</v>
      </c>
      <c r="AG5" s="203" t="s">
        <v>39</v>
      </c>
      <c r="AH5" s="203" t="s">
        <v>39</v>
      </c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5"/>
      <c r="AT5" s="203"/>
      <c r="AU5" s="206"/>
      <c r="AV5" s="203"/>
      <c r="AW5" s="203"/>
      <c r="AX5" s="203"/>
      <c r="AY5" s="203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"/>
    </row>
    <row r="6" spans="1:83" x14ac:dyDescent="0.15">
      <c r="B6" s="209"/>
      <c r="C6" s="210"/>
      <c r="D6" s="210"/>
      <c r="E6" s="210"/>
      <c r="F6" s="211"/>
      <c r="G6" s="212"/>
      <c r="H6" s="210"/>
      <c r="I6" s="210"/>
      <c r="J6" s="210"/>
      <c r="K6" s="211"/>
      <c r="L6" s="212"/>
      <c r="M6" s="210"/>
      <c r="N6" s="210"/>
      <c r="O6" s="210"/>
      <c r="P6" s="211"/>
      <c r="Q6" s="212"/>
      <c r="R6" s="213"/>
      <c r="S6" s="210"/>
      <c r="T6" s="210"/>
      <c r="U6" s="211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5"/>
      <c r="BA6" s="215"/>
      <c r="BB6" s="216"/>
      <c r="BC6" s="215"/>
      <c r="BD6" s="215"/>
      <c r="BE6" s="215"/>
      <c r="BF6" s="215"/>
      <c r="BG6" s="215"/>
      <c r="BH6" s="215"/>
      <c r="BI6" s="215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</row>
    <row r="7" spans="1:83" x14ac:dyDescent="0.15">
      <c r="B7" s="22" t="s">
        <v>5</v>
      </c>
      <c r="C7" s="23">
        <v>38412</v>
      </c>
      <c r="D7" s="23">
        <v>38504</v>
      </c>
      <c r="E7" s="23">
        <v>38596</v>
      </c>
      <c r="F7" s="23">
        <v>38687</v>
      </c>
      <c r="G7" s="24"/>
      <c r="H7" s="23">
        <v>38777</v>
      </c>
      <c r="I7" s="23">
        <v>38869</v>
      </c>
      <c r="J7" s="23">
        <v>38961</v>
      </c>
      <c r="K7" s="23">
        <v>39052</v>
      </c>
      <c r="L7" s="24"/>
      <c r="M7" s="23">
        <v>39142</v>
      </c>
      <c r="N7" s="23">
        <v>39234</v>
      </c>
      <c r="O7" s="23">
        <v>39326</v>
      </c>
      <c r="P7" s="23">
        <v>39417</v>
      </c>
      <c r="Q7" s="24"/>
      <c r="R7" s="23">
        <v>39508</v>
      </c>
      <c r="S7" s="23">
        <v>39600</v>
      </c>
      <c r="T7" s="23">
        <v>39692</v>
      </c>
      <c r="U7" s="23">
        <v>39783</v>
      </c>
      <c r="V7" s="24"/>
      <c r="W7" s="23">
        <v>39873</v>
      </c>
      <c r="X7" s="23">
        <v>39965</v>
      </c>
      <c r="Y7" s="23">
        <v>40057</v>
      </c>
      <c r="Z7" s="23">
        <v>40148</v>
      </c>
      <c r="AA7" s="24"/>
      <c r="AB7" s="23">
        <v>40238</v>
      </c>
      <c r="AC7" s="23">
        <v>40330</v>
      </c>
      <c r="AD7" s="23">
        <v>40422</v>
      </c>
      <c r="AE7" s="23">
        <v>40513</v>
      </c>
      <c r="AF7" s="24"/>
      <c r="AG7" s="23">
        <v>40603</v>
      </c>
      <c r="AH7" s="23">
        <v>40695</v>
      </c>
      <c r="AI7" s="23">
        <v>40787</v>
      </c>
      <c r="AJ7" s="23">
        <v>40878</v>
      </c>
      <c r="AK7" s="24"/>
      <c r="AL7" s="23">
        <v>40969</v>
      </c>
      <c r="AM7" s="23">
        <v>41061</v>
      </c>
      <c r="AN7" s="23">
        <v>41153</v>
      </c>
      <c r="AO7" s="23">
        <v>41244</v>
      </c>
      <c r="AP7" s="24"/>
      <c r="AQ7" s="23">
        <v>41334</v>
      </c>
      <c r="AR7" s="23">
        <v>41426</v>
      </c>
      <c r="AS7" s="23">
        <v>41518</v>
      </c>
      <c r="AT7" s="23">
        <v>41609</v>
      </c>
      <c r="AU7" s="24"/>
      <c r="AV7" s="23">
        <v>41699</v>
      </c>
      <c r="AW7" s="23">
        <v>41791</v>
      </c>
      <c r="AX7" s="23">
        <v>41883</v>
      </c>
      <c r="AY7" s="23">
        <v>41974</v>
      </c>
      <c r="AZ7" s="219">
        <v>2014</v>
      </c>
      <c r="BA7" s="23">
        <v>42064</v>
      </c>
      <c r="BB7" s="23">
        <v>42156</v>
      </c>
      <c r="BC7" s="23">
        <v>42248</v>
      </c>
      <c r="BD7" s="23">
        <v>42339</v>
      </c>
      <c r="BE7" s="219">
        <v>2015</v>
      </c>
      <c r="BF7" s="219">
        <v>42065</v>
      </c>
      <c r="BG7" s="219">
        <v>42157</v>
      </c>
      <c r="BH7" s="219">
        <v>42249</v>
      </c>
      <c r="BI7" s="219">
        <v>42340</v>
      </c>
      <c r="BJ7" s="219">
        <v>2016</v>
      </c>
      <c r="BK7" s="219">
        <v>42066</v>
      </c>
      <c r="BL7" s="219">
        <v>42158</v>
      </c>
      <c r="BM7" s="219">
        <v>42250</v>
      </c>
      <c r="BN7" s="219">
        <v>42341</v>
      </c>
      <c r="BO7" s="219">
        <v>2017</v>
      </c>
      <c r="BP7" s="219">
        <v>42067</v>
      </c>
      <c r="BQ7" s="219">
        <v>42159</v>
      </c>
      <c r="BR7" s="219">
        <v>42251</v>
      </c>
      <c r="BS7" s="219">
        <v>42342</v>
      </c>
      <c r="BT7" s="219">
        <v>2018</v>
      </c>
      <c r="BU7" s="219">
        <v>42068</v>
      </c>
      <c r="BV7" s="219">
        <v>42160</v>
      </c>
      <c r="BW7" s="219">
        <v>42252</v>
      </c>
      <c r="BX7" s="219">
        <v>42343</v>
      </c>
      <c r="BY7" s="219">
        <v>2019</v>
      </c>
      <c r="BZ7" s="219">
        <v>42069</v>
      </c>
      <c r="CA7" s="219">
        <v>42161</v>
      </c>
      <c r="CB7" s="219">
        <v>42253</v>
      </c>
      <c r="CC7" s="219">
        <v>42344</v>
      </c>
      <c r="CD7" s="219">
        <v>2020</v>
      </c>
    </row>
    <row r="8" spans="1:83" x14ac:dyDescent="0.15">
      <c r="B8" s="220" t="s">
        <v>6</v>
      </c>
      <c r="C8" s="221" t="s">
        <v>7</v>
      </c>
      <c r="D8" s="221" t="s">
        <v>8</v>
      </c>
      <c r="E8" s="221" t="s">
        <v>9</v>
      </c>
      <c r="F8" s="221" t="s">
        <v>10</v>
      </c>
      <c r="G8" s="222" t="s">
        <v>11</v>
      </c>
      <c r="H8" s="221" t="s">
        <v>7</v>
      </c>
      <c r="I8" s="221" t="s">
        <v>8</v>
      </c>
      <c r="J8" s="221" t="s">
        <v>9</v>
      </c>
      <c r="K8" s="221" t="s">
        <v>10</v>
      </c>
      <c r="L8" s="222" t="s">
        <v>12</v>
      </c>
      <c r="M8" s="221" t="s">
        <v>7</v>
      </c>
      <c r="N8" s="221" t="s">
        <v>8</v>
      </c>
      <c r="O8" s="221" t="s">
        <v>9</v>
      </c>
      <c r="P8" s="221" t="s">
        <v>10</v>
      </c>
      <c r="Q8" s="222" t="s">
        <v>13</v>
      </c>
      <c r="R8" s="221" t="s">
        <v>7</v>
      </c>
      <c r="S8" s="221" t="s">
        <v>8</v>
      </c>
      <c r="T8" s="221" t="s">
        <v>9</v>
      </c>
      <c r="U8" s="221" t="s">
        <v>10</v>
      </c>
      <c r="V8" s="222" t="s">
        <v>14</v>
      </c>
      <c r="W8" s="221" t="s">
        <v>7</v>
      </c>
      <c r="X8" s="221" t="s">
        <v>8</v>
      </c>
      <c r="Y8" s="221" t="s">
        <v>9</v>
      </c>
      <c r="Z8" s="221" t="s">
        <v>10</v>
      </c>
      <c r="AA8" s="222" t="s">
        <v>122</v>
      </c>
      <c r="AB8" s="221" t="s">
        <v>7</v>
      </c>
      <c r="AC8" s="221" t="s">
        <v>8</v>
      </c>
      <c r="AD8" s="221" t="s">
        <v>9</v>
      </c>
      <c r="AE8" s="221" t="s">
        <v>10</v>
      </c>
      <c r="AF8" s="222" t="s">
        <v>16</v>
      </c>
      <c r="AG8" s="221" t="s">
        <v>7</v>
      </c>
      <c r="AH8" s="221" t="s">
        <v>8</v>
      </c>
      <c r="AI8" s="221" t="s">
        <v>9</v>
      </c>
      <c r="AJ8" s="221" t="s">
        <v>10</v>
      </c>
      <c r="AK8" s="222" t="s">
        <v>17</v>
      </c>
      <c r="AL8" s="221" t="s">
        <v>7</v>
      </c>
      <c r="AM8" s="221" t="s">
        <v>8</v>
      </c>
      <c r="AN8" s="221" t="s">
        <v>9</v>
      </c>
      <c r="AO8" s="221" t="s">
        <v>10</v>
      </c>
      <c r="AP8" s="222" t="s">
        <v>18</v>
      </c>
      <c r="AQ8" s="221" t="s">
        <v>7</v>
      </c>
      <c r="AR8" s="221" t="s">
        <v>8</v>
      </c>
      <c r="AS8" s="221" t="s">
        <v>9</v>
      </c>
      <c r="AT8" s="221" t="s">
        <v>10</v>
      </c>
      <c r="AU8" s="222" t="s">
        <v>19</v>
      </c>
      <c r="AV8" s="221" t="s">
        <v>7</v>
      </c>
      <c r="AW8" s="221" t="s">
        <v>8</v>
      </c>
      <c r="AX8" s="221" t="s">
        <v>9</v>
      </c>
      <c r="AY8" s="221" t="s">
        <v>10</v>
      </c>
      <c r="AZ8" s="223" t="s">
        <v>20</v>
      </c>
      <c r="BA8" s="221" t="s">
        <v>7</v>
      </c>
      <c r="BB8" s="221" t="s">
        <v>8</v>
      </c>
      <c r="BC8" s="224" t="s">
        <v>24</v>
      </c>
      <c r="BD8" s="221" t="s">
        <v>25</v>
      </c>
      <c r="BE8" s="223" t="s">
        <v>21</v>
      </c>
      <c r="BF8" s="221" t="s">
        <v>22</v>
      </c>
      <c r="BG8" s="221" t="s">
        <v>23</v>
      </c>
      <c r="BH8" s="221" t="s">
        <v>24</v>
      </c>
      <c r="BI8" s="221" t="s">
        <v>25</v>
      </c>
      <c r="BJ8" s="223" t="s">
        <v>26</v>
      </c>
      <c r="BK8" s="221" t="s">
        <v>22</v>
      </c>
      <c r="BL8" s="221" t="s">
        <v>23</v>
      </c>
      <c r="BM8" s="221" t="s">
        <v>24</v>
      </c>
      <c r="BN8" s="221" t="s">
        <v>25</v>
      </c>
      <c r="BO8" s="223" t="s">
        <v>27</v>
      </c>
      <c r="BP8" s="221" t="s">
        <v>22</v>
      </c>
      <c r="BQ8" s="221" t="s">
        <v>23</v>
      </c>
      <c r="BR8" s="221" t="s">
        <v>24</v>
      </c>
      <c r="BS8" s="221" t="s">
        <v>25</v>
      </c>
      <c r="BT8" s="223" t="s">
        <v>28</v>
      </c>
      <c r="BU8" s="221" t="s">
        <v>22</v>
      </c>
      <c r="BV8" s="221" t="s">
        <v>23</v>
      </c>
      <c r="BW8" s="221" t="s">
        <v>24</v>
      </c>
      <c r="BX8" s="221" t="s">
        <v>25</v>
      </c>
      <c r="BY8" s="223" t="s">
        <v>29</v>
      </c>
      <c r="BZ8" s="221" t="s">
        <v>22</v>
      </c>
      <c r="CA8" s="221" t="s">
        <v>23</v>
      </c>
      <c r="CB8" s="221" t="s">
        <v>24</v>
      </c>
      <c r="CC8" s="221" t="s">
        <v>25</v>
      </c>
      <c r="CD8" s="223" t="s">
        <v>30</v>
      </c>
    </row>
    <row r="9" spans="1:83" x14ac:dyDescent="0.15">
      <c r="B9" s="225" t="str">
        <f>Sales!B9</f>
        <v>Developed Markets Segment</v>
      </c>
      <c r="C9" s="226">
        <f>Sales!C9</f>
        <v>0</v>
      </c>
      <c r="D9" s="226">
        <f>Sales!D9</f>
        <v>0</v>
      </c>
      <c r="E9" s="226">
        <f>Sales!E9</f>
        <v>0</v>
      </c>
      <c r="F9" s="226">
        <f>Sales!F9</f>
        <v>0</v>
      </c>
      <c r="G9" s="227">
        <f>Sales!G9</f>
        <v>0</v>
      </c>
      <c r="H9" s="226">
        <f>Sales!H9</f>
        <v>0</v>
      </c>
      <c r="I9" s="226">
        <f>Sales!I9</f>
        <v>0</v>
      </c>
      <c r="J9" s="226">
        <f>Sales!J9</f>
        <v>0</v>
      </c>
      <c r="K9" s="226">
        <f>Sales!K9</f>
        <v>0</v>
      </c>
      <c r="L9" s="227">
        <f>Sales!L9</f>
        <v>0</v>
      </c>
      <c r="M9" s="226">
        <f>Sales!M9</f>
        <v>0</v>
      </c>
      <c r="N9" s="226">
        <f>Sales!N9</f>
        <v>0</v>
      </c>
      <c r="O9" s="226">
        <f>Sales!O9</f>
        <v>0</v>
      </c>
      <c r="P9" s="226">
        <f>Sales!P9</f>
        <v>0</v>
      </c>
      <c r="Q9" s="227">
        <f>Sales!Q9</f>
        <v>0</v>
      </c>
      <c r="R9" s="226">
        <f>Sales!R9</f>
        <v>0</v>
      </c>
      <c r="S9" s="226">
        <f>Sales!S9</f>
        <v>0</v>
      </c>
      <c r="T9" s="226">
        <f>Sales!T9</f>
        <v>0</v>
      </c>
      <c r="U9" s="226">
        <f>Sales!U9</f>
        <v>0</v>
      </c>
      <c r="V9" s="227">
        <f>Sales!V9</f>
        <v>0</v>
      </c>
      <c r="W9" s="226">
        <f>Sales!W9</f>
        <v>0</v>
      </c>
      <c r="X9" s="226">
        <f>Sales!X9</f>
        <v>0</v>
      </c>
      <c r="Y9" s="226">
        <f>Sales!Y9</f>
        <v>0</v>
      </c>
      <c r="Z9" s="226">
        <f>Sales!Z9</f>
        <v>0</v>
      </c>
      <c r="AA9" s="227">
        <f>Sales!AA9</f>
        <v>0</v>
      </c>
      <c r="AB9" s="226">
        <f>Sales!AB9</f>
        <v>0</v>
      </c>
      <c r="AC9" s="226">
        <f>Sales!AC9</f>
        <v>0</v>
      </c>
      <c r="AD9" s="226">
        <f>Sales!AD9</f>
        <v>0</v>
      </c>
      <c r="AE9" s="226">
        <f>Sales!AE9</f>
        <v>0</v>
      </c>
      <c r="AF9" s="227">
        <f>Sales!AF9</f>
        <v>0</v>
      </c>
      <c r="AG9" s="226">
        <f>Sales!AG9</f>
        <v>0</v>
      </c>
      <c r="AH9" s="226">
        <f>Sales!AH9</f>
        <v>0</v>
      </c>
      <c r="AI9" s="226">
        <f>Sales!AI9</f>
        <v>0</v>
      </c>
      <c r="AJ9" s="226">
        <f>Sales!AJ9</f>
        <v>0</v>
      </c>
      <c r="AK9" s="227">
        <f>Sales!AK9</f>
        <v>0</v>
      </c>
      <c r="AL9" s="226">
        <f>Sales!AL9</f>
        <v>0</v>
      </c>
      <c r="AM9" s="226">
        <f>Sales!AM9</f>
        <v>0</v>
      </c>
      <c r="AN9" s="226">
        <f>Sales!AN9</f>
        <v>0</v>
      </c>
      <c r="AO9" s="226">
        <f>Sales!AO9</f>
        <v>0</v>
      </c>
      <c r="AP9" s="227">
        <f>Sales!AP9</f>
        <v>0</v>
      </c>
      <c r="AQ9" s="226">
        <f>Sales!AQ9</f>
        <v>0</v>
      </c>
      <c r="AR9" s="226">
        <f>Sales!AR9</f>
        <v>0</v>
      </c>
      <c r="AS9" s="226">
        <f>Sales!AS9</f>
        <v>0</v>
      </c>
      <c r="AT9" s="226">
        <f>Sales!AT9</f>
        <v>0</v>
      </c>
      <c r="AU9" s="227"/>
      <c r="AV9" s="226"/>
      <c r="AW9" s="226"/>
      <c r="AX9" s="226"/>
      <c r="AY9" s="226"/>
      <c r="AZ9" s="227"/>
      <c r="BA9" s="226"/>
      <c r="BB9" s="226"/>
      <c r="BC9" s="226"/>
      <c r="BD9" s="226"/>
      <c r="BE9" s="227"/>
      <c r="BF9" s="228"/>
      <c r="BG9" s="228"/>
      <c r="BH9" s="228"/>
      <c r="BI9" s="228"/>
      <c r="BJ9" s="227"/>
      <c r="BK9" s="228"/>
      <c r="BL9" s="228"/>
      <c r="BM9" s="228"/>
      <c r="BN9" s="228"/>
      <c r="BO9" s="227"/>
      <c r="BP9" s="228"/>
      <c r="BQ9" s="228"/>
      <c r="BR9" s="228"/>
      <c r="BS9" s="228"/>
      <c r="BT9" s="227"/>
      <c r="BU9" s="228"/>
      <c r="BV9" s="228"/>
      <c r="BW9" s="228"/>
      <c r="BX9" s="228"/>
      <c r="BY9" s="227"/>
      <c r="BZ9" s="228"/>
      <c r="CA9" s="228"/>
      <c r="CB9" s="228"/>
      <c r="CC9" s="228"/>
      <c r="CD9" s="227"/>
    </row>
    <row r="10" spans="1:83" s="198" customFormat="1" hidden="1" outlineLevel="1" x14ac:dyDescent="0.15">
      <c r="A10" s="12"/>
      <c r="B10" s="230" t="str">
        <f>Sales!B10</f>
        <v>Dermatology</v>
      </c>
      <c r="C10" s="231">
        <f>Sales!C10</f>
        <v>0</v>
      </c>
      <c r="D10" s="231">
        <f>Sales!D10</f>
        <v>0</v>
      </c>
      <c r="E10" s="231">
        <f>Sales!E10</f>
        <v>0</v>
      </c>
      <c r="F10" s="231">
        <f>Sales!F10</f>
        <v>0</v>
      </c>
      <c r="G10" s="232">
        <f>Sales!G10</f>
        <v>0</v>
      </c>
      <c r="H10" s="231">
        <f>Sales!H10</f>
        <v>0</v>
      </c>
      <c r="I10" s="231">
        <f>Sales!I10</f>
        <v>0</v>
      </c>
      <c r="J10" s="231">
        <f>Sales!J10</f>
        <v>0</v>
      </c>
      <c r="K10" s="231">
        <f>Sales!K10</f>
        <v>0</v>
      </c>
      <c r="L10" s="232">
        <f>Sales!L10</f>
        <v>0</v>
      </c>
      <c r="M10" s="231">
        <f>Sales!M10</f>
        <v>0</v>
      </c>
      <c r="N10" s="231">
        <f>Sales!N10</f>
        <v>0</v>
      </c>
      <c r="O10" s="231">
        <f>Sales!O10</f>
        <v>0</v>
      </c>
      <c r="P10" s="231">
        <f>Sales!P10</f>
        <v>0</v>
      </c>
      <c r="Q10" s="232">
        <f>Sales!Q10</f>
        <v>0</v>
      </c>
      <c r="R10" s="231">
        <f>Sales!R10</f>
        <v>0</v>
      </c>
      <c r="S10" s="231">
        <f>Sales!S10</f>
        <v>0</v>
      </c>
      <c r="T10" s="231">
        <f>Sales!T10</f>
        <v>0</v>
      </c>
      <c r="U10" s="231">
        <f>Sales!U10</f>
        <v>0</v>
      </c>
      <c r="V10" s="233">
        <f>Sales!V10</f>
        <v>0</v>
      </c>
      <c r="W10" s="234">
        <f>Sales!W10</f>
        <v>0</v>
      </c>
      <c r="X10" s="234">
        <f>Sales!X10</f>
        <v>0</v>
      </c>
      <c r="Y10" s="234">
        <f>Sales!Y10</f>
        <v>0</v>
      </c>
      <c r="Z10" s="234">
        <f>Sales!Z10</f>
        <v>0</v>
      </c>
      <c r="AA10" s="233">
        <f>Sales!AA10</f>
        <v>0</v>
      </c>
      <c r="AB10" s="234">
        <f>Sales!AB10</f>
        <v>0</v>
      </c>
      <c r="AC10" s="234">
        <f>Sales!AC10</f>
        <v>0</v>
      </c>
      <c r="AD10" s="234">
        <f>Sales!AD10</f>
        <v>0</v>
      </c>
      <c r="AE10" s="234">
        <f>Sales!AE10</f>
        <v>0</v>
      </c>
      <c r="AF10" s="233">
        <f>Sales!AF10</f>
        <v>0</v>
      </c>
      <c r="AG10" s="234">
        <f>Sales!AG10</f>
        <v>0</v>
      </c>
      <c r="AH10" s="234">
        <f>Sales!AH10</f>
        <v>0</v>
      </c>
      <c r="AI10" s="234">
        <f>Sales!AI10</f>
        <v>0</v>
      </c>
      <c r="AJ10" s="234">
        <f>Sales!AJ10</f>
        <v>0</v>
      </c>
      <c r="AK10" s="233">
        <f>Sales!AK10</f>
        <v>0</v>
      </c>
      <c r="AL10" s="234">
        <f>Sales!AL10</f>
        <v>0</v>
      </c>
      <c r="AM10" s="234">
        <f>Sales!AM10</f>
        <v>0</v>
      </c>
      <c r="AN10" s="234">
        <f>Sales!AN10</f>
        <v>0</v>
      </c>
      <c r="AO10" s="234">
        <f>Sales!AO10</f>
        <v>0</v>
      </c>
      <c r="AP10" s="233">
        <f>Sales!AP10</f>
        <v>0</v>
      </c>
      <c r="AQ10" s="231">
        <f>Sales!AQ10</f>
        <v>0</v>
      </c>
      <c r="AR10" s="231">
        <f>Sales!AR10</f>
        <v>0</v>
      </c>
      <c r="AS10" s="231">
        <f>Sales!AS10</f>
        <v>0</v>
      </c>
      <c r="AT10" s="231">
        <f>Sales!AT10</f>
        <v>0</v>
      </c>
      <c r="AU10" s="235"/>
      <c r="AV10" s="236"/>
      <c r="AW10" s="236"/>
      <c r="AX10" s="236"/>
      <c r="AY10" s="236"/>
      <c r="AZ10" s="235"/>
      <c r="BA10" s="236"/>
      <c r="BB10" s="236"/>
      <c r="BC10" s="236"/>
      <c r="BD10" s="236"/>
      <c r="BE10" s="235"/>
      <c r="BF10" s="237"/>
      <c r="BG10" s="237"/>
      <c r="BH10" s="237"/>
      <c r="BI10" s="237"/>
      <c r="BJ10" s="235"/>
      <c r="BK10" s="237"/>
      <c r="BL10" s="237"/>
      <c r="BM10" s="237"/>
      <c r="BN10" s="237"/>
      <c r="BO10" s="235"/>
      <c r="BP10" s="237"/>
      <c r="BQ10" s="237"/>
      <c r="BR10" s="237"/>
      <c r="BS10" s="237"/>
      <c r="BT10" s="235"/>
      <c r="BU10" s="237"/>
      <c r="BV10" s="237"/>
      <c r="BW10" s="237"/>
      <c r="BX10" s="237"/>
      <c r="BY10" s="235"/>
      <c r="BZ10" s="237"/>
      <c r="CA10" s="237"/>
      <c r="CB10" s="237"/>
      <c r="CC10" s="237"/>
      <c r="CD10" s="235"/>
      <c r="CE10" s="12"/>
    </row>
    <row r="11" spans="1:83" s="243" customFormat="1" hidden="1" outlineLevel="1" x14ac:dyDescent="0.15">
      <c r="A11" s="157"/>
      <c r="B11" s="238" t="str">
        <f>Sales!B11</f>
        <v>Solodyn</v>
      </c>
      <c r="C11" s="236">
        <f>Sales!C11</f>
        <v>0</v>
      </c>
      <c r="D11" s="236">
        <f>Sales!D11</f>
        <v>0</v>
      </c>
      <c r="E11" s="236">
        <f>Sales!E11</f>
        <v>0</v>
      </c>
      <c r="F11" s="236">
        <f>Sales!F11</f>
        <v>0</v>
      </c>
      <c r="G11" s="235">
        <f>Sales!G11</f>
        <v>0</v>
      </c>
      <c r="H11" s="236">
        <f>Sales!H11</f>
        <v>0</v>
      </c>
      <c r="I11" s="236">
        <f>Sales!I11</f>
        <v>0</v>
      </c>
      <c r="J11" s="236">
        <f>Sales!J11</f>
        <v>0</v>
      </c>
      <c r="K11" s="236">
        <f>Sales!K11</f>
        <v>0</v>
      </c>
      <c r="L11" s="235">
        <f>Sales!L11</f>
        <v>0</v>
      </c>
      <c r="M11" s="236">
        <f>Sales!M11</f>
        <v>0</v>
      </c>
      <c r="N11" s="236">
        <f>Sales!N11</f>
        <v>0</v>
      </c>
      <c r="O11" s="236">
        <f>Sales!O11</f>
        <v>0</v>
      </c>
      <c r="P11" s="236">
        <f>Sales!P11</f>
        <v>0</v>
      </c>
      <c r="Q11" s="235">
        <f>Sales!Q11</f>
        <v>0</v>
      </c>
      <c r="R11" s="236">
        <f>Sales!R11</f>
        <v>0</v>
      </c>
      <c r="S11" s="236">
        <f>Sales!S11</f>
        <v>0</v>
      </c>
      <c r="T11" s="236">
        <f>Sales!T11</f>
        <v>0</v>
      </c>
      <c r="U11" s="236">
        <f>Sales!U11</f>
        <v>0</v>
      </c>
      <c r="V11" s="235">
        <f>Sales!V11</f>
        <v>0</v>
      </c>
      <c r="W11" s="236">
        <f>Sales!W11</f>
        <v>0</v>
      </c>
      <c r="X11" s="236">
        <f>Sales!X11</f>
        <v>0</v>
      </c>
      <c r="Y11" s="236">
        <f>Sales!Y11</f>
        <v>0</v>
      </c>
      <c r="Z11" s="236">
        <f>Sales!Z11</f>
        <v>0</v>
      </c>
      <c r="AA11" s="235">
        <f>Sales!AA11</f>
        <v>0</v>
      </c>
      <c r="AB11" s="236">
        <f>Sales!AB11</f>
        <v>0</v>
      </c>
      <c r="AC11" s="236">
        <f>Sales!AC11</f>
        <v>0</v>
      </c>
      <c r="AD11" s="236">
        <f>Sales!AD11</f>
        <v>0</v>
      </c>
      <c r="AE11" s="236">
        <f>Sales!AE11</f>
        <v>0</v>
      </c>
      <c r="AF11" s="235">
        <f>Sales!AF11</f>
        <v>0</v>
      </c>
      <c r="AG11" s="236">
        <f>Sales!AG11</f>
        <v>0</v>
      </c>
      <c r="AH11" s="236">
        <f>Sales!AH11</f>
        <v>0</v>
      </c>
      <c r="AI11" s="236">
        <f>Sales!AI11</f>
        <v>0</v>
      </c>
      <c r="AJ11" s="236">
        <f>Sales!AJ11</f>
        <v>0</v>
      </c>
      <c r="AK11" s="235">
        <f>Sales!AK11</f>
        <v>0</v>
      </c>
      <c r="AL11" s="236">
        <f>Sales!AL11</f>
        <v>0</v>
      </c>
      <c r="AM11" s="236">
        <f>Sales!AM11</f>
        <v>0</v>
      </c>
      <c r="AN11" s="236">
        <f>Sales!AN11</f>
        <v>0</v>
      </c>
      <c r="AO11" s="236">
        <f>Sales!AO11</f>
        <v>18</v>
      </c>
      <c r="AP11" s="235">
        <f>Sales!AP11</f>
        <v>18</v>
      </c>
      <c r="AQ11" s="239">
        <f>Sales!AQ11</f>
        <v>60</v>
      </c>
      <c r="AR11" s="239">
        <f>Sales!AR11</f>
        <v>55</v>
      </c>
      <c r="AS11" s="239">
        <f>Sales!AS11</f>
        <v>50</v>
      </c>
      <c r="AT11" s="239">
        <f>Sales!AT11</f>
        <v>50</v>
      </c>
      <c r="AU11" s="235">
        <f>Sales!AU11</f>
        <v>215</v>
      </c>
      <c r="AV11" s="239">
        <f>Sales!AV11</f>
        <v>51</v>
      </c>
      <c r="AW11" s="239">
        <f>Sales!AW11</f>
        <v>43</v>
      </c>
      <c r="AX11" s="239">
        <f>Sales!AX11</f>
        <v>53</v>
      </c>
      <c r="AY11" s="239">
        <f>Sales!AY11</f>
        <v>61</v>
      </c>
      <c r="AZ11" s="235">
        <f>Sales!AZ11</f>
        <v>208</v>
      </c>
      <c r="BA11" s="239">
        <f>Sales!BA11</f>
        <v>57</v>
      </c>
      <c r="BB11" s="239">
        <f>Sales!BB11</f>
        <v>65</v>
      </c>
      <c r="BC11" s="240">
        <f>Sales!BC11</f>
        <v>66</v>
      </c>
      <c r="BD11" s="240">
        <f>Sales!BD11</f>
        <v>26</v>
      </c>
      <c r="BE11" s="235">
        <f>Sales!BE11</f>
        <v>214</v>
      </c>
      <c r="BF11" s="241">
        <f>Sales!BF11</f>
        <v>20</v>
      </c>
      <c r="BG11" s="241">
        <f>Sales!BG11</f>
        <v>48</v>
      </c>
      <c r="BH11" s="241">
        <f>Sales!BH11</f>
        <v>48</v>
      </c>
      <c r="BI11" s="241">
        <f>Sales!BI11</f>
        <v>50</v>
      </c>
      <c r="BJ11" s="235">
        <f>Sales!BJ11</f>
        <v>166</v>
      </c>
      <c r="BK11" s="241">
        <f>Sales!BK11</f>
        <v>0</v>
      </c>
      <c r="BL11" s="241">
        <f>Sales!BL11</f>
        <v>0</v>
      </c>
      <c r="BM11" s="241">
        <f>Sales!BM11</f>
        <v>0</v>
      </c>
      <c r="BN11" s="241">
        <f>Sales!BN11</f>
        <v>0</v>
      </c>
      <c r="BO11" s="235">
        <f>Sales!BO11</f>
        <v>175.96</v>
      </c>
      <c r="BP11" s="241">
        <f>Sales!BP11</f>
        <v>0</v>
      </c>
      <c r="BQ11" s="241">
        <f>Sales!BQ11</f>
        <v>0</v>
      </c>
      <c r="BR11" s="241">
        <f>Sales!BR11</f>
        <v>0</v>
      </c>
      <c r="BS11" s="241">
        <f>Sales!BS11</f>
        <v>0</v>
      </c>
      <c r="BT11" s="244">
        <f>Sales!BT11</f>
        <v>87.98</v>
      </c>
      <c r="BU11" s="241">
        <f>Sales!BU11</f>
        <v>0</v>
      </c>
      <c r="BV11" s="241">
        <f>Sales!BV11</f>
        <v>0</v>
      </c>
      <c r="BW11" s="241">
        <f>Sales!BW11</f>
        <v>0</v>
      </c>
      <c r="BX11" s="241">
        <f>Sales!BX11</f>
        <v>0</v>
      </c>
      <c r="BY11" s="235">
        <f>Sales!BY11</f>
        <v>43.99</v>
      </c>
      <c r="BZ11" s="241">
        <f>Sales!BZ11</f>
        <v>0</v>
      </c>
      <c r="CA11" s="241">
        <f>Sales!CA11</f>
        <v>0</v>
      </c>
      <c r="CB11" s="241">
        <f>Sales!CB11</f>
        <v>0</v>
      </c>
      <c r="CC11" s="241">
        <f>Sales!CC11</f>
        <v>0</v>
      </c>
      <c r="CD11" s="235">
        <f>Sales!CD11</f>
        <v>21.995000000000001</v>
      </c>
      <c r="CE11" s="28"/>
    </row>
    <row r="12" spans="1:83" hidden="1" outlineLevel="1" x14ac:dyDescent="0.15">
      <c r="B12" s="238" t="str">
        <f>Sales!B13</f>
        <v>Elidel</v>
      </c>
      <c r="C12" s="249">
        <f>Sales!C13</f>
        <v>0</v>
      </c>
      <c r="D12" s="249">
        <f>Sales!D13</f>
        <v>0</v>
      </c>
      <c r="E12" s="249">
        <f>Sales!E13</f>
        <v>0</v>
      </c>
      <c r="F12" s="249">
        <f>Sales!F13</f>
        <v>0</v>
      </c>
      <c r="G12" s="249">
        <f>Sales!G13</f>
        <v>0</v>
      </c>
      <c r="H12" s="249">
        <f>Sales!H13</f>
        <v>0</v>
      </c>
      <c r="I12" s="249">
        <f>Sales!I13</f>
        <v>0</v>
      </c>
      <c r="J12" s="249">
        <f>Sales!J13</f>
        <v>0</v>
      </c>
      <c r="K12" s="249">
        <f>Sales!K13</f>
        <v>0</v>
      </c>
      <c r="L12" s="249">
        <f>Sales!L13</f>
        <v>0</v>
      </c>
      <c r="M12" s="249">
        <f>Sales!M13</f>
        <v>0</v>
      </c>
      <c r="N12" s="249">
        <f>Sales!N13</f>
        <v>0</v>
      </c>
      <c r="O12" s="249">
        <f>Sales!O13</f>
        <v>0</v>
      </c>
      <c r="P12" s="249">
        <f>Sales!P13</f>
        <v>0</v>
      </c>
      <c r="Q12" s="249">
        <f>Sales!Q13</f>
        <v>0</v>
      </c>
      <c r="R12" s="249">
        <f>Sales!R13</f>
        <v>0</v>
      </c>
      <c r="S12" s="249">
        <f>Sales!S13</f>
        <v>0</v>
      </c>
      <c r="T12" s="249">
        <f>Sales!T13</f>
        <v>0</v>
      </c>
      <c r="U12" s="249">
        <f>Sales!U13</f>
        <v>0</v>
      </c>
      <c r="V12" s="249">
        <f>Sales!V13</f>
        <v>0</v>
      </c>
      <c r="W12" s="249">
        <f>Sales!W13</f>
        <v>0</v>
      </c>
      <c r="X12" s="249">
        <f>Sales!X13</f>
        <v>0</v>
      </c>
      <c r="Y12" s="249">
        <f>Sales!Y13</f>
        <v>0</v>
      </c>
      <c r="Z12" s="249">
        <f>Sales!Z13</f>
        <v>0</v>
      </c>
      <c r="AA12" s="249">
        <f>Sales!AA13</f>
        <v>0</v>
      </c>
      <c r="AB12" s="249">
        <f>Sales!AB13</f>
        <v>0</v>
      </c>
      <c r="AC12" s="249">
        <f>Sales!AC13</f>
        <v>0</v>
      </c>
      <c r="AD12" s="249">
        <f>Sales!AD13</f>
        <v>0</v>
      </c>
      <c r="AE12" s="249">
        <f>Sales!AE13</f>
        <v>0</v>
      </c>
      <c r="AF12" s="235">
        <f>Sales!AF13</f>
        <v>0</v>
      </c>
      <c r="AG12" s="249">
        <f>Sales!AG13</f>
        <v>0</v>
      </c>
      <c r="AH12" s="249">
        <f>Sales!AH13</f>
        <v>0</v>
      </c>
      <c r="AI12" s="249">
        <f>Sales!AI13</f>
        <v>0</v>
      </c>
      <c r="AJ12" s="249">
        <f>Sales!AJ13</f>
        <v>0</v>
      </c>
      <c r="AK12" s="235">
        <f>Sales!AK13</f>
        <v>0</v>
      </c>
      <c r="AL12" s="249">
        <f>Sales!AL13</f>
        <v>0</v>
      </c>
      <c r="AM12" s="249">
        <f>Sales!AM13</f>
        <v>0</v>
      </c>
      <c r="AN12" s="249">
        <f>Sales!AN13</f>
        <v>0</v>
      </c>
      <c r="AO12" s="249">
        <f>Sales!AO13</f>
        <v>0</v>
      </c>
      <c r="AP12" s="235">
        <f>Sales!AP13</f>
        <v>0</v>
      </c>
      <c r="AQ12" s="249">
        <f>Sales!AQ13</f>
        <v>0</v>
      </c>
      <c r="AR12" s="249">
        <f>Sales!AR13</f>
        <v>0</v>
      </c>
      <c r="AS12" s="249">
        <f>Sales!AS13</f>
        <v>0</v>
      </c>
      <c r="AT12" s="249">
        <f>Sales!AT13</f>
        <v>0</v>
      </c>
      <c r="AU12" s="235">
        <f>Sales!AU13</f>
        <v>0</v>
      </c>
      <c r="AV12" s="239">
        <f>Sales!AV13</f>
        <v>26</v>
      </c>
      <c r="AW12" s="239">
        <f>Sales!AW13</f>
        <v>25</v>
      </c>
      <c r="AX12" s="239">
        <f>Sales!AX13</f>
        <v>22</v>
      </c>
      <c r="AY12" s="239">
        <f>Sales!AY13</f>
        <v>31</v>
      </c>
      <c r="AZ12" s="235">
        <f>Sales!AZ13</f>
        <v>104</v>
      </c>
      <c r="BA12" s="239">
        <f>Sales!BA13</f>
        <v>26</v>
      </c>
      <c r="BB12" s="239">
        <f>Sales!BB13</f>
        <v>31</v>
      </c>
      <c r="BC12" s="240">
        <f>Sales!BC13</f>
        <v>32</v>
      </c>
      <c r="BD12" s="240">
        <f>Sales!BD13</f>
        <v>25</v>
      </c>
      <c r="BE12" s="235">
        <f>Sales!BE13</f>
        <v>114</v>
      </c>
      <c r="BF12" s="249">
        <f>Sales!BF13</f>
        <v>25</v>
      </c>
      <c r="BG12" s="249">
        <f>Sales!BG13</f>
        <v>27</v>
      </c>
      <c r="BH12" s="249">
        <f>Sales!BH13</f>
        <v>28</v>
      </c>
      <c r="BI12" s="249">
        <f>Sales!BI13</f>
        <v>25</v>
      </c>
      <c r="BJ12" s="235">
        <f>Sales!BJ13</f>
        <v>105</v>
      </c>
      <c r="BK12" s="241">
        <f>Sales!BK13</f>
        <v>0</v>
      </c>
      <c r="BL12" s="241">
        <f>Sales!BL13</f>
        <v>0</v>
      </c>
      <c r="BM12" s="241">
        <f>Sales!BM13</f>
        <v>0</v>
      </c>
      <c r="BN12" s="241">
        <f>Sales!BN13</f>
        <v>0</v>
      </c>
      <c r="BO12" s="244">
        <f>Sales!BO13</f>
        <v>10.499999999999998</v>
      </c>
      <c r="BP12" s="241">
        <f>Sales!BP13</f>
        <v>0</v>
      </c>
      <c r="BQ12" s="241">
        <f>Sales!BQ13</f>
        <v>0</v>
      </c>
      <c r="BR12" s="241">
        <f>Sales!BR13</f>
        <v>0</v>
      </c>
      <c r="BS12" s="241">
        <f>Sales!BS13</f>
        <v>0</v>
      </c>
      <c r="BT12" s="235">
        <f>Sales!BT13</f>
        <v>2.6249999999999996</v>
      </c>
      <c r="BU12" s="241">
        <f>Sales!BU13</f>
        <v>0</v>
      </c>
      <c r="BV12" s="241">
        <f>Sales!BV13</f>
        <v>0</v>
      </c>
      <c r="BW12" s="241">
        <f>Sales!BW13</f>
        <v>0</v>
      </c>
      <c r="BX12" s="241">
        <f>Sales!BX13</f>
        <v>0</v>
      </c>
      <c r="BY12" s="235">
        <f>Sales!BY13</f>
        <v>1.9687499999999996</v>
      </c>
      <c r="BZ12" s="241">
        <f>Sales!BZ13</f>
        <v>0</v>
      </c>
      <c r="CA12" s="241">
        <f>Sales!CA13</f>
        <v>0</v>
      </c>
      <c r="CB12" s="241">
        <f>Sales!CB13</f>
        <v>0</v>
      </c>
      <c r="CC12" s="241">
        <f>Sales!CC13</f>
        <v>0</v>
      </c>
      <c r="CD12" s="235">
        <f>Sales!CD13</f>
        <v>1.4765624999999996</v>
      </c>
    </row>
    <row r="13" spans="1:83" s="252" customFormat="1" outlineLevel="1" x14ac:dyDescent="0.15">
      <c r="B13" s="238" t="str">
        <f>Sales!B15</f>
        <v>Jublia</v>
      </c>
      <c r="C13" s="253">
        <f>Sales!C15</f>
        <v>0</v>
      </c>
      <c r="D13" s="254">
        <f>Sales!D15</f>
        <v>0</v>
      </c>
      <c r="E13" s="254">
        <f>Sales!E15</f>
        <v>0</v>
      </c>
      <c r="F13" s="254">
        <f>Sales!F15</f>
        <v>0</v>
      </c>
      <c r="G13" s="255">
        <f>Sales!G15</f>
        <v>0</v>
      </c>
      <c r="H13" s="254">
        <f>Sales!H15</f>
        <v>0</v>
      </c>
      <c r="I13" s="254">
        <f>Sales!I15</f>
        <v>0</v>
      </c>
      <c r="J13" s="254">
        <f>Sales!J15</f>
        <v>0</v>
      </c>
      <c r="K13" s="254">
        <f>Sales!K15</f>
        <v>0</v>
      </c>
      <c r="L13" s="255">
        <f>Sales!L15</f>
        <v>0</v>
      </c>
      <c r="M13" s="254">
        <f>Sales!M15</f>
        <v>0</v>
      </c>
      <c r="N13" s="254">
        <f>Sales!N15</f>
        <v>0</v>
      </c>
      <c r="O13" s="254">
        <f>Sales!O15</f>
        <v>0</v>
      </c>
      <c r="P13" s="254">
        <f>Sales!P15</f>
        <v>0</v>
      </c>
      <c r="Q13" s="255">
        <f>Sales!Q15</f>
        <v>0</v>
      </c>
      <c r="R13" s="254">
        <f>Sales!R15</f>
        <v>0</v>
      </c>
      <c r="S13" s="254">
        <f>Sales!S15</f>
        <v>0</v>
      </c>
      <c r="T13" s="254">
        <f>Sales!T15</f>
        <v>0</v>
      </c>
      <c r="U13" s="254">
        <f>Sales!U15</f>
        <v>0</v>
      </c>
      <c r="V13" s="255">
        <f>Sales!V15</f>
        <v>0</v>
      </c>
      <c r="W13" s="256">
        <f>Sales!W15</f>
        <v>0</v>
      </c>
      <c r="X13" s="257">
        <f>Sales!X15</f>
        <v>0</v>
      </c>
      <c r="Y13" s="257">
        <f>Sales!Y15</f>
        <v>0</v>
      </c>
      <c r="Z13" s="257">
        <f>Sales!Z15</f>
        <v>0</v>
      </c>
      <c r="AA13" s="258">
        <f>Sales!AA15</f>
        <v>0</v>
      </c>
      <c r="AB13" s="256">
        <f>Sales!AB15</f>
        <v>0</v>
      </c>
      <c r="AC13" s="256">
        <f>Sales!AC15</f>
        <v>0</v>
      </c>
      <c r="AD13" s="256">
        <f>Sales!AD15</f>
        <v>0</v>
      </c>
      <c r="AE13" s="256">
        <f>Sales!AE15</f>
        <v>0</v>
      </c>
      <c r="AF13" s="235">
        <f>Sales!AF15</f>
        <v>0</v>
      </c>
      <c r="AG13" s="256">
        <f>Sales!AG15</f>
        <v>0</v>
      </c>
      <c r="AH13" s="256">
        <f>Sales!AH15</f>
        <v>0</v>
      </c>
      <c r="AI13" s="256">
        <f>Sales!AI15</f>
        <v>0</v>
      </c>
      <c r="AJ13" s="256">
        <f>Sales!AJ15</f>
        <v>0</v>
      </c>
      <c r="AK13" s="235">
        <f>Sales!AK15</f>
        <v>0</v>
      </c>
      <c r="AL13" s="257">
        <f>Sales!AL15</f>
        <v>0</v>
      </c>
      <c r="AM13" s="257">
        <f>Sales!AM15</f>
        <v>0</v>
      </c>
      <c r="AN13" s="257">
        <f>Sales!AN15</f>
        <v>0</v>
      </c>
      <c r="AO13" s="257">
        <f>Sales!AO15</f>
        <v>0</v>
      </c>
      <c r="AP13" s="235">
        <f>Sales!AP15</f>
        <v>0</v>
      </c>
      <c r="AQ13" s="257">
        <f>Sales!AQ15</f>
        <v>0</v>
      </c>
      <c r="AR13" s="257">
        <f>Sales!AR15</f>
        <v>0</v>
      </c>
      <c r="AS13" s="259">
        <f>Sales!AS15</f>
        <v>0</v>
      </c>
      <c r="AT13" s="259">
        <f>Sales!AT15</f>
        <v>0</v>
      </c>
      <c r="AU13" s="235">
        <f>Sales!AU15</f>
        <v>0</v>
      </c>
      <c r="AV13" s="236">
        <f>Sales!AV15</f>
        <v>0</v>
      </c>
      <c r="AW13" s="239">
        <f>Sales!AW15</f>
        <v>3</v>
      </c>
      <c r="AX13" s="239">
        <f>Sales!AX15</f>
        <v>12</v>
      </c>
      <c r="AY13" s="239">
        <f>Sales!AY15</f>
        <v>54</v>
      </c>
      <c r="AZ13" s="235">
        <f>Sales!AZ15</f>
        <v>69</v>
      </c>
      <c r="BA13" s="239">
        <f>Sales!BA15</f>
        <v>62</v>
      </c>
      <c r="BB13" s="239">
        <f>Sales!BB15</f>
        <v>102</v>
      </c>
      <c r="BC13" s="240">
        <f>Sales!BC15</f>
        <v>106</v>
      </c>
      <c r="BD13" s="240">
        <f>Sales!BD15</f>
        <v>68</v>
      </c>
      <c r="BE13" s="235">
        <f>Sales!BE15</f>
        <v>338</v>
      </c>
      <c r="BF13" s="241">
        <f>Sales!BF15</f>
        <v>55</v>
      </c>
      <c r="BG13" s="241">
        <f>Sales!BG15</f>
        <v>85</v>
      </c>
      <c r="BH13" s="241">
        <f>Sales!BH15</f>
        <v>105</v>
      </c>
      <c r="BI13" s="241">
        <f>Sales!BI15</f>
        <v>120</v>
      </c>
      <c r="BJ13" s="235">
        <f>Sales!BJ15</f>
        <v>365</v>
      </c>
      <c r="BK13" s="241">
        <f>Sales!BK15</f>
        <v>0</v>
      </c>
      <c r="BL13" s="241">
        <f>Sales!BL15</f>
        <v>0</v>
      </c>
      <c r="BM13" s="241">
        <f>Sales!BM15</f>
        <v>0</v>
      </c>
      <c r="BN13" s="241">
        <f>Sales!BN15</f>
        <v>0</v>
      </c>
      <c r="BO13" s="235">
        <f>Sales!BO15</f>
        <v>450</v>
      </c>
      <c r="BP13" s="241">
        <f>Sales!BP15</f>
        <v>0</v>
      </c>
      <c r="BQ13" s="241">
        <f>Sales!BQ15</f>
        <v>0</v>
      </c>
      <c r="BR13" s="241">
        <f>Sales!BR15</f>
        <v>0</v>
      </c>
      <c r="BS13" s="241">
        <f>Sales!BS15</f>
        <v>0</v>
      </c>
      <c r="BT13" s="235">
        <f>Sales!BT15</f>
        <v>500</v>
      </c>
      <c r="BU13" s="241">
        <f>Sales!BU15</f>
        <v>0</v>
      </c>
      <c r="BV13" s="241">
        <f>Sales!BV15</f>
        <v>0</v>
      </c>
      <c r="BW13" s="241">
        <f>Sales!BW15</f>
        <v>0</v>
      </c>
      <c r="BX13" s="241">
        <f>Sales!BX15</f>
        <v>0</v>
      </c>
      <c r="BY13" s="235">
        <f>Sales!BY15</f>
        <v>550</v>
      </c>
      <c r="BZ13" s="241">
        <f>Sales!BZ15</f>
        <v>0</v>
      </c>
      <c r="CA13" s="241">
        <f>Sales!CA15</f>
        <v>0</v>
      </c>
      <c r="CB13" s="241">
        <f>Sales!CB15</f>
        <v>0</v>
      </c>
      <c r="CC13" s="241">
        <f>Sales!CC15</f>
        <v>0</v>
      </c>
      <c r="CD13" s="235">
        <f>Sales!CD15</f>
        <v>600</v>
      </c>
    </row>
    <row r="14" spans="1:83" s="252" customFormat="1" hidden="1" outlineLevel="1" x14ac:dyDescent="0.15">
      <c r="B14" s="238" t="str">
        <f>Sales!B17</f>
        <v>Luzu (luliconazole)</v>
      </c>
      <c r="C14" s="253">
        <f>Sales!C17</f>
        <v>0</v>
      </c>
      <c r="D14" s="254">
        <f>Sales!D17</f>
        <v>0</v>
      </c>
      <c r="E14" s="254">
        <f>Sales!E17</f>
        <v>0</v>
      </c>
      <c r="F14" s="254">
        <f>Sales!F17</f>
        <v>0</v>
      </c>
      <c r="G14" s="255">
        <f>Sales!G17</f>
        <v>0</v>
      </c>
      <c r="H14" s="254">
        <f>Sales!H17</f>
        <v>0</v>
      </c>
      <c r="I14" s="254">
        <f>Sales!I17</f>
        <v>0</v>
      </c>
      <c r="J14" s="254">
        <f>Sales!J17</f>
        <v>0</v>
      </c>
      <c r="K14" s="254">
        <f>Sales!K17</f>
        <v>0</v>
      </c>
      <c r="L14" s="255">
        <f>Sales!L17</f>
        <v>0</v>
      </c>
      <c r="M14" s="254">
        <f>Sales!M17</f>
        <v>0</v>
      </c>
      <c r="N14" s="254">
        <f>Sales!N17</f>
        <v>0</v>
      </c>
      <c r="O14" s="254">
        <f>Sales!O17</f>
        <v>0</v>
      </c>
      <c r="P14" s="254">
        <f>Sales!P17</f>
        <v>0</v>
      </c>
      <c r="Q14" s="255">
        <f>Sales!Q17</f>
        <v>0</v>
      </c>
      <c r="R14" s="254">
        <f>Sales!R17</f>
        <v>0</v>
      </c>
      <c r="S14" s="254">
        <f>Sales!S17</f>
        <v>0</v>
      </c>
      <c r="T14" s="254">
        <f>Sales!T17</f>
        <v>0</v>
      </c>
      <c r="U14" s="254">
        <f>Sales!U17</f>
        <v>0</v>
      </c>
      <c r="V14" s="255">
        <f>Sales!V17</f>
        <v>0</v>
      </c>
      <c r="W14" s="256">
        <f>Sales!W17</f>
        <v>0</v>
      </c>
      <c r="X14" s="257">
        <f>Sales!X17</f>
        <v>0</v>
      </c>
      <c r="Y14" s="257">
        <f>Sales!Y17</f>
        <v>0</v>
      </c>
      <c r="Z14" s="257">
        <f>Sales!Z17</f>
        <v>0</v>
      </c>
      <c r="AA14" s="258">
        <f>Sales!AA17</f>
        <v>0</v>
      </c>
      <c r="AB14" s="256">
        <f>Sales!AB17</f>
        <v>0</v>
      </c>
      <c r="AC14" s="256">
        <f>Sales!AC17</f>
        <v>0</v>
      </c>
      <c r="AD14" s="256">
        <f>Sales!AD17</f>
        <v>0</v>
      </c>
      <c r="AE14" s="256">
        <f>Sales!AE17</f>
        <v>0</v>
      </c>
      <c r="AF14" s="258">
        <f>Sales!AF17</f>
        <v>0</v>
      </c>
      <c r="AG14" s="256">
        <f>Sales!AG17</f>
        <v>0</v>
      </c>
      <c r="AH14" s="256">
        <f>Sales!AH17</f>
        <v>0</v>
      </c>
      <c r="AI14" s="256">
        <f>Sales!AI17</f>
        <v>0</v>
      </c>
      <c r="AJ14" s="256">
        <f>Sales!AJ17</f>
        <v>0</v>
      </c>
      <c r="AK14" s="258">
        <f>Sales!AK17</f>
        <v>0</v>
      </c>
      <c r="AL14" s="257">
        <f>Sales!AL17</f>
        <v>0</v>
      </c>
      <c r="AM14" s="257">
        <f>Sales!AM17</f>
        <v>0</v>
      </c>
      <c r="AN14" s="257">
        <f>Sales!AN17</f>
        <v>0</v>
      </c>
      <c r="AO14" s="257">
        <f>Sales!AO17</f>
        <v>0</v>
      </c>
      <c r="AP14" s="258">
        <f>Sales!AP17</f>
        <v>0</v>
      </c>
      <c r="AQ14" s="257">
        <f>Sales!AQ17</f>
        <v>0</v>
      </c>
      <c r="AR14" s="257">
        <f>Sales!AR17</f>
        <v>0</v>
      </c>
      <c r="AS14" s="259">
        <f>Sales!AS17</f>
        <v>0</v>
      </c>
      <c r="AT14" s="259">
        <f>Sales!AT17</f>
        <v>0</v>
      </c>
      <c r="AU14" s="235">
        <f>Sales!AU17</f>
        <v>0</v>
      </c>
      <c r="AV14" s="240">
        <f>Sales!AV17</f>
        <v>0</v>
      </c>
      <c r="AW14" s="239">
        <f>Sales!AW17</f>
        <v>2</v>
      </c>
      <c r="AX14" s="239">
        <f>Sales!AX17</f>
        <v>3</v>
      </c>
      <c r="AY14" s="239">
        <f>Sales!AY17</f>
        <v>5</v>
      </c>
      <c r="AZ14" s="235">
        <f>Sales!AZ17</f>
        <v>10</v>
      </c>
      <c r="BA14" s="239">
        <f>Sales!BA17</f>
        <v>5</v>
      </c>
      <c r="BB14" s="240">
        <f>Sales!BB17</f>
        <v>6</v>
      </c>
      <c r="BC14" s="240">
        <f>Sales!BC17</f>
        <v>8</v>
      </c>
      <c r="BD14" s="240">
        <f>Sales!BD17</f>
        <v>4</v>
      </c>
      <c r="BE14" s="235">
        <f>Sales!BE17</f>
        <v>23</v>
      </c>
      <c r="BF14" s="241">
        <f>Sales!BF17</f>
        <v>5</v>
      </c>
      <c r="BG14" s="241">
        <f>Sales!BG17</f>
        <v>8</v>
      </c>
      <c r="BH14" s="241">
        <f>Sales!BH17</f>
        <v>9</v>
      </c>
      <c r="BI14" s="241">
        <f>Sales!BI17</f>
        <v>10</v>
      </c>
      <c r="BJ14" s="235">
        <f>Sales!BJ17</f>
        <v>32</v>
      </c>
      <c r="BK14" s="241">
        <f>Sales!BK17</f>
        <v>0</v>
      </c>
      <c r="BL14" s="241">
        <f>Sales!BL17</f>
        <v>0</v>
      </c>
      <c r="BM14" s="241">
        <f>Sales!BM17</f>
        <v>0</v>
      </c>
      <c r="BN14" s="241">
        <f>Sales!BN17</f>
        <v>0</v>
      </c>
      <c r="BO14" s="235">
        <f>Sales!BO17</f>
        <v>40</v>
      </c>
      <c r="BP14" s="241">
        <f>Sales!BP17</f>
        <v>0</v>
      </c>
      <c r="BQ14" s="241">
        <f>Sales!BQ17</f>
        <v>0</v>
      </c>
      <c r="BR14" s="241">
        <f>Sales!BR17</f>
        <v>0</v>
      </c>
      <c r="BS14" s="241">
        <f>Sales!BS17</f>
        <v>0</v>
      </c>
      <c r="BT14" s="235">
        <f>Sales!BT17</f>
        <v>45</v>
      </c>
      <c r="BU14" s="241">
        <f>Sales!BU17</f>
        <v>0</v>
      </c>
      <c r="BV14" s="241">
        <f>Sales!BV17</f>
        <v>0</v>
      </c>
      <c r="BW14" s="241">
        <f>Sales!BW17</f>
        <v>0</v>
      </c>
      <c r="BX14" s="241">
        <f>Sales!BX17</f>
        <v>0</v>
      </c>
      <c r="BY14" s="235">
        <f>Sales!BY17</f>
        <v>50</v>
      </c>
      <c r="BZ14" s="241">
        <f>Sales!BZ17</f>
        <v>0</v>
      </c>
      <c r="CA14" s="241">
        <f>Sales!CA17</f>
        <v>0</v>
      </c>
      <c r="CB14" s="241">
        <f>Sales!CB17</f>
        <v>0</v>
      </c>
      <c r="CC14" s="241">
        <f>Sales!CC17</f>
        <v>0</v>
      </c>
      <c r="CD14" s="235">
        <f>Sales!CD17</f>
        <v>55</v>
      </c>
    </row>
    <row r="15" spans="1:83" s="252" customFormat="1" hidden="1" outlineLevel="1" x14ac:dyDescent="0.15">
      <c r="B15" s="238" t="str">
        <f>Sales!B19</f>
        <v>Onexton</v>
      </c>
      <c r="C15" s="253">
        <f>Sales!C19</f>
        <v>0</v>
      </c>
      <c r="D15" s="254">
        <f>Sales!D19</f>
        <v>0</v>
      </c>
      <c r="E15" s="254">
        <f>Sales!E19</f>
        <v>0</v>
      </c>
      <c r="F15" s="254">
        <f>Sales!F19</f>
        <v>0</v>
      </c>
      <c r="G15" s="255">
        <f>Sales!G19</f>
        <v>0</v>
      </c>
      <c r="H15" s="254">
        <f>Sales!H19</f>
        <v>0</v>
      </c>
      <c r="I15" s="254">
        <f>Sales!I19</f>
        <v>0</v>
      </c>
      <c r="J15" s="254">
        <f>Sales!J19</f>
        <v>0</v>
      </c>
      <c r="K15" s="254">
        <f>Sales!K19</f>
        <v>0</v>
      </c>
      <c r="L15" s="255">
        <f>Sales!L19</f>
        <v>0</v>
      </c>
      <c r="M15" s="254">
        <f>Sales!M19</f>
        <v>0</v>
      </c>
      <c r="N15" s="254">
        <f>Sales!N19</f>
        <v>0</v>
      </c>
      <c r="O15" s="254">
        <f>Sales!O19</f>
        <v>0</v>
      </c>
      <c r="P15" s="254">
        <f>Sales!P19</f>
        <v>0</v>
      </c>
      <c r="Q15" s="255">
        <f>Sales!Q19</f>
        <v>0</v>
      </c>
      <c r="R15" s="254">
        <f>Sales!R19</f>
        <v>0</v>
      </c>
      <c r="S15" s="254">
        <f>Sales!S19</f>
        <v>0</v>
      </c>
      <c r="T15" s="254">
        <f>Sales!T19</f>
        <v>0</v>
      </c>
      <c r="U15" s="254">
        <f>Sales!U19</f>
        <v>0</v>
      </c>
      <c r="V15" s="255">
        <f>Sales!V19</f>
        <v>0</v>
      </c>
      <c r="W15" s="256">
        <f>Sales!W19</f>
        <v>0</v>
      </c>
      <c r="X15" s="257">
        <f>Sales!X19</f>
        <v>0</v>
      </c>
      <c r="Y15" s="257">
        <f>Sales!Y19</f>
        <v>0</v>
      </c>
      <c r="Z15" s="257">
        <f>Sales!Z19</f>
        <v>0</v>
      </c>
      <c r="AA15" s="258">
        <f>Sales!AA19</f>
        <v>0</v>
      </c>
      <c r="AB15" s="256">
        <f>Sales!AB19</f>
        <v>0</v>
      </c>
      <c r="AC15" s="256">
        <f>Sales!AC19</f>
        <v>0</v>
      </c>
      <c r="AD15" s="256">
        <f>Sales!AD19</f>
        <v>0</v>
      </c>
      <c r="AE15" s="256">
        <f>Sales!AE19</f>
        <v>0</v>
      </c>
      <c r="AF15" s="258">
        <f>Sales!AF19</f>
        <v>0</v>
      </c>
      <c r="AG15" s="256">
        <f>Sales!AG19</f>
        <v>0</v>
      </c>
      <c r="AH15" s="256">
        <f>Sales!AH19</f>
        <v>0</v>
      </c>
      <c r="AI15" s="256">
        <f>Sales!AI19</f>
        <v>0</v>
      </c>
      <c r="AJ15" s="256">
        <f>Sales!AJ19</f>
        <v>0</v>
      </c>
      <c r="AK15" s="258">
        <f>Sales!AK19</f>
        <v>0</v>
      </c>
      <c r="AL15" s="257">
        <f>Sales!AL19</f>
        <v>0</v>
      </c>
      <c r="AM15" s="257">
        <f>Sales!AM19</f>
        <v>0</v>
      </c>
      <c r="AN15" s="257">
        <f>Sales!AN19</f>
        <v>0</v>
      </c>
      <c r="AO15" s="257">
        <f>Sales!AO19</f>
        <v>0</v>
      </c>
      <c r="AP15" s="258">
        <f>Sales!AP19</f>
        <v>0</v>
      </c>
      <c r="AQ15" s="257">
        <f>Sales!AQ19</f>
        <v>0</v>
      </c>
      <c r="AR15" s="257">
        <f>Sales!AR19</f>
        <v>0</v>
      </c>
      <c r="AS15" s="257">
        <f>Sales!AS19</f>
        <v>0</v>
      </c>
      <c r="AT15" s="257">
        <f>Sales!AT19</f>
        <v>0</v>
      </c>
      <c r="AU15" s="235">
        <v>0</v>
      </c>
      <c r="AV15" s="235">
        <f>Sales!AV19</f>
        <v>0</v>
      </c>
      <c r="AW15" s="235">
        <f>Sales!AW19</f>
        <v>0</v>
      </c>
      <c r="AX15" s="235">
        <f>Sales!AX19</f>
        <v>0</v>
      </c>
      <c r="AY15" s="235">
        <f>Sales!AY19</f>
        <v>0</v>
      </c>
      <c r="AZ15" s="235">
        <v>0</v>
      </c>
      <c r="BA15" s="240">
        <f>Sales!BA19</f>
        <v>3</v>
      </c>
      <c r="BB15" s="240">
        <f>Sales!BB19</f>
        <v>10</v>
      </c>
      <c r="BC15" s="240">
        <f>Sales!BC19</f>
        <v>20</v>
      </c>
      <c r="BD15" s="240">
        <f>Sales!BD19</f>
        <v>10</v>
      </c>
      <c r="BE15" s="235">
        <f>Sales!BE19</f>
        <v>43</v>
      </c>
      <c r="BF15" s="241">
        <f>Sales!BF19</f>
        <v>10</v>
      </c>
      <c r="BG15" s="241">
        <f>Sales!BG19</f>
        <v>15</v>
      </c>
      <c r="BH15" s="241">
        <f>Sales!BH19</f>
        <v>20</v>
      </c>
      <c r="BI15" s="241">
        <f>Sales!BI19</f>
        <v>22</v>
      </c>
      <c r="BJ15" s="235">
        <f>Sales!BJ19</f>
        <v>67</v>
      </c>
      <c r="BK15" s="241">
        <f>Sales!BK19</f>
        <v>0</v>
      </c>
      <c r="BL15" s="241">
        <f>Sales!BL19</f>
        <v>0</v>
      </c>
      <c r="BM15" s="241">
        <f>Sales!BM19</f>
        <v>0</v>
      </c>
      <c r="BN15" s="241">
        <f>Sales!BN19</f>
        <v>0</v>
      </c>
      <c r="BO15" s="235">
        <f>Sales!BO19</f>
        <v>100</v>
      </c>
      <c r="BP15" s="241">
        <f>Sales!BP19</f>
        <v>0</v>
      </c>
      <c r="BQ15" s="241">
        <f>Sales!BQ19</f>
        <v>0</v>
      </c>
      <c r="BR15" s="241">
        <f>Sales!BR19</f>
        <v>0</v>
      </c>
      <c r="BS15" s="241">
        <f>Sales!BS19</f>
        <v>0</v>
      </c>
      <c r="BT15" s="235">
        <f>Sales!BT19</f>
        <v>135</v>
      </c>
      <c r="BU15" s="241">
        <f>Sales!BU19</f>
        <v>0</v>
      </c>
      <c r="BV15" s="241">
        <f>Sales!BV19</f>
        <v>0</v>
      </c>
      <c r="BW15" s="241">
        <f>Sales!BW19</f>
        <v>0</v>
      </c>
      <c r="BX15" s="241">
        <f>Sales!BX19</f>
        <v>0</v>
      </c>
      <c r="BY15" s="235">
        <f>Sales!BY19</f>
        <v>160</v>
      </c>
      <c r="BZ15" s="241">
        <f>Sales!BZ19</f>
        <v>0</v>
      </c>
      <c r="CA15" s="241">
        <f>Sales!CA19</f>
        <v>0</v>
      </c>
      <c r="CB15" s="241">
        <f>Sales!CB19</f>
        <v>0</v>
      </c>
      <c r="CC15" s="241">
        <f>Sales!CC19</f>
        <v>0</v>
      </c>
      <c r="CD15" s="235">
        <f>Sales!CD19</f>
        <v>175</v>
      </c>
    </row>
    <row r="16" spans="1:83" s="252" customFormat="1" hidden="1" outlineLevel="1" x14ac:dyDescent="0.15">
      <c r="B16" s="238" t="str">
        <f>Sales!B21</f>
        <v>IDP-118 (psoriasis)</v>
      </c>
      <c r="C16" s="253">
        <f>Sales!C21</f>
        <v>0</v>
      </c>
      <c r="D16" s="254">
        <f>Sales!D21</f>
        <v>0</v>
      </c>
      <c r="E16" s="254">
        <f>Sales!E21</f>
        <v>0</v>
      </c>
      <c r="F16" s="254">
        <f>Sales!F21</f>
        <v>0</v>
      </c>
      <c r="G16" s="255">
        <f>Sales!G21</f>
        <v>0</v>
      </c>
      <c r="H16" s="254">
        <f>Sales!H21</f>
        <v>0</v>
      </c>
      <c r="I16" s="254">
        <f>Sales!I21</f>
        <v>0</v>
      </c>
      <c r="J16" s="254">
        <f>Sales!J21</f>
        <v>0</v>
      </c>
      <c r="K16" s="254">
        <f>Sales!K21</f>
        <v>0</v>
      </c>
      <c r="L16" s="255">
        <f>Sales!L21</f>
        <v>0</v>
      </c>
      <c r="M16" s="254">
        <f>Sales!M21</f>
        <v>0</v>
      </c>
      <c r="N16" s="254">
        <f>Sales!N21</f>
        <v>0</v>
      </c>
      <c r="O16" s="254">
        <f>Sales!O21</f>
        <v>0</v>
      </c>
      <c r="P16" s="254">
        <f>Sales!P21</f>
        <v>0</v>
      </c>
      <c r="Q16" s="255">
        <f>Sales!Q21</f>
        <v>0</v>
      </c>
      <c r="R16" s="254">
        <f>Sales!R21</f>
        <v>0</v>
      </c>
      <c r="S16" s="254">
        <f>Sales!S21</f>
        <v>0</v>
      </c>
      <c r="T16" s="254">
        <f>Sales!T21</f>
        <v>0</v>
      </c>
      <c r="U16" s="254">
        <f>Sales!U21</f>
        <v>0</v>
      </c>
      <c r="V16" s="255">
        <f>Sales!V21</f>
        <v>0</v>
      </c>
      <c r="W16" s="256">
        <f>Sales!W21</f>
        <v>0</v>
      </c>
      <c r="X16" s="257">
        <f>Sales!X21</f>
        <v>0</v>
      </c>
      <c r="Y16" s="257">
        <f>Sales!Y21</f>
        <v>0</v>
      </c>
      <c r="Z16" s="257">
        <f>Sales!Z21</f>
        <v>0</v>
      </c>
      <c r="AA16" s="258">
        <f>Sales!AA21</f>
        <v>0</v>
      </c>
      <c r="AB16" s="256">
        <f>Sales!AB21</f>
        <v>0</v>
      </c>
      <c r="AC16" s="256">
        <f>Sales!AC21</f>
        <v>0</v>
      </c>
      <c r="AD16" s="256">
        <f>Sales!AD21</f>
        <v>0</v>
      </c>
      <c r="AE16" s="256">
        <f>Sales!AE21</f>
        <v>0</v>
      </c>
      <c r="AF16" s="258">
        <f>Sales!AF21</f>
        <v>0</v>
      </c>
      <c r="AG16" s="256">
        <f>Sales!AG21</f>
        <v>0</v>
      </c>
      <c r="AH16" s="256">
        <f>Sales!AH21</f>
        <v>0</v>
      </c>
      <c r="AI16" s="256">
        <f>Sales!AI21</f>
        <v>0</v>
      </c>
      <c r="AJ16" s="256">
        <f>Sales!AJ21</f>
        <v>0</v>
      </c>
      <c r="AK16" s="258">
        <f>Sales!AK21</f>
        <v>0</v>
      </c>
      <c r="AL16" s="257">
        <f>Sales!AL21</f>
        <v>0</v>
      </c>
      <c r="AM16" s="257">
        <f>Sales!AM21</f>
        <v>0</v>
      </c>
      <c r="AN16" s="257">
        <f>Sales!AN21</f>
        <v>0</v>
      </c>
      <c r="AO16" s="257">
        <f>Sales!AO21</f>
        <v>0</v>
      </c>
      <c r="AP16" s="258">
        <f>Sales!AP21</f>
        <v>0</v>
      </c>
      <c r="AQ16" s="257">
        <f>Sales!AQ21</f>
        <v>0</v>
      </c>
      <c r="AR16" s="257">
        <f>Sales!AR21</f>
        <v>0</v>
      </c>
      <c r="AS16" s="259">
        <f>Sales!AS21</f>
        <v>0</v>
      </c>
      <c r="AT16" s="259">
        <f>Sales!AT21</f>
        <v>0</v>
      </c>
      <c r="AU16" s="235">
        <f>Sales!AU21</f>
        <v>0</v>
      </c>
      <c r="AV16" s="240">
        <f>Sales!AV21</f>
        <v>0</v>
      </c>
      <c r="AW16" s="240">
        <f>Sales!AW21</f>
        <v>0</v>
      </c>
      <c r="AX16" s="240">
        <f>Sales!AX21</f>
        <v>0</v>
      </c>
      <c r="AY16" s="240">
        <f>Sales!AY21</f>
        <v>0</v>
      </c>
      <c r="AZ16" s="235">
        <f>Sales!AZ21</f>
        <v>0</v>
      </c>
      <c r="BA16" s="240">
        <f>Sales!BA21</f>
        <v>0</v>
      </c>
      <c r="BB16" s="240">
        <f>Sales!BB21</f>
        <v>0</v>
      </c>
      <c r="BC16" s="240">
        <f>Sales!BC21</f>
        <v>0</v>
      </c>
      <c r="BD16" s="240">
        <f>Sales!BD21</f>
        <v>0</v>
      </c>
      <c r="BE16" s="235">
        <f>Sales!BE21</f>
        <v>0</v>
      </c>
      <c r="BF16" s="241">
        <f>Sales!BF21</f>
        <v>0</v>
      </c>
      <c r="BG16" s="241">
        <f>Sales!BG21</f>
        <v>0</v>
      </c>
      <c r="BH16" s="241">
        <f>Sales!BH21</f>
        <v>0</v>
      </c>
      <c r="BI16" s="241">
        <f>Sales!BI21</f>
        <v>0</v>
      </c>
      <c r="BJ16" s="235">
        <f>Sales!BJ21</f>
        <v>0</v>
      </c>
      <c r="BK16" s="241">
        <f>Sales!BK21</f>
        <v>0</v>
      </c>
      <c r="BL16" s="241">
        <f>Sales!BL21</f>
        <v>0</v>
      </c>
      <c r="BM16" s="241">
        <f>Sales!BM21</f>
        <v>0</v>
      </c>
      <c r="BN16" s="241">
        <f>Sales!BN21</f>
        <v>0</v>
      </c>
      <c r="BO16" s="235">
        <f>Sales!BO21</f>
        <v>50</v>
      </c>
      <c r="BP16" s="241">
        <f>Sales!BP21</f>
        <v>0</v>
      </c>
      <c r="BQ16" s="241">
        <f>Sales!BQ21</f>
        <v>0</v>
      </c>
      <c r="BR16" s="241">
        <f>Sales!BR21</f>
        <v>0</v>
      </c>
      <c r="BS16" s="241">
        <f>Sales!BS21</f>
        <v>0</v>
      </c>
      <c r="BT16" s="235">
        <f>Sales!BT21</f>
        <v>100</v>
      </c>
      <c r="BU16" s="241">
        <f>Sales!BU21</f>
        <v>0</v>
      </c>
      <c r="BV16" s="241">
        <f>Sales!BV21</f>
        <v>0</v>
      </c>
      <c r="BW16" s="241">
        <f>Sales!BW21</f>
        <v>0</v>
      </c>
      <c r="BX16" s="241">
        <f>Sales!BX21</f>
        <v>0</v>
      </c>
      <c r="BY16" s="235">
        <f>Sales!BY21</f>
        <v>150</v>
      </c>
      <c r="BZ16" s="241">
        <f>Sales!BZ21</f>
        <v>0</v>
      </c>
      <c r="CA16" s="241">
        <f>Sales!CA21</f>
        <v>0</v>
      </c>
      <c r="CB16" s="241">
        <f>Sales!CB21</f>
        <v>0</v>
      </c>
      <c r="CC16" s="241">
        <f>Sales!CC21</f>
        <v>0</v>
      </c>
      <c r="CD16" s="235">
        <f>Sales!CD21</f>
        <v>200</v>
      </c>
    </row>
    <row r="17" spans="1:83" s="252" customFormat="1" hidden="1" outlineLevel="1" x14ac:dyDescent="0.15">
      <c r="B17" s="238" t="str">
        <f>Sales!B23</f>
        <v>brodalumab (IL-17, psoriasis)</v>
      </c>
      <c r="C17" s="253">
        <f>Sales!C23</f>
        <v>0</v>
      </c>
      <c r="D17" s="254">
        <f>Sales!D23</f>
        <v>0</v>
      </c>
      <c r="E17" s="254">
        <f>Sales!E23</f>
        <v>0</v>
      </c>
      <c r="F17" s="254">
        <f>Sales!F23</f>
        <v>0</v>
      </c>
      <c r="G17" s="255">
        <f>Sales!G23</f>
        <v>0</v>
      </c>
      <c r="H17" s="254">
        <f>Sales!H23</f>
        <v>0</v>
      </c>
      <c r="I17" s="254">
        <f>Sales!I23</f>
        <v>0</v>
      </c>
      <c r="J17" s="254">
        <f>Sales!J23</f>
        <v>0</v>
      </c>
      <c r="K17" s="254">
        <f>Sales!K23</f>
        <v>0</v>
      </c>
      <c r="L17" s="255">
        <f>Sales!L23</f>
        <v>0</v>
      </c>
      <c r="M17" s="254">
        <f>Sales!M23</f>
        <v>0</v>
      </c>
      <c r="N17" s="254">
        <f>Sales!N23</f>
        <v>0</v>
      </c>
      <c r="O17" s="254">
        <f>Sales!O23</f>
        <v>0</v>
      </c>
      <c r="P17" s="254">
        <f>Sales!P23</f>
        <v>0</v>
      </c>
      <c r="Q17" s="255">
        <f>Sales!Q23</f>
        <v>0</v>
      </c>
      <c r="R17" s="254">
        <f>Sales!R23</f>
        <v>0</v>
      </c>
      <c r="S17" s="254">
        <f>Sales!S23</f>
        <v>0</v>
      </c>
      <c r="T17" s="254">
        <f>Sales!T23</f>
        <v>0</v>
      </c>
      <c r="U17" s="254">
        <f>Sales!U23</f>
        <v>0</v>
      </c>
      <c r="V17" s="255">
        <f>Sales!V23</f>
        <v>0</v>
      </c>
      <c r="W17" s="256">
        <f>Sales!W23</f>
        <v>0</v>
      </c>
      <c r="X17" s="257">
        <f>Sales!X23</f>
        <v>0</v>
      </c>
      <c r="Y17" s="257">
        <f>Sales!Y23</f>
        <v>0</v>
      </c>
      <c r="Z17" s="257">
        <f>Sales!Z23</f>
        <v>0</v>
      </c>
      <c r="AA17" s="258">
        <f>Sales!AA23</f>
        <v>0</v>
      </c>
      <c r="AB17" s="256">
        <f>Sales!AB23</f>
        <v>0</v>
      </c>
      <c r="AC17" s="256">
        <f>Sales!AC23</f>
        <v>0</v>
      </c>
      <c r="AD17" s="256">
        <f>Sales!AD23</f>
        <v>0</v>
      </c>
      <c r="AE17" s="256">
        <f>Sales!AE23</f>
        <v>0</v>
      </c>
      <c r="AF17" s="258">
        <f>Sales!AF23</f>
        <v>0</v>
      </c>
      <c r="AG17" s="256">
        <f>Sales!AG23</f>
        <v>0</v>
      </c>
      <c r="AH17" s="256">
        <f>Sales!AH23</f>
        <v>0</v>
      </c>
      <c r="AI17" s="256">
        <f>Sales!AI23</f>
        <v>0</v>
      </c>
      <c r="AJ17" s="256">
        <f>Sales!AJ23</f>
        <v>0</v>
      </c>
      <c r="AK17" s="258">
        <f>Sales!AK23</f>
        <v>0</v>
      </c>
      <c r="AL17" s="257">
        <f>Sales!AL23</f>
        <v>0</v>
      </c>
      <c r="AM17" s="257">
        <f>Sales!AM23</f>
        <v>0</v>
      </c>
      <c r="AN17" s="257">
        <f>Sales!AN23</f>
        <v>0</v>
      </c>
      <c r="AO17" s="257">
        <f>Sales!AO23</f>
        <v>0</v>
      </c>
      <c r="AP17" s="258">
        <f>Sales!AP23</f>
        <v>0</v>
      </c>
      <c r="AQ17" s="257">
        <f>Sales!AQ23</f>
        <v>0</v>
      </c>
      <c r="AR17" s="257">
        <f>Sales!AR23</f>
        <v>0</v>
      </c>
      <c r="AS17" s="259">
        <f>Sales!AS23</f>
        <v>0</v>
      </c>
      <c r="AT17" s="259">
        <f>Sales!AT23</f>
        <v>0</v>
      </c>
      <c r="AU17" s="235">
        <f>Sales!AU23</f>
        <v>0</v>
      </c>
      <c r="AV17" s="240">
        <f>Sales!AV23</f>
        <v>0</v>
      </c>
      <c r="AW17" s="240">
        <f>Sales!AW23</f>
        <v>0</v>
      </c>
      <c r="AX17" s="240">
        <f>Sales!AX23</f>
        <v>0</v>
      </c>
      <c r="AY17" s="240">
        <f>Sales!AY23</f>
        <v>0</v>
      </c>
      <c r="AZ17" s="235">
        <f>Sales!AZ23</f>
        <v>0</v>
      </c>
      <c r="BA17" s="240">
        <f>Sales!BA23</f>
        <v>0</v>
      </c>
      <c r="BB17" s="240">
        <f>Sales!BB23</f>
        <v>0</v>
      </c>
      <c r="BC17" s="240">
        <f>Sales!BC23</f>
        <v>0</v>
      </c>
      <c r="BD17" s="240">
        <f>Sales!BD23</f>
        <v>0</v>
      </c>
      <c r="BE17" s="235">
        <f>Sales!BE23</f>
        <v>0</v>
      </c>
      <c r="BF17" s="241">
        <f>Sales!BF23</f>
        <v>0</v>
      </c>
      <c r="BG17" s="241">
        <f>Sales!BG23</f>
        <v>0</v>
      </c>
      <c r="BH17" s="241">
        <f>Sales!BH23</f>
        <v>0</v>
      </c>
      <c r="BI17" s="241">
        <f>Sales!BI23</f>
        <v>0</v>
      </c>
      <c r="BJ17" s="244">
        <f>Sales!BJ23</f>
        <v>0</v>
      </c>
      <c r="BK17" s="261">
        <f>Sales!BK23</f>
        <v>0</v>
      </c>
      <c r="BL17" s="261">
        <f>Sales!BL23</f>
        <v>0</v>
      </c>
      <c r="BM17" s="261">
        <f>Sales!BM23</f>
        <v>0</v>
      </c>
      <c r="BN17" s="261">
        <f>Sales!BN23</f>
        <v>0</v>
      </c>
      <c r="BO17" s="244">
        <f>Sales!BO23</f>
        <v>0</v>
      </c>
      <c r="BP17" s="261">
        <f>Sales!BP23</f>
        <v>0</v>
      </c>
      <c r="BQ17" s="261">
        <f>Sales!BQ23</f>
        <v>0</v>
      </c>
      <c r="BR17" s="261">
        <f>Sales!BR23</f>
        <v>0</v>
      </c>
      <c r="BS17" s="261">
        <f>Sales!BS23</f>
        <v>0</v>
      </c>
      <c r="BT17" s="244">
        <f>Sales!BT23</f>
        <v>0</v>
      </c>
      <c r="BU17" s="261">
        <f>Sales!BU23</f>
        <v>0</v>
      </c>
      <c r="BV17" s="261">
        <f>Sales!BV23</f>
        <v>0</v>
      </c>
      <c r="BW17" s="261">
        <f>Sales!BW23</f>
        <v>0</v>
      </c>
      <c r="BX17" s="261">
        <f>Sales!BX23</f>
        <v>0</v>
      </c>
      <c r="BY17" s="244">
        <f>Sales!BY23</f>
        <v>0</v>
      </c>
      <c r="BZ17" s="261">
        <f>Sales!BZ23</f>
        <v>0</v>
      </c>
      <c r="CA17" s="261">
        <f>Sales!CA23</f>
        <v>0</v>
      </c>
      <c r="CB17" s="261">
        <f>Sales!CB23</f>
        <v>0</v>
      </c>
      <c r="CC17" s="261">
        <f>Sales!CC23</f>
        <v>0</v>
      </c>
      <c r="CD17" s="244">
        <f>Sales!CD23</f>
        <v>0</v>
      </c>
      <c r="CE17" s="252">
        <v>0</v>
      </c>
    </row>
    <row r="18" spans="1:83" s="198" customFormat="1" ht="15" hidden="1" outlineLevel="1" x14ac:dyDescent="0.3">
      <c r="A18" s="12"/>
      <c r="B18" s="625" t="str">
        <f>Sales!B25</f>
        <v>Other Dermatology</v>
      </c>
      <c r="C18" s="263">
        <f>Sales!C25</f>
        <v>0</v>
      </c>
      <c r="D18" s="263">
        <f>Sales!D25</f>
        <v>0</v>
      </c>
      <c r="E18" s="263">
        <f>Sales!E25</f>
        <v>0</v>
      </c>
      <c r="F18" s="263">
        <f>Sales!F25</f>
        <v>0</v>
      </c>
      <c r="G18" s="264">
        <f>Sales!G25</f>
        <v>0</v>
      </c>
      <c r="H18" s="263">
        <f>Sales!H25</f>
        <v>0</v>
      </c>
      <c r="I18" s="263">
        <f>Sales!I25</f>
        <v>0</v>
      </c>
      <c r="J18" s="263">
        <f>Sales!J25</f>
        <v>0</v>
      </c>
      <c r="K18" s="263">
        <f>Sales!K25</f>
        <v>0</v>
      </c>
      <c r="L18" s="264">
        <f>Sales!L25</f>
        <v>0</v>
      </c>
      <c r="M18" s="263">
        <f>Sales!M25</f>
        <v>0</v>
      </c>
      <c r="N18" s="263">
        <f>Sales!N25</f>
        <v>0</v>
      </c>
      <c r="O18" s="263">
        <f>Sales!O25</f>
        <v>0</v>
      </c>
      <c r="P18" s="263">
        <f>Sales!P25</f>
        <v>0</v>
      </c>
      <c r="Q18" s="264">
        <f>Sales!Q25</f>
        <v>0</v>
      </c>
      <c r="R18" s="263">
        <f>Sales!R25</f>
        <v>0</v>
      </c>
      <c r="S18" s="263">
        <f>Sales!S25</f>
        <v>0</v>
      </c>
      <c r="T18" s="263">
        <f>Sales!T25</f>
        <v>0</v>
      </c>
      <c r="U18" s="263">
        <f>Sales!U25</f>
        <v>0</v>
      </c>
      <c r="V18" s="265">
        <f>Sales!V25</f>
        <v>0</v>
      </c>
      <c r="W18" s="266">
        <f>Sales!W25</f>
        <v>0</v>
      </c>
      <c r="X18" s="266">
        <f>Sales!X25</f>
        <v>0</v>
      </c>
      <c r="Y18" s="266">
        <f>Sales!Y25</f>
        <v>0</v>
      </c>
      <c r="Z18" s="266">
        <f>Sales!Z25</f>
        <v>0</v>
      </c>
      <c r="AA18" s="265">
        <f>Sales!AA25</f>
        <v>0</v>
      </c>
      <c r="AB18" s="266">
        <f>Sales!AB25</f>
        <v>0</v>
      </c>
      <c r="AC18" s="266">
        <f>Sales!AC25</f>
        <v>0</v>
      </c>
      <c r="AD18" s="266">
        <f>Sales!AD25</f>
        <v>0</v>
      </c>
      <c r="AE18" s="266">
        <f>Sales!AE25</f>
        <v>0</v>
      </c>
      <c r="AF18" s="265">
        <f>Sales!AF25</f>
        <v>0</v>
      </c>
      <c r="AG18" s="266">
        <f>Sales!AG25</f>
        <v>0</v>
      </c>
      <c r="AH18" s="266">
        <f>Sales!AH25</f>
        <v>0</v>
      </c>
      <c r="AI18" s="266">
        <f>Sales!AI25</f>
        <v>0</v>
      </c>
      <c r="AJ18" s="266">
        <f>Sales!AJ25</f>
        <v>0</v>
      </c>
      <c r="AK18" s="265">
        <f>Sales!AK25</f>
        <v>0</v>
      </c>
      <c r="AL18" s="266">
        <f>Sales!AL25</f>
        <v>0</v>
      </c>
      <c r="AM18" s="266">
        <f>Sales!AM25</f>
        <v>0</v>
      </c>
      <c r="AN18" s="266">
        <f>Sales!AN25</f>
        <v>0</v>
      </c>
      <c r="AO18" s="266">
        <f>Sales!AO25</f>
        <v>0</v>
      </c>
      <c r="AP18" s="265">
        <f>Sales!AP25</f>
        <v>0</v>
      </c>
      <c r="AQ18" s="263">
        <f>Sales!AQ25</f>
        <v>0</v>
      </c>
      <c r="AR18" s="263">
        <f>Sales!AR25</f>
        <v>0</v>
      </c>
      <c r="AS18" s="626">
        <f>Sales!AS25</f>
        <v>155.5</v>
      </c>
      <c r="AT18" s="626">
        <f>Sales!AT25</f>
        <v>199.2</v>
      </c>
      <c r="AU18" s="627">
        <f>Sales!AU25</f>
        <v>0</v>
      </c>
      <c r="AV18" s="626">
        <f>Sales!AV25</f>
        <v>227.2</v>
      </c>
      <c r="AW18" s="626">
        <f>Sales!AW25</f>
        <v>225.3</v>
      </c>
      <c r="AX18" s="626">
        <f>Sales!AX25</f>
        <v>182.8</v>
      </c>
      <c r="AY18" s="626">
        <f>Sales!AY25</f>
        <v>273.7</v>
      </c>
      <c r="AZ18" s="627">
        <f>Sales!AZ25</f>
        <v>909</v>
      </c>
      <c r="BA18" s="626">
        <f>Sales!BA25</f>
        <v>266.3</v>
      </c>
      <c r="BB18" s="626">
        <f>Sales!BB25</f>
        <v>247.8</v>
      </c>
      <c r="BC18" s="626">
        <f>Sales!BC25</f>
        <v>233.5</v>
      </c>
      <c r="BD18" s="626">
        <f>Sales!BD25</f>
        <v>186.60000000000002</v>
      </c>
      <c r="BE18" s="627">
        <f>Sales!BE25</f>
        <v>934.2</v>
      </c>
      <c r="BF18" s="628">
        <f>Sales!BF25</f>
        <v>173.09500000000003</v>
      </c>
      <c r="BG18" s="628">
        <f>Sales!BG25</f>
        <v>198.24</v>
      </c>
      <c r="BH18" s="628">
        <f>Sales!BH25</f>
        <v>210.15</v>
      </c>
      <c r="BI18" s="628">
        <f>Sales!BI25</f>
        <v>205.26000000000005</v>
      </c>
      <c r="BJ18" s="627">
        <f>Sales!BJ25</f>
        <v>786.74500000000012</v>
      </c>
      <c r="BK18" s="629">
        <f>Sales!BK25</f>
        <v>0</v>
      </c>
      <c r="BL18" s="629">
        <f>Sales!BL25</f>
        <v>0</v>
      </c>
      <c r="BM18" s="629">
        <f>Sales!BM25</f>
        <v>0</v>
      </c>
      <c r="BN18" s="629">
        <f>Sales!BN25</f>
        <v>0</v>
      </c>
      <c r="BO18" s="627">
        <f>Sales!BO25</f>
        <v>771.01010000000008</v>
      </c>
      <c r="BP18" s="629">
        <f>Sales!BP25</f>
        <v>0</v>
      </c>
      <c r="BQ18" s="629">
        <f>Sales!BQ25</f>
        <v>0</v>
      </c>
      <c r="BR18" s="629">
        <f>Sales!BR25</f>
        <v>0</v>
      </c>
      <c r="BS18" s="629">
        <f>Sales!BS25</f>
        <v>0</v>
      </c>
      <c r="BT18" s="627">
        <f>Sales!BT25</f>
        <v>786.4303020000001</v>
      </c>
      <c r="BU18" s="629">
        <f>Sales!BU25</f>
        <v>0</v>
      </c>
      <c r="BV18" s="629">
        <f>Sales!BV25</f>
        <v>0</v>
      </c>
      <c r="BW18" s="629">
        <f>Sales!BW25</f>
        <v>0</v>
      </c>
      <c r="BX18" s="629">
        <f>Sales!BX25</f>
        <v>0</v>
      </c>
      <c r="BY18" s="627">
        <f>Sales!BY25</f>
        <v>802.15890804000014</v>
      </c>
      <c r="BZ18" s="629">
        <f>Sales!BZ25</f>
        <v>0</v>
      </c>
      <c r="CA18" s="629">
        <f>Sales!CA25</f>
        <v>0</v>
      </c>
      <c r="CB18" s="629">
        <f>Sales!CB25</f>
        <v>0</v>
      </c>
      <c r="CC18" s="629">
        <f>Sales!CC25</f>
        <v>0</v>
      </c>
      <c r="CD18" s="627">
        <f>Sales!CD25</f>
        <v>818.20208620080018</v>
      </c>
      <c r="CE18" s="12"/>
    </row>
    <row r="19" spans="1:83" s="198" customFormat="1" collapsed="1" x14ac:dyDescent="0.15">
      <c r="A19" s="12"/>
      <c r="B19" s="268" t="str">
        <f>Sales!B27</f>
        <v>Total Dermatology</v>
      </c>
      <c r="C19" s="269">
        <f>Sales!C27</f>
        <v>0</v>
      </c>
      <c r="D19" s="269">
        <f>Sales!D27</f>
        <v>0</v>
      </c>
      <c r="E19" s="269">
        <f>Sales!E27</f>
        <v>0</v>
      </c>
      <c r="F19" s="269">
        <f>Sales!F27</f>
        <v>0</v>
      </c>
      <c r="G19" s="270">
        <f>Sales!G27</f>
        <v>0</v>
      </c>
      <c r="H19" s="269">
        <f>Sales!H27</f>
        <v>0</v>
      </c>
      <c r="I19" s="269">
        <f>Sales!I27</f>
        <v>0</v>
      </c>
      <c r="J19" s="269">
        <f>Sales!J27</f>
        <v>0</v>
      </c>
      <c r="K19" s="269">
        <f>Sales!K27</f>
        <v>0</v>
      </c>
      <c r="L19" s="270">
        <f>Sales!L27</f>
        <v>0</v>
      </c>
      <c r="M19" s="269">
        <f>Sales!M27</f>
        <v>0</v>
      </c>
      <c r="N19" s="269">
        <f>Sales!N27</f>
        <v>0</v>
      </c>
      <c r="O19" s="269">
        <f>Sales!O27</f>
        <v>0</v>
      </c>
      <c r="P19" s="269">
        <f>Sales!P27</f>
        <v>0</v>
      </c>
      <c r="Q19" s="270">
        <f>Sales!Q27</f>
        <v>0</v>
      </c>
      <c r="R19" s="269">
        <f>Sales!R27</f>
        <v>0</v>
      </c>
      <c r="S19" s="269">
        <f>Sales!S27</f>
        <v>0</v>
      </c>
      <c r="T19" s="269">
        <f>Sales!T27</f>
        <v>0</v>
      </c>
      <c r="U19" s="269">
        <f>Sales!U27</f>
        <v>0</v>
      </c>
      <c r="V19" s="271">
        <f>Sales!V27</f>
        <v>0</v>
      </c>
      <c r="W19" s="272">
        <f>Sales!W27</f>
        <v>0</v>
      </c>
      <c r="X19" s="272">
        <f>Sales!X27</f>
        <v>0</v>
      </c>
      <c r="Y19" s="272">
        <f>Sales!Y27</f>
        <v>0</v>
      </c>
      <c r="Z19" s="272">
        <f>Sales!Z27</f>
        <v>0</v>
      </c>
      <c r="AA19" s="271">
        <f>Sales!AA27</f>
        <v>0</v>
      </c>
      <c r="AB19" s="272">
        <f>Sales!AB27</f>
        <v>0</v>
      </c>
      <c r="AC19" s="272">
        <f>Sales!AC27</f>
        <v>0</v>
      </c>
      <c r="AD19" s="272">
        <f>Sales!AD27</f>
        <v>0</v>
      </c>
      <c r="AE19" s="272">
        <f>Sales!AE27</f>
        <v>0</v>
      </c>
      <c r="AF19" s="271">
        <f>Sales!AF27</f>
        <v>0</v>
      </c>
      <c r="AG19" s="272">
        <f>Sales!AG27</f>
        <v>0</v>
      </c>
      <c r="AH19" s="272">
        <f>Sales!AH27</f>
        <v>0</v>
      </c>
      <c r="AI19" s="272">
        <f>Sales!AI27</f>
        <v>0</v>
      </c>
      <c r="AJ19" s="272">
        <f>Sales!AJ27</f>
        <v>0</v>
      </c>
      <c r="AK19" s="271">
        <f>Sales!AK27</f>
        <v>0</v>
      </c>
      <c r="AL19" s="272">
        <f>Sales!AL27</f>
        <v>0</v>
      </c>
      <c r="AM19" s="272">
        <f>Sales!AM27</f>
        <v>0</v>
      </c>
      <c r="AN19" s="272">
        <f>Sales!AN27</f>
        <v>0</v>
      </c>
      <c r="AO19" s="272">
        <f>Sales!AO27</f>
        <v>0</v>
      </c>
      <c r="AP19" s="273">
        <f>Sales!AP27</f>
        <v>0</v>
      </c>
      <c r="AQ19" s="274">
        <f>Sales!AQ27</f>
        <v>0</v>
      </c>
      <c r="AR19" s="269">
        <f>Sales!AR27</f>
        <v>0</v>
      </c>
      <c r="AS19" s="275">
        <f>Sales!AS27</f>
        <v>205.5</v>
      </c>
      <c r="AT19" s="275">
        <f>Sales!AT27</f>
        <v>249.2</v>
      </c>
      <c r="AU19" s="276">
        <f>Sales!AU27</f>
        <v>0</v>
      </c>
      <c r="AV19" s="275">
        <f>Sales!AV27</f>
        <v>304.2</v>
      </c>
      <c r="AW19" s="275">
        <f>Sales!AW27</f>
        <v>298.3</v>
      </c>
      <c r="AX19" s="275">
        <f>Sales!AX27</f>
        <v>272.8</v>
      </c>
      <c r="AY19" s="275">
        <f>Sales!AY27</f>
        <v>424.7</v>
      </c>
      <c r="AZ19" s="277">
        <f>Sales!AZ27</f>
        <v>1300</v>
      </c>
      <c r="BA19" s="275">
        <f>Sales!BA27</f>
        <v>419.3</v>
      </c>
      <c r="BB19" s="275">
        <f>Sales!BB27</f>
        <v>461.8</v>
      </c>
      <c r="BC19" s="275">
        <f>Sales!BC27</f>
        <v>465.5</v>
      </c>
      <c r="BD19" s="275">
        <f>Sales!BD27</f>
        <v>319.60000000000002</v>
      </c>
      <c r="BE19" s="277">
        <f>Sales!BE27</f>
        <v>1666.1999999999998</v>
      </c>
      <c r="BF19" s="191">
        <f>Sales!BF27</f>
        <v>288.09500000000003</v>
      </c>
      <c r="BG19" s="191">
        <f>Sales!BG27</f>
        <v>381.24</v>
      </c>
      <c r="BH19" s="191">
        <f>Sales!BH27</f>
        <v>420.15</v>
      </c>
      <c r="BI19" s="191">
        <f>Sales!BI27</f>
        <v>432.26000000000005</v>
      </c>
      <c r="BJ19" s="277">
        <f>Sales!BJ27</f>
        <v>1521.7450000000001</v>
      </c>
      <c r="BK19" s="191">
        <f>Sales!BK27</f>
        <v>0</v>
      </c>
      <c r="BL19" s="191">
        <f>Sales!BL27</f>
        <v>0</v>
      </c>
      <c r="BM19" s="191">
        <f>Sales!BM27</f>
        <v>0</v>
      </c>
      <c r="BN19" s="191">
        <f>Sales!BN27</f>
        <v>0</v>
      </c>
      <c r="BO19" s="277">
        <f>Sales!BO27</f>
        <v>1597.4701</v>
      </c>
      <c r="BP19" s="191">
        <f>Sales!BP27</f>
        <v>0</v>
      </c>
      <c r="BQ19" s="191">
        <f>Sales!BQ27</f>
        <v>0</v>
      </c>
      <c r="BR19" s="191">
        <f>Sales!BR27</f>
        <v>0</v>
      </c>
      <c r="BS19" s="191">
        <f>Sales!BS27</f>
        <v>0</v>
      </c>
      <c r="BT19" s="277">
        <f>Sales!BT27</f>
        <v>1657.0353020000002</v>
      </c>
      <c r="BU19" s="191">
        <f>Sales!BU27</f>
        <v>0</v>
      </c>
      <c r="BV19" s="191">
        <f>Sales!BV27</f>
        <v>0</v>
      </c>
      <c r="BW19" s="191">
        <f>Sales!BW27</f>
        <v>0</v>
      </c>
      <c r="BX19" s="191">
        <f>Sales!BX27</f>
        <v>0</v>
      </c>
      <c r="BY19" s="277">
        <f>Sales!BY27</f>
        <v>1758.1176580400002</v>
      </c>
      <c r="BZ19" s="191">
        <f>Sales!BZ27</f>
        <v>0</v>
      </c>
      <c r="CA19" s="191">
        <f>Sales!CA27</f>
        <v>0</v>
      </c>
      <c r="CB19" s="191">
        <f>Sales!CB27</f>
        <v>0</v>
      </c>
      <c r="CC19" s="191">
        <f>Sales!CC27</f>
        <v>0</v>
      </c>
      <c r="CD19" s="277">
        <f>Sales!CD27</f>
        <v>1871.6736487008002</v>
      </c>
      <c r="CE19" s="12"/>
    </row>
    <row r="20" spans="1:83" s="198" customFormat="1" hidden="1" x14ac:dyDescent="0.15">
      <c r="A20" s="12"/>
      <c r="B20" s="279" t="str">
        <f>Sales!B28</f>
        <v>growth</v>
      </c>
      <c r="C20" s="269">
        <f>Sales!C28</f>
        <v>0</v>
      </c>
      <c r="D20" s="269">
        <f>Sales!D28</f>
        <v>0</v>
      </c>
      <c r="E20" s="269">
        <f>Sales!E28</f>
        <v>0</v>
      </c>
      <c r="F20" s="269">
        <f>Sales!F28</f>
        <v>0</v>
      </c>
      <c r="G20" s="270">
        <f>Sales!G28</f>
        <v>0</v>
      </c>
      <c r="H20" s="269">
        <f>Sales!H28</f>
        <v>0</v>
      </c>
      <c r="I20" s="269">
        <f>Sales!I28</f>
        <v>0</v>
      </c>
      <c r="J20" s="269">
        <f>Sales!J28</f>
        <v>0</v>
      </c>
      <c r="K20" s="269">
        <f>Sales!K28</f>
        <v>0</v>
      </c>
      <c r="L20" s="270">
        <f>Sales!L28</f>
        <v>0</v>
      </c>
      <c r="M20" s="269">
        <f>Sales!M28</f>
        <v>0</v>
      </c>
      <c r="N20" s="269">
        <f>Sales!N28</f>
        <v>0</v>
      </c>
      <c r="O20" s="269">
        <f>Sales!O28</f>
        <v>0</v>
      </c>
      <c r="P20" s="269">
        <f>Sales!P28</f>
        <v>0</v>
      </c>
      <c r="Q20" s="270">
        <f>Sales!Q28</f>
        <v>0</v>
      </c>
      <c r="R20" s="269">
        <f>Sales!R28</f>
        <v>0</v>
      </c>
      <c r="S20" s="269">
        <f>Sales!S28</f>
        <v>0</v>
      </c>
      <c r="T20" s="269">
        <f>Sales!T28</f>
        <v>0</v>
      </c>
      <c r="U20" s="269">
        <f>Sales!U28</f>
        <v>0</v>
      </c>
      <c r="V20" s="271">
        <f>Sales!V28</f>
        <v>0</v>
      </c>
      <c r="W20" s="272">
        <f>Sales!W28</f>
        <v>0</v>
      </c>
      <c r="X20" s="272">
        <f>Sales!X28</f>
        <v>0</v>
      </c>
      <c r="Y20" s="272">
        <f>Sales!Y28</f>
        <v>0</v>
      </c>
      <c r="Z20" s="272">
        <f>Sales!Z28</f>
        <v>0</v>
      </c>
      <c r="AA20" s="271">
        <f>Sales!AA28</f>
        <v>0</v>
      </c>
      <c r="AB20" s="272">
        <f>Sales!AB28</f>
        <v>0</v>
      </c>
      <c r="AC20" s="272">
        <f>Sales!AC28</f>
        <v>0</v>
      </c>
      <c r="AD20" s="272">
        <f>Sales!AD28</f>
        <v>0</v>
      </c>
      <c r="AE20" s="272">
        <f>Sales!AE28</f>
        <v>0</v>
      </c>
      <c r="AF20" s="271">
        <f>Sales!AF28</f>
        <v>0</v>
      </c>
      <c r="AG20" s="272">
        <f>Sales!AG28</f>
        <v>0</v>
      </c>
      <c r="AH20" s="272">
        <f>Sales!AH28</f>
        <v>0</v>
      </c>
      <c r="AI20" s="272">
        <f>Sales!AI28</f>
        <v>0</v>
      </c>
      <c r="AJ20" s="272">
        <f>Sales!AJ28</f>
        <v>0</v>
      </c>
      <c r="AK20" s="271">
        <f>Sales!AK28</f>
        <v>0</v>
      </c>
      <c r="AL20" s="272">
        <f>Sales!AL28</f>
        <v>0</v>
      </c>
      <c r="AM20" s="272">
        <f>Sales!AM28</f>
        <v>0</v>
      </c>
      <c r="AN20" s="272">
        <f>Sales!AN28</f>
        <v>0</v>
      </c>
      <c r="AO20" s="272">
        <f>Sales!AO28</f>
        <v>0</v>
      </c>
      <c r="AP20" s="273">
        <f>Sales!AP28</f>
        <v>0</v>
      </c>
      <c r="AQ20" s="274">
        <f>Sales!AQ28</f>
        <v>0</v>
      </c>
      <c r="AR20" s="269">
        <f>Sales!AR28</f>
        <v>0</v>
      </c>
      <c r="AS20" s="280">
        <f>Sales!AS28</f>
        <v>0</v>
      </c>
      <c r="AT20" s="280">
        <f>Sales!AT28</f>
        <v>0</v>
      </c>
      <c r="AU20" s="276">
        <f>Sales!AU28</f>
        <v>0</v>
      </c>
      <c r="AV20" s="280">
        <f>Sales!AV28</f>
        <v>0</v>
      </c>
      <c r="AW20" s="280">
        <f>Sales!AW28</f>
        <v>0</v>
      </c>
      <c r="AX20" s="281">
        <f>Sales!AX28</f>
        <v>0.32749391727493915</v>
      </c>
      <c r="AY20" s="281">
        <f>Sales!AY28</f>
        <v>0.70425361155698241</v>
      </c>
      <c r="AZ20" s="276">
        <f>Sales!AZ28</f>
        <v>0</v>
      </c>
      <c r="BA20" s="281">
        <f>Sales!BA28</f>
        <v>0.37836949375410933</v>
      </c>
      <c r="BB20" s="281">
        <f>Sales!BB28</f>
        <v>0.5481059336238685</v>
      </c>
      <c r="BC20" s="281">
        <f>Sales!BC28</f>
        <v>0.70637829912023453</v>
      </c>
      <c r="BD20" s="281">
        <f>Sales!BD28</f>
        <v>-0.24746880150694606</v>
      </c>
      <c r="BE20" s="282">
        <f>Sales!BE28</f>
        <v>0.28169230769230746</v>
      </c>
      <c r="BF20" s="191">
        <f>Sales!BF28</f>
        <v>-0.31291438111137604</v>
      </c>
      <c r="BG20" s="191">
        <f>Sales!BG28</f>
        <v>-0.17444781290601996</v>
      </c>
      <c r="BH20" s="191">
        <f>Sales!BH28</f>
        <v>-9.7422126745435045E-2</v>
      </c>
      <c r="BI20" s="191">
        <f>Sales!BI28</f>
        <v>0.35250312891113889</v>
      </c>
      <c r="BJ20" s="282">
        <f>Sales!BJ28</f>
        <v>-8.6697275237066163E-2</v>
      </c>
      <c r="BK20" s="191">
        <f>Sales!BK28</f>
        <v>0</v>
      </c>
      <c r="BL20" s="191">
        <f>Sales!BL28</f>
        <v>0</v>
      </c>
      <c r="BM20" s="191">
        <f>Sales!BM28</f>
        <v>0</v>
      </c>
      <c r="BN20" s="191">
        <f>Sales!BN28</f>
        <v>0</v>
      </c>
      <c r="BO20" s="282">
        <f>Sales!BO28</f>
        <v>4.9762016632221462E-2</v>
      </c>
      <c r="BP20" s="191">
        <f>Sales!BP28</f>
        <v>0</v>
      </c>
      <c r="BQ20" s="191">
        <f>Sales!BQ28</f>
        <v>0</v>
      </c>
      <c r="BR20" s="191">
        <f>Sales!BR28</f>
        <v>0</v>
      </c>
      <c r="BS20" s="191">
        <f>Sales!BS28</f>
        <v>0</v>
      </c>
      <c r="BT20" s="282">
        <f>Sales!BT28</f>
        <v>3.7287209319285752E-2</v>
      </c>
      <c r="BU20" s="191">
        <f>Sales!BU28</f>
        <v>0</v>
      </c>
      <c r="BV20" s="191">
        <f>Sales!BV28</f>
        <v>0</v>
      </c>
      <c r="BW20" s="191">
        <f>Sales!BW28</f>
        <v>0</v>
      </c>
      <c r="BX20" s="191">
        <f>Sales!BX28</f>
        <v>0</v>
      </c>
      <c r="BY20" s="282">
        <f>Sales!BY28</f>
        <v>6.1001932739752851E-2</v>
      </c>
      <c r="BZ20" s="191">
        <f>Sales!BZ28</f>
        <v>0</v>
      </c>
      <c r="CA20" s="191">
        <f>Sales!CA28</f>
        <v>0</v>
      </c>
      <c r="CB20" s="191">
        <f>Sales!CB28</f>
        <v>0</v>
      </c>
      <c r="CC20" s="191">
        <f>Sales!CC28</f>
        <v>0</v>
      </c>
      <c r="CD20" s="282">
        <f>Sales!CD28</f>
        <v>6.4589528545771824E-2</v>
      </c>
      <c r="CE20" s="12"/>
    </row>
    <row r="21" spans="1:83" s="198" customFormat="1" hidden="1" x14ac:dyDescent="0.15">
      <c r="A21" s="12"/>
      <c r="B21" s="268"/>
      <c r="C21" s="269"/>
      <c r="D21" s="269"/>
      <c r="E21" s="269"/>
      <c r="F21" s="269"/>
      <c r="G21" s="270"/>
      <c r="H21" s="269"/>
      <c r="I21" s="269"/>
      <c r="J21" s="269"/>
      <c r="K21" s="269"/>
      <c r="L21" s="270"/>
      <c r="M21" s="269"/>
      <c r="N21" s="269"/>
      <c r="O21" s="269"/>
      <c r="P21" s="269"/>
      <c r="Q21" s="270"/>
      <c r="R21" s="269"/>
      <c r="S21" s="269"/>
      <c r="T21" s="269"/>
      <c r="U21" s="269"/>
      <c r="V21" s="271"/>
      <c r="W21" s="272"/>
      <c r="X21" s="272"/>
      <c r="Y21" s="272"/>
      <c r="Z21" s="272"/>
      <c r="AA21" s="271"/>
      <c r="AB21" s="272"/>
      <c r="AC21" s="272"/>
      <c r="AD21" s="272"/>
      <c r="AE21" s="272"/>
      <c r="AF21" s="271"/>
      <c r="AG21" s="272"/>
      <c r="AH21" s="272"/>
      <c r="AI21" s="272"/>
      <c r="AJ21" s="272"/>
      <c r="AK21" s="271"/>
      <c r="AL21" s="272"/>
      <c r="AM21" s="272"/>
      <c r="AN21" s="272"/>
      <c r="AO21" s="272"/>
      <c r="AP21" s="273"/>
      <c r="AQ21" s="274"/>
      <c r="AR21" s="269"/>
      <c r="AS21" s="280"/>
      <c r="AT21" s="280"/>
      <c r="AU21" s="276"/>
      <c r="AV21" s="280"/>
      <c r="AW21" s="280"/>
      <c r="AX21" s="280"/>
      <c r="AY21" s="280"/>
      <c r="AZ21" s="276"/>
      <c r="BA21" s="280"/>
      <c r="BB21" s="280"/>
      <c r="BC21" s="280"/>
      <c r="BD21" s="280"/>
      <c r="BE21" s="276"/>
      <c r="BF21" s="191"/>
      <c r="BG21" s="191"/>
      <c r="BH21" s="191"/>
      <c r="BI21" s="191"/>
      <c r="BJ21" s="276"/>
      <c r="BK21" s="191"/>
      <c r="BL21" s="191"/>
      <c r="BM21" s="191"/>
      <c r="BN21" s="191"/>
      <c r="BO21" s="276"/>
      <c r="BP21" s="191"/>
      <c r="BQ21" s="191"/>
      <c r="BR21" s="191"/>
      <c r="BS21" s="191"/>
      <c r="BT21" s="276"/>
      <c r="BU21" s="191"/>
      <c r="BV21" s="191"/>
      <c r="BW21" s="191"/>
      <c r="BX21" s="191"/>
      <c r="BY21" s="276"/>
      <c r="BZ21" s="191"/>
      <c r="CA21" s="191"/>
      <c r="CB21" s="191"/>
      <c r="CC21" s="191"/>
      <c r="CD21" s="276"/>
      <c r="CE21" s="12"/>
    </row>
    <row r="22" spans="1:83" s="198" customFormat="1" hidden="1" outlineLevel="1" x14ac:dyDescent="0.15">
      <c r="A22" s="12"/>
      <c r="B22" s="230" t="str">
        <f>Sales!B30</f>
        <v>Consumer</v>
      </c>
      <c r="C22" s="231">
        <f>Sales!C30</f>
        <v>0</v>
      </c>
      <c r="D22" s="231">
        <f>Sales!D30</f>
        <v>0</v>
      </c>
      <c r="E22" s="231">
        <f>Sales!E30</f>
        <v>0</v>
      </c>
      <c r="F22" s="231">
        <f>Sales!F30</f>
        <v>0</v>
      </c>
      <c r="G22" s="232">
        <f>Sales!G30</f>
        <v>0</v>
      </c>
      <c r="H22" s="231">
        <f>Sales!H30</f>
        <v>0</v>
      </c>
      <c r="I22" s="231">
        <f>Sales!I30</f>
        <v>0</v>
      </c>
      <c r="J22" s="231">
        <f>Sales!J30</f>
        <v>0</v>
      </c>
      <c r="K22" s="231">
        <f>Sales!K30</f>
        <v>0</v>
      </c>
      <c r="L22" s="232">
        <f>Sales!L30</f>
        <v>0</v>
      </c>
      <c r="M22" s="231">
        <f>Sales!M30</f>
        <v>0</v>
      </c>
      <c r="N22" s="231">
        <f>Sales!N30</f>
        <v>0</v>
      </c>
      <c r="O22" s="231">
        <f>Sales!O30</f>
        <v>0</v>
      </c>
      <c r="P22" s="231">
        <f>Sales!P30</f>
        <v>0</v>
      </c>
      <c r="Q22" s="232">
        <f>Sales!Q30</f>
        <v>0</v>
      </c>
      <c r="R22" s="231">
        <f>Sales!R30</f>
        <v>0</v>
      </c>
      <c r="S22" s="231">
        <f>Sales!S30</f>
        <v>0</v>
      </c>
      <c r="T22" s="231">
        <f>Sales!T30</f>
        <v>0</v>
      </c>
      <c r="U22" s="231">
        <f>Sales!U30</f>
        <v>0</v>
      </c>
      <c r="V22" s="233">
        <f>Sales!V30</f>
        <v>0</v>
      </c>
      <c r="W22" s="234">
        <f>Sales!W30</f>
        <v>0</v>
      </c>
      <c r="X22" s="234">
        <f>Sales!X30</f>
        <v>0</v>
      </c>
      <c r="Y22" s="234">
        <f>Sales!Y30</f>
        <v>0</v>
      </c>
      <c r="Z22" s="234">
        <f>Sales!Z30</f>
        <v>0</v>
      </c>
      <c r="AA22" s="233">
        <f>Sales!AA30</f>
        <v>0</v>
      </c>
      <c r="AB22" s="234">
        <f>Sales!AB30</f>
        <v>0</v>
      </c>
      <c r="AC22" s="234">
        <f>Sales!AC30</f>
        <v>0</v>
      </c>
      <c r="AD22" s="234">
        <f>Sales!AD30</f>
        <v>0</v>
      </c>
      <c r="AE22" s="234">
        <f>Sales!AE30</f>
        <v>0</v>
      </c>
      <c r="AF22" s="233">
        <f>Sales!AF30</f>
        <v>0</v>
      </c>
      <c r="AG22" s="234">
        <f>Sales!AG30</f>
        <v>0</v>
      </c>
      <c r="AH22" s="234">
        <f>Sales!AH30</f>
        <v>0</v>
      </c>
      <c r="AI22" s="234">
        <f>Sales!AI30</f>
        <v>0</v>
      </c>
      <c r="AJ22" s="234">
        <f>Sales!AJ30</f>
        <v>0</v>
      </c>
      <c r="AK22" s="233">
        <f>Sales!AK30</f>
        <v>0</v>
      </c>
      <c r="AL22" s="234">
        <f>Sales!AL30</f>
        <v>0</v>
      </c>
      <c r="AM22" s="234">
        <f>Sales!AM30</f>
        <v>0</v>
      </c>
      <c r="AN22" s="234">
        <f>Sales!AN30</f>
        <v>0</v>
      </c>
      <c r="AO22" s="234">
        <f>Sales!AO30</f>
        <v>0</v>
      </c>
      <c r="AP22" s="233">
        <f>Sales!AP30</f>
        <v>0</v>
      </c>
      <c r="AQ22" s="283">
        <f>Sales!AQ30</f>
        <v>0</v>
      </c>
      <c r="AR22" s="231">
        <f>Sales!AR30</f>
        <v>0</v>
      </c>
      <c r="AS22" s="236">
        <f>Sales!AS30</f>
        <v>0</v>
      </c>
      <c r="AT22" s="236">
        <f>Sales!AT30</f>
        <v>0</v>
      </c>
      <c r="AU22" s="235">
        <f>Sales!AU30</f>
        <v>0</v>
      </c>
      <c r="AV22" s="236">
        <f>Sales!AV30</f>
        <v>0</v>
      </c>
      <c r="AW22" s="236">
        <f>Sales!AW30</f>
        <v>0</v>
      </c>
      <c r="AX22" s="236">
        <f>Sales!AX30</f>
        <v>0</v>
      </c>
      <c r="AY22" s="236">
        <f>Sales!AY30</f>
        <v>0</v>
      </c>
      <c r="AZ22" s="235">
        <f>Sales!AZ30</f>
        <v>0</v>
      </c>
      <c r="BA22" s="236">
        <f>Sales!BA30</f>
        <v>0</v>
      </c>
      <c r="BB22" s="236">
        <f>Sales!BB30</f>
        <v>0</v>
      </c>
      <c r="BC22" s="236">
        <f>Sales!BC30</f>
        <v>0</v>
      </c>
      <c r="BD22" s="236">
        <f>Sales!BD30</f>
        <v>0</v>
      </c>
      <c r="BE22" s="235">
        <f>Sales!BE30</f>
        <v>0</v>
      </c>
      <c r="BF22" s="237">
        <f>Sales!BF30</f>
        <v>0</v>
      </c>
      <c r="BG22" s="237">
        <f>Sales!BG30</f>
        <v>0</v>
      </c>
      <c r="BH22" s="237">
        <f>Sales!BH30</f>
        <v>0</v>
      </c>
      <c r="BI22" s="237">
        <f>Sales!BI30</f>
        <v>0</v>
      </c>
      <c r="BJ22" s="235">
        <f>Sales!BJ30</f>
        <v>0</v>
      </c>
      <c r="BK22" s="237">
        <f>Sales!BK30</f>
        <v>0</v>
      </c>
      <c r="BL22" s="237">
        <f>Sales!BL30</f>
        <v>0</v>
      </c>
      <c r="BM22" s="237">
        <f>Sales!BM30</f>
        <v>0</v>
      </c>
      <c r="BN22" s="237">
        <f>Sales!BN30</f>
        <v>0</v>
      </c>
      <c r="BO22" s="235">
        <f>Sales!BO30</f>
        <v>0</v>
      </c>
      <c r="BP22" s="237">
        <f>Sales!BP30</f>
        <v>0</v>
      </c>
      <c r="BQ22" s="237">
        <f>Sales!BQ30</f>
        <v>0</v>
      </c>
      <c r="BR22" s="237">
        <f>Sales!BR30</f>
        <v>0</v>
      </c>
      <c r="BS22" s="237">
        <f>Sales!BS30</f>
        <v>0</v>
      </c>
      <c r="BT22" s="235">
        <f>Sales!BT30</f>
        <v>0</v>
      </c>
      <c r="BU22" s="237">
        <f>Sales!BU30</f>
        <v>0</v>
      </c>
      <c r="BV22" s="237">
        <f>Sales!BV30</f>
        <v>0</v>
      </c>
      <c r="BW22" s="237">
        <f>Sales!BW30</f>
        <v>0</v>
      </c>
      <c r="BX22" s="237">
        <f>Sales!BX30</f>
        <v>0</v>
      </c>
      <c r="BY22" s="235">
        <f>Sales!BY30</f>
        <v>0</v>
      </c>
      <c r="BZ22" s="237">
        <f>Sales!BZ30</f>
        <v>0</v>
      </c>
      <c r="CA22" s="237">
        <f>Sales!CA30</f>
        <v>0</v>
      </c>
      <c r="CB22" s="237">
        <f>Sales!CB30</f>
        <v>0</v>
      </c>
      <c r="CC22" s="237">
        <f>Sales!CC30</f>
        <v>0</v>
      </c>
      <c r="CD22" s="235">
        <f>Sales!CD30</f>
        <v>0</v>
      </c>
      <c r="CE22" s="12"/>
    </row>
    <row r="23" spans="1:83" s="198" customFormat="1" hidden="1" outlineLevel="2" x14ac:dyDescent="0.15">
      <c r="A23" s="12"/>
      <c r="B23" s="238" t="str">
        <f>Sales!B31</f>
        <v>Ocuvite</v>
      </c>
      <c r="C23" s="231">
        <f>Sales!C31</f>
        <v>0</v>
      </c>
      <c r="D23" s="231">
        <f>Sales!D31</f>
        <v>0</v>
      </c>
      <c r="E23" s="231">
        <f>Sales!E31</f>
        <v>0</v>
      </c>
      <c r="F23" s="231">
        <f>Sales!F31</f>
        <v>0</v>
      </c>
      <c r="G23" s="232">
        <f>Sales!G31</f>
        <v>0</v>
      </c>
      <c r="H23" s="231">
        <f>Sales!H31</f>
        <v>0</v>
      </c>
      <c r="I23" s="231">
        <f>Sales!I31</f>
        <v>0</v>
      </c>
      <c r="J23" s="231">
        <f>Sales!J31</f>
        <v>0</v>
      </c>
      <c r="K23" s="231">
        <f>Sales!K31</f>
        <v>0</v>
      </c>
      <c r="L23" s="232">
        <f>Sales!L31</f>
        <v>0</v>
      </c>
      <c r="M23" s="231">
        <f>Sales!M31</f>
        <v>0</v>
      </c>
      <c r="N23" s="231">
        <f>Sales!N31</f>
        <v>0</v>
      </c>
      <c r="O23" s="231">
        <f>Sales!O31</f>
        <v>0</v>
      </c>
      <c r="P23" s="231">
        <f>Sales!P31</f>
        <v>0</v>
      </c>
      <c r="Q23" s="232">
        <f>Sales!Q31</f>
        <v>0</v>
      </c>
      <c r="R23" s="231">
        <f>Sales!R31</f>
        <v>0</v>
      </c>
      <c r="S23" s="231">
        <f>Sales!S31</f>
        <v>0</v>
      </c>
      <c r="T23" s="231">
        <f>Sales!T31</f>
        <v>0</v>
      </c>
      <c r="U23" s="231">
        <f>Sales!U31</f>
        <v>0</v>
      </c>
      <c r="V23" s="233">
        <f>Sales!V31</f>
        <v>0</v>
      </c>
      <c r="W23" s="234">
        <f>Sales!W31</f>
        <v>0</v>
      </c>
      <c r="X23" s="234">
        <f>Sales!X31</f>
        <v>0</v>
      </c>
      <c r="Y23" s="234">
        <f>Sales!Y31</f>
        <v>0</v>
      </c>
      <c r="Z23" s="234">
        <f>Sales!Z31</f>
        <v>0</v>
      </c>
      <c r="AA23" s="233">
        <f>Sales!AA31</f>
        <v>0</v>
      </c>
      <c r="AB23" s="234">
        <f>Sales!AB31</f>
        <v>0</v>
      </c>
      <c r="AC23" s="234">
        <f>Sales!AC31</f>
        <v>0</v>
      </c>
      <c r="AD23" s="234">
        <f>Sales!AD31</f>
        <v>0</v>
      </c>
      <c r="AE23" s="234">
        <f>Sales!AE31</f>
        <v>0</v>
      </c>
      <c r="AF23" s="233">
        <f>Sales!AF31</f>
        <v>0</v>
      </c>
      <c r="AG23" s="234">
        <f>Sales!AG31</f>
        <v>0</v>
      </c>
      <c r="AH23" s="234">
        <f>Sales!AH31</f>
        <v>0</v>
      </c>
      <c r="AI23" s="234">
        <f>Sales!AI31</f>
        <v>0</v>
      </c>
      <c r="AJ23" s="234">
        <f>Sales!AJ31</f>
        <v>0</v>
      </c>
      <c r="AK23" s="233">
        <f>Sales!AK31</f>
        <v>0</v>
      </c>
      <c r="AL23" s="234">
        <f>Sales!AL31</f>
        <v>0</v>
      </c>
      <c r="AM23" s="234">
        <f>Sales!AM31</f>
        <v>0</v>
      </c>
      <c r="AN23" s="234">
        <f>Sales!AN31</f>
        <v>0</v>
      </c>
      <c r="AO23" s="234">
        <f>Sales!AO31</f>
        <v>0</v>
      </c>
      <c r="AP23" s="233">
        <f>Sales!AP31</f>
        <v>0</v>
      </c>
      <c r="AQ23" s="283">
        <f>Sales!AQ31</f>
        <v>0</v>
      </c>
      <c r="AR23" s="231">
        <f>Sales!AR31</f>
        <v>0</v>
      </c>
      <c r="AS23" s="236">
        <f>Sales!AS31</f>
        <v>0</v>
      </c>
      <c r="AT23" s="236">
        <f>Sales!AT31</f>
        <v>0</v>
      </c>
      <c r="AU23" s="235">
        <f>Sales!AU31</f>
        <v>0</v>
      </c>
      <c r="AV23" s="236">
        <f>Sales!AV31</f>
        <v>60</v>
      </c>
      <c r="AW23" s="236">
        <f>Sales!AW31</f>
        <v>66</v>
      </c>
      <c r="AX23" s="236">
        <f>Sales!AX31</f>
        <v>62</v>
      </c>
      <c r="AY23" s="236">
        <f>Sales!AY31</f>
        <v>62</v>
      </c>
      <c r="AZ23" s="235">
        <f>Sales!AZ31</f>
        <v>250</v>
      </c>
      <c r="BA23" s="236">
        <f>Sales!BA31</f>
        <v>60</v>
      </c>
      <c r="BB23" s="236">
        <f>Sales!BB31</f>
        <v>59</v>
      </c>
      <c r="BC23" s="240">
        <f>Sales!BC31</f>
        <v>57</v>
      </c>
      <c r="BD23" s="240">
        <f>Sales!BD31</f>
        <v>61</v>
      </c>
      <c r="BE23" s="235">
        <f>Sales!BE31</f>
        <v>237</v>
      </c>
      <c r="BF23" s="237">
        <f>Sales!BF31</f>
        <v>57</v>
      </c>
      <c r="BG23" s="237">
        <f>Sales!BG31</f>
        <v>57</v>
      </c>
      <c r="BH23" s="237">
        <f>Sales!BH31</f>
        <v>57</v>
      </c>
      <c r="BI23" s="237">
        <f>Sales!BI31</f>
        <v>57</v>
      </c>
      <c r="BJ23" s="235">
        <f>Sales!BJ31</f>
        <v>228</v>
      </c>
      <c r="BK23" s="241">
        <f>Sales!BK31</f>
        <v>0</v>
      </c>
      <c r="BL23" s="241">
        <f>Sales!BL31</f>
        <v>0</v>
      </c>
      <c r="BM23" s="241">
        <f>Sales!BM31</f>
        <v>0</v>
      </c>
      <c r="BN23" s="241">
        <f>Sales!BN31</f>
        <v>0</v>
      </c>
      <c r="BO23" s="235">
        <f>Sales!BO31</f>
        <v>218.88</v>
      </c>
      <c r="BP23" s="241">
        <f>Sales!BP31</f>
        <v>0</v>
      </c>
      <c r="BQ23" s="241">
        <f>Sales!BQ31</f>
        <v>0</v>
      </c>
      <c r="BR23" s="241">
        <f>Sales!BR31</f>
        <v>0</v>
      </c>
      <c r="BS23" s="241">
        <f>Sales!BS31</f>
        <v>0</v>
      </c>
      <c r="BT23" s="235">
        <f>Sales!BT31</f>
        <v>210.12479999999999</v>
      </c>
      <c r="BU23" s="241">
        <f>Sales!BU31</f>
        <v>0</v>
      </c>
      <c r="BV23" s="241">
        <f>Sales!BV31</f>
        <v>0</v>
      </c>
      <c r="BW23" s="241">
        <f>Sales!BW31</f>
        <v>0</v>
      </c>
      <c r="BX23" s="241">
        <f>Sales!BX31</f>
        <v>0</v>
      </c>
      <c r="BY23" s="235">
        <f>Sales!BY31</f>
        <v>201.71980799999997</v>
      </c>
      <c r="BZ23" s="241">
        <f>Sales!BZ31</f>
        <v>0</v>
      </c>
      <c r="CA23" s="241">
        <f>Sales!CA31</f>
        <v>0</v>
      </c>
      <c r="CB23" s="241">
        <f>Sales!CB31</f>
        <v>0</v>
      </c>
      <c r="CC23" s="241">
        <f>Sales!CC31</f>
        <v>0</v>
      </c>
      <c r="CD23" s="235">
        <f>Sales!CD31</f>
        <v>193.65101567999997</v>
      </c>
      <c r="CE23" s="12"/>
    </row>
    <row r="24" spans="1:83" s="198" customFormat="1" hidden="1" outlineLevel="2" x14ac:dyDescent="0.15">
      <c r="A24" s="12"/>
      <c r="B24" s="238" t="str">
        <f>Sales!B33</f>
        <v>Renu Multiplus</v>
      </c>
      <c r="C24" s="231">
        <f>Sales!C33</f>
        <v>0</v>
      </c>
      <c r="D24" s="231">
        <f>Sales!D33</f>
        <v>0</v>
      </c>
      <c r="E24" s="231">
        <f>Sales!E33</f>
        <v>0</v>
      </c>
      <c r="F24" s="231">
        <f>Sales!F33</f>
        <v>0</v>
      </c>
      <c r="G24" s="232">
        <f>Sales!G33</f>
        <v>0</v>
      </c>
      <c r="H24" s="231">
        <f>Sales!H33</f>
        <v>0</v>
      </c>
      <c r="I24" s="231">
        <f>Sales!I33</f>
        <v>0</v>
      </c>
      <c r="J24" s="231">
        <f>Sales!J33</f>
        <v>0</v>
      </c>
      <c r="K24" s="231">
        <f>Sales!K33</f>
        <v>0</v>
      </c>
      <c r="L24" s="232">
        <f>Sales!L33</f>
        <v>0</v>
      </c>
      <c r="M24" s="231">
        <f>Sales!M33</f>
        <v>0</v>
      </c>
      <c r="N24" s="231">
        <f>Sales!N33</f>
        <v>0</v>
      </c>
      <c r="O24" s="231">
        <f>Sales!O33</f>
        <v>0</v>
      </c>
      <c r="P24" s="231">
        <f>Sales!P33</f>
        <v>0</v>
      </c>
      <c r="Q24" s="232">
        <f>Sales!Q33</f>
        <v>0</v>
      </c>
      <c r="R24" s="231">
        <f>Sales!R33</f>
        <v>0</v>
      </c>
      <c r="S24" s="231">
        <f>Sales!S33</f>
        <v>0</v>
      </c>
      <c r="T24" s="231">
        <f>Sales!T33</f>
        <v>0</v>
      </c>
      <c r="U24" s="231">
        <f>Sales!U33</f>
        <v>0</v>
      </c>
      <c r="V24" s="233">
        <f>Sales!V33</f>
        <v>0</v>
      </c>
      <c r="W24" s="234">
        <f>Sales!W33</f>
        <v>0</v>
      </c>
      <c r="X24" s="234">
        <f>Sales!X33</f>
        <v>0</v>
      </c>
      <c r="Y24" s="234">
        <f>Sales!Y33</f>
        <v>0</v>
      </c>
      <c r="Z24" s="234">
        <f>Sales!Z33</f>
        <v>0</v>
      </c>
      <c r="AA24" s="233">
        <f>Sales!AA33</f>
        <v>0</v>
      </c>
      <c r="AB24" s="234">
        <f>Sales!AB33</f>
        <v>0</v>
      </c>
      <c r="AC24" s="234">
        <f>Sales!AC33</f>
        <v>0</v>
      </c>
      <c r="AD24" s="234">
        <f>Sales!AD33</f>
        <v>0</v>
      </c>
      <c r="AE24" s="234">
        <f>Sales!AE33</f>
        <v>0</v>
      </c>
      <c r="AF24" s="233">
        <f>Sales!AF33</f>
        <v>0</v>
      </c>
      <c r="AG24" s="234">
        <f>Sales!AG33</f>
        <v>0</v>
      </c>
      <c r="AH24" s="234">
        <f>Sales!AH33</f>
        <v>0</v>
      </c>
      <c r="AI24" s="234">
        <f>Sales!AI33</f>
        <v>0</v>
      </c>
      <c r="AJ24" s="234">
        <f>Sales!AJ33</f>
        <v>0</v>
      </c>
      <c r="AK24" s="233">
        <f>Sales!AK33</f>
        <v>0</v>
      </c>
      <c r="AL24" s="234">
        <f>Sales!AL33</f>
        <v>0</v>
      </c>
      <c r="AM24" s="234">
        <f>Sales!AM33</f>
        <v>0</v>
      </c>
      <c r="AN24" s="234">
        <f>Sales!AN33</f>
        <v>0</v>
      </c>
      <c r="AO24" s="234">
        <f>Sales!AO33</f>
        <v>0</v>
      </c>
      <c r="AP24" s="233">
        <f>Sales!AP33</f>
        <v>0</v>
      </c>
      <c r="AQ24" s="283">
        <f>Sales!AQ33</f>
        <v>0</v>
      </c>
      <c r="AR24" s="231">
        <f>Sales!AR33</f>
        <v>0</v>
      </c>
      <c r="AS24" s="236">
        <f>Sales!AS33</f>
        <v>0</v>
      </c>
      <c r="AT24" s="236">
        <f>Sales!AT33</f>
        <v>0</v>
      </c>
      <c r="AU24" s="235">
        <f>Sales!AU33</f>
        <v>0</v>
      </c>
      <c r="AV24" s="236">
        <f>Sales!AV33</f>
        <v>55</v>
      </c>
      <c r="AW24" s="236">
        <f>Sales!AW33</f>
        <v>49</v>
      </c>
      <c r="AX24" s="236">
        <f>Sales!AX33</f>
        <v>41</v>
      </c>
      <c r="AY24" s="236">
        <f>Sales!AY33</f>
        <v>46</v>
      </c>
      <c r="AZ24" s="235">
        <f>Sales!AZ33</f>
        <v>191</v>
      </c>
      <c r="BA24" s="236">
        <f>Sales!BA33</f>
        <v>42</v>
      </c>
      <c r="BB24" s="236">
        <f>Sales!BB33</f>
        <v>46</v>
      </c>
      <c r="BC24" s="240">
        <f>Sales!BC33</f>
        <v>54</v>
      </c>
      <c r="BD24" s="240">
        <f>Sales!BD33</f>
        <v>54</v>
      </c>
      <c r="BE24" s="235">
        <f>Sales!BE33</f>
        <v>196</v>
      </c>
      <c r="BF24" s="237">
        <f>Sales!BF33</f>
        <v>45</v>
      </c>
      <c r="BG24" s="237">
        <f>Sales!BG33</f>
        <v>50</v>
      </c>
      <c r="BH24" s="237">
        <f>Sales!BH33</f>
        <v>55</v>
      </c>
      <c r="BI24" s="237">
        <f>Sales!BI33</f>
        <v>55</v>
      </c>
      <c r="BJ24" s="235">
        <f>Sales!BJ33</f>
        <v>205</v>
      </c>
      <c r="BK24" s="241">
        <f>Sales!BK33</f>
        <v>0</v>
      </c>
      <c r="BL24" s="241">
        <f>Sales!BL33</f>
        <v>0</v>
      </c>
      <c r="BM24" s="241">
        <f>Sales!BM33</f>
        <v>0</v>
      </c>
      <c r="BN24" s="241">
        <f>Sales!BN33</f>
        <v>0</v>
      </c>
      <c r="BO24" s="235">
        <f>Sales!BO33</f>
        <v>211.15</v>
      </c>
      <c r="BP24" s="241">
        <f>Sales!BP33</f>
        <v>0</v>
      </c>
      <c r="BQ24" s="241">
        <f>Sales!BQ33</f>
        <v>0</v>
      </c>
      <c r="BR24" s="241">
        <f>Sales!BR33</f>
        <v>0</v>
      </c>
      <c r="BS24" s="241">
        <f>Sales!BS33</f>
        <v>0</v>
      </c>
      <c r="BT24" s="235">
        <f>Sales!BT33</f>
        <v>211.15</v>
      </c>
      <c r="BU24" s="241">
        <f>Sales!BU33</f>
        <v>0</v>
      </c>
      <c r="BV24" s="241">
        <f>Sales!BV33</f>
        <v>0</v>
      </c>
      <c r="BW24" s="241">
        <f>Sales!BW33</f>
        <v>0</v>
      </c>
      <c r="BX24" s="241">
        <f>Sales!BX33</f>
        <v>0</v>
      </c>
      <c r="BY24" s="235">
        <f>Sales!BY33</f>
        <v>211.15</v>
      </c>
      <c r="BZ24" s="241">
        <f>Sales!BZ33</f>
        <v>0</v>
      </c>
      <c r="CA24" s="241">
        <f>Sales!CA33</f>
        <v>0</v>
      </c>
      <c r="CB24" s="241">
        <f>Sales!CB33</f>
        <v>0</v>
      </c>
      <c r="CC24" s="241">
        <f>Sales!CC33</f>
        <v>0</v>
      </c>
      <c r="CD24" s="235">
        <f>Sales!CD33</f>
        <v>211.15</v>
      </c>
      <c r="CE24" s="12"/>
    </row>
    <row r="25" spans="1:83" s="198" customFormat="1" hidden="1" outlineLevel="2" x14ac:dyDescent="0.15">
      <c r="A25" s="12"/>
      <c r="B25" s="238" t="str">
        <f>Sales!B35</f>
        <v>CeraVe</v>
      </c>
      <c r="C25" s="231">
        <f>Sales!C35</f>
        <v>0</v>
      </c>
      <c r="D25" s="231">
        <f>Sales!D35</f>
        <v>0</v>
      </c>
      <c r="E25" s="231">
        <f>Sales!E35</f>
        <v>0</v>
      </c>
      <c r="F25" s="231">
        <f>Sales!F35</f>
        <v>0</v>
      </c>
      <c r="G25" s="232">
        <f>Sales!G35</f>
        <v>0</v>
      </c>
      <c r="H25" s="231">
        <f>Sales!H35</f>
        <v>0</v>
      </c>
      <c r="I25" s="231">
        <f>Sales!I35</f>
        <v>0</v>
      </c>
      <c r="J25" s="231">
        <f>Sales!J35</f>
        <v>0</v>
      </c>
      <c r="K25" s="231">
        <f>Sales!K35</f>
        <v>0</v>
      </c>
      <c r="L25" s="232">
        <f>Sales!L35</f>
        <v>0</v>
      </c>
      <c r="M25" s="231">
        <f>Sales!M35</f>
        <v>0</v>
      </c>
      <c r="N25" s="231">
        <f>Sales!N35</f>
        <v>0</v>
      </c>
      <c r="O25" s="231">
        <f>Sales!O35</f>
        <v>0</v>
      </c>
      <c r="P25" s="231">
        <f>Sales!P35</f>
        <v>0</v>
      </c>
      <c r="Q25" s="232">
        <f>Sales!Q35</f>
        <v>0</v>
      </c>
      <c r="R25" s="231">
        <f>Sales!R35</f>
        <v>0</v>
      </c>
      <c r="S25" s="231">
        <f>Sales!S35</f>
        <v>0</v>
      </c>
      <c r="T25" s="231">
        <f>Sales!T35</f>
        <v>0</v>
      </c>
      <c r="U25" s="231">
        <f>Sales!U35</f>
        <v>0</v>
      </c>
      <c r="V25" s="233">
        <f>Sales!V35</f>
        <v>0</v>
      </c>
      <c r="W25" s="234">
        <f>Sales!W35</f>
        <v>0</v>
      </c>
      <c r="X25" s="234">
        <f>Sales!X35</f>
        <v>0</v>
      </c>
      <c r="Y25" s="234">
        <f>Sales!Y35</f>
        <v>0</v>
      </c>
      <c r="Z25" s="234">
        <f>Sales!Z35</f>
        <v>0</v>
      </c>
      <c r="AA25" s="233">
        <f>Sales!AA35</f>
        <v>0</v>
      </c>
      <c r="AB25" s="234">
        <f>Sales!AB35</f>
        <v>0</v>
      </c>
      <c r="AC25" s="234">
        <f>Sales!AC35</f>
        <v>0</v>
      </c>
      <c r="AD25" s="234">
        <f>Sales!AD35</f>
        <v>0</v>
      </c>
      <c r="AE25" s="234">
        <f>Sales!AE35</f>
        <v>0</v>
      </c>
      <c r="AF25" s="233">
        <f>Sales!AF35</f>
        <v>0</v>
      </c>
      <c r="AG25" s="234">
        <f>Sales!AG35</f>
        <v>0</v>
      </c>
      <c r="AH25" s="234">
        <f>Sales!AH35</f>
        <v>0</v>
      </c>
      <c r="AI25" s="234">
        <f>Sales!AI35</f>
        <v>0</v>
      </c>
      <c r="AJ25" s="234">
        <f>Sales!AJ35</f>
        <v>0</v>
      </c>
      <c r="AK25" s="233">
        <f>Sales!AK35</f>
        <v>0</v>
      </c>
      <c r="AL25" s="234">
        <f>Sales!AL35</f>
        <v>0</v>
      </c>
      <c r="AM25" s="234">
        <f>Sales!AM35</f>
        <v>0</v>
      </c>
      <c r="AN25" s="234">
        <f>Sales!AN35</f>
        <v>0</v>
      </c>
      <c r="AO25" s="234">
        <f>Sales!AO35</f>
        <v>0</v>
      </c>
      <c r="AP25" s="233">
        <f>Sales!AP35</f>
        <v>0</v>
      </c>
      <c r="AQ25" s="283">
        <f>Sales!AQ35</f>
        <v>0</v>
      </c>
      <c r="AR25" s="231">
        <f>Sales!AR35</f>
        <v>0</v>
      </c>
      <c r="AS25" s="236">
        <f>Sales!AS35</f>
        <v>0</v>
      </c>
      <c r="AT25" s="236">
        <f>Sales!AT35</f>
        <v>0</v>
      </c>
      <c r="AU25" s="235">
        <f>Sales!AU35</f>
        <v>0</v>
      </c>
      <c r="AV25" s="236">
        <f>Sales!AV35</f>
        <v>22</v>
      </c>
      <c r="AW25" s="236">
        <f>Sales!AW35</f>
        <v>26</v>
      </c>
      <c r="AX25" s="236">
        <f>Sales!AX35</f>
        <v>20</v>
      </c>
      <c r="AY25" s="236">
        <f>Sales!AY35</f>
        <v>27</v>
      </c>
      <c r="AZ25" s="235">
        <f>Sales!AZ35</f>
        <v>95</v>
      </c>
      <c r="BA25" s="236">
        <f>Sales!BA35</f>
        <v>30</v>
      </c>
      <c r="BB25" s="236">
        <f>Sales!BB35</f>
        <v>30</v>
      </c>
      <c r="BC25" s="240">
        <f>Sales!BC35</f>
        <v>26</v>
      </c>
      <c r="BD25" s="240">
        <f>Sales!BD35</f>
        <v>39</v>
      </c>
      <c r="BE25" s="235">
        <f>Sales!BE35</f>
        <v>125</v>
      </c>
      <c r="BF25" s="237">
        <f>Sales!BF35</f>
        <v>34</v>
      </c>
      <c r="BG25" s="237">
        <f>Sales!BG35</f>
        <v>34</v>
      </c>
      <c r="BH25" s="237">
        <f>Sales!BH35</f>
        <v>30</v>
      </c>
      <c r="BI25" s="237">
        <f>Sales!BI35</f>
        <v>40</v>
      </c>
      <c r="BJ25" s="235">
        <f>Sales!BJ35</f>
        <v>138</v>
      </c>
      <c r="BK25" s="241">
        <f>Sales!BK35</f>
        <v>0</v>
      </c>
      <c r="BL25" s="241">
        <f>Sales!BL35</f>
        <v>0</v>
      </c>
      <c r="BM25" s="241">
        <f>Sales!BM35</f>
        <v>0</v>
      </c>
      <c r="BN25" s="241">
        <f>Sales!BN35</f>
        <v>0</v>
      </c>
      <c r="BO25" s="235">
        <f>Sales!BO35</f>
        <v>146.28</v>
      </c>
      <c r="BP25" s="241">
        <f>Sales!BP35</f>
        <v>0</v>
      </c>
      <c r="BQ25" s="241">
        <f>Sales!BQ35</f>
        <v>0</v>
      </c>
      <c r="BR25" s="241">
        <f>Sales!BR35</f>
        <v>0</v>
      </c>
      <c r="BS25" s="241">
        <f>Sales!BS35</f>
        <v>0</v>
      </c>
      <c r="BT25" s="235">
        <f>Sales!BT35</f>
        <v>153.59399999999999</v>
      </c>
      <c r="BU25" s="241">
        <f>Sales!BU35</f>
        <v>0</v>
      </c>
      <c r="BV25" s="241">
        <f>Sales!BV35</f>
        <v>0</v>
      </c>
      <c r="BW25" s="241">
        <f>Sales!BW35</f>
        <v>0</v>
      </c>
      <c r="BX25" s="241">
        <f>Sales!BX35</f>
        <v>0</v>
      </c>
      <c r="BY25" s="235">
        <f>Sales!BY35</f>
        <v>159.73776000000001</v>
      </c>
      <c r="BZ25" s="241">
        <f>Sales!BZ35</f>
        <v>0</v>
      </c>
      <c r="CA25" s="241">
        <f>Sales!CA35</f>
        <v>0</v>
      </c>
      <c r="CB25" s="241">
        <f>Sales!CB35</f>
        <v>0</v>
      </c>
      <c r="CC25" s="241">
        <f>Sales!CC35</f>
        <v>0</v>
      </c>
      <c r="CD25" s="235">
        <f>Sales!CD35</f>
        <v>164.5298928</v>
      </c>
      <c r="CE25" s="12"/>
    </row>
    <row r="26" spans="1:83" s="198" customFormat="1" hidden="1" outlineLevel="2" x14ac:dyDescent="0.15">
      <c r="A26" s="12"/>
      <c r="B26" s="238" t="str">
        <f>Sales!B37</f>
        <v>BioTrue Solution</v>
      </c>
      <c r="C26" s="231">
        <f>Sales!C37</f>
        <v>0</v>
      </c>
      <c r="D26" s="231">
        <f>Sales!D37</f>
        <v>0</v>
      </c>
      <c r="E26" s="231">
        <f>Sales!E37</f>
        <v>0</v>
      </c>
      <c r="F26" s="231">
        <f>Sales!F37</f>
        <v>0</v>
      </c>
      <c r="G26" s="232">
        <f>Sales!G37</f>
        <v>0</v>
      </c>
      <c r="H26" s="231">
        <f>Sales!H37</f>
        <v>0</v>
      </c>
      <c r="I26" s="231">
        <f>Sales!I37</f>
        <v>0</v>
      </c>
      <c r="J26" s="231">
        <f>Sales!J37</f>
        <v>0</v>
      </c>
      <c r="K26" s="231">
        <f>Sales!K37</f>
        <v>0</v>
      </c>
      <c r="L26" s="232">
        <f>Sales!L37</f>
        <v>0</v>
      </c>
      <c r="M26" s="231">
        <f>Sales!M37</f>
        <v>0</v>
      </c>
      <c r="N26" s="231">
        <f>Sales!N37</f>
        <v>0</v>
      </c>
      <c r="O26" s="231">
        <f>Sales!O37</f>
        <v>0</v>
      </c>
      <c r="P26" s="231">
        <f>Sales!P37</f>
        <v>0</v>
      </c>
      <c r="Q26" s="232">
        <f>Sales!Q37</f>
        <v>0</v>
      </c>
      <c r="R26" s="231">
        <f>Sales!R37</f>
        <v>0</v>
      </c>
      <c r="S26" s="231">
        <f>Sales!S37</f>
        <v>0</v>
      </c>
      <c r="T26" s="231">
        <f>Sales!T37</f>
        <v>0</v>
      </c>
      <c r="U26" s="231">
        <f>Sales!U37</f>
        <v>0</v>
      </c>
      <c r="V26" s="233">
        <f>Sales!V37</f>
        <v>0</v>
      </c>
      <c r="W26" s="234">
        <f>Sales!W37</f>
        <v>0</v>
      </c>
      <c r="X26" s="234">
        <f>Sales!X37</f>
        <v>0</v>
      </c>
      <c r="Y26" s="234">
        <f>Sales!Y37</f>
        <v>0</v>
      </c>
      <c r="Z26" s="234">
        <f>Sales!Z37</f>
        <v>0</v>
      </c>
      <c r="AA26" s="233">
        <f>Sales!AA37</f>
        <v>0</v>
      </c>
      <c r="AB26" s="234">
        <f>Sales!AB37</f>
        <v>0</v>
      </c>
      <c r="AC26" s="234">
        <f>Sales!AC37</f>
        <v>0</v>
      </c>
      <c r="AD26" s="234">
        <f>Sales!AD37</f>
        <v>0</v>
      </c>
      <c r="AE26" s="234">
        <f>Sales!AE37</f>
        <v>0</v>
      </c>
      <c r="AF26" s="233">
        <f>Sales!AF37</f>
        <v>0</v>
      </c>
      <c r="AG26" s="234">
        <f>Sales!AG37</f>
        <v>0</v>
      </c>
      <c r="AH26" s="234">
        <f>Sales!AH37</f>
        <v>0</v>
      </c>
      <c r="AI26" s="234">
        <f>Sales!AI37</f>
        <v>0</v>
      </c>
      <c r="AJ26" s="234">
        <f>Sales!AJ37</f>
        <v>0</v>
      </c>
      <c r="AK26" s="233">
        <f>Sales!AK37</f>
        <v>0</v>
      </c>
      <c r="AL26" s="234">
        <f>Sales!AL37</f>
        <v>0</v>
      </c>
      <c r="AM26" s="234">
        <f>Sales!AM37</f>
        <v>0</v>
      </c>
      <c r="AN26" s="234">
        <f>Sales!AN37</f>
        <v>0</v>
      </c>
      <c r="AO26" s="234">
        <f>Sales!AO37</f>
        <v>0</v>
      </c>
      <c r="AP26" s="233">
        <f>Sales!AP37</f>
        <v>0</v>
      </c>
      <c r="AQ26" s="283">
        <f>Sales!AQ37</f>
        <v>0</v>
      </c>
      <c r="AR26" s="231">
        <f>Sales!AR37</f>
        <v>0</v>
      </c>
      <c r="AS26" s="236">
        <f>Sales!AS37</f>
        <v>0</v>
      </c>
      <c r="AT26" s="236">
        <f>Sales!AT37</f>
        <v>0</v>
      </c>
      <c r="AU26" s="235">
        <f>Sales!AU37</f>
        <v>0</v>
      </c>
      <c r="AV26" s="236">
        <f>Sales!AV37</f>
        <v>24</v>
      </c>
      <c r="AW26" s="236">
        <f>Sales!AW37</f>
        <v>27</v>
      </c>
      <c r="AX26" s="236">
        <f>Sales!AX37</f>
        <v>26</v>
      </c>
      <c r="AY26" s="236">
        <f>Sales!AY37</f>
        <v>25</v>
      </c>
      <c r="AZ26" s="235">
        <f>Sales!AZ37</f>
        <v>102</v>
      </c>
      <c r="BA26" s="236">
        <f>Sales!BA37</f>
        <v>28</v>
      </c>
      <c r="BB26" s="236">
        <f>Sales!BB37</f>
        <v>29</v>
      </c>
      <c r="BC26" s="240">
        <f>Sales!BC37</f>
        <v>31</v>
      </c>
      <c r="BD26" s="240">
        <f>Sales!BD37</f>
        <v>28</v>
      </c>
      <c r="BE26" s="235">
        <f>Sales!BE37</f>
        <v>116</v>
      </c>
      <c r="BF26" s="237">
        <f>Sales!BF37</f>
        <v>28</v>
      </c>
      <c r="BG26" s="237">
        <f>Sales!BG37</f>
        <v>32</v>
      </c>
      <c r="BH26" s="237">
        <f>Sales!BH37</f>
        <v>34</v>
      </c>
      <c r="BI26" s="237">
        <f>Sales!BI37</f>
        <v>33</v>
      </c>
      <c r="BJ26" s="235">
        <f>Sales!BJ37</f>
        <v>127</v>
      </c>
      <c r="BK26" s="241">
        <f>Sales!BK37</f>
        <v>0</v>
      </c>
      <c r="BL26" s="241">
        <f>Sales!BL37</f>
        <v>0</v>
      </c>
      <c r="BM26" s="241">
        <f>Sales!BM37</f>
        <v>0</v>
      </c>
      <c r="BN26" s="241">
        <f>Sales!BN37</f>
        <v>0</v>
      </c>
      <c r="BO26" s="235">
        <f>Sales!BO37</f>
        <v>137.16</v>
      </c>
      <c r="BP26" s="241">
        <f>Sales!BP37</f>
        <v>0</v>
      </c>
      <c r="BQ26" s="241">
        <f>Sales!BQ37</f>
        <v>0</v>
      </c>
      <c r="BR26" s="241">
        <f>Sales!BR37</f>
        <v>0</v>
      </c>
      <c r="BS26" s="241">
        <f>Sales!BS37</f>
        <v>0</v>
      </c>
      <c r="BT26" s="235">
        <f>Sales!BT37</f>
        <v>145.3896</v>
      </c>
      <c r="BU26" s="241">
        <f>Sales!BU37</f>
        <v>0</v>
      </c>
      <c r="BV26" s="241">
        <f>Sales!BV37</f>
        <v>0</v>
      </c>
      <c r="BW26" s="241">
        <f>Sales!BW37</f>
        <v>0</v>
      </c>
      <c r="BX26" s="241">
        <f>Sales!BX37</f>
        <v>0</v>
      </c>
      <c r="BY26" s="235">
        <f>Sales!BY37</f>
        <v>152.65908000000002</v>
      </c>
      <c r="BZ26" s="241">
        <f>Sales!BZ37</f>
        <v>0</v>
      </c>
      <c r="CA26" s="241">
        <f>Sales!CA37</f>
        <v>0</v>
      </c>
      <c r="CB26" s="241">
        <f>Sales!CB37</f>
        <v>0</v>
      </c>
      <c r="CC26" s="241">
        <f>Sales!CC37</f>
        <v>0</v>
      </c>
      <c r="CD26" s="235">
        <f>Sales!CD37</f>
        <v>158.76544320000002</v>
      </c>
      <c r="CE26" s="12"/>
    </row>
    <row r="27" spans="1:83" s="252" customFormat="1" hidden="1" outlineLevel="2" x14ac:dyDescent="0.15">
      <c r="B27" s="238" t="str">
        <f>Sales!B39</f>
        <v>Luminesse (Eye-whitening)</v>
      </c>
      <c r="C27" s="253">
        <f>Sales!C39</f>
        <v>0</v>
      </c>
      <c r="D27" s="254">
        <f>Sales!D39</f>
        <v>0</v>
      </c>
      <c r="E27" s="254">
        <f>Sales!E39</f>
        <v>0</v>
      </c>
      <c r="F27" s="254">
        <f>Sales!F39</f>
        <v>0</v>
      </c>
      <c r="G27" s="255">
        <f>Sales!G39</f>
        <v>0</v>
      </c>
      <c r="H27" s="254">
        <f>Sales!H39</f>
        <v>0</v>
      </c>
      <c r="I27" s="254">
        <f>Sales!I39</f>
        <v>0</v>
      </c>
      <c r="J27" s="254">
        <f>Sales!J39</f>
        <v>0</v>
      </c>
      <c r="K27" s="254">
        <f>Sales!K39</f>
        <v>0</v>
      </c>
      <c r="L27" s="255">
        <f>Sales!L39</f>
        <v>0</v>
      </c>
      <c r="M27" s="254">
        <f>Sales!M39</f>
        <v>0</v>
      </c>
      <c r="N27" s="254">
        <f>Sales!N39</f>
        <v>0</v>
      </c>
      <c r="O27" s="254">
        <f>Sales!O39</f>
        <v>0</v>
      </c>
      <c r="P27" s="254">
        <f>Sales!P39</f>
        <v>0</v>
      </c>
      <c r="Q27" s="255">
        <f>Sales!Q39</f>
        <v>0</v>
      </c>
      <c r="R27" s="254">
        <f>Sales!R39</f>
        <v>0</v>
      </c>
      <c r="S27" s="254">
        <f>Sales!S39</f>
        <v>0</v>
      </c>
      <c r="T27" s="254">
        <f>Sales!T39</f>
        <v>0</v>
      </c>
      <c r="U27" s="254">
        <f>Sales!U39</f>
        <v>0</v>
      </c>
      <c r="V27" s="255">
        <f>Sales!V39</f>
        <v>0</v>
      </c>
      <c r="W27" s="256">
        <f>Sales!W39</f>
        <v>0</v>
      </c>
      <c r="X27" s="257">
        <f>Sales!X39</f>
        <v>0</v>
      </c>
      <c r="Y27" s="257">
        <f>Sales!Y39</f>
        <v>0</v>
      </c>
      <c r="Z27" s="257">
        <f>Sales!Z39</f>
        <v>0</v>
      </c>
      <c r="AA27" s="258">
        <f>Sales!AA39</f>
        <v>0</v>
      </c>
      <c r="AB27" s="256">
        <f>Sales!AB39</f>
        <v>0</v>
      </c>
      <c r="AC27" s="256">
        <f>Sales!AC39</f>
        <v>0</v>
      </c>
      <c r="AD27" s="256">
        <f>Sales!AD39</f>
        <v>0</v>
      </c>
      <c r="AE27" s="256">
        <f>Sales!AE39</f>
        <v>0</v>
      </c>
      <c r="AF27" s="258">
        <f>Sales!AF39</f>
        <v>0</v>
      </c>
      <c r="AG27" s="256">
        <f>Sales!AG39</f>
        <v>0</v>
      </c>
      <c r="AH27" s="256">
        <f>Sales!AH39</f>
        <v>0</v>
      </c>
      <c r="AI27" s="256">
        <f>Sales!AI39</f>
        <v>0</v>
      </c>
      <c r="AJ27" s="256">
        <f>Sales!AJ39</f>
        <v>0</v>
      </c>
      <c r="AK27" s="258">
        <f>Sales!AK39</f>
        <v>0</v>
      </c>
      <c r="AL27" s="257">
        <f>Sales!AL39</f>
        <v>0</v>
      </c>
      <c r="AM27" s="257">
        <f>Sales!AM39</f>
        <v>0</v>
      </c>
      <c r="AN27" s="257">
        <f>Sales!AN39</f>
        <v>0</v>
      </c>
      <c r="AO27" s="257">
        <f>Sales!AO39</f>
        <v>0</v>
      </c>
      <c r="AP27" s="258">
        <f>Sales!AP39</f>
        <v>0</v>
      </c>
      <c r="AQ27" s="290">
        <f>Sales!AQ39</f>
        <v>0</v>
      </c>
      <c r="AR27" s="257">
        <f>Sales!AR39</f>
        <v>0</v>
      </c>
      <c r="AS27" s="240">
        <f>Sales!AS39</f>
        <v>0</v>
      </c>
      <c r="AT27" s="240">
        <f>Sales!AT39</f>
        <v>0</v>
      </c>
      <c r="AU27" s="235">
        <f>Sales!AU39</f>
        <v>0</v>
      </c>
      <c r="AV27" s="240">
        <f>Sales!AV39</f>
        <v>0</v>
      </c>
      <c r="AW27" s="240">
        <f>Sales!AW39</f>
        <v>0</v>
      </c>
      <c r="AX27" s="240">
        <f>Sales!AX39</f>
        <v>0</v>
      </c>
      <c r="AY27" s="240">
        <f>Sales!AY39</f>
        <v>0</v>
      </c>
      <c r="AZ27" s="235">
        <f>Sales!AZ39</f>
        <v>0</v>
      </c>
      <c r="BA27" s="240">
        <f>Sales!BA39</f>
        <v>0</v>
      </c>
      <c r="BB27" s="240">
        <f>Sales!BB39</f>
        <v>0</v>
      </c>
      <c r="BC27" s="240">
        <f>Sales!BC39</f>
        <v>0</v>
      </c>
      <c r="BD27" s="240">
        <f>Sales!BD39</f>
        <v>0</v>
      </c>
      <c r="BE27" s="235">
        <f>Sales!BE39</f>
        <v>0</v>
      </c>
      <c r="BF27" s="241">
        <f>Sales!BF39</f>
        <v>0</v>
      </c>
      <c r="BG27" s="241">
        <f>Sales!BG39</f>
        <v>0</v>
      </c>
      <c r="BH27" s="241">
        <f>Sales!BH39</f>
        <v>5</v>
      </c>
      <c r="BI27" s="241">
        <f>Sales!BI39</f>
        <v>10</v>
      </c>
      <c r="BJ27" s="235">
        <f>Sales!BJ39</f>
        <v>15</v>
      </c>
      <c r="BK27" s="241">
        <f>Sales!BK39</f>
        <v>0</v>
      </c>
      <c r="BL27" s="241">
        <f>Sales!BL39</f>
        <v>0</v>
      </c>
      <c r="BM27" s="241">
        <f>Sales!BM39</f>
        <v>0</v>
      </c>
      <c r="BN27" s="241">
        <f>Sales!BN39</f>
        <v>0</v>
      </c>
      <c r="BO27" s="235">
        <f>Sales!BO39</f>
        <v>50</v>
      </c>
      <c r="BP27" s="241">
        <f>Sales!BP39</f>
        <v>0</v>
      </c>
      <c r="BQ27" s="241">
        <f>Sales!BQ39</f>
        <v>0</v>
      </c>
      <c r="BR27" s="241">
        <f>Sales!BR39</f>
        <v>0</v>
      </c>
      <c r="BS27" s="241">
        <f>Sales!BS39</f>
        <v>0</v>
      </c>
      <c r="BT27" s="235">
        <f>Sales!BT39</f>
        <v>75</v>
      </c>
      <c r="BU27" s="241">
        <f>Sales!BU39</f>
        <v>0</v>
      </c>
      <c r="BV27" s="241">
        <f>Sales!BV39</f>
        <v>0</v>
      </c>
      <c r="BW27" s="241">
        <f>Sales!BW39</f>
        <v>0</v>
      </c>
      <c r="BX27" s="241">
        <f>Sales!BX39</f>
        <v>0</v>
      </c>
      <c r="BY27" s="235">
        <f>Sales!BY39</f>
        <v>100</v>
      </c>
      <c r="BZ27" s="241">
        <f>Sales!BZ39</f>
        <v>0</v>
      </c>
      <c r="CA27" s="241">
        <f>Sales!CA39</f>
        <v>0</v>
      </c>
      <c r="CB27" s="241">
        <f>Sales!CB39</f>
        <v>0</v>
      </c>
      <c r="CC27" s="241">
        <f>Sales!CC39</f>
        <v>0</v>
      </c>
      <c r="CD27" s="235">
        <f>Sales!CD39</f>
        <v>125</v>
      </c>
    </row>
    <row r="28" spans="1:83" s="291" customFormat="1" ht="15" hidden="1" outlineLevel="2" x14ac:dyDescent="0.3">
      <c r="B28" s="625" t="str">
        <f>Sales!B41</f>
        <v>Other Consumer</v>
      </c>
      <c r="C28" s="630">
        <f>Sales!C41</f>
        <v>0</v>
      </c>
      <c r="D28" s="630">
        <f>Sales!D41</f>
        <v>0</v>
      </c>
      <c r="E28" s="630">
        <f>Sales!E41</f>
        <v>0</v>
      </c>
      <c r="F28" s="631">
        <f>Sales!F41</f>
        <v>0</v>
      </c>
      <c r="G28" s="632">
        <f>Sales!G41</f>
        <v>0</v>
      </c>
      <c r="H28" s="631">
        <f>Sales!H41</f>
        <v>0</v>
      </c>
      <c r="I28" s="631">
        <f>Sales!I41</f>
        <v>0</v>
      </c>
      <c r="J28" s="631">
        <f>Sales!J41</f>
        <v>0</v>
      </c>
      <c r="K28" s="631">
        <f>Sales!K41</f>
        <v>0</v>
      </c>
      <c r="L28" s="632">
        <f>Sales!L41</f>
        <v>0</v>
      </c>
      <c r="M28" s="631">
        <f>Sales!M41</f>
        <v>0</v>
      </c>
      <c r="N28" s="631">
        <f>Sales!N41</f>
        <v>0</v>
      </c>
      <c r="O28" s="631">
        <f>Sales!O41</f>
        <v>0</v>
      </c>
      <c r="P28" s="631">
        <f>Sales!P41</f>
        <v>0</v>
      </c>
      <c r="Q28" s="632">
        <f>Sales!Q41</f>
        <v>0</v>
      </c>
      <c r="R28" s="633">
        <f>Sales!R41</f>
        <v>0</v>
      </c>
      <c r="S28" s="633">
        <f>Sales!S41</f>
        <v>0</v>
      </c>
      <c r="T28" s="633">
        <f>Sales!T41</f>
        <v>0</v>
      </c>
      <c r="U28" s="633">
        <f>Sales!U41</f>
        <v>0</v>
      </c>
      <c r="V28" s="634">
        <f>Sales!V41</f>
        <v>0</v>
      </c>
      <c r="W28" s="633">
        <f>Sales!W41</f>
        <v>0</v>
      </c>
      <c r="X28" s="633">
        <f>Sales!X41</f>
        <v>0</v>
      </c>
      <c r="Y28" s="633">
        <f>Sales!Y41</f>
        <v>0</v>
      </c>
      <c r="Z28" s="633">
        <f>Sales!Z41</f>
        <v>0</v>
      </c>
      <c r="AA28" s="634">
        <f>Sales!AA41</f>
        <v>0</v>
      </c>
      <c r="AB28" s="633">
        <f>Sales!AB41</f>
        <v>0</v>
      </c>
      <c r="AC28" s="633">
        <f>Sales!AC41</f>
        <v>0</v>
      </c>
      <c r="AD28" s="633">
        <f>Sales!AD41</f>
        <v>0</v>
      </c>
      <c r="AE28" s="633">
        <f>Sales!AE41</f>
        <v>0</v>
      </c>
      <c r="AF28" s="634">
        <f>Sales!AF41</f>
        <v>0</v>
      </c>
      <c r="AG28" s="633">
        <f>Sales!AG41</f>
        <v>0</v>
      </c>
      <c r="AH28" s="633">
        <f>Sales!AH41</f>
        <v>0</v>
      </c>
      <c r="AI28" s="633">
        <f>Sales!AI41</f>
        <v>0</v>
      </c>
      <c r="AJ28" s="635">
        <f>Sales!AJ41</f>
        <v>0</v>
      </c>
      <c r="AK28" s="634">
        <f>Sales!AK41</f>
        <v>0</v>
      </c>
      <c r="AL28" s="636">
        <f>Sales!AL41</f>
        <v>0</v>
      </c>
      <c r="AM28" s="637">
        <f>Sales!AM41</f>
        <v>0</v>
      </c>
      <c r="AN28" s="636">
        <f>Sales!AN41</f>
        <v>0</v>
      </c>
      <c r="AO28" s="637">
        <f>Sales!AO41</f>
        <v>0</v>
      </c>
      <c r="AP28" s="634">
        <f>Sales!AP41</f>
        <v>0</v>
      </c>
      <c r="AQ28" s="638">
        <f>Sales!AQ41</f>
        <v>0</v>
      </c>
      <c r="AR28" s="637">
        <f>Sales!AR41</f>
        <v>0</v>
      </c>
      <c r="AS28" s="637">
        <f>Sales!AS41</f>
        <v>0</v>
      </c>
      <c r="AT28" s="637">
        <f>Sales!AT41</f>
        <v>0</v>
      </c>
      <c r="AU28" s="639">
        <f>Sales!AU41</f>
        <v>0</v>
      </c>
      <c r="AV28" s="626">
        <f>Sales!AV41</f>
        <v>-17</v>
      </c>
      <c r="AW28" s="626">
        <f>Sales!AW41</f>
        <v>-7.4000000000000057</v>
      </c>
      <c r="AX28" s="626">
        <f>Sales!AX41</f>
        <v>-7.5999999999999943</v>
      </c>
      <c r="AY28" s="626">
        <f>Sales!AY41</f>
        <v>-18.599999999999994</v>
      </c>
      <c r="AZ28" s="627">
        <f>Sales!AZ41</f>
        <v>-50.600000000000023</v>
      </c>
      <c r="BA28" s="626">
        <f>Sales!BA41</f>
        <v>-4.5</v>
      </c>
      <c r="BB28" s="626">
        <f>Sales!BB41</f>
        <v>-0.80000000000001137</v>
      </c>
      <c r="BC28" s="640">
        <f>Sales!BC41</f>
        <v>-17</v>
      </c>
      <c r="BD28" s="640">
        <f>Sales!BD41</f>
        <v>-26.099999999999994</v>
      </c>
      <c r="BE28" s="627">
        <f>Sales!BE41</f>
        <v>-48.400000000000006</v>
      </c>
      <c r="BF28" s="629">
        <f>Sales!BF41</f>
        <v>-25</v>
      </c>
      <c r="BG28" s="629">
        <f>Sales!BG41</f>
        <v>-25</v>
      </c>
      <c r="BH28" s="629">
        <f>Sales!BH41</f>
        <v>-25</v>
      </c>
      <c r="BI28" s="629">
        <f>Sales!BI41</f>
        <v>-25</v>
      </c>
      <c r="BJ28" s="627">
        <f>Sales!BJ41</f>
        <v>-100</v>
      </c>
      <c r="BK28" s="629">
        <f>Sales!BK41</f>
        <v>0</v>
      </c>
      <c r="BL28" s="629">
        <f>Sales!BL41</f>
        <v>0</v>
      </c>
      <c r="BM28" s="629">
        <f>Sales!BM41</f>
        <v>0</v>
      </c>
      <c r="BN28" s="629">
        <f>Sales!BN41</f>
        <v>0</v>
      </c>
      <c r="BO28" s="627">
        <f>Sales!BO41</f>
        <v>-100</v>
      </c>
      <c r="BP28" s="629">
        <f>Sales!BP41</f>
        <v>0</v>
      </c>
      <c r="BQ28" s="629">
        <f>Sales!BQ41</f>
        <v>0</v>
      </c>
      <c r="BR28" s="629">
        <f>Sales!BR41</f>
        <v>0</v>
      </c>
      <c r="BS28" s="629">
        <f>Sales!BS41</f>
        <v>0</v>
      </c>
      <c r="BT28" s="627">
        <f>Sales!BT41</f>
        <v>-100</v>
      </c>
      <c r="BU28" s="629">
        <f>Sales!BU41</f>
        <v>0</v>
      </c>
      <c r="BV28" s="629">
        <f>Sales!BV41</f>
        <v>0</v>
      </c>
      <c r="BW28" s="629">
        <f>Sales!BW41</f>
        <v>0</v>
      </c>
      <c r="BX28" s="629">
        <f>Sales!BX41</f>
        <v>0</v>
      </c>
      <c r="BY28" s="627">
        <f>Sales!BY41</f>
        <v>-100</v>
      </c>
      <c r="BZ28" s="629">
        <f>Sales!BZ41</f>
        <v>0</v>
      </c>
      <c r="CA28" s="629">
        <f>Sales!CA41</f>
        <v>0</v>
      </c>
      <c r="CB28" s="629">
        <f>Sales!CB41</f>
        <v>0</v>
      </c>
      <c r="CC28" s="629">
        <f>Sales!CC41</f>
        <v>0</v>
      </c>
      <c r="CD28" s="627">
        <f>Sales!CD41</f>
        <v>-100</v>
      </c>
    </row>
    <row r="29" spans="1:83" s="291" customFormat="1" collapsed="1" x14ac:dyDescent="0.15">
      <c r="B29" s="298" t="str">
        <f>Sales!B43</f>
        <v>Total Consumer</v>
      </c>
      <c r="C29" s="299">
        <f>Sales!C43</f>
        <v>0</v>
      </c>
      <c r="D29" s="299">
        <f>Sales!D43</f>
        <v>0</v>
      </c>
      <c r="E29" s="299">
        <f>Sales!E43</f>
        <v>0</v>
      </c>
      <c r="F29" s="300">
        <f>Sales!F43</f>
        <v>0</v>
      </c>
      <c r="G29" s="301">
        <f>Sales!G43</f>
        <v>0</v>
      </c>
      <c r="H29" s="300">
        <f>Sales!H43</f>
        <v>0</v>
      </c>
      <c r="I29" s="300">
        <f>Sales!I43</f>
        <v>0</v>
      </c>
      <c r="J29" s="300">
        <f>Sales!J43</f>
        <v>0</v>
      </c>
      <c r="K29" s="300">
        <f>Sales!K43</f>
        <v>0</v>
      </c>
      <c r="L29" s="301">
        <f>Sales!L43</f>
        <v>0</v>
      </c>
      <c r="M29" s="300">
        <f>Sales!M43</f>
        <v>0</v>
      </c>
      <c r="N29" s="300">
        <f>Sales!N43</f>
        <v>0</v>
      </c>
      <c r="O29" s="300">
        <f>Sales!O43</f>
        <v>0</v>
      </c>
      <c r="P29" s="300">
        <f>Sales!P43</f>
        <v>0</v>
      </c>
      <c r="Q29" s="301">
        <f>Sales!Q43</f>
        <v>0</v>
      </c>
      <c r="R29" s="302">
        <f>Sales!R43</f>
        <v>0</v>
      </c>
      <c r="S29" s="302">
        <f>Sales!S43</f>
        <v>0</v>
      </c>
      <c r="T29" s="302">
        <f>Sales!T43</f>
        <v>0</v>
      </c>
      <c r="U29" s="302">
        <f>Sales!U43</f>
        <v>0</v>
      </c>
      <c r="V29" s="303">
        <f>Sales!V43</f>
        <v>0</v>
      </c>
      <c r="W29" s="302">
        <f>Sales!W43</f>
        <v>0</v>
      </c>
      <c r="X29" s="302">
        <f>Sales!X43</f>
        <v>0</v>
      </c>
      <c r="Y29" s="302">
        <f>Sales!Y43</f>
        <v>0</v>
      </c>
      <c r="Z29" s="302">
        <f>Sales!Z43</f>
        <v>0</v>
      </c>
      <c r="AA29" s="303">
        <f>Sales!AA43</f>
        <v>0</v>
      </c>
      <c r="AB29" s="302">
        <f>Sales!AB43</f>
        <v>0</v>
      </c>
      <c r="AC29" s="302">
        <f>Sales!AC43</f>
        <v>0</v>
      </c>
      <c r="AD29" s="302">
        <f>Sales!AD43</f>
        <v>0</v>
      </c>
      <c r="AE29" s="302">
        <f>Sales!AE43</f>
        <v>0</v>
      </c>
      <c r="AF29" s="303">
        <f>Sales!AF43</f>
        <v>0</v>
      </c>
      <c r="AG29" s="302">
        <f>Sales!AG43</f>
        <v>0</v>
      </c>
      <c r="AH29" s="302">
        <f>Sales!AH43</f>
        <v>0</v>
      </c>
      <c r="AI29" s="302">
        <f>Sales!AI43</f>
        <v>0</v>
      </c>
      <c r="AJ29" s="304">
        <f>Sales!AJ43</f>
        <v>0</v>
      </c>
      <c r="AK29" s="303">
        <f>Sales!AK43</f>
        <v>0</v>
      </c>
      <c r="AL29" s="305">
        <f>Sales!AL43</f>
        <v>0</v>
      </c>
      <c r="AM29" s="306">
        <f>Sales!AM43</f>
        <v>0</v>
      </c>
      <c r="AN29" s="305">
        <f>Sales!AN43</f>
        <v>0</v>
      </c>
      <c r="AO29" s="306">
        <f>Sales!AO43</f>
        <v>0</v>
      </c>
      <c r="AP29" s="307">
        <f>Sales!AP43</f>
        <v>0</v>
      </c>
      <c r="AQ29" s="308">
        <f>Sales!AQ43</f>
        <v>0</v>
      </c>
      <c r="AR29" s="306">
        <f>Sales!AR43</f>
        <v>0</v>
      </c>
      <c r="AS29" s="275">
        <f>Sales!AS43</f>
        <v>98.8</v>
      </c>
      <c r="AT29" s="275">
        <f>Sales!AT43</f>
        <v>133.30000000000001</v>
      </c>
      <c r="AU29" s="307">
        <f>Sales!AU43</f>
        <v>0</v>
      </c>
      <c r="AV29" s="275">
        <f>Sales!AV43</f>
        <v>144</v>
      </c>
      <c r="AW29" s="275">
        <f>Sales!AW43</f>
        <v>160.6</v>
      </c>
      <c r="AX29" s="275">
        <f>Sales!AX43</f>
        <v>141.4</v>
      </c>
      <c r="AY29" s="275">
        <f>Sales!AY43</f>
        <v>141.4</v>
      </c>
      <c r="AZ29" s="277">
        <f>Sales!AZ43</f>
        <v>587.4</v>
      </c>
      <c r="BA29" s="275">
        <f>Sales!BA43</f>
        <v>155.5</v>
      </c>
      <c r="BB29" s="275">
        <f>Sales!BB43</f>
        <v>163.19999999999999</v>
      </c>
      <c r="BC29" s="275">
        <f>Sales!BC43</f>
        <v>151</v>
      </c>
      <c r="BD29" s="275">
        <f>Sales!BD43</f>
        <v>155.9</v>
      </c>
      <c r="BE29" s="277">
        <f>Sales!BE43</f>
        <v>625.6</v>
      </c>
      <c r="BF29" s="285">
        <f>Sales!BF43</f>
        <v>139</v>
      </c>
      <c r="BG29" s="285">
        <f>Sales!BG43</f>
        <v>148</v>
      </c>
      <c r="BH29" s="285">
        <f>Sales!BH43</f>
        <v>156</v>
      </c>
      <c r="BI29" s="285">
        <f>Sales!BI43</f>
        <v>170</v>
      </c>
      <c r="BJ29" s="277">
        <f>Sales!BJ43</f>
        <v>613</v>
      </c>
      <c r="BK29" s="285">
        <f>Sales!BK43</f>
        <v>0</v>
      </c>
      <c r="BL29" s="285">
        <f>Sales!BL43</f>
        <v>0</v>
      </c>
      <c r="BM29" s="285">
        <f>Sales!BM43</f>
        <v>0</v>
      </c>
      <c r="BN29" s="285">
        <f>Sales!BN43</f>
        <v>0</v>
      </c>
      <c r="BO29" s="277">
        <f>Sales!BO43</f>
        <v>663.46999999999991</v>
      </c>
      <c r="BP29" s="285">
        <f>Sales!BP43</f>
        <v>0</v>
      </c>
      <c r="BQ29" s="285">
        <f>Sales!BQ43</f>
        <v>0</v>
      </c>
      <c r="BR29" s="285">
        <f>Sales!BR43</f>
        <v>0</v>
      </c>
      <c r="BS29" s="285">
        <f>Sales!BS43</f>
        <v>0</v>
      </c>
      <c r="BT29" s="277">
        <f>Sales!BT43</f>
        <v>695.25839999999994</v>
      </c>
      <c r="BU29" s="285">
        <f>Sales!BU43</f>
        <v>0</v>
      </c>
      <c r="BV29" s="285">
        <f>Sales!BV43</f>
        <v>0</v>
      </c>
      <c r="BW29" s="285">
        <f>Sales!BW43</f>
        <v>0</v>
      </c>
      <c r="BX29" s="285">
        <f>Sales!BX43</f>
        <v>0</v>
      </c>
      <c r="BY29" s="277">
        <f>Sales!BY43</f>
        <v>725.26664800000003</v>
      </c>
      <c r="BZ29" s="285">
        <f>Sales!BZ43</f>
        <v>0</v>
      </c>
      <c r="CA29" s="285">
        <f>Sales!CA43</f>
        <v>0</v>
      </c>
      <c r="CB29" s="285">
        <f>Sales!CB43</f>
        <v>0</v>
      </c>
      <c r="CC29" s="285">
        <f>Sales!CC43</f>
        <v>0</v>
      </c>
      <c r="CD29" s="277">
        <f>Sales!CD43</f>
        <v>753.09635168</v>
      </c>
    </row>
    <row r="30" spans="1:83" s="285" customFormat="1" hidden="1" x14ac:dyDescent="0.15">
      <c r="B30" s="309" t="str">
        <f>Sales!B44</f>
        <v>growth</v>
      </c>
      <c r="C30" s="310">
        <f>Sales!C44</f>
        <v>0</v>
      </c>
      <c r="D30" s="310">
        <f>Sales!D44</f>
        <v>0</v>
      </c>
      <c r="E30" s="310">
        <f>Sales!E44</f>
        <v>0</v>
      </c>
      <c r="F30" s="310">
        <f>Sales!F44</f>
        <v>0</v>
      </c>
      <c r="G30" s="311">
        <f>Sales!G44</f>
        <v>0</v>
      </c>
      <c r="H30" s="310">
        <f>Sales!H44</f>
        <v>0</v>
      </c>
      <c r="I30" s="310">
        <f>Sales!I44</f>
        <v>0</v>
      </c>
      <c r="J30" s="310">
        <f>Sales!J44</f>
        <v>0</v>
      </c>
      <c r="K30" s="310">
        <f>Sales!K44</f>
        <v>0</v>
      </c>
      <c r="L30" s="311">
        <f>Sales!L44</f>
        <v>0</v>
      </c>
      <c r="M30" s="310">
        <f>Sales!M44</f>
        <v>0</v>
      </c>
      <c r="N30" s="310">
        <f>Sales!N44</f>
        <v>0</v>
      </c>
      <c r="O30" s="310">
        <f>Sales!O44</f>
        <v>0</v>
      </c>
      <c r="P30" s="310">
        <f>Sales!P44</f>
        <v>0</v>
      </c>
      <c r="Q30" s="311">
        <f>Sales!Q44</f>
        <v>0</v>
      </c>
      <c r="R30" s="310">
        <f>Sales!R44</f>
        <v>0</v>
      </c>
      <c r="S30" s="310">
        <f>Sales!S44</f>
        <v>0</v>
      </c>
      <c r="T30" s="310">
        <f>Sales!T44</f>
        <v>0</v>
      </c>
      <c r="U30" s="310">
        <f>Sales!U44</f>
        <v>0</v>
      </c>
      <c r="V30" s="311">
        <f>Sales!V44</f>
        <v>0</v>
      </c>
      <c r="W30" s="310">
        <f>Sales!W44</f>
        <v>0</v>
      </c>
      <c r="X30" s="310">
        <f>Sales!X44</f>
        <v>0</v>
      </c>
      <c r="Y30" s="310">
        <f>Sales!Y44</f>
        <v>0</v>
      </c>
      <c r="Z30" s="310">
        <f>Sales!Z44</f>
        <v>0</v>
      </c>
      <c r="AA30" s="311">
        <f>Sales!AA44</f>
        <v>0</v>
      </c>
      <c r="AB30" s="310">
        <f>Sales!AB44</f>
        <v>0</v>
      </c>
      <c r="AC30" s="310">
        <f>Sales!AC44</f>
        <v>0</v>
      </c>
      <c r="AD30" s="310">
        <f>Sales!AD44</f>
        <v>0</v>
      </c>
      <c r="AE30" s="310">
        <f>Sales!AE44</f>
        <v>0</v>
      </c>
      <c r="AF30" s="311">
        <f>Sales!AF44</f>
        <v>0</v>
      </c>
      <c r="AG30" s="310">
        <f>Sales!AG44</f>
        <v>0</v>
      </c>
      <c r="AH30" s="310">
        <f>Sales!AH44</f>
        <v>0</v>
      </c>
      <c r="AI30" s="310">
        <f>Sales!AI44</f>
        <v>0</v>
      </c>
      <c r="AJ30" s="310">
        <f>Sales!AJ44</f>
        <v>0</v>
      </c>
      <c r="AK30" s="311">
        <f>Sales!AK44</f>
        <v>0</v>
      </c>
      <c r="AL30" s="312">
        <f>Sales!AL44</f>
        <v>0</v>
      </c>
      <c r="AM30" s="313">
        <f>Sales!AM44</f>
        <v>0</v>
      </c>
      <c r="AN30" s="314">
        <f>Sales!AN44</f>
        <v>0</v>
      </c>
      <c r="AO30" s="315">
        <f>Sales!AO44</f>
        <v>0</v>
      </c>
      <c r="AP30" s="311">
        <f>Sales!AP44</f>
        <v>0</v>
      </c>
      <c r="AQ30" s="316">
        <f>Sales!AQ44</f>
        <v>0</v>
      </c>
      <c r="AR30" s="310">
        <f>Sales!AR44</f>
        <v>0</v>
      </c>
      <c r="AS30" s="310">
        <f>Sales!AS44</f>
        <v>0</v>
      </c>
      <c r="AT30" s="310">
        <f>Sales!AT44</f>
        <v>0</v>
      </c>
      <c r="AU30" s="311">
        <f>Sales!AU44</f>
        <v>0</v>
      </c>
      <c r="AV30" s="310">
        <f>Sales!AV44</f>
        <v>0</v>
      </c>
      <c r="AW30" s="310">
        <f>Sales!AW44</f>
        <v>0</v>
      </c>
      <c r="AX30" s="281">
        <f>Sales!AX44</f>
        <v>0.43117408906882604</v>
      </c>
      <c r="AY30" s="281">
        <f>Sales!AY44</f>
        <v>6.0765191297824428E-2</v>
      </c>
      <c r="AZ30" s="311">
        <f>Sales!AZ44</f>
        <v>0</v>
      </c>
      <c r="BA30" s="281">
        <f>Sales!BA44</f>
        <v>7.986111111111116E-2</v>
      </c>
      <c r="BB30" s="281">
        <f>Sales!BB44</f>
        <v>1.6189290161892966E-2</v>
      </c>
      <c r="BC30" s="281">
        <f>Sales!BC44</f>
        <v>6.7892503536067794E-2</v>
      </c>
      <c r="BD30" s="281">
        <f>Sales!BD44</f>
        <v>0.10254596888260248</v>
      </c>
      <c r="BE30" s="282">
        <f>Sales!BE44</f>
        <v>6.5032345931222313E-2</v>
      </c>
      <c r="BF30" s="285">
        <f>Sales!BF44</f>
        <v>-0.10610932475884249</v>
      </c>
      <c r="BG30" s="285">
        <f>Sales!BG44</f>
        <v>-9.3137254901960675E-2</v>
      </c>
      <c r="BH30" s="285">
        <f>Sales!BH44</f>
        <v>3.3112582781456901E-2</v>
      </c>
      <c r="BI30" s="285">
        <f>Sales!BI44</f>
        <v>9.0442591404746642E-2</v>
      </c>
      <c r="BJ30" s="282">
        <f>Sales!BJ44</f>
        <v>-2.0140664961636912E-2</v>
      </c>
      <c r="BK30" s="285">
        <f>Sales!BK44</f>
        <v>0</v>
      </c>
      <c r="BL30" s="285">
        <f>Sales!BL44</f>
        <v>0</v>
      </c>
      <c r="BM30" s="285">
        <f>Sales!BM44</f>
        <v>0</v>
      </c>
      <c r="BN30" s="285">
        <f>Sales!BN44</f>
        <v>0</v>
      </c>
      <c r="BO30" s="282">
        <f>Sales!BO44</f>
        <v>8.2332789559543151E-2</v>
      </c>
      <c r="BP30" s="285">
        <f>Sales!BP44</f>
        <v>0</v>
      </c>
      <c r="BQ30" s="285">
        <f>Sales!BQ44</f>
        <v>0</v>
      </c>
      <c r="BR30" s="285">
        <f>Sales!BR44</f>
        <v>0</v>
      </c>
      <c r="BS30" s="285">
        <f>Sales!BS44</f>
        <v>0</v>
      </c>
      <c r="BT30" s="282">
        <f>Sales!BT44</f>
        <v>4.7912339668711557E-2</v>
      </c>
      <c r="BU30" s="285">
        <f>Sales!BU44</f>
        <v>0</v>
      </c>
      <c r="BV30" s="285">
        <f>Sales!BV44</f>
        <v>0</v>
      </c>
      <c r="BW30" s="285">
        <f>Sales!BW44</f>
        <v>0</v>
      </c>
      <c r="BX30" s="285">
        <f>Sales!BX44</f>
        <v>0</v>
      </c>
      <c r="BY30" s="282">
        <f>Sales!BY44</f>
        <v>4.3161287947042659E-2</v>
      </c>
      <c r="BZ30" s="285">
        <f>Sales!BZ44</f>
        <v>0</v>
      </c>
      <c r="CA30" s="285">
        <f>Sales!CA44</f>
        <v>0</v>
      </c>
      <c r="CB30" s="285">
        <f>Sales!CB44</f>
        <v>0</v>
      </c>
      <c r="CC30" s="285">
        <f>Sales!CC44</f>
        <v>0</v>
      </c>
      <c r="CD30" s="282">
        <f>Sales!CD44</f>
        <v>3.8371685443889358E-2</v>
      </c>
    </row>
    <row r="31" spans="1:83" s="285" customFormat="1" hidden="1" x14ac:dyDescent="0.15">
      <c r="B31" s="309"/>
      <c r="C31" s="310"/>
      <c r="D31" s="310"/>
      <c r="E31" s="310"/>
      <c r="F31" s="310"/>
      <c r="G31" s="311"/>
      <c r="H31" s="310"/>
      <c r="I31" s="310"/>
      <c r="J31" s="310"/>
      <c r="K31" s="310"/>
      <c r="L31" s="311"/>
      <c r="M31" s="310"/>
      <c r="N31" s="310"/>
      <c r="O31" s="310"/>
      <c r="P31" s="310"/>
      <c r="Q31" s="311"/>
      <c r="R31" s="310"/>
      <c r="S31" s="310"/>
      <c r="T31" s="310"/>
      <c r="U31" s="310"/>
      <c r="V31" s="311"/>
      <c r="W31" s="310"/>
      <c r="X31" s="310"/>
      <c r="Y31" s="310"/>
      <c r="Z31" s="310"/>
      <c r="AA31" s="311"/>
      <c r="AB31" s="310"/>
      <c r="AC31" s="310"/>
      <c r="AD31" s="310"/>
      <c r="AE31" s="310"/>
      <c r="AF31" s="311"/>
      <c r="AG31" s="310"/>
      <c r="AH31" s="310"/>
      <c r="AI31" s="310"/>
      <c r="AJ31" s="310"/>
      <c r="AK31" s="311"/>
      <c r="AL31" s="314"/>
      <c r="AM31" s="313"/>
      <c r="AN31" s="314"/>
      <c r="AO31" s="315"/>
      <c r="AP31" s="311"/>
      <c r="AQ31" s="316"/>
      <c r="AR31" s="310"/>
      <c r="AS31" s="310"/>
      <c r="AT31" s="310"/>
      <c r="AU31" s="311"/>
      <c r="AV31" s="310"/>
      <c r="AW31" s="310"/>
      <c r="AX31" s="310"/>
      <c r="AY31" s="310"/>
      <c r="AZ31" s="311"/>
      <c r="BA31" s="310"/>
      <c r="BB31" s="310"/>
      <c r="BC31" s="310"/>
      <c r="BD31" s="310"/>
      <c r="BE31" s="311"/>
      <c r="BJ31" s="311"/>
      <c r="BO31" s="311"/>
      <c r="BT31" s="311"/>
      <c r="BY31" s="311"/>
      <c r="CD31" s="311"/>
    </row>
    <row r="32" spans="1:83" s="285" customFormat="1" hidden="1" outlineLevel="1" x14ac:dyDescent="0.15">
      <c r="B32" s="230" t="str">
        <f>Sales!B46</f>
        <v>Ophthalmology Rx</v>
      </c>
      <c r="C32" s="236">
        <f>Sales!C46</f>
        <v>0</v>
      </c>
      <c r="D32" s="236">
        <f>Sales!D46</f>
        <v>0</v>
      </c>
      <c r="E32" s="236">
        <f>Sales!E46</f>
        <v>0</v>
      </c>
      <c r="F32" s="236">
        <f>Sales!F46</f>
        <v>0</v>
      </c>
      <c r="G32" s="235">
        <f>Sales!G46</f>
        <v>0</v>
      </c>
      <c r="H32" s="236">
        <f>Sales!H46</f>
        <v>0</v>
      </c>
      <c r="I32" s="236">
        <f>Sales!I46</f>
        <v>0</v>
      </c>
      <c r="J32" s="236">
        <f>Sales!J46</f>
        <v>0</v>
      </c>
      <c r="K32" s="236">
        <f>Sales!K46</f>
        <v>0</v>
      </c>
      <c r="L32" s="235">
        <f>Sales!L46</f>
        <v>0</v>
      </c>
      <c r="M32" s="236">
        <f>Sales!M46</f>
        <v>0</v>
      </c>
      <c r="N32" s="236">
        <f>Sales!N46</f>
        <v>0</v>
      </c>
      <c r="O32" s="236">
        <f>Sales!O46</f>
        <v>0</v>
      </c>
      <c r="P32" s="236">
        <f>Sales!P46</f>
        <v>0</v>
      </c>
      <c r="Q32" s="235">
        <f>Sales!Q46</f>
        <v>0</v>
      </c>
      <c r="R32" s="236">
        <f>Sales!R46</f>
        <v>0</v>
      </c>
      <c r="S32" s="236">
        <f>Sales!S46</f>
        <v>0</v>
      </c>
      <c r="T32" s="236">
        <f>Sales!T46</f>
        <v>0</v>
      </c>
      <c r="U32" s="236">
        <f>Sales!U46</f>
        <v>0</v>
      </c>
      <c r="V32" s="235">
        <f>Sales!V46</f>
        <v>0</v>
      </c>
      <c r="W32" s="236">
        <f>Sales!W46</f>
        <v>0</v>
      </c>
      <c r="X32" s="236">
        <f>Sales!X46</f>
        <v>0</v>
      </c>
      <c r="Y32" s="236">
        <f>Sales!Y46</f>
        <v>0</v>
      </c>
      <c r="Z32" s="236">
        <f>Sales!Z46</f>
        <v>0</v>
      </c>
      <c r="AA32" s="235">
        <f>Sales!AA46</f>
        <v>0</v>
      </c>
      <c r="AB32" s="236">
        <f>Sales!AB46</f>
        <v>0</v>
      </c>
      <c r="AC32" s="236">
        <f>Sales!AC46</f>
        <v>0</v>
      </c>
      <c r="AD32" s="236">
        <f>Sales!AD46</f>
        <v>0</v>
      </c>
      <c r="AE32" s="236">
        <f>Sales!AE46</f>
        <v>0</v>
      </c>
      <c r="AF32" s="235">
        <f>Sales!AF46</f>
        <v>0</v>
      </c>
      <c r="AG32" s="236">
        <f>Sales!AG46</f>
        <v>0</v>
      </c>
      <c r="AH32" s="236">
        <f>Sales!AH46</f>
        <v>0</v>
      </c>
      <c r="AI32" s="236">
        <f>Sales!AI46</f>
        <v>0</v>
      </c>
      <c r="AJ32" s="236">
        <f>Sales!AJ46</f>
        <v>0</v>
      </c>
      <c r="AK32" s="235">
        <f>Sales!AK46</f>
        <v>0</v>
      </c>
      <c r="AL32" s="288">
        <f>Sales!AL46</f>
        <v>0</v>
      </c>
      <c r="AM32" s="239">
        <f>Sales!AM46</f>
        <v>0</v>
      </c>
      <c r="AN32" s="288">
        <f>Sales!AN46</f>
        <v>0</v>
      </c>
      <c r="AO32" s="240">
        <f>Sales!AO46</f>
        <v>0</v>
      </c>
      <c r="AP32" s="235">
        <f>Sales!AP46</f>
        <v>0</v>
      </c>
      <c r="AQ32" s="289">
        <f>Sales!AQ46</f>
        <v>0</v>
      </c>
      <c r="AR32" s="236">
        <f>Sales!AR46</f>
        <v>0</v>
      </c>
      <c r="AS32" s="236">
        <f>Sales!AS46</f>
        <v>0</v>
      </c>
      <c r="AT32" s="236">
        <f>Sales!AT46</f>
        <v>0</v>
      </c>
      <c r="AU32" s="235">
        <f>Sales!AU46</f>
        <v>0</v>
      </c>
      <c r="AV32" s="236">
        <f>Sales!AV46</f>
        <v>0</v>
      </c>
      <c r="AW32" s="236">
        <f>Sales!AW46</f>
        <v>0</v>
      </c>
      <c r="AX32" s="236">
        <f>Sales!AX46</f>
        <v>0</v>
      </c>
      <c r="AY32" s="236">
        <f>Sales!AY46</f>
        <v>0</v>
      </c>
      <c r="AZ32" s="235">
        <f>Sales!AZ46</f>
        <v>0</v>
      </c>
      <c r="BA32" s="236">
        <f>Sales!BA46</f>
        <v>0</v>
      </c>
      <c r="BB32" s="236">
        <f>Sales!BB46</f>
        <v>0</v>
      </c>
      <c r="BC32" s="236">
        <f>Sales!BC46</f>
        <v>0</v>
      </c>
      <c r="BD32" s="236">
        <f>Sales!BD46</f>
        <v>0</v>
      </c>
      <c r="BE32" s="235">
        <f>Sales!BE46</f>
        <v>0</v>
      </c>
      <c r="BF32" s="241">
        <f>Sales!BF46</f>
        <v>0</v>
      </c>
      <c r="BG32" s="241">
        <f>Sales!BG46</f>
        <v>0</v>
      </c>
      <c r="BH32" s="241">
        <f>Sales!BH46</f>
        <v>0</v>
      </c>
      <c r="BI32" s="241">
        <f>Sales!BI46</f>
        <v>0</v>
      </c>
      <c r="BJ32" s="235">
        <f>Sales!BJ46</f>
        <v>0</v>
      </c>
      <c r="BK32" s="241">
        <f>Sales!BK46</f>
        <v>0</v>
      </c>
      <c r="BL32" s="241">
        <f>Sales!BL46</f>
        <v>0</v>
      </c>
      <c r="BM32" s="241">
        <f>Sales!BM46</f>
        <v>0</v>
      </c>
      <c r="BN32" s="241">
        <f>Sales!BN46</f>
        <v>0</v>
      </c>
      <c r="BO32" s="235">
        <f>Sales!BO46</f>
        <v>0</v>
      </c>
      <c r="BP32" s="241">
        <f>Sales!BP46</f>
        <v>0</v>
      </c>
      <c r="BQ32" s="241">
        <f>Sales!BQ46</f>
        <v>0</v>
      </c>
      <c r="BR32" s="241">
        <f>Sales!BR46</f>
        <v>0</v>
      </c>
      <c r="BS32" s="241">
        <f>Sales!BS46</f>
        <v>0</v>
      </c>
      <c r="BT32" s="235">
        <f>Sales!BT46</f>
        <v>0</v>
      </c>
      <c r="BU32" s="241">
        <f>Sales!BU46</f>
        <v>0</v>
      </c>
      <c r="BV32" s="241">
        <f>Sales!BV46</f>
        <v>0</v>
      </c>
      <c r="BW32" s="241">
        <f>Sales!BW46</f>
        <v>0</v>
      </c>
      <c r="BX32" s="241">
        <f>Sales!BX46</f>
        <v>0</v>
      </c>
      <c r="BY32" s="235">
        <f>Sales!BY46</f>
        <v>0</v>
      </c>
      <c r="BZ32" s="241">
        <f>Sales!BZ46</f>
        <v>0</v>
      </c>
      <c r="CA32" s="241">
        <f>Sales!CA46</f>
        <v>0</v>
      </c>
      <c r="CB32" s="241">
        <f>Sales!CB46</f>
        <v>0</v>
      </c>
      <c r="CC32" s="241">
        <f>Sales!CC46</f>
        <v>0</v>
      </c>
      <c r="CD32" s="235">
        <f>Sales!CD46</f>
        <v>0</v>
      </c>
    </row>
    <row r="33" spans="2:83" s="285" customFormat="1" hidden="1" outlineLevel="2" x14ac:dyDescent="0.15">
      <c r="B33" s="238" t="str">
        <f>Sales!B47</f>
        <v>Lotemax</v>
      </c>
      <c r="C33" s="236">
        <f>Sales!C47</f>
        <v>0</v>
      </c>
      <c r="D33" s="236">
        <f>Sales!D47</f>
        <v>0</v>
      </c>
      <c r="E33" s="236">
        <f>Sales!E47</f>
        <v>0</v>
      </c>
      <c r="F33" s="236">
        <f>Sales!F47</f>
        <v>0</v>
      </c>
      <c r="G33" s="235">
        <f>Sales!G47</f>
        <v>0</v>
      </c>
      <c r="H33" s="236">
        <f>Sales!H47</f>
        <v>0</v>
      </c>
      <c r="I33" s="236">
        <f>Sales!I47</f>
        <v>0</v>
      </c>
      <c r="J33" s="236">
        <f>Sales!J47</f>
        <v>0</v>
      </c>
      <c r="K33" s="236">
        <f>Sales!K47</f>
        <v>0</v>
      </c>
      <c r="L33" s="235">
        <f>Sales!L47</f>
        <v>0</v>
      </c>
      <c r="M33" s="236">
        <f>Sales!M47</f>
        <v>0</v>
      </c>
      <c r="N33" s="236">
        <f>Sales!N47</f>
        <v>0</v>
      </c>
      <c r="O33" s="236">
        <f>Sales!O47</f>
        <v>0</v>
      </c>
      <c r="P33" s="236">
        <f>Sales!P47</f>
        <v>0</v>
      </c>
      <c r="Q33" s="235">
        <f>Sales!Q47</f>
        <v>0</v>
      </c>
      <c r="R33" s="236">
        <f>Sales!R47</f>
        <v>0</v>
      </c>
      <c r="S33" s="236">
        <f>Sales!S47</f>
        <v>0</v>
      </c>
      <c r="T33" s="236">
        <f>Sales!T47</f>
        <v>0</v>
      </c>
      <c r="U33" s="236">
        <f>Sales!U47</f>
        <v>0</v>
      </c>
      <c r="V33" s="235">
        <f>Sales!V47</f>
        <v>0</v>
      </c>
      <c r="W33" s="236">
        <f>Sales!W47</f>
        <v>0</v>
      </c>
      <c r="X33" s="236">
        <f>Sales!X47</f>
        <v>0</v>
      </c>
      <c r="Y33" s="236">
        <f>Sales!Y47</f>
        <v>0</v>
      </c>
      <c r="Z33" s="236">
        <f>Sales!Z47</f>
        <v>0</v>
      </c>
      <c r="AA33" s="235">
        <f>Sales!AA47</f>
        <v>0</v>
      </c>
      <c r="AB33" s="236">
        <f>Sales!AB47</f>
        <v>0</v>
      </c>
      <c r="AC33" s="236">
        <f>Sales!AC47</f>
        <v>0</v>
      </c>
      <c r="AD33" s="236">
        <f>Sales!AD47</f>
        <v>0</v>
      </c>
      <c r="AE33" s="236">
        <f>Sales!AE47</f>
        <v>0</v>
      </c>
      <c r="AF33" s="235">
        <f>Sales!AF47</f>
        <v>0</v>
      </c>
      <c r="AG33" s="236">
        <f>Sales!AG47</f>
        <v>0</v>
      </c>
      <c r="AH33" s="236">
        <f>Sales!AH47</f>
        <v>0</v>
      </c>
      <c r="AI33" s="236">
        <f>Sales!AI47</f>
        <v>0</v>
      </c>
      <c r="AJ33" s="236">
        <f>Sales!AJ47</f>
        <v>0</v>
      </c>
      <c r="AK33" s="235">
        <f>Sales!AK47</f>
        <v>0</v>
      </c>
      <c r="AL33" s="288">
        <f>Sales!AL47</f>
        <v>0</v>
      </c>
      <c r="AM33" s="239">
        <f>Sales!AM47</f>
        <v>0</v>
      </c>
      <c r="AN33" s="288">
        <f>Sales!AN47</f>
        <v>0</v>
      </c>
      <c r="AO33" s="240">
        <f>Sales!AO47</f>
        <v>0</v>
      </c>
      <c r="AP33" s="235">
        <f>Sales!AP47</f>
        <v>0</v>
      </c>
      <c r="AQ33" s="289">
        <f>Sales!AQ47</f>
        <v>0</v>
      </c>
      <c r="AR33" s="236">
        <f>Sales!AR47</f>
        <v>0</v>
      </c>
      <c r="AS33" s="236">
        <f>Sales!AS47</f>
        <v>0</v>
      </c>
      <c r="AT33" s="236">
        <f>Sales!AT47</f>
        <v>0</v>
      </c>
      <c r="AU33" s="235">
        <f>Sales!AU47</f>
        <v>0</v>
      </c>
      <c r="AV33" s="236">
        <f>Sales!AV47</f>
        <v>26</v>
      </c>
      <c r="AW33" s="236">
        <f>Sales!AW47</f>
        <v>45</v>
      </c>
      <c r="AX33" s="236">
        <f>Sales!AX47</f>
        <v>35</v>
      </c>
      <c r="AY33" s="236">
        <f>Sales!AY47</f>
        <v>45</v>
      </c>
      <c r="AZ33" s="235">
        <f>Sales!AZ47</f>
        <v>151</v>
      </c>
      <c r="BA33" s="236">
        <f>Sales!BA47</f>
        <v>43</v>
      </c>
      <c r="BB33" s="236">
        <f>Sales!BB47</f>
        <v>53</v>
      </c>
      <c r="BC33" s="240">
        <f>Sales!BC47</f>
        <v>44</v>
      </c>
      <c r="BD33" s="240">
        <f>Sales!BD47</f>
        <v>43</v>
      </c>
      <c r="BE33" s="235">
        <f>Sales!BE47</f>
        <v>183</v>
      </c>
      <c r="BF33" s="241">
        <f>Sales!BF47</f>
        <v>40</v>
      </c>
      <c r="BG33" s="241">
        <f>Sales!BG47</f>
        <v>45</v>
      </c>
      <c r="BH33" s="241">
        <f>Sales!BH47</f>
        <v>40</v>
      </c>
      <c r="BI33" s="241">
        <f>Sales!BI47</f>
        <v>45</v>
      </c>
      <c r="BJ33" s="235">
        <f>Sales!BJ47</f>
        <v>170</v>
      </c>
      <c r="BK33" s="241">
        <f>Sales!BK47</f>
        <v>0</v>
      </c>
      <c r="BL33" s="241">
        <f>Sales!BL47</f>
        <v>0</v>
      </c>
      <c r="BM33" s="241">
        <f>Sales!BM47</f>
        <v>0</v>
      </c>
      <c r="BN33" s="241">
        <f>Sales!BN47</f>
        <v>0</v>
      </c>
      <c r="BO33" s="244">
        <f>Sales!BO47</f>
        <v>176.8</v>
      </c>
      <c r="BP33" s="241">
        <f>Sales!BP47</f>
        <v>0</v>
      </c>
      <c r="BQ33" s="241">
        <f>Sales!BQ47</f>
        <v>0</v>
      </c>
      <c r="BR33" s="241">
        <f>Sales!BR47</f>
        <v>0</v>
      </c>
      <c r="BS33" s="241">
        <f>Sales!BS47</f>
        <v>0</v>
      </c>
      <c r="BT33" s="235">
        <f>Sales!BT47</f>
        <v>183.87200000000001</v>
      </c>
      <c r="BU33" s="241">
        <f>Sales!BU47</f>
        <v>0</v>
      </c>
      <c r="BV33" s="241">
        <f>Sales!BV47</f>
        <v>0</v>
      </c>
      <c r="BW33" s="241">
        <f>Sales!BW47</f>
        <v>0</v>
      </c>
      <c r="BX33" s="241">
        <f>Sales!BX47</f>
        <v>0</v>
      </c>
      <c r="BY33" s="235">
        <f>Sales!BY47</f>
        <v>187.54944</v>
      </c>
      <c r="BZ33" s="241">
        <f>Sales!BZ47</f>
        <v>0</v>
      </c>
      <c r="CA33" s="241">
        <f>Sales!CA47</f>
        <v>0</v>
      </c>
      <c r="CB33" s="241">
        <f>Sales!CB47</f>
        <v>0</v>
      </c>
      <c r="CC33" s="241">
        <f>Sales!CC47</f>
        <v>0</v>
      </c>
      <c r="CD33" s="235">
        <f>Sales!CD47</f>
        <v>191.30042880000002</v>
      </c>
    </row>
    <row r="34" spans="2:83" s="252" customFormat="1" hidden="1" outlineLevel="2" x14ac:dyDescent="0.15">
      <c r="B34" s="238" t="str">
        <f>Sales!B49</f>
        <v>Vesneo</v>
      </c>
      <c r="C34" s="253">
        <f>Sales!C49</f>
        <v>0</v>
      </c>
      <c r="D34" s="254">
        <f>Sales!D49</f>
        <v>0</v>
      </c>
      <c r="E34" s="254">
        <f>Sales!E49</f>
        <v>0</v>
      </c>
      <c r="F34" s="254">
        <f>Sales!F49</f>
        <v>0</v>
      </c>
      <c r="G34" s="255">
        <f>Sales!G49</f>
        <v>0</v>
      </c>
      <c r="H34" s="254">
        <f>Sales!H49</f>
        <v>0</v>
      </c>
      <c r="I34" s="254">
        <f>Sales!I49</f>
        <v>0</v>
      </c>
      <c r="J34" s="254">
        <f>Sales!J49</f>
        <v>0</v>
      </c>
      <c r="K34" s="254">
        <f>Sales!K49</f>
        <v>0</v>
      </c>
      <c r="L34" s="255">
        <f>Sales!L49</f>
        <v>0</v>
      </c>
      <c r="M34" s="254">
        <f>Sales!M49</f>
        <v>0</v>
      </c>
      <c r="N34" s="254">
        <f>Sales!N49</f>
        <v>0</v>
      </c>
      <c r="O34" s="254">
        <f>Sales!O49</f>
        <v>0</v>
      </c>
      <c r="P34" s="254">
        <f>Sales!P49</f>
        <v>0</v>
      </c>
      <c r="Q34" s="255">
        <f>Sales!Q49</f>
        <v>0</v>
      </c>
      <c r="R34" s="254">
        <f>Sales!R49</f>
        <v>0</v>
      </c>
      <c r="S34" s="254">
        <f>Sales!S49</f>
        <v>0</v>
      </c>
      <c r="T34" s="254">
        <f>Sales!T49</f>
        <v>0</v>
      </c>
      <c r="U34" s="254">
        <f>Sales!U49</f>
        <v>0</v>
      </c>
      <c r="V34" s="255">
        <f>Sales!V49</f>
        <v>0</v>
      </c>
      <c r="W34" s="256">
        <f>Sales!W49</f>
        <v>0</v>
      </c>
      <c r="X34" s="257">
        <f>Sales!X49</f>
        <v>0</v>
      </c>
      <c r="Y34" s="257">
        <f>Sales!Y49</f>
        <v>0</v>
      </c>
      <c r="Z34" s="257">
        <f>Sales!Z49</f>
        <v>0</v>
      </c>
      <c r="AA34" s="258">
        <f>Sales!AA49</f>
        <v>0</v>
      </c>
      <c r="AB34" s="256">
        <f>Sales!AB49</f>
        <v>0</v>
      </c>
      <c r="AC34" s="256">
        <f>Sales!AC49</f>
        <v>0</v>
      </c>
      <c r="AD34" s="256">
        <f>Sales!AD49</f>
        <v>0</v>
      </c>
      <c r="AE34" s="256">
        <f>Sales!AE49</f>
        <v>0</v>
      </c>
      <c r="AF34" s="258">
        <f>Sales!AF49</f>
        <v>0</v>
      </c>
      <c r="AG34" s="256">
        <f>Sales!AG49</f>
        <v>0</v>
      </c>
      <c r="AH34" s="256">
        <f>Sales!AH49</f>
        <v>0</v>
      </c>
      <c r="AI34" s="256">
        <f>Sales!AI49</f>
        <v>0</v>
      </c>
      <c r="AJ34" s="256">
        <f>Sales!AJ49</f>
        <v>0</v>
      </c>
      <c r="AK34" s="258">
        <f>Sales!AK49</f>
        <v>0</v>
      </c>
      <c r="AL34" s="257">
        <f>Sales!AL49</f>
        <v>0</v>
      </c>
      <c r="AM34" s="257">
        <f>Sales!AM49</f>
        <v>0</v>
      </c>
      <c r="AN34" s="257">
        <f>Sales!AN49</f>
        <v>0</v>
      </c>
      <c r="AO34" s="257">
        <f>Sales!AO49</f>
        <v>0</v>
      </c>
      <c r="AP34" s="258">
        <f>Sales!AP49</f>
        <v>0</v>
      </c>
      <c r="AQ34" s="290">
        <f>Sales!AQ49</f>
        <v>0</v>
      </c>
      <c r="AR34" s="257">
        <f>Sales!AR49</f>
        <v>0</v>
      </c>
      <c r="AS34" s="240">
        <f>Sales!AS49</f>
        <v>0</v>
      </c>
      <c r="AT34" s="240">
        <f>Sales!AT49</f>
        <v>0</v>
      </c>
      <c r="AU34" s="235">
        <f>Sales!AU49</f>
        <v>0</v>
      </c>
      <c r="AV34" s="240">
        <f>Sales!AV49</f>
        <v>0</v>
      </c>
      <c r="AW34" s="240">
        <f>Sales!AW49</f>
        <v>0</v>
      </c>
      <c r="AX34" s="240">
        <f>Sales!AX49</f>
        <v>0</v>
      </c>
      <c r="AY34" s="240">
        <f>Sales!AY49</f>
        <v>0</v>
      </c>
      <c r="AZ34" s="235">
        <f>Sales!AZ49</f>
        <v>0</v>
      </c>
      <c r="BA34" s="240">
        <f>Sales!BA49</f>
        <v>0</v>
      </c>
      <c r="BB34" s="240">
        <f>Sales!BB49</f>
        <v>0</v>
      </c>
      <c r="BC34" s="240">
        <f>Sales!BC49</f>
        <v>0</v>
      </c>
      <c r="BD34" s="240">
        <f>Sales!BD49</f>
        <v>0</v>
      </c>
      <c r="BE34" s="235">
        <f>Sales!BE49</f>
        <v>0</v>
      </c>
      <c r="BF34" s="241">
        <f>Sales!BF49</f>
        <v>0</v>
      </c>
      <c r="BG34" s="241">
        <f>Sales!BG49</f>
        <v>0</v>
      </c>
      <c r="BH34" s="241">
        <f>Sales!BH49</f>
        <v>15</v>
      </c>
      <c r="BI34" s="241">
        <f>Sales!BI49</f>
        <v>12</v>
      </c>
      <c r="BJ34" s="235">
        <f>Sales!BJ49</f>
        <v>27</v>
      </c>
      <c r="BK34" s="241">
        <f>Sales!BK49</f>
        <v>0</v>
      </c>
      <c r="BL34" s="241">
        <f>Sales!BL49</f>
        <v>0</v>
      </c>
      <c r="BM34" s="241">
        <f>Sales!BM49</f>
        <v>0</v>
      </c>
      <c r="BN34" s="241">
        <f>Sales!BN49</f>
        <v>0</v>
      </c>
      <c r="BO34" s="235">
        <f>Sales!BO49</f>
        <v>125</v>
      </c>
      <c r="BP34" s="241">
        <f>Sales!BP49</f>
        <v>0</v>
      </c>
      <c r="BQ34" s="241">
        <f>Sales!BQ49</f>
        <v>0</v>
      </c>
      <c r="BR34" s="241">
        <f>Sales!BR49</f>
        <v>0</v>
      </c>
      <c r="BS34" s="241">
        <f>Sales!BS49</f>
        <v>0</v>
      </c>
      <c r="BT34" s="235">
        <f>Sales!BT49</f>
        <v>200</v>
      </c>
      <c r="BU34" s="241">
        <f>Sales!BU49</f>
        <v>0</v>
      </c>
      <c r="BV34" s="241">
        <f>Sales!BV49</f>
        <v>0</v>
      </c>
      <c r="BW34" s="241">
        <f>Sales!BW49</f>
        <v>0</v>
      </c>
      <c r="BX34" s="241">
        <f>Sales!BX49</f>
        <v>0</v>
      </c>
      <c r="BY34" s="235">
        <f>Sales!BY49</f>
        <v>300</v>
      </c>
      <c r="BZ34" s="241">
        <f>Sales!BZ49</f>
        <v>0</v>
      </c>
      <c r="CA34" s="241">
        <f>Sales!CA49</f>
        <v>0</v>
      </c>
      <c r="CB34" s="241">
        <f>Sales!CB49</f>
        <v>0</v>
      </c>
      <c r="CC34" s="241">
        <f>Sales!CC49</f>
        <v>0</v>
      </c>
      <c r="CD34" s="235">
        <f>Sales!CD49</f>
        <v>375</v>
      </c>
    </row>
    <row r="35" spans="2:83" s="252" customFormat="1" ht="15" hidden="1" outlineLevel="2" x14ac:dyDescent="0.3">
      <c r="B35" s="625" t="str">
        <f>Sales!B51</f>
        <v>Other Ophthalmology Rx</v>
      </c>
      <c r="C35" s="641">
        <f>Sales!C51</f>
        <v>0</v>
      </c>
      <c r="D35" s="642">
        <f>Sales!D51</f>
        <v>0</v>
      </c>
      <c r="E35" s="642">
        <f>Sales!E51</f>
        <v>0</v>
      </c>
      <c r="F35" s="642">
        <f>Sales!F51</f>
        <v>0</v>
      </c>
      <c r="G35" s="643">
        <f>Sales!G51</f>
        <v>0</v>
      </c>
      <c r="H35" s="642">
        <f>Sales!H51</f>
        <v>0</v>
      </c>
      <c r="I35" s="642">
        <f>Sales!I51</f>
        <v>0</v>
      </c>
      <c r="J35" s="642">
        <f>Sales!J51</f>
        <v>0</v>
      </c>
      <c r="K35" s="642">
        <f>Sales!K51</f>
        <v>0</v>
      </c>
      <c r="L35" s="643">
        <f>Sales!L51</f>
        <v>0</v>
      </c>
      <c r="M35" s="642">
        <f>Sales!M51</f>
        <v>0</v>
      </c>
      <c r="N35" s="642">
        <f>Sales!N51</f>
        <v>0</v>
      </c>
      <c r="O35" s="642">
        <f>Sales!O51</f>
        <v>0</v>
      </c>
      <c r="P35" s="642">
        <f>Sales!P51</f>
        <v>0</v>
      </c>
      <c r="Q35" s="643">
        <f>Sales!Q51</f>
        <v>0</v>
      </c>
      <c r="R35" s="642">
        <f>Sales!R51</f>
        <v>0</v>
      </c>
      <c r="S35" s="642">
        <f>Sales!S51</f>
        <v>0</v>
      </c>
      <c r="T35" s="642">
        <f>Sales!T51</f>
        <v>0</v>
      </c>
      <c r="U35" s="642">
        <f>Sales!U51</f>
        <v>0</v>
      </c>
      <c r="V35" s="643">
        <f>Sales!V51</f>
        <v>0</v>
      </c>
      <c r="W35" s="644">
        <f>Sales!W51</f>
        <v>0</v>
      </c>
      <c r="X35" s="637">
        <f>Sales!X51</f>
        <v>0</v>
      </c>
      <c r="Y35" s="637">
        <f>Sales!Y51</f>
        <v>0</v>
      </c>
      <c r="Z35" s="637">
        <f>Sales!Z51</f>
        <v>0</v>
      </c>
      <c r="AA35" s="634">
        <f>Sales!AA51</f>
        <v>0</v>
      </c>
      <c r="AB35" s="644">
        <f>Sales!AB51</f>
        <v>0</v>
      </c>
      <c r="AC35" s="644">
        <f>Sales!AC51</f>
        <v>0</v>
      </c>
      <c r="AD35" s="644">
        <f>Sales!AD51</f>
        <v>0</v>
      </c>
      <c r="AE35" s="644">
        <f>Sales!AE51</f>
        <v>0</v>
      </c>
      <c r="AF35" s="634">
        <f>Sales!AF51</f>
        <v>0</v>
      </c>
      <c r="AG35" s="644">
        <f>Sales!AG51</f>
        <v>0</v>
      </c>
      <c r="AH35" s="644">
        <f>Sales!AH51</f>
        <v>0</v>
      </c>
      <c r="AI35" s="644">
        <f>Sales!AI51</f>
        <v>0</v>
      </c>
      <c r="AJ35" s="644">
        <f>Sales!AJ51</f>
        <v>0</v>
      </c>
      <c r="AK35" s="634">
        <f>Sales!AK51</f>
        <v>0</v>
      </c>
      <c r="AL35" s="637">
        <f>Sales!AL51</f>
        <v>0</v>
      </c>
      <c r="AM35" s="637">
        <f>Sales!AM51</f>
        <v>0</v>
      </c>
      <c r="AN35" s="637">
        <f>Sales!AN51</f>
        <v>0</v>
      </c>
      <c r="AO35" s="637">
        <f>Sales!AO51</f>
        <v>0</v>
      </c>
      <c r="AP35" s="634">
        <f>Sales!AP51</f>
        <v>0</v>
      </c>
      <c r="AQ35" s="638">
        <f>Sales!AQ51</f>
        <v>0</v>
      </c>
      <c r="AR35" s="637">
        <f>Sales!AR51</f>
        <v>0</v>
      </c>
      <c r="AS35" s="633">
        <f>Sales!AS51</f>
        <v>0</v>
      </c>
      <c r="AT35" s="633">
        <f>Sales!AT51</f>
        <v>0</v>
      </c>
      <c r="AU35" s="634">
        <f>Sales!AU51</f>
        <v>0</v>
      </c>
      <c r="AV35" s="626">
        <f>Sales!AV51</f>
        <v>73.3</v>
      </c>
      <c r="AW35" s="626">
        <f>Sales!AW51</f>
        <v>71.5</v>
      </c>
      <c r="AX35" s="626">
        <f>Sales!AX51</f>
        <v>82.8</v>
      </c>
      <c r="AY35" s="626">
        <f>Sales!AY51</f>
        <v>86.800000000000011</v>
      </c>
      <c r="AZ35" s="627">
        <f>Sales!AZ51</f>
        <v>314.40000000000003</v>
      </c>
      <c r="BA35" s="626">
        <f>Sales!BA51</f>
        <v>86.1</v>
      </c>
      <c r="BB35" s="626">
        <f>Sales!BB51</f>
        <v>82.4</v>
      </c>
      <c r="BC35" s="640">
        <f>Sales!BC51</f>
        <v>70.3</v>
      </c>
      <c r="BD35" s="640">
        <f>Sales!BD51</f>
        <v>69</v>
      </c>
      <c r="BE35" s="627">
        <f>Sales!BE51</f>
        <v>307.8</v>
      </c>
      <c r="BF35" s="629">
        <f>Sales!BF51</f>
        <v>70</v>
      </c>
      <c r="BG35" s="629">
        <f>Sales!BG51</f>
        <v>75</v>
      </c>
      <c r="BH35" s="629">
        <f>Sales!BH51</f>
        <v>75</v>
      </c>
      <c r="BI35" s="629">
        <f>Sales!BI51</f>
        <v>75</v>
      </c>
      <c r="BJ35" s="627">
        <f>Sales!BJ51</f>
        <v>295</v>
      </c>
      <c r="BK35" s="629">
        <f>Sales!BK51</f>
        <v>0</v>
      </c>
      <c r="BL35" s="629">
        <f>Sales!BL51</f>
        <v>0</v>
      </c>
      <c r="BM35" s="629">
        <f>Sales!BM51</f>
        <v>0</v>
      </c>
      <c r="BN35" s="629">
        <f>Sales!BN51</f>
        <v>0</v>
      </c>
      <c r="BO35" s="627">
        <f>Sales!BO51</f>
        <v>306.8</v>
      </c>
      <c r="BP35" s="629">
        <f>Sales!BP51</f>
        <v>0</v>
      </c>
      <c r="BQ35" s="629">
        <f>Sales!BQ51</f>
        <v>0</v>
      </c>
      <c r="BR35" s="629">
        <f>Sales!BR51</f>
        <v>0</v>
      </c>
      <c r="BS35" s="629">
        <f>Sales!BS51</f>
        <v>0</v>
      </c>
      <c r="BT35" s="627">
        <f>Sales!BT51</f>
        <v>319.072</v>
      </c>
      <c r="BU35" s="629">
        <f>Sales!BU51</f>
        <v>0</v>
      </c>
      <c r="BV35" s="629">
        <f>Sales!BV51</f>
        <v>0</v>
      </c>
      <c r="BW35" s="629">
        <f>Sales!BW51</f>
        <v>0</v>
      </c>
      <c r="BX35" s="629">
        <f>Sales!BX51</f>
        <v>0</v>
      </c>
      <c r="BY35" s="627">
        <f>Sales!BY51</f>
        <v>328.64416</v>
      </c>
      <c r="BZ35" s="629">
        <f>Sales!BZ51</f>
        <v>0</v>
      </c>
      <c r="CA35" s="629">
        <f>Sales!CA51</f>
        <v>0</v>
      </c>
      <c r="CB35" s="629">
        <f>Sales!CB51</f>
        <v>0</v>
      </c>
      <c r="CC35" s="629">
        <f>Sales!CC51</f>
        <v>0</v>
      </c>
      <c r="CD35" s="627">
        <f>Sales!CD51</f>
        <v>335.21704319999998</v>
      </c>
    </row>
    <row r="36" spans="2:83" s="252" customFormat="1" collapsed="1" x14ac:dyDescent="0.15">
      <c r="B36" s="298" t="str">
        <f>Sales!B53</f>
        <v>Total Ophthalmology Rx</v>
      </c>
      <c r="C36" s="317">
        <f>Sales!C53</f>
        <v>0</v>
      </c>
      <c r="D36" s="318">
        <f>Sales!D53</f>
        <v>0</v>
      </c>
      <c r="E36" s="318">
        <f>Sales!E53</f>
        <v>0</v>
      </c>
      <c r="F36" s="318">
        <f>Sales!F53</f>
        <v>0</v>
      </c>
      <c r="G36" s="319">
        <f>Sales!G53</f>
        <v>0</v>
      </c>
      <c r="H36" s="318">
        <f>Sales!H53</f>
        <v>0</v>
      </c>
      <c r="I36" s="318">
        <f>Sales!I53</f>
        <v>0</v>
      </c>
      <c r="J36" s="318">
        <f>Sales!J53</f>
        <v>0</v>
      </c>
      <c r="K36" s="318">
        <f>Sales!K53</f>
        <v>0</v>
      </c>
      <c r="L36" s="319">
        <f>Sales!L53</f>
        <v>0</v>
      </c>
      <c r="M36" s="318">
        <f>Sales!M53</f>
        <v>0</v>
      </c>
      <c r="N36" s="318">
        <f>Sales!N53</f>
        <v>0</v>
      </c>
      <c r="O36" s="318">
        <f>Sales!O53</f>
        <v>0</v>
      </c>
      <c r="P36" s="318">
        <f>Sales!P53</f>
        <v>0</v>
      </c>
      <c r="Q36" s="319">
        <f>Sales!Q53</f>
        <v>0</v>
      </c>
      <c r="R36" s="318">
        <f>Sales!R53</f>
        <v>0</v>
      </c>
      <c r="S36" s="318">
        <f>Sales!S53</f>
        <v>0</v>
      </c>
      <c r="T36" s="318">
        <f>Sales!T53</f>
        <v>0</v>
      </c>
      <c r="U36" s="318">
        <f>Sales!U53</f>
        <v>0</v>
      </c>
      <c r="V36" s="319">
        <f>Sales!V53</f>
        <v>0</v>
      </c>
      <c r="W36" s="320">
        <f>Sales!W53</f>
        <v>0</v>
      </c>
      <c r="X36" s="321">
        <f>Sales!X53</f>
        <v>0</v>
      </c>
      <c r="Y36" s="321">
        <f>Sales!Y53</f>
        <v>0</v>
      </c>
      <c r="Z36" s="321">
        <f>Sales!Z53</f>
        <v>0</v>
      </c>
      <c r="AA36" s="322">
        <f>Sales!AA53</f>
        <v>0</v>
      </c>
      <c r="AB36" s="320">
        <f>Sales!AB53</f>
        <v>0</v>
      </c>
      <c r="AC36" s="320">
        <f>Sales!AC53</f>
        <v>0</v>
      </c>
      <c r="AD36" s="320">
        <f>Sales!AD53</f>
        <v>0</v>
      </c>
      <c r="AE36" s="320">
        <f>Sales!AE53</f>
        <v>0</v>
      </c>
      <c r="AF36" s="322">
        <f>Sales!AF53</f>
        <v>0</v>
      </c>
      <c r="AG36" s="320">
        <f>Sales!AG53</f>
        <v>0</v>
      </c>
      <c r="AH36" s="320">
        <f>Sales!AH53</f>
        <v>0</v>
      </c>
      <c r="AI36" s="320">
        <f>Sales!AI53</f>
        <v>0</v>
      </c>
      <c r="AJ36" s="320">
        <f>Sales!AJ53</f>
        <v>0</v>
      </c>
      <c r="AK36" s="322">
        <f>Sales!AK53</f>
        <v>0</v>
      </c>
      <c r="AL36" s="321">
        <f>Sales!AL53</f>
        <v>0</v>
      </c>
      <c r="AM36" s="321">
        <f>Sales!AM53</f>
        <v>0</v>
      </c>
      <c r="AN36" s="321">
        <f>Sales!AN53</f>
        <v>0</v>
      </c>
      <c r="AO36" s="321">
        <f>Sales!AO53</f>
        <v>0</v>
      </c>
      <c r="AP36" s="322">
        <f>Sales!AP53</f>
        <v>0</v>
      </c>
      <c r="AQ36" s="323">
        <f>Sales!AQ53</f>
        <v>0</v>
      </c>
      <c r="AR36" s="321">
        <f>Sales!AR53</f>
        <v>0</v>
      </c>
      <c r="AS36" s="275">
        <f>Sales!AS53</f>
        <v>74.8</v>
      </c>
      <c r="AT36" s="275">
        <f>Sales!AT53</f>
        <v>122.6</v>
      </c>
      <c r="AU36" s="322">
        <f>Sales!AU53</f>
        <v>0</v>
      </c>
      <c r="AV36" s="275">
        <f>Sales!AV53</f>
        <v>99.3</v>
      </c>
      <c r="AW36" s="275">
        <f>Sales!AW53</f>
        <v>116.5</v>
      </c>
      <c r="AX36" s="275">
        <f>Sales!AX53</f>
        <v>117.8</v>
      </c>
      <c r="AY36" s="275">
        <f>Sales!AY53</f>
        <v>131.80000000000001</v>
      </c>
      <c r="AZ36" s="277">
        <f>Sales!AZ53</f>
        <v>465.40000000000003</v>
      </c>
      <c r="BA36" s="275">
        <f>Sales!BA53</f>
        <v>129.1</v>
      </c>
      <c r="BB36" s="275">
        <f>Sales!BB53</f>
        <v>135.4</v>
      </c>
      <c r="BC36" s="275">
        <f>Sales!BC53</f>
        <v>114.3</v>
      </c>
      <c r="BD36" s="275">
        <f>Sales!BD53</f>
        <v>112</v>
      </c>
      <c r="BE36" s="277">
        <f>Sales!BE53</f>
        <v>490.8</v>
      </c>
      <c r="BF36" s="28">
        <f>Sales!BF53</f>
        <v>110</v>
      </c>
      <c r="BG36" s="28">
        <f>Sales!BG53</f>
        <v>120</v>
      </c>
      <c r="BH36" s="28">
        <f>Sales!BH53</f>
        <v>130</v>
      </c>
      <c r="BI36" s="28">
        <f>Sales!BI53</f>
        <v>132</v>
      </c>
      <c r="BJ36" s="277">
        <f>Sales!BJ53</f>
        <v>492</v>
      </c>
      <c r="BK36" s="28">
        <f>Sales!BK53</f>
        <v>0</v>
      </c>
      <c r="BL36" s="28">
        <f>Sales!BL53</f>
        <v>0</v>
      </c>
      <c r="BM36" s="28">
        <f>Sales!BM53</f>
        <v>0</v>
      </c>
      <c r="BN36" s="28">
        <f>Sales!BN53</f>
        <v>0</v>
      </c>
      <c r="BO36" s="277">
        <f>Sales!BO53</f>
        <v>608.6</v>
      </c>
      <c r="BP36" s="28">
        <f>Sales!BP53</f>
        <v>0</v>
      </c>
      <c r="BQ36" s="28">
        <f>Sales!BQ53</f>
        <v>0</v>
      </c>
      <c r="BR36" s="28">
        <f>Sales!BR53</f>
        <v>0</v>
      </c>
      <c r="BS36" s="28">
        <f>Sales!BS53</f>
        <v>0</v>
      </c>
      <c r="BT36" s="277">
        <f>Sales!BT53</f>
        <v>702.94399999999996</v>
      </c>
      <c r="BU36" s="28">
        <f>Sales!BU53</f>
        <v>0</v>
      </c>
      <c r="BV36" s="28">
        <f>Sales!BV53</f>
        <v>0</v>
      </c>
      <c r="BW36" s="28">
        <f>Sales!BW53</f>
        <v>0</v>
      </c>
      <c r="BX36" s="28">
        <f>Sales!BX53</f>
        <v>0</v>
      </c>
      <c r="BY36" s="277">
        <f>Sales!BY53</f>
        <v>816.19360000000006</v>
      </c>
      <c r="BZ36" s="28">
        <f>Sales!BZ53</f>
        <v>0</v>
      </c>
      <c r="CA36" s="28">
        <f>Sales!CA53</f>
        <v>0</v>
      </c>
      <c r="CB36" s="28">
        <f>Sales!CB53</f>
        <v>0</v>
      </c>
      <c r="CC36" s="28">
        <f>Sales!CC53</f>
        <v>0</v>
      </c>
      <c r="CD36" s="277">
        <f>Sales!CD53</f>
        <v>901.517472</v>
      </c>
    </row>
    <row r="37" spans="2:83" s="252" customFormat="1" hidden="1" x14ac:dyDescent="0.15">
      <c r="B37" s="309" t="str">
        <f>Sales!B54</f>
        <v>growth</v>
      </c>
      <c r="C37" s="317">
        <f>Sales!C54</f>
        <v>0</v>
      </c>
      <c r="D37" s="318">
        <f>Sales!D54</f>
        <v>0</v>
      </c>
      <c r="E37" s="318">
        <f>Sales!E54</f>
        <v>0</v>
      </c>
      <c r="F37" s="318">
        <f>Sales!F54</f>
        <v>0</v>
      </c>
      <c r="G37" s="319">
        <f>Sales!G54</f>
        <v>0</v>
      </c>
      <c r="H37" s="318">
        <f>Sales!H54</f>
        <v>0</v>
      </c>
      <c r="I37" s="318">
        <f>Sales!I54</f>
        <v>0</v>
      </c>
      <c r="J37" s="318">
        <f>Sales!J54</f>
        <v>0</v>
      </c>
      <c r="K37" s="318">
        <f>Sales!K54</f>
        <v>0</v>
      </c>
      <c r="L37" s="319">
        <f>Sales!L54</f>
        <v>0</v>
      </c>
      <c r="M37" s="318">
        <f>Sales!M54</f>
        <v>0</v>
      </c>
      <c r="N37" s="318">
        <f>Sales!N54</f>
        <v>0</v>
      </c>
      <c r="O37" s="318">
        <f>Sales!O54</f>
        <v>0</v>
      </c>
      <c r="P37" s="318">
        <f>Sales!P54</f>
        <v>0</v>
      </c>
      <c r="Q37" s="319">
        <f>Sales!Q54</f>
        <v>0</v>
      </c>
      <c r="R37" s="318">
        <f>Sales!R54</f>
        <v>0</v>
      </c>
      <c r="S37" s="318">
        <f>Sales!S54</f>
        <v>0</v>
      </c>
      <c r="T37" s="318">
        <f>Sales!T54</f>
        <v>0</v>
      </c>
      <c r="U37" s="318">
        <f>Sales!U54</f>
        <v>0</v>
      </c>
      <c r="V37" s="319">
        <f>Sales!V54</f>
        <v>0</v>
      </c>
      <c r="W37" s="320">
        <f>Sales!W54</f>
        <v>0</v>
      </c>
      <c r="X37" s="321">
        <f>Sales!X54</f>
        <v>0</v>
      </c>
      <c r="Y37" s="321">
        <f>Sales!Y54</f>
        <v>0</v>
      </c>
      <c r="Z37" s="321">
        <f>Sales!Z54</f>
        <v>0</v>
      </c>
      <c r="AA37" s="322">
        <f>Sales!AA54</f>
        <v>0</v>
      </c>
      <c r="AB37" s="320">
        <f>Sales!AB54</f>
        <v>0</v>
      </c>
      <c r="AC37" s="320">
        <f>Sales!AC54</f>
        <v>0</v>
      </c>
      <c r="AD37" s="320">
        <f>Sales!AD54</f>
        <v>0</v>
      </c>
      <c r="AE37" s="320">
        <f>Sales!AE54</f>
        <v>0</v>
      </c>
      <c r="AF37" s="322">
        <f>Sales!AF54</f>
        <v>0</v>
      </c>
      <c r="AG37" s="320">
        <f>Sales!AG54</f>
        <v>0</v>
      </c>
      <c r="AH37" s="320">
        <f>Sales!AH54</f>
        <v>0</v>
      </c>
      <c r="AI37" s="320">
        <f>Sales!AI54</f>
        <v>0</v>
      </c>
      <c r="AJ37" s="320">
        <f>Sales!AJ54</f>
        <v>0</v>
      </c>
      <c r="AK37" s="322">
        <f>Sales!AK54</f>
        <v>0</v>
      </c>
      <c r="AL37" s="321">
        <f>Sales!AL54</f>
        <v>0</v>
      </c>
      <c r="AM37" s="321">
        <f>Sales!AM54</f>
        <v>0</v>
      </c>
      <c r="AN37" s="321">
        <f>Sales!AN54</f>
        <v>0</v>
      </c>
      <c r="AO37" s="321">
        <f>Sales!AO54</f>
        <v>0</v>
      </c>
      <c r="AP37" s="322">
        <f>Sales!AP54</f>
        <v>0</v>
      </c>
      <c r="AQ37" s="323">
        <f>Sales!AQ54</f>
        <v>0</v>
      </c>
      <c r="AR37" s="321">
        <f>Sales!AR54</f>
        <v>0</v>
      </c>
      <c r="AS37" s="324">
        <f>Sales!AS54</f>
        <v>0</v>
      </c>
      <c r="AT37" s="324">
        <f>Sales!AT54</f>
        <v>0</v>
      </c>
      <c r="AU37" s="322">
        <f>Sales!AU54</f>
        <v>0</v>
      </c>
      <c r="AV37" s="321">
        <f>Sales!AV54</f>
        <v>0</v>
      </c>
      <c r="AW37" s="324">
        <f>Sales!AW54</f>
        <v>0</v>
      </c>
      <c r="AX37" s="281">
        <f>Sales!AX54</f>
        <v>0.57486631016042788</v>
      </c>
      <c r="AY37" s="281">
        <f>Sales!AY54</f>
        <v>7.5040783034257874E-2</v>
      </c>
      <c r="AZ37" s="322">
        <f>Sales!AZ54</f>
        <v>0</v>
      </c>
      <c r="BA37" s="281">
        <f>Sales!BA54</f>
        <v>0.30010070493454166</v>
      </c>
      <c r="BB37" s="281">
        <f>Sales!BB54</f>
        <v>0.16223175965665249</v>
      </c>
      <c r="BC37" s="281">
        <f>Sales!BC54</f>
        <v>-2.9711375212224111E-2</v>
      </c>
      <c r="BD37" s="281">
        <f>Sales!BD54</f>
        <v>-0.15022761760242798</v>
      </c>
      <c r="BE37" s="282">
        <f>Sales!BE54</f>
        <v>5.4576708207993097E-2</v>
      </c>
      <c r="BF37" s="28">
        <f>Sales!BF54</f>
        <v>-0.14794732765298213</v>
      </c>
      <c r="BG37" s="28">
        <f>Sales!BG54</f>
        <v>-0.11373707533234867</v>
      </c>
      <c r="BH37" s="28">
        <f>Sales!BH54</f>
        <v>0.13735783027121617</v>
      </c>
      <c r="BI37" s="28">
        <f>Sales!BI54</f>
        <v>0.1785714285714286</v>
      </c>
      <c r="BJ37" s="282">
        <f>Sales!BJ54</f>
        <v>2.4449877750611915E-3</v>
      </c>
      <c r="BK37" s="28">
        <f>Sales!BK54</f>
        <v>0</v>
      </c>
      <c r="BL37" s="28">
        <f>Sales!BL54</f>
        <v>0</v>
      </c>
      <c r="BM37" s="28">
        <f>Sales!BM54</f>
        <v>0</v>
      </c>
      <c r="BN37" s="28">
        <f>Sales!BN54</f>
        <v>0</v>
      </c>
      <c r="BO37" s="282">
        <f>Sales!BO54</f>
        <v>0.23699186991869925</v>
      </c>
      <c r="BP37" s="28">
        <f>Sales!BP54</f>
        <v>0</v>
      </c>
      <c r="BQ37" s="28">
        <f>Sales!BQ54</f>
        <v>0</v>
      </c>
      <c r="BR37" s="28">
        <f>Sales!BR54</f>
        <v>0</v>
      </c>
      <c r="BS37" s="28">
        <f>Sales!BS54</f>
        <v>0</v>
      </c>
      <c r="BT37" s="282">
        <f>Sales!BT54</f>
        <v>0.15501807426881364</v>
      </c>
      <c r="BU37" s="28">
        <f>Sales!BU54</f>
        <v>0</v>
      </c>
      <c r="BV37" s="28">
        <f>Sales!BV54</f>
        <v>0</v>
      </c>
      <c r="BW37" s="28">
        <f>Sales!BW54</f>
        <v>0</v>
      </c>
      <c r="BX37" s="28">
        <f>Sales!BX54</f>
        <v>0</v>
      </c>
      <c r="BY37" s="282">
        <f>Sales!BY54</f>
        <v>0.1611075704465792</v>
      </c>
      <c r="BZ37" s="28">
        <f>Sales!BZ54</f>
        <v>0</v>
      </c>
      <c r="CA37" s="28">
        <f>Sales!CA54</f>
        <v>0</v>
      </c>
      <c r="CB37" s="28">
        <f>Sales!CB54</f>
        <v>0</v>
      </c>
      <c r="CC37" s="28">
        <f>Sales!CC54</f>
        <v>0</v>
      </c>
      <c r="CD37" s="282">
        <f>Sales!CD54</f>
        <v>0.10453876629270309</v>
      </c>
    </row>
    <row r="38" spans="2:83" s="252" customFormat="1" hidden="1" x14ac:dyDescent="0.15">
      <c r="B38" s="325"/>
      <c r="C38" s="317"/>
      <c r="D38" s="318"/>
      <c r="E38" s="318"/>
      <c r="F38" s="318"/>
      <c r="G38" s="319"/>
      <c r="H38" s="318"/>
      <c r="I38" s="318"/>
      <c r="J38" s="318"/>
      <c r="K38" s="318"/>
      <c r="L38" s="319"/>
      <c r="M38" s="318"/>
      <c r="N38" s="318"/>
      <c r="O38" s="318"/>
      <c r="P38" s="318"/>
      <c r="Q38" s="319"/>
      <c r="R38" s="318"/>
      <c r="S38" s="318"/>
      <c r="T38" s="318"/>
      <c r="U38" s="318"/>
      <c r="V38" s="319"/>
      <c r="W38" s="320"/>
      <c r="X38" s="321"/>
      <c r="Y38" s="321"/>
      <c r="Z38" s="321"/>
      <c r="AA38" s="322"/>
      <c r="AB38" s="320"/>
      <c r="AC38" s="320"/>
      <c r="AD38" s="320"/>
      <c r="AE38" s="320"/>
      <c r="AF38" s="322"/>
      <c r="AG38" s="320"/>
      <c r="AH38" s="320"/>
      <c r="AI38" s="320"/>
      <c r="AJ38" s="320"/>
      <c r="AK38" s="322"/>
      <c r="AL38" s="321"/>
      <c r="AM38" s="321"/>
      <c r="AN38" s="321"/>
      <c r="AO38" s="321"/>
      <c r="AP38" s="322"/>
      <c r="AQ38" s="323"/>
      <c r="AR38" s="321"/>
      <c r="AS38" s="324"/>
      <c r="AT38" s="324"/>
      <c r="AU38" s="322"/>
      <c r="AV38" s="321"/>
      <c r="AW38" s="324"/>
      <c r="AX38" s="324"/>
      <c r="AY38" s="324"/>
      <c r="AZ38" s="322"/>
      <c r="BA38" s="321"/>
      <c r="BB38" s="324"/>
      <c r="BC38" s="324"/>
      <c r="BD38" s="324"/>
      <c r="BE38" s="282"/>
      <c r="BF38" s="28"/>
      <c r="BG38" s="28"/>
      <c r="BH38" s="28"/>
      <c r="BI38" s="28"/>
      <c r="BJ38" s="282"/>
      <c r="BK38" s="28"/>
      <c r="BL38" s="28"/>
      <c r="BM38" s="28"/>
      <c r="BN38" s="28"/>
      <c r="BO38" s="282"/>
      <c r="BP38" s="28"/>
      <c r="BQ38" s="28"/>
      <c r="BR38" s="28"/>
      <c r="BS38" s="28"/>
      <c r="BT38" s="282"/>
      <c r="BU38" s="28"/>
      <c r="BV38" s="28"/>
      <c r="BW38" s="28"/>
      <c r="BX38" s="28"/>
      <c r="BY38" s="282"/>
      <c r="BZ38" s="28"/>
      <c r="CA38" s="28"/>
      <c r="CB38" s="28"/>
      <c r="CC38" s="28"/>
      <c r="CD38" s="282"/>
    </row>
    <row r="39" spans="2:83" s="252" customFormat="1" x14ac:dyDescent="0.15">
      <c r="B39" s="268" t="str">
        <f>Sales!B56</f>
        <v>Total Contact Lenses</v>
      </c>
      <c r="C39" s="317">
        <f>Sales!C56</f>
        <v>0</v>
      </c>
      <c r="D39" s="318">
        <f>Sales!D56</f>
        <v>0</v>
      </c>
      <c r="E39" s="318">
        <f>Sales!E56</f>
        <v>0</v>
      </c>
      <c r="F39" s="318">
        <f>Sales!F56</f>
        <v>0</v>
      </c>
      <c r="G39" s="319">
        <f>Sales!G56</f>
        <v>0</v>
      </c>
      <c r="H39" s="318">
        <f>Sales!H56</f>
        <v>0</v>
      </c>
      <c r="I39" s="318">
        <f>Sales!I56</f>
        <v>0</v>
      </c>
      <c r="J39" s="318">
        <f>Sales!J56</f>
        <v>0</v>
      </c>
      <c r="K39" s="318">
        <f>Sales!K56</f>
        <v>0</v>
      </c>
      <c r="L39" s="319">
        <f>Sales!L56</f>
        <v>0</v>
      </c>
      <c r="M39" s="318">
        <f>Sales!M56</f>
        <v>0</v>
      </c>
      <c r="N39" s="318">
        <f>Sales!N56</f>
        <v>0</v>
      </c>
      <c r="O39" s="318">
        <f>Sales!O56</f>
        <v>0</v>
      </c>
      <c r="P39" s="318">
        <f>Sales!P56</f>
        <v>0</v>
      </c>
      <c r="Q39" s="319">
        <f>Sales!Q56</f>
        <v>0</v>
      </c>
      <c r="R39" s="318">
        <f>Sales!R56</f>
        <v>0</v>
      </c>
      <c r="S39" s="318">
        <f>Sales!S56</f>
        <v>0</v>
      </c>
      <c r="T39" s="318">
        <f>Sales!T56</f>
        <v>0</v>
      </c>
      <c r="U39" s="318">
        <f>Sales!U56</f>
        <v>0</v>
      </c>
      <c r="V39" s="319">
        <f>Sales!V56</f>
        <v>0</v>
      </c>
      <c r="W39" s="320">
        <f>Sales!W56</f>
        <v>0</v>
      </c>
      <c r="X39" s="321">
        <f>Sales!X56</f>
        <v>0</v>
      </c>
      <c r="Y39" s="321">
        <f>Sales!Y56</f>
        <v>0</v>
      </c>
      <c r="Z39" s="321">
        <f>Sales!Z56</f>
        <v>0</v>
      </c>
      <c r="AA39" s="322">
        <f>Sales!AA56</f>
        <v>0</v>
      </c>
      <c r="AB39" s="320">
        <f>Sales!AB56</f>
        <v>0</v>
      </c>
      <c r="AC39" s="320">
        <f>Sales!AC56</f>
        <v>0</v>
      </c>
      <c r="AD39" s="320">
        <f>Sales!AD56</f>
        <v>0</v>
      </c>
      <c r="AE39" s="320">
        <f>Sales!AE56</f>
        <v>0</v>
      </c>
      <c r="AF39" s="322">
        <f>Sales!AF56</f>
        <v>0</v>
      </c>
      <c r="AG39" s="320">
        <f>Sales!AG56</f>
        <v>0</v>
      </c>
      <c r="AH39" s="320">
        <f>Sales!AH56</f>
        <v>0</v>
      </c>
      <c r="AI39" s="320">
        <f>Sales!AI56</f>
        <v>0</v>
      </c>
      <c r="AJ39" s="320">
        <f>Sales!AJ56</f>
        <v>0</v>
      </c>
      <c r="AK39" s="322">
        <f>Sales!AK56</f>
        <v>0</v>
      </c>
      <c r="AL39" s="321">
        <f>Sales!AL56</f>
        <v>0</v>
      </c>
      <c r="AM39" s="321">
        <f>Sales!AM56</f>
        <v>0</v>
      </c>
      <c r="AN39" s="321">
        <f>Sales!AN56</f>
        <v>0</v>
      </c>
      <c r="AO39" s="321">
        <f>Sales!AO56</f>
        <v>0</v>
      </c>
      <c r="AP39" s="322">
        <f>Sales!AP56</f>
        <v>0</v>
      </c>
      <c r="AQ39" s="323">
        <f>Sales!AQ56</f>
        <v>0</v>
      </c>
      <c r="AR39" s="321">
        <f>Sales!AR56</f>
        <v>0</v>
      </c>
      <c r="AS39" s="275">
        <f>Sales!AS56</f>
        <v>24.6</v>
      </c>
      <c r="AT39" s="275">
        <f>Sales!AT56</f>
        <v>37.6</v>
      </c>
      <c r="AU39" s="322">
        <f>Sales!AU56</f>
        <v>0</v>
      </c>
      <c r="AV39" s="275">
        <f>Sales!AV56</f>
        <v>40.9</v>
      </c>
      <c r="AW39" s="275">
        <f>Sales!AW56</f>
        <v>42.1</v>
      </c>
      <c r="AX39" s="275">
        <f>Sales!AX56</f>
        <v>44.8</v>
      </c>
      <c r="AY39" s="275">
        <f>Sales!AY56</f>
        <v>42.6</v>
      </c>
      <c r="AZ39" s="277">
        <f>Sales!AZ56</f>
        <v>170.4</v>
      </c>
      <c r="BA39" s="275">
        <f>Sales!BA56</f>
        <v>47.7</v>
      </c>
      <c r="BB39" s="275">
        <f>Sales!BB56</f>
        <v>51.2</v>
      </c>
      <c r="BC39" s="315">
        <f>Sales!BC56</f>
        <v>60.4</v>
      </c>
      <c r="BD39" s="315">
        <f>Sales!BD56</f>
        <v>53.5</v>
      </c>
      <c r="BE39" s="277">
        <f>Sales!BE56</f>
        <v>212.8</v>
      </c>
      <c r="BF39" s="28">
        <f>Sales!BF56</f>
        <v>55</v>
      </c>
      <c r="BG39" s="28">
        <f>Sales!BG56</f>
        <v>57</v>
      </c>
      <c r="BH39" s="28">
        <f>Sales!BH56</f>
        <v>60</v>
      </c>
      <c r="BI39" s="28">
        <f>Sales!BI56</f>
        <v>65</v>
      </c>
      <c r="BJ39" s="277">
        <f>Sales!BJ56</f>
        <v>237</v>
      </c>
      <c r="BK39" s="28">
        <f>Sales!BK56</f>
        <v>0</v>
      </c>
      <c r="BL39" s="28">
        <f>Sales!BL56</f>
        <v>0</v>
      </c>
      <c r="BM39" s="28">
        <f>Sales!BM56</f>
        <v>0</v>
      </c>
      <c r="BN39" s="28">
        <f>Sales!BN56</f>
        <v>0</v>
      </c>
      <c r="BO39" s="277">
        <f>Sales!BO56</f>
        <v>265.44</v>
      </c>
      <c r="BP39" s="28">
        <f>Sales!BP56</f>
        <v>0</v>
      </c>
      <c r="BQ39" s="28">
        <f>Sales!BQ56</f>
        <v>0</v>
      </c>
      <c r="BR39" s="28">
        <f>Sales!BR56</f>
        <v>0</v>
      </c>
      <c r="BS39" s="28">
        <f>Sales!BS56</f>
        <v>0</v>
      </c>
      <c r="BT39" s="277">
        <f>Sales!BT56</f>
        <v>291.98400000000004</v>
      </c>
      <c r="BU39" s="28">
        <f>Sales!BU56</f>
        <v>0</v>
      </c>
      <c r="BV39" s="28">
        <f>Sales!BV56</f>
        <v>0</v>
      </c>
      <c r="BW39" s="28">
        <f>Sales!BW56</f>
        <v>0</v>
      </c>
      <c r="BX39" s="28">
        <f>Sales!BX56</f>
        <v>0</v>
      </c>
      <c r="BY39" s="277">
        <f>Sales!BY56</f>
        <v>321.18240000000009</v>
      </c>
      <c r="BZ39" s="28">
        <f>Sales!BZ56</f>
        <v>0</v>
      </c>
      <c r="CA39" s="28">
        <f>Sales!CA56</f>
        <v>0</v>
      </c>
      <c r="CB39" s="28">
        <f>Sales!CB56</f>
        <v>0</v>
      </c>
      <c r="CC39" s="28">
        <f>Sales!CC56</f>
        <v>0</v>
      </c>
      <c r="CD39" s="277">
        <f>Sales!CD56</f>
        <v>353.3006400000001</v>
      </c>
    </row>
    <row r="40" spans="2:83" s="252" customFormat="1" hidden="1" x14ac:dyDescent="0.15">
      <c r="B40" s="309" t="str">
        <f>Sales!B57</f>
        <v>growth</v>
      </c>
      <c r="C40" s="317">
        <f>Sales!C57</f>
        <v>0</v>
      </c>
      <c r="D40" s="318">
        <f>Sales!D57</f>
        <v>0</v>
      </c>
      <c r="E40" s="318">
        <f>Sales!E57</f>
        <v>0</v>
      </c>
      <c r="F40" s="318">
        <f>Sales!F57</f>
        <v>0</v>
      </c>
      <c r="G40" s="319">
        <f>Sales!G57</f>
        <v>0</v>
      </c>
      <c r="H40" s="318">
        <f>Sales!H57</f>
        <v>0</v>
      </c>
      <c r="I40" s="318">
        <f>Sales!I57</f>
        <v>0</v>
      </c>
      <c r="J40" s="318">
        <f>Sales!J57</f>
        <v>0</v>
      </c>
      <c r="K40" s="318">
        <f>Sales!K57</f>
        <v>0</v>
      </c>
      <c r="L40" s="319">
        <f>Sales!L57</f>
        <v>0</v>
      </c>
      <c r="M40" s="318">
        <f>Sales!M57</f>
        <v>0</v>
      </c>
      <c r="N40" s="318">
        <f>Sales!N57</f>
        <v>0</v>
      </c>
      <c r="O40" s="318">
        <f>Sales!O57</f>
        <v>0</v>
      </c>
      <c r="P40" s="318">
        <f>Sales!P57</f>
        <v>0</v>
      </c>
      <c r="Q40" s="319">
        <f>Sales!Q57</f>
        <v>0</v>
      </c>
      <c r="R40" s="318">
        <f>Sales!R57</f>
        <v>0</v>
      </c>
      <c r="S40" s="318">
        <f>Sales!S57</f>
        <v>0</v>
      </c>
      <c r="T40" s="318">
        <f>Sales!T57</f>
        <v>0</v>
      </c>
      <c r="U40" s="318">
        <f>Sales!U57</f>
        <v>0</v>
      </c>
      <c r="V40" s="319">
        <f>Sales!V57</f>
        <v>0</v>
      </c>
      <c r="W40" s="320">
        <f>Sales!W57</f>
        <v>0</v>
      </c>
      <c r="X40" s="321">
        <f>Sales!X57</f>
        <v>0</v>
      </c>
      <c r="Y40" s="321">
        <f>Sales!Y57</f>
        <v>0</v>
      </c>
      <c r="Z40" s="321">
        <f>Sales!Z57</f>
        <v>0</v>
      </c>
      <c r="AA40" s="322">
        <f>Sales!AA57</f>
        <v>0</v>
      </c>
      <c r="AB40" s="320">
        <f>Sales!AB57</f>
        <v>0</v>
      </c>
      <c r="AC40" s="320">
        <f>Sales!AC57</f>
        <v>0</v>
      </c>
      <c r="AD40" s="320">
        <f>Sales!AD57</f>
        <v>0</v>
      </c>
      <c r="AE40" s="320">
        <f>Sales!AE57</f>
        <v>0</v>
      </c>
      <c r="AF40" s="322">
        <f>Sales!AF57</f>
        <v>0</v>
      </c>
      <c r="AG40" s="320">
        <f>Sales!AG57</f>
        <v>0</v>
      </c>
      <c r="AH40" s="320">
        <f>Sales!AH57</f>
        <v>0</v>
      </c>
      <c r="AI40" s="320">
        <f>Sales!AI57</f>
        <v>0</v>
      </c>
      <c r="AJ40" s="320">
        <f>Sales!AJ57</f>
        <v>0</v>
      </c>
      <c r="AK40" s="322">
        <f>Sales!AK57</f>
        <v>0</v>
      </c>
      <c r="AL40" s="321">
        <f>Sales!AL57</f>
        <v>0</v>
      </c>
      <c r="AM40" s="321">
        <f>Sales!AM57</f>
        <v>0</v>
      </c>
      <c r="AN40" s="321">
        <f>Sales!AN57</f>
        <v>0</v>
      </c>
      <c r="AO40" s="321">
        <f>Sales!AO57</f>
        <v>0</v>
      </c>
      <c r="AP40" s="322">
        <f>Sales!AP57</f>
        <v>0</v>
      </c>
      <c r="AQ40" s="323">
        <f>Sales!AQ57</f>
        <v>0</v>
      </c>
      <c r="AR40" s="321">
        <f>Sales!AR57</f>
        <v>0</v>
      </c>
      <c r="AS40" s="324">
        <f>Sales!AS57</f>
        <v>0</v>
      </c>
      <c r="AT40" s="324">
        <f>Sales!AT57</f>
        <v>0</v>
      </c>
      <c r="AU40" s="322">
        <f>Sales!AU57</f>
        <v>0</v>
      </c>
      <c r="AV40" s="321">
        <f>Sales!AV57</f>
        <v>0</v>
      </c>
      <c r="AW40" s="324">
        <f>Sales!AW57</f>
        <v>0</v>
      </c>
      <c r="AX40" s="281">
        <f>Sales!AX57</f>
        <v>0.82113821138211351</v>
      </c>
      <c r="AY40" s="281">
        <f>Sales!AY57</f>
        <v>0.13297872340425521</v>
      </c>
      <c r="AZ40" s="322">
        <f>Sales!AZ57</f>
        <v>0</v>
      </c>
      <c r="BA40" s="281">
        <f>Sales!BA57</f>
        <v>0.16625916870415658</v>
      </c>
      <c r="BB40" s="281">
        <f>Sales!BB57</f>
        <v>0.21615201900237535</v>
      </c>
      <c r="BC40" s="324">
        <f>Sales!BC57</f>
        <v>0.34821428571428581</v>
      </c>
      <c r="BD40" s="324">
        <f>Sales!BD57</f>
        <v>0.255868544600939</v>
      </c>
      <c r="BE40" s="282">
        <f>Sales!BE57</f>
        <v>0.24882629107981225</v>
      </c>
      <c r="BF40" s="28">
        <f>Sales!BF57</f>
        <v>0.1530398322851152</v>
      </c>
      <c r="BG40" s="28">
        <f>Sales!BG57</f>
        <v>0.11328125</v>
      </c>
      <c r="BH40" s="28">
        <f>Sales!BH57</f>
        <v>-6.6225165562913135E-3</v>
      </c>
      <c r="BI40" s="28">
        <f>Sales!BI57</f>
        <v>0.2149532710280373</v>
      </c>
      <c r="BJ40" s="282">
        <f>Sales!BJ57</f>
        <v>0.11372180451127822</v>
      </c>
      <c r="BK40" s="28">
        <f>Sales!BK57</f>
        <v>0</v>
      </c>
      <c r="BL40" s="28">
        <f>Sales!BL57</f>
        <v>0</v>
      </c>
      <c r="BM40" s="28">
        <f>Sales!BM57</f>
        <v>0</v>
      </c>
      <c r="BN40" s="28">
        <f>Sales!BN57</f>
        <v>0</v>
      </c>
      <c r="BO40" s="282">
        <f>Sales!BO57</f>
        <v>0.12</v>
      </c>
      <c r="BP40" s="28">
        <f>Sales!BP57</f>
        <v>0</v>
      </c>
      <c r="BQ40" s="28">
        <f>Sales!BQ57</f>
        <v>0</v>
      </c>
      <c r="BR40" s="28">
        <f>Sales!BR57</f>
        <v>0</v>
      </c>
      <c r="BS40" s="28">
        <f>Sales!BS57</f>
        <v>0</v>
      </c>
      <c r="BT40" s="282">
        <f>Sales!BT57</f>
        <v>0.1</v>
      </c>
      <c r="BU40" s="28">
        <f>Sales!BU57</f>
        <v>0</v>
      </c>
      <c r="BV40" s="28">
        <f>Sales!BV57</f>
        <v>0</v>
      </c>
      <c r="BW40" s="28">
        <f>Sales!BW57</f>
        <v>0</v>
      </c>
      <c r="BX40" s="28">
        <f>Sales!BX57</f>
        <v>0</v>
      </c>
      <c r="BY40" s="282">
        <f>Sales!BY57</f>
        <v>0.1</v>
      </c>
      <c r="BZ40" s="28">
        <f>Sales!BZ57</f>
        <v>0</v>
      </c>
      <c r="CA40" s="28">
        <f>Sales!CA57</f>
        <v>0</v>
      </c>
      <c r="CB40" s="28">
        <f>Sales!CB57</f>
        <v>0</v>
      </c>
      <c r="CC40" s="28">
        <f>Sales!CC57</f>
        <v>0</v>
      </c>
      <c r="CD40" s="282">
        <f>Sales!CD57</f>
        <v>0.1</v>
      </c>
    </row>
    <row r="41" spans="2:83" s="252" customFormat="1" hidden="1" x14ac:dyDescent="0.15">
      <c r="B41" s="325"/>
      <c r="C41" s="317"/>
      <c r="D41" s="318"/>
      <c r="E41" s="318"/>
      <c r="F41" s="318"/>
      <c r="G41" s="319"/>
      <c r="H41" s="318"/>
      <c r="I41" s="318"/>
      <c r="J41" s="318"/>
      <c r="K41" s="318"/>
      <c r="L41" s="319"/>
      <c r="M41" s="318"/>
      <c r="N41" s="318"/>
      <c r="O41" s="318"/>
      <c r="P41" s="318"/>
      <c r="Q41" s="319"/>
      <c r="R41" s="318"/>
      <c r="S41" s="318"/>
      <c r="T41" s="318"/>
      <c r="U41" s="318"/>
      <c r="V41" s="319"/>
      <c r="W41" s="320"/>
      <c r="X41" s="321"/>
      <c r="Y41" s="321"/>
      <c r="Z41" s="321"/>
      <c r="AA41" s="322"/>
      <c r="AB41" s="320"/>
      <c r="AC41" s="320"/>
      <c r="AD41" s="320"/>
      <c r="AE41" s="320"/>
      <c r="AF41" s="322"/>
      <c r="AG41" s="320"/>
      <c r="AH41" s="320"/>
      <c r="AI41" s="320"/>
      <c r="AJ41" s="320"/>
      <c r="AK41" s="322"/>
      <c r="AL41" s="321"/>
      <c r="AM41" s="321"/>
      <c r="AN41" s="321"/>
      <c r="AO41" s="321"/>
      <c r="AP41" s="322"/>
      <c r="AQ41" s="323"/>
      <c r="AR41" s="321"/>
      <c r="AS41" s="324"/>
      <c r="AT41" s="324"/>
      <c r="AU41" s="322"/>
      <c r="AV41" s="321"/>
      <c r="AW41" s="324"/>
      <c r="AX41" s="324"/>
      <c r="AY41" s="324"/>
      <c r="AZ41" s="322"/>
      <c r="BA41" s="321"/>
      <c r="BB41" s="324"/>
      <c r="BC41" s="324"/>
      <c r="BD41" s="324"/>
      <c r="BE41" s="282"/>
      <c r="BF41" s="28"/>
      <c r="BG41" s="28"/>
      <c r="BH41" s="28"/>
      <c r="BI41" s="28"/>
      <c r="BJ41" s="276"/>
      <c r="BK41" s="28"/>
      <c r="BL41" s="28"/>
      <c r="BM41" s="28"/>
      <c r="BN41" s="28"/>
      <c r="BO41" s="276"/>
      <c r="BP41" s="28"/>
      <c r="BQ41" s="28"/>
      <c r="BR41" s="28"/>
      <c r="BS41" s="28"/>
      <c r="BT41" s="276"/>
      <c r="BU41" s="28"/>
      <c r="BV41" s="28"/>
      <c r="BW41" s="28"/>
      <c r="BX41" s="28"/>
      <c r="BY41" s="276"/>
      <c r="BZ41" s="28"/>
      <c r="CA41" s="28"/>
      <c r="CB41" s="28"/>
      <c r="CC41" s="28"/>
      <c r="CD41" s="276"/>
    </row>
    <row r="42" spans="2:83" s="285" customFormat="1" x14ac:dyDescent="0.15">
      <c r="B42" s="298" t="str">
        <f>Sales!B59</f>
        <v>Total Surgical</v>
      </c>
      <c r="C42" s="310">
        <f>Sales!C59</f>
        <v>0</v>
      </c>
      <c r="D42" s="310">
        <f>Sales!D59</f>
        <v>0</v>
      </c>
      <c r="E42" s="310">
        <f>Sales!E59</f>
        <v>0</v>
      </c>
      <c r="F42" s="310">
        <f>Sales!F59</f>
        <v>0</v>
      </c>
      <c r="G42" s="311">
        <f>Sales!G59</f>
        <v>0</v>
      </c>
      <c r="H42" s="310">
        <f>Sales!H59</f>
        <v>0</v>
      </c>
      <c r="I42" s="310">
        <f>Sales!I59</f>
        <v>0</v>
      </c>
      <c r="J42" s="310">
        <f>Sales!J59</f>
        <v>0</v>
      </c>
      <c r="K42" s="310">
        <f>Sales!K59</f>
        <v>0</v>
      </c>
      <c r="L42" s="311">
        <f>Sales!L59</f>
        <v>0</v>
      </c>
      <c r="M42" s="310">
        <f>Sales!M59</f>
        <v>0</v>
      </c>
      <c r="N42" s="310">
        <f>Sales!N59</f>
        <v>0</v>
      </c>
      <c r="O42" s="310">
        <f>Sales!O59</f>
        <v>0</v>
      </c>
      <c r="P42" s="310">
        <f>Sales!P59</f>
        <v>0</v>
      </c>
      <c r="Q42" s="311">
        <f>Sales!Q59</f>
        <v>0</v>
      </c>
      <c r="R42" s="310">
        <f>Sales!R59</f>
        <v>0</v>
      </c>
      <c r="S42" s="310">
        <f>Sales!S59</f>
        <v>0</v>
      </c>
      <c r="T42" s="310">
        <f>Sales!T59</f>
        <v>0</v>
      </c>
      <c r="U42" s="310">
        <f>Sales!U59</f>
        <v>0</v>
      </c>
      <c r="V42" s="311">
        <f>Sales!V59</f>
        <v>0</v>
      </c>
      <c r="W42" s="310">
        <f>Sales!W59</f>
        <v>0</v>
      </c>
      <c r="X42" s="310">
        <f>Sales!X59</f>
        <v>0</v>
      </c>
      <c r="Y42" s="310">
        <f>Sales!Y59</f>
        <v>0</v>
      </c>
      <c r="Z42" s="310">
        <f>Sales!Z59</f>
        <v>0</v>
      </c>
      <c r="AA42" s="311">
        <f>Sales!AA59</f>
        <v>0</v>
      </c>
      <c r="AB42" s="310">
        <f>Sales!AB59</f>
        <v>0</v>
      </c>
      <c r="AC42" s="310">
        <f>Sales!AC59</f>
        <v>0</v>
      </c>
      <c r="AD42" s="310">
        <f>Sales!AD59</f>
        <v>0</v>
      </c>
      <c r="AE42" s="310">
        <f>Sales!AE59</f>
        <v>0</v>
      </c>
      <c r="AF42" s="311">
        <f>Sales!AF59</f>
        <v>0</v>
      </c>
      <c r="AG42" s="310">
        <f>Sales!AG59</f>
        <v>0</v>
      </c>
      <c r="AH42" s="310">
        <f>Sales!AH59</f>
        <v>0</v>
      </c>
      <c r="AI42" s="310">
        <f>Sales!AI59</f>
        <v>0</v>
      </c>
      <c r="AJ42" s="310">
        <f>Sales!AJ59</f>
        <v>0</v>
      </c>
      <c r="AK42" s="311">
        <f>Sales!AK59</f>
        <v>0</v>
      </c>
      <c r="AL42" s="314">
        <f>Sales!AL59</f>
        <v>0</v>
      </c>
      <c r="AM42" s="313">
        <f>Sales!AM59</f>
        <v>0</v>
      </c>
      <c r="AN42" s="314">
        <f>Sales!AN59</f>
        <v>0</v>
      </c>
      <c r="AO42" s="315">
        <f>Sales!AO59</f>
        <v>0</v>
      </c>
      <c r="AP42" s="311">
        <f>Sales!AP59</f>
        <v>0</v>
      </c>
      <c r="AQ42" s="316">
        <f>Sales!AQ59</f>
        <v>0</v>
      </c>
      <c r="AR42" s="310">
        <f>Sales!AR59</f>
        <v>0</v>
      </c>
      <c r="AS42" s="275">
        <f>Sales!AS59</f>
        <v>31.1</v>
      </c>
      <c r="AT42" s="275">
        <f>Sales!AT59</f>
        <v>59.3</v>
      </c>
      <c r="AU42" s="311">
        <f>Sales!AU59</f>
        <v>0</v>
      </c>
      <c r="AV42" s="275">
        <f>Sales!AV59</f>
        <v>48.3</v>
      </c>
      <c r="AW42" s="275">
        <f>Sales!AW59</f>
        <v>56.2</v>
      </c>
      <c r="AX42" s="275">
        <f>Sales!AX59</f>
        <v>54</v>
      </c>
      <c r="AY42" s="275">
        <f>Sales!AY59</f>
        <v>56.6</v>
      </c>
      <c r="AZ42" s="277">
        <f>Sales!AZ59</f>
        <v>215.1</v>
      </c>
      <c r="BA42" s="275">
        <f>Sales!BA59</f>
        <v>48.1</v>
      </c>
      <c r="BB42" s="275">
        <f>Sales!BB59</f>
        <v>56.5</v>
      </c>
      <c r="BC42" s="315">
        <f>Sales!BC59</f>
        <v>54.6</v>
      </c>
      <c r="BD42" s="315">
        <f>Sales!BD59</f>
        <v>65.400000000000006</v>
      </c>
      <c r="BE42" s="332">
        <f>Sales!BE59</f>
        <v>224.6</v>
      </c>
      <c r="BF42" s="285">
        <f>Sales!BF59</f>
        <v>75</v>
      </c>
      <c r="BG42" s="285">
        <f>Sales!BG59</f>
        <v>77</v>
      </c>
      <c r="BH42" s="285">
        <f>Sales!BH59</f>
        <v>78</v>
      </c>
      <c r="BI42" s="285">
        <f>Sales!BI59</f>
        <v>80</v>
      </c>
      <c r="BJ42" s="332">
        <f>Sales!BJ59</f>
        <v>310</v>
      </c>
      <c r="BK42" s="285">
        <f>Sales!BK59</f>
        <v>0</v>
      </c>
      <c r="BL42" s="285">
        <f>Sales!BL59</f>
        <v>0</v>
      </c>
      <c r="BM42" s="285">
        <f>Sales!BM59</f>
        <v>0</v>
      </c>
      <c r="BN42" s="285">
        <f>Sales!BN59</f>
        <v>0</v>
      </c>
      <c r="BO42" s="332">
        <f>Sales!BO59</f>
        <v>319.3</v>
      </c>
      <c r="BP42" s="285">
        <f>Sales!BP59</f>
        <v>0</v>
      </c>
      <c r="BQ42" s="285">
        <f>Sales!BQ59</f>
        <v>0</v>
      </c>
      <c r="BR42" s="285">
        <f>Sales!BR59</f>
        <v>0</v>
      </c>
      <c r="BS42" s="285">
        <f>Sales!BS59</f>
        <v>0</v>
      </c>
      <c r="BT42" s="332">
        <f>Sales!BT59</f>
        <v>328.87900000000002</v>
      </c>
      <c r="BU42" s="285">
        <f>Sales!BU59</f>
        <v>0</v>
      </c>
      <c r="BV42" s="285">
        <f>Sales!BV59</f>
        <v>0</v>
      </c>
      <c r="BW42" s="285">
        <f>Sales!BW59</f>
        <v>0</v>
      </c>
      <c r="BX42" s="285">
        <f>Sales!BX59</f>
        <v>0</v>
      </c>
      <c r="BY42" s="332">
        <f>Sales!BY59</f>
        <v>335.45658000000003</v>
      </c>
      <c r="BZ42" s="285">
        <f>Sales!BZ59</f>
        <v>0</v>
      </c>
      <c r="CA42" s="285">
        <f>Sales!CA59</f>
        <v>0</v>
      </c>
      <c r="CB42" s="285">
        <f>Sales!CB59</f>
        <v>0</v>
      </c>
      <c r="CC42" s="285">
        <f>Sales!CC59</f>
        <v>0</v>
      </c>
      <c r="CD42" s="332">
        <f>Sales!CD59</f>
        <v>342.16571160000007</v>
      </c>
    </row>
    <row r="43" spans="2:83" s="285" customFormat="1" hidden="1" x14ac:dyDescent="0.15">
      <c r="B43" s="309" t="str">
        <f>Sales!B60</f>
        <v>growth</v>
      </c>
      <c r="C43" s="310">
        <f>Sales!C60</f>
        <v>0</v>
      </c>
      <c r="D43" s="310">
        <f>Sales!D60</f>
        <v>0</v>
      </c>
      <c r="E43" s="310">
        <f>Sales!E60</f>
        <v>0</v>
      </c>
      <c r="F43" s="310">
        <f>Sales!F60</f>
        <v>0</v>
      </c>
      <c r="G43" s="311">
        <f>Sales!G60</f>
        <v>0</v>
      </c>
      <c r="H43" s="310">
        <f>Sales!H60</f>
        <v>0</v>
      </c>
      <c r="I43" s="310">
        <f>Sales!I60</f>
        <v>0</v>
      </c>
      <c r="J43" s="310">
        <f>Sales!J60</f>
        <v>0</v>
      </c>
      <c r="K43" s="310">
        <f>Sales!K60</f>
        <v>0</v>
      </c>
      <c r="L43" s="311">
        <f>Sales!L60</f>
        <v>0</v>
      </c>
      <c r="M43" s="310">
        <f>Sales!M60</f>
        <v>0</v>
      </c>
      <c r="N43" s="310">
        <f>Sales!N60</f>
        <v>0</v>
      </c>
      <c r="O43" s="310">
        <f>Sales!O60</f>
        <v>0</v>
      </c>
      <c r="P43" s="310">
        <f>Sales!P60</f>
        <v>0</v>
      </c>
      <c r="Q43" s="311">
        <f>Sales!Q60</f>
        <v>0</v>
      </c>
      <c r="R43" s="310">
        <f>Sales!R60</f>
        <v>0</v>
      </c>
      <c r="S43" s="310">
        <f>Sales!S60</f>
        <v>0</v>
      </c>
      <c r="T43" s="310">
        <f>Sales!T60</f>
        <v>0</v>
      </c>
      <c r="U43" s="310">
        <f>Sales!U60</f>
        <v>0</v>
      </c>
      <c r="V43" s="311">
        <f>Sales!V60</f>
        <v>0</v>
      </c>
      <c r="W43" s="310">
        <f>Sales!W60</f>
        <v>0</v>
      </c>
      <c r="X43" s="310">
        <f>Sales!X60</f>
        <v>0</v>
      </c>
      <c r="Y43" s="310">
        <f>Sales!Y60</f>
        <v>0</v>
      </c>
      <c r="Z43" s="310">
        <f>Sales!Z60</f>
        <v>0</v>
      </c>
      <c r="AA43" s="311">
        <f>Sales!AA60</f>
        <v>0</v>
      </c>
      <c r="AB43" s="310">
        <f>Sales!AB60</f>
        <v>0</v>
      </c>
      <c r="AC43" s="310">
        <f>Sales!AC60</f>
        <v>0</v>
      </c>
      <c r="AD43" s="310">
        <f>Sales!AD60</f>
        <v>0</v>
      </c>
      <c r="AE43" s="310">
        <f>Sales!AE60</f>
        <v>0</v>
      </c>
      <c r="AF43" s="311">
        <f>Sales!AF60</f>
        <v>0</v>
      </c>
      <c r="AG43" s="310">
        <f>Sales!AG60</f>
        <v>0</v>
      </c>
      <c r="AH43" s="310">
        <f>Sales!AH60</f>
        <v>0</v>
      </c>
      <c r="AI43" s="310">
        <f>Sales!AI60</f>
        <v>0</v>
      </c>
      <c r="AJ43" s="310">
        <f>Sales!AJ60</f>
        <v>0</v>
      </c>
      <c r="AK43" s="311">
        <f>Sales!AK60</f>
        <v>0</v>
      </c>
      <c r="AL43" s="314">
        <f>Sales!AL60</f>
        <v>0</v>
      </c>
      <c r="AM43" s="313">
        <f>Sales!AM60</f>
        <v>0</v>
      </c>
      <c r="AN43" s="314">
        <f>Sales!AN60</f>
        <v>0</v>
      </c>
      <c r="AO43" s="315">
        <f>Sales!AO60</f>
        <v>0</v>
      </c>
      <c r="AP43" s="311">
        <f>Sales!AP60</f>
        <v>0</v>
      </c>
      <c r="AQ43" s="316">
        <f>Sales!AQ60</f>
        <v>0</v>
      </c>
      <c r="AR43" s="310">
        <f>Sales!AR60</f>
        <v>0</v>
      </c>
      <c r="AS43" s="310">
        <f>Sales!AS60</f>
        <v>0</v>
      </c>
      <c r="AT43" s="310">
        <f>Sales!AT60</f>
        <v>0</v>
      </c>
      <c r="AU43" s="311">
        <f>Sales!AU60</f>
        <v>0</v>
      </c>
      <c r="AV43" s="310">
        <f>Sales!AV60</f>
        <v>0</v>
      </c>
      <c r="AW43" s="310">
        <f>Sales!AW60</f>
        <v>0</v>
      </c>
      <c r="AX43" s="281">
        <f>Sales!AX60</f>
        <v>0.7363344051446945</v>
      </c>
      <c r="AY43" s="281">
        <f>Sales!AY60</f>
        <v>-4.5531197301854953E-2</v>
      </c>
      <c r="AZ43" s="311">
        <f>Sales!AZ60</f>
        <v>0</v>
      </c>
      <c r="BA43" s="281">
        <f>Sales!BA60</f>
        <v>-4.1407867494822614E-3</v>
      </c>
      <c r="BB43" s="281">
        <f>Sales!BB60</f>
        <v>5.3380782918148739E-3</v>
      </c>
      <c r="BC43" s="324">
        <f>Sales!BC60</f>
        <v>1.1111111111111072E-2</v>
      </c>
      <c r="BD43" s="324">
        <f>Sales!BD60</f>
        <v>0.15547703180212014</v>
      </c>
      <c r="BE43" s="645">
        <f>Sales!BE60</f>
        <v>4.4165504416550538E-2</v>
      </c>
      <c r="BF43" s="285">
        <f>Sales!BF60</f>
        <v>0.55925155925155923</v>
      </c>
      <c r="BG43" s="285">
        <f>Sales!BG60</f>
        <v>0.36283185840707954</v>
      </c>
      <c r="BH43" s="285">
        <f>Sales!BH60</f>
        <v>0.4285714285714286</v>
      </c>
      <c r="BI43" s="285">
        <f>Sales!BI60</f>
        <v>0.2232415902140672</v>
      </c>
      <c r="BJ43" s="645">
        <f>Sales!BJ60</f>
        <v>0.38023152270703475</v>
      </c>
      <c r="BK43" s="285">
        <f>Sales!BK60</f>
        <v>0</v>
      </c>
      <c r="BL43" s="285">
        <f>Sales!BL60</f>
        <v>0</v>
      </c>
      <c r="BM43" s="285">
        <f>Sales!BM60</f>
        <v>0</v>
      </c>
      <c r="BN43" s="285">
        <f>Sales!BN60</f>
        <v>0</v>
      </c>
      <c r="BO43" s="645">
        <f>Sales!BO60</f>
        <v>0.03</v>
      </c>
      <c r="BP43" s="285">
        <f>Sales!BP60</f>
        <v>0</v>
      </c>
      <c r="BQ43" s="285">
        <f>Sales!BQ60</f>
        <v>0</v>
      </c>
      <c r="BR43" s="285">
        <f>Sales!BR60</f>
        <v>0</v>
      </c>
      <c r="BS43" s="285">
        <f>Sales!BS60</f>
        <v>0</v>
      </c>
      <c r="BT43" s="645">
        <f>Sales!BT60</f>
        <v>0.03</v>
      </c>
      <c r="BU43" s="285">
        <f>Sales!BU60</f>
        <v>0</v>
      </c>
      <c r="BV43" s="285">
        <f>Sales!BV60</f>
        <v>0</v>
      </c>
      <c r="BW43" s="285">
        <f>Sales!BW60</f>
        <v>0</v>
      </c>
      <c r="BX43" s="285">
        <f>Sales!BX60</f>
        <v>0</v>
      </c>
      <c r="BY43" s="645">
        <f>Sales!BY60</f>
        <v>0.02</v>
      </c>
      <c r="BZ43" s="285">
        <f>Sales!BZ60</f>
        <v>0</v>
      </c>
      <c r="CA43" s="285">
        <f>Sales!CA60</f>
        <v>0</v>
      </c>
      <c r="CB43" s="285">
        <f>Sales!CB60</f>
        <v>0</v>
      </c>
      <c r="CC43" s="285">
        <f>Sales!CC60</f>
        <v>0</v>
      </c>
      <c r="CD43" s="645">
        <f>Sales!CD60</f>
        <v>0.02</v>
      </c>
    </row>
    <row r="44" spans="2:83" s="285" customFormat="1" hidden="1" x14ac:dyDescent="0.15">
      <c r="B44" s="309"/>
      <c r="C44" s="310"/>
      <c r="D44" s="310"/>
      <c r="E44" s="310"/>
      <c r="F44" s="310"/>
      <c r="G44" s="311"/>
      <c r="H44" s="310"/>
      <c r="I44" s="310"/>
      <c r="J44" s="310"/>
      <c r="K44" s="310"/>
      <c r="L44" s="311"/>
      <c r="M44" s="310"/>
      <c r="N44" s="310"/>
      <c r="O44" s="310"/>
      <c r="P44" s="310"/>
      <c r="Q44" s="311"/>
      <c r="R44" s="310"/>
      <c r="S44" s="310"/>
      <c r="T44" s="310"/>
      <c r="U44" s="310"/>
      <c r="V44" s="311"/>
      <c r="W44" s="310"/>
      <c r="X44" s="310"/>
      <c r="Y44" s="310"/>
      <c r="Z44" s="310"/>
      <c r="AA44" s="311"/>
      <c r="AB44" s="310"/>
      <c r="AC44" s="310"/>
      <c r="AD44" s="310"/>
      <c r="AE44" s="310"/>
      <c r="AF44" s="311"/>
      <c r="AG44" s="310"/>
      <c r="AH44" s="310"/>
      <c r="AI44" s="310"/>
      <c r="AJ44" s="310"/>
      <c r="AK44" s="311"/>
      <c r="AL44" s="314"/>
      <c r="AM44" s="313"/>
      <c r="AN44" s="314"/>
      <c r="AO44" s="315"/>
      <c r="AP44" s="311"/>
      <c r="AQ44" s="316"/>
      <c r="AR44" s="310"/>
      <c r="AS44" s="310"/>
      <c r="AT44" s="310"/>
      <c r="AU44" s="311"/>
      <c r="AV44" s="310"/>
      <c r="AW44" s="310"/>
      <c r="AX44" s="310"/>
      <c r="AY44" s="310"/>
      <c r="AZ44" s="311"/>
      <c r="BA44" s="310"/>
      <c r="BB44" s="310"/>
      <c r="BC44" s="310"/>
      <c r="BD44" s="310"/>
      <c r="BE44" s="311"/>
      <c r="BJ44" s="311"/>
      <c r="BO44" s="311"/>
      <c r="BT44" s="311"/>
      <c r="BY44" s="311"/>
      <c r="CD44" s="311"/>
    </row>
    <row r="45" spans="2:83" s="285" customFormat="1" outlineLevel="1" x14ac:dyDescent="0.15">
      <c r="B45" s="230" t="str">
        <f>Sales!B62</f>
        <v>Neuro &amp; Other/Generics</v>
      </c>
      <c r="C45" s="236">
        <f>Sales!C62</f>
        <v>0</v>
      </c>
      <c r="D45" s="236">
        <f>Sales!D62</f>
        <v>0</v>
      </c>
      <c r="E45" s="236">
        <f>Sales!E62</f>
        <v>0</v>
      </c>
      <c r="F45" s="236">
        <f>Sales!F62</f>
        <v>0</v>
      </c>
      <c r="G45" s="235">
        <f>Sales!G62</f>
        <v>0</v>
      </c>
      <c r="H45" s="236">
        <f>Sales!H62</f>
        <v>0</v>
      </c>
      <c r="I45" s="236">
        <f>Sales!I62</f>
        <v>0</v>
      </c>
      <c r="J45" s="236">
        <f>Sales!J62</f>
        <v>0</v>
      </c>
      <c r="K45" s="236">
        <f>Sales!K62</f>
        <v>0</v>
      </c>
      <c r="L45" s="235">
        <f>Sales!L62</f>
        <v>0</v>
      </c>
      <c r="M45" s="236">
        <f>Sales!M62</f>
        <v>0</v>
      </c>
      <c r="N45" s="236">
        <f>Sales!N62</f>
        <v>0</v>
      </c>
      <c r="O45" s="236">
        <f>Sales!O62</f>
        <v>0</v>
      </c>
      <c r="P45" s="236">
        <f>Sales!P62</f>
        <v>0</v>
      </c>
      <c r="Q45" s="235">
        <f>Sales!Q62</f>
        <v>0</v>
      </c>
      <c r="R45" s="236">
        <f>Sales!R62</f>
        <v>0</v>
      </c>
      <c r="S45" s="236">
        <f>Sales!S62</f>
        <v>0</v>
      </c>
      <c r="T45" s="236">
        <f>Sales!T62</f>
        <v>0</v>
      </c>
      <c r="U45" s="236">
        <f>Sales!U62</f>
        <v>0</v>
      </c>
      <c r="V45" s="235">
        <f>Sales!V62</f>
        <v>0</v>
      </c>
      <c r="W45" s="236">
        <f>Sales!W62</f>
        <v>0</v>
      </c>
      <c r="X45" s="236">
        <f>Sales!X62</f>
        <v>0</v>
      </c>
      <c r="Y45" s="236">
        <f>Sales!Y62</f>
        <v>0</v>
      </c>
      <c r="Z45" s="236">
        <f>Sales!Z62</f>
        <v>0</v>
      </c>
      <c r="AA45" s="235">
        <f>Sales!AA62</f>
        <v>0</v>
      </c>
      <c r="AB45" s="236">
        <f>Sales!AB62</f>
        <v>0</v>
      </c>
      <c r="AC45" s="236">
        <f>Sales!AC62</f>
        <v>0</v>
      </c>
      <c r="AD45" s="236">
        <f>Sales!AD62</f>
        <v>0</v>
      </c>
      <c r="AE45" s="236">
        <f>Sales!AE62</f>
        <v>0</v>
      </c>
      <c r="AF45" s="235">
        <f>Sales!AF62</f>
        <v>0</v>
      </c>
      <c r="AG45" s="236">
        <f>Sales!AG62</f>
        <v>0</v>
      </c>
      <c r="AH45" s="236">
        <f>Sales!AH62</f>
        <v>0</v>
      </c>
      <c r="AI45" s="236">
        <f>Sales!AI62</f>
        <v>0</v>
      </c>
      <c r="AJ45" s="236">
        <f>Sales!AJ62</f>
        <v>0</v>
      </c>
      <c r="AK45" s="235">
        <f>Sales!AK62</f>
        <v>0</v>
      </c>
      <c r="AL45" s="288">
        <f>Sales!AL62</f>
        <v>0</v>
      </c>
      <c r="AM45" s="239">
        <f>Sales!AM62</f>
        <v>0</v>
      </c>
      <c r="AN45" s="288">
        <f>Sales!AN62</f>
        <v>0</v>
      </c>
      <c r="AO45" s="240">
        <f>Sales!AO62</f>
        <v>0</v>
      </c>
      <c r="AP45" s="235">
        <f>Sales!AP62</f>
        <v>0</v>
      </c>
      <c r="AQ45" s="289">
        <f>Sales!AQ62</f>
        <v>0</v>
      </c>
      <c r="AR45" s="236">
        <f>Sales!AR62</f>
        <v>0</v>
      </c>
      <c r="AS45" s="236">
        <f>Sales!AS62</f>
        <v>0</v>
      </c>
      <c r="AT45" s="236">
        <f>Sales!AT62</f>
        <v>0</v>
      </c>
      <c r="AU45" s="235">
        <f>Sales!AU62</f>
        <v>0</v>
      </c>
      <c r="AV45" s="236">
        <f>Sales!AV62</f>
        <v>0</v>
      </c>
      <c r="AW45" s="236">
        <f>Sales!AW62</f>
        <v>0</v>
      </c>
      <c r="AX45" s="236">
        <f>Sales!AX62</f>
        <v>0</v>
      </c>
      <c r="AY45" s="236">
        <f>Sales!AY62</f>
        <v>0</v>
      </c>
      <c r="AZ45" s="235"/>
      <c r="BA45" s="236"/>
      <c r="BB45" s="236"/>
      <c r="BC45" s="236"/>
      <c r="BD45" s="236"/>
      <c r="BE45" s="235"/>
      <c r="BF45" s="241"/>
      <c r="BG45" s="241"/>
      <c r="BH45" s="241"/>
      <c r="BI45" s="241"/>
      <c r="BJ45" s="235"/>
      <c r="BK45" s="241"/>
      <c r="BL45" s="241"/>
      <c r="BM45" s="241"/>
      <c r="BN45" s="241"/>
      <c r="BO45" s="235"/>
      <c r="BP45" s="241"/>
      <c r="BQ45" s="241"/>
      <c r="BR45" s="241"/>
      <c r="BS45" s="241"/>
      <c r="BT45" s="235"/>
      <c r="BU45" s="241"/>
      <c r="BV45" s="241"/>
      <c r="BW45" s="241"/>
      <c r="BX45" s="241"/>
      <c r="BY45" s="235"/>
      <c r="BZ45" s="241"/>
      <c r="CA45" s="241"/>
      <c r="CB45" s="241"/>
      <c r="CC45" s="241"/>
      <c r="CD45" s="235"/>
    </row>
    <row r="46" spans="2:83" s="28" customFormat="1" hidden="1" outlineLevel="2" x14ac:dyDescent="0.15">
      <c r="B46" s="238" t="str">
        <f>Sales!B63</f>
        <v>Wellbutrin XL</v>
      </c>
      <c r="C46" s="336">
        <f>Sales!C63</f>
        <v>36.799999999999997</v>
      </c>
      <c r="D46" s="336">
        <f>Sales!D63</f>
        <v>70.5</v>
      </c>
      <c r="E46" s="336">
        <f>Sales!E63</f>
        <v>109.3</v>
      </c>
      <c r="F46" s="336">
        <f>Sales!F63</f>
        <v>137.69999999999999</v>
      </c>
      <c r="G46" s="337">
        <f>Sales!G63</f>
        <v>354.29999999999995</v>
      </c>
      <c r="H46" s="336">
        <f>Sales!H63</f>
        <v>65</v>
      </c>
      <c r="I46" s="336">
        <f>Sales!I63</f>
        <v>114</v>
      </c>
      <c r="J46" s="336">
        <f>Sales!J63</f>
        <v>123.3</v>
      </c>
      <c r="K46" s="336">
        <f>Sales!K63</f>
        <v>148.1</v>
      </c>
      <c r="L46" s="337">
        <f>Sales!L63</f>
        <v>450.4</v>
      </c>
      <c r="M46" s="336">
        <f>Sales!M63</f>
        <v>61.405000000000001</v>
      </c>
      <c r="N46" s="336">
        <f>Sales!N63</f>
        <v>53.048000000000002</v>
      </c>
      <c r="O46" s="336">
        <f>Sales!O63</f>
        <v>53.515999999999998</v>
      </c>
      <c r="P46" s="336">
        <f>Sales!P63</f>
        <v>44.356000000000002</v>
      </c>
      <c r="Q46" s="337">
        <f>Sales!Q63</f>
        <v>212.32499999999999</v>
      </c>
      <c r="R46" s="336">
        <f>Sales!R63</f>
        <v>58.856000000000002</v>
      </c>
      <c r="S46" s="336">
        <f>Sales!S63</f>
        <v>30.42</v>
      </c>
      <c r="T46" s="336">
        <f>Sales!T63</f>
        <v>16.587</v>
      </c>
      <c r="U46" s="336">
        <f>Sales!U63</f>
        <v>14.882</v>
      </c>
      <c r="V46" s="337">
        <f>Sales!V63</f>
        <v>120.74500000000002</v>
      </c>
      <c r="W46" s="236">
        <f>Sales!W63</f>
        <v>20.12</v>
      </c>
      <c r="X46" s="236">
        <f>Sales!X63</f>
        <v>37.134999999999998</v>
      </c>
      <c r="Y46" s="236">
        <f>Sales!Y63</f>
        <v>58.606000000000002</v>
      </c>
      <c r="Z46" s="236">
        <f>Sales!Z63</f>
        <v>57.427</v>
      </c>
      <c r="AA46" s="235">
        <f>Sales!AA63</f>
        <v>173.28799999999998</v>
      </c>
      <c r="AB46" s="236">
        <f>Sales!AB63</f>
        <v>49.79</v>
      </c>
      <c r="AC46" s="236">
        <f>Sales!AC63</f>
        <v>53.984000000000002</v>
      </c>
      <c r="AD46" s="236">
        <f>Sales!AD63</f>
        <v>52.136000000000003</v>
      </c>
      <c r="AE46" s="236">
        <f>Sales!AE63</f>
        <v>32.1</v>
      </c>
      <c r="AF46" s="235">
        <f>Sales!AF63</f>
        <v>188.01</v>
      </c>
      <c r="AG46" s="236">
        <f>Sales!AG63</f>
        <v>46.4</v>
      </c>
      <c r="AH46" s="236">
        <f>Sales!AH63</f>
        <v>39.799999999999997</v>
      </c>
      <c r="AI46" s="236">
        <f>Sales!AI63</f>
        <v>35.1</v>
      </c>
      <c r="AJ46" s="236">
        <f>Sales!AJ63</f>
        <v>37.899999999999984</v>
      </c>
      <c r="AK46" s="235">
        <f>Sales!AK63</f>
        <v>159.19999999999996</v>
      </c>
      <c r="AL46" s="287">
        <f>Sales!AL63</f>
        <v>33.9</v>
      </c>
      <c r="AM46" s="236">
        <f>Sales!AM63</f>
        <v>31.8</v>
      </c>
      <c r="AN46" s="236">
        <f>Sales!AN63</f>
        <v>35.1</v>
      </c>
      <c r="AO46" s="236">
        <f>Sales!AO63</f>
        <v>38</v>
      </c>
      <c r="AP46" s="235">
        <f>Sales!AP63</f>
        <v>138.80000000000001</v>
      </c>
      <c r="AQ46" s="289">
        <f>Sales!AQ63</f>
        <v>38</v>
      </c>
      <c r="AR46" s="236">
        <f>Sales!AR63</f>
        <v>40</v>
      </c>
      <c r="AS46" s="236">
        <f>Sales!AS63</f>
        <v>40</v>
      </c>
      <c r="AT46" s="236">
        <f>Sales!AT63</f>
        <v>40</v>
      </c>
      <c r="AU46" s="235">
        <f>Sales!AU63</f>
        <v>158</v>
      </c>
      <c r="AV46" s="239">
        <f>Sales!AV63</f>
        <v>60</v>
      </c>
      <c r="AW46" s="239">
        <f>Sales!AW63</f>
        <v>64</v>
      </c>
      <c r="AX46" s="239">
        <f>Sales!AX63</f>
        <v>72</v>
      </c>
      <c r="AY46" s="239">
        <f>Sales!AY63</f>
        <v>74</v>
      </c>
      <c r="AZ46" s="235">
        <f>Sales!AZ63</f>
        <v>270</v>
      </c>
      <c r="BA46" s="239">
        <f>Sales!BA63</f>
        <v>68</v>
      </c>
      <c r="BB46" s="239">
        <f>Sales!BB63</f>
        <v>67</v>
      </c>
      <c r="BC46" s="240">
        <f>Sales!BC63</f>
        <v>92</v>
      </c>
      <c r="BD46" s="240">
        <f>Sales!BD63</f>
        <v>93</v>
      </c>
      <c r="BE46" s="235">
        <f>Sales!BE63</f>
        <v>320</v>
      </c>
      <c r="BF46" s="241">
        <f>Sales!BF63</f>
        <v>75</v>
      </c>
      <c r="BG46" s="241">
        <f>Sales!BG63</f>
        <v>80</v>
      </c>
      <c r="BH46" s="241">
        <f>Sales!BH63</f>
        <v>80</v>
      </c>
      <c r="BI46" s="241">
        <f>Sales!BI63</f>
        <v>80</v>
      </c>
      <c r="BJ46" s="235">
        <f>Sales!BJ63</f>
        <v>315</v>
      </c>
      <c r="BK46" s="241">
        <f>Sales!BK63</f>
        <v>0</v>
      </c>
      <c r="BL46" s="241">
        <f>Sales!BL63</f>
        <v>0</v>
      </c>
      <c r="BM46" s="241">
        <f>Sales!BM63</f>
        <v>0</v>
      </c>
      <c r="BN46" s="241">
        <f>Sales!BN63</f>
        <v>0</v>
      </c>
      <c r="BO46" s="235">
        <f>Sales!BO63</f>
        <v>321.3</v>
      </c>
      <c r="BP46" s="241">
        <f>Sales!BP63</f>
        <v>0</v>
      </c>
      <c r="BQ46" s="241">
        <f>Sales!BQ63</f>
        <v>0</v>
      </c>
      <c r="BR46" s="241">
        <f>Sales!BR63</f>
        <v>0</v>
      </c>
      <c r="BS46" s="241">
        <f>Sales!BS63</f>
        <v>0</v>
      </c>
      <c r="BT46" s="235">
        <f>Sales!BT63</f>
        <v>321.3</v>
      </c>
      <c r="BU46" s="241">
        <f>Sales!BU63</f>
        <v>0</v>
      </c>
      <c r="BV46" s="241">
        <f>Sales!BV63</f>
        <v>0</v>
      </c>
      <c r="BW46" s="241">
        <f>Sales!BW63</f>
        <v>0</v>
      </c>
      <c r="BX46" s="241">
        <f>Sales!BX63</f>
        <v>0</v>
      </c>
      <c r="BY46" s="235">
        <f>Sales!BY63</f>
        <v>305.23500000000001</v>
      </c>
      <c r="BZ46" s="241">
        <f>Sales!BZ63</f>
        <v>0</v>
      </c>
      <c r="CA46" s="241">
        <f>Sales!CA63</f>
        <v>0</v>
      </c>
      <c r="CB46" s="241">
        <f>Sales!CB63</f>
        <v>0</v>
      </c>
      <c r="CC46" s="241">
        <f>Sales!CC63</f>
        <v>0</v>
      </c>
      <c r="CD46" s="235">
        <f>Sales!CD63</f>
        <v>289.97325000000001</v>
      </c>
    </row>
    <row r="47" spans="2:83" s="28" customFormat="1" hidden="1" outlineLevel="2" x14ac:dyDescent="0.15">
      <c r="B47" s="238" t="str">
        <f>Sales!B65</f>
        <v>Xenazine/Nitoman</v>
      </c>
      <c r="C47" s="336">
        <f>Sales!C65</f>
        <v>0</v>
      </c>
      <c r="D47" s="336">
        <f>Sales!D65</f>
        <v>0</v>
      </c>
      <c r="E47" s="336">
        <f>Sales!E65</f>
        <v>0</v>
      </c>
      <c r="F47" s="336">
        <f>Sales!F65</f>
        <v>0</v>
      </c>
      <c r="G47" s="337">
        <f>Sales!G65</f>
        <v>0</v>
      </c>
      <c r="H47" s="336">
        <f>Sales!H65</f>
        <v>0</v>
      </c>
      <c r="I47" s="336">
        <f>Sales!I65</f>
        <v>0</v>
      </c>
      <c r="J47" s="336">
        <f>Sales!J65</f>
        <v>0</v>
      </c>
      <c r="K47" s="336">
        <f>Sales!K65</f>
        <v>0</v>
      </c>
      <c r="L47" s="337">
        <f>Sales!L65</f>
        <v>0</v>
      </c>
      <c r="M47" s="336">
        <f>Sales!M65</f>
        <v>0</v>
      </c>
      <c r="N47" s="336">
        <f>Sales!N65</f>
        <v>0</v>
      </c>
      <c r="O47" s="336">
        <f>Sales!O65</f>
        <v>0</v>
      </c>
      <c r="P47" s="336">
        <f>Sales!P65</f>
        <v>0</v>
      </c>
      <c r="Q47" s="337">
        <f>Sales!Q65</f>
        <v>0</v>
      </c>
      <c r="R47" s="336">
        <f>Sales!R65</f>
        <v>0</v>
      </c>
      <c r="S47" s="336">
        <f>Sales!S65</f>
        <v>0</v>
      </c>
      <c r="T47" s="336">
        <f>Sales!T65</f>
        <v>0.46600000000000003</v>
      </c>
      <c r="U47" s="336">
        <f>Sales!U65</f>
        <v>3.27</v>
      </c>
      <c r="V47" s="337">
        <f>Sales!V65</f>
        <v>3.7360000000000002</v>
      </c>
      <c r="W47" s="236">
        <f>Sales!W65</f>
        <v>6.6829999999999998</v>
      </c>
      <c r="X47" s="236">
        <f>Sales!X65</f>
        <v>11.048</v>
      </c>
      <c r="Y47" s="236">
        <f>Sales!Y65</f>
        <v>13.692</v>
      </c>
      <c r="Z47" s="236">
        <f>Sales!Z65</f>
        <v>17.010000000000002</v>
      </c>
      <c r="AA47" s="235">
        <f>Sales!AA65</f>
        <v>48.433000000000007</v>
      </c>
      <c r="AB47" s="236">
        <f>Sales!AB65</f>
        <v>16.11</v>
      </c>
      <c r="AC47" s="236">
        <f>Sales!AC65</f>
        <v>20.216000000000001</v>
      </c>
      <c r="AD47" s="236">
        <f>Sales!AD65</f>
        <v>21.852</v>
      </c>
      <c r="AE47" s="236">
        <f>Sales!AE65</f>
        <v>13.6</v>
      </c>
      <c r="AF47" s="235">
        <f>Sales!AF65</f>
        <v>71.777999999999992</v>
      </c>
      <c r="AG47" s="236">
        <f>Sales!AG65</f>
        <v>21.4</v>
      </c>
      <c r="AH47" s="236">
        <f>Sales!AH65</f>
        <v>26.3</v>
      </c>
      <c r="AI47" s="236">
        <f>Sales!AI65</f>
        <v>25.6</v>
      </c>
      <c r="AJ47" s="236">
        <f>Sales!AJ65</f>
        <v>31.900000000000013</v>
      </c>
      <c r="AK47" s="235">
        <f>Sales!AK65</f>
        <v>105.20000000000002</v>
      </c>
      <c r="AL47" s="236">
        <f>Sales!AL65</f>
        <v>31</v>
      </c>
      <c r="AM47" s="236">
        <f>Sales!AM65</f>
        <v>30</v>
      </c>
      <c r="AN47" s="344">
        <f>Sales!AN65</f>
        <v>32</v>
      </c>
      <c r="AO47" s="236">
        <f>Sales!AO65</f>
        <v>34</v>
      </c>
      <c r="AP47" s="235">
        <f>Sales!AP65</f>
        <v>127</v>
      </c>
      <c r="AQ47" s="345">
        <f>Sales!AQ65</f>
        <v>36</v>
      </c>
      <c r="AR47" s="240">
        <f>Sales!AR65</f>
        <v>38</v>
      </c>
      <c r="AS47" s="240">
        <f>Sales!AS65</f>
        <v>40</v>
      </c>
      <c r="AT47" s="240">
        <f>Sales!AT65</f>
        <v>45</v>
      </c>
      <c r="AU47" s="235">
        <f>Sales!AU65</f>
        <v>159</v>
      </c>
      <c r="AV47" s="239">
        <f>Sales!AV65</f>
        <v>50</v>
      </c>
      <c r="AW47" s="239">
        <f>Sales!AW65</f>
        <v>54</v>
      </c>
      <c r="AX47" s="239">
        <f>Sales!AX65</f>
        <v>56</v>
      </c>
      <c r="AY47" s="239">
        <f>Sales!AY65</f>
        <v>52</v>
      </c>
      <c r="AZ47" s="235">
        <f>Sales!AZ65</f>
        <v>212</v>
      </c>
      <c r="BA47" s="236">
        <f>Sales!BA65</f>
        <v>57</v>
      </c>
      <c r="BB47" s="236">
        <f>Sales!BB65</f>
        <v>66</v>
      </c>
      <c r="BC47" s="646">
        <f>Sales!BC65</f>
        <v>73</v>
      </c>
      <c r="BD47" s="236">
        <f>Sales!BD65</f>
        <v>50</v>
      </c>
      <c r="BE47" s="235">
        <f>Sales!BE65</f>
        <v>246</v>
      </c>
      <c r="BF47" s="241">
        <f>Sales!BF65</f>
        <v>7</v>
      </c>
      <c r="BG47" s="241">
        <f>Sales!BG65</f>
        <v>6</v>
      </c>
      <c r="BH47" s="241">
        <f>Sales!BH65</f>
        <v>5</v>
      </c>
      <c r="BI47" s="241">
        <f>Sales!BI65</f>
        <v>5</v>
      </c>
      <c r="BJ47" s="235">
        <f>Sales!BJ65</f>
        <v>23</v>
      </c>
      <c r="BK47" s="241">
        <f>Sales!BK65</f>
        <v>0</v>
      </c>
      <c r="BL47" s="241">
        <f>Sales!BL65</f>
        <v>0</v>
      </c>
      <c r="BM47" s="241">
        <f>Sales!BM65</f>
        <v>0</v>
      </c>
      <c r="BN47" s="241">
        <f>Sales!BN65</f>
        <v>0</v>
      </c>
      <c r="BO47" s="235">
        <f>Sales!BO65</f>
        <v>23</v>
      </c>
      <c r="BP47" s="241">
        <f>Sales!BP65</f>
        <v>0</v>
      </c>
      <c r="BQ47" s="241">
        <f>Sales!BQ65</f>
        <v>0</v>
      </c>
      <c r="BR47" s="241">
        <f>Sales!BR65</f>
        <v>0</v>
      </c>
      <c r="BS47" s="241">
        <f>Sales!BS65</f>
        <v>0</v>
      </c>
      <c r="BT47" s="235">
        <f>Sales!BT65</f>
        <v>23</v>
      </c>
      <c r="BU47" s="241">
        <f>Sales!BU65</f>
        <v>0</v>
      </c>
      <c r="BV47" s="241">
        <f>Sales!BV65</f>
        <v>0</v>
      </c>
      <c r="BW47" s="241">
        <f>Sales!BW65</f>
        <v>0</v>
      </c>
      <c r="BX47" s="241">
        <f>Sales!BX65</f>
        <v>0</v>
      </c>
      <c r="BY47" s="235">
        <f>Sales!BY65</f>
        <v>23</v>
      </c>
      <c r="BZ47" s="241">
        <f>Sales!BZ65</f>
        <v>0</v>
      </c>
      <c r="CA47" s="241">
        <f>Sales!CA65</f>
        <v>0</v>
      </c>
      <c r="CB47" s="241">
        <f>Sales!CB65</f>
        <v>0</v>
      </c>
      <c r="CC47" s="241">
        <f>Sales!CC65</f>
        <v>0</v>
      </c>
      <c r="CD47" s="235">
        <f>Sales!CD65</f>
        <v>23</v>
      </c>
      <c r="CE47" s="28" t="s">
        <v>39</v>
      </c>
    </row>
    <row r="48" spans="2:83" s="252" customFormat="1" outlineLevel="2" x14ac:dyDescent="0.15">
      <c r="B48" s="238" t="str">
        <f>Sales!B67</f>
        <v>Nitropress</v>
      </c>
      <c r="C48" s="253">
        <f>Sales!C67</f>
        <v>0</v>
      </c>
      <c r="D48" s="254">
        <f>Sales!D67</f>
        <v>0</v>
      </c>
      <c r="E48" s="254">
        <f>Sales!E67</f>
        <v>0</v>
      </c>
      <c r="F48" s="254">
        <f>Sales!F67</f>
        <v>0</v>
      </c>
      <c r="G48" s="255">
        <f>Sales!G67</f>
        <v>0</v>
      </c>
      <c r="H48" s="254">
        <f>Sales!H67</f>
        <v>0</v>
      </c>
      <c r="I48" s="254">
        <f>Sales!I67</f>
        <v>0</v>
      </c>
      <c r="J48" s="254">
        <f>Sales!J67</f>
        <v>0</v>
      </c>
      <c r="K48" s="254">
        <f>Sales!K67</f>
        <v>0</v>
      </c>
      <c r="L48" s="255">
        <f>Sales!L67</f>
        <v>0</v>
      </c>
      <c r="M48" s="254">
        <f>Sales!M67</f>
        <v>0</v>
      </c>
      <c r="N48" s="254">
        <f>Sales!N67</f>
        <v>0</v>
      </c>
      <c r="O48" s="254">
        <f>Sales!O67</f>
        <v>0</v>
      </c>
      <c r="P48" s="254">
        <f>Sales!P67</f>
        <v>0</v>
      </c>
      <c r="Q48" s="255">
        <f>Sales!Q67</f>
        <v>0</v>
      </c>
      <c r="R48" s="254">
        <f>Sales!R67</f>
        <v>0</v>
      </c>
      <c r="S48" s="254">
        <f>Sales!S67</f>
        <v>0</v>
      </c>
      <c r="T48" s="254">
        <f>Sales!T67</f>
        <v>0</v>
      </c>
      <c r="U48" s="254">
        <f>Sales!U67</f>
        <v>0</v>
      </c>
      <c r="V48" s="255">
        <f>Sales!V67</f>
        <v>0</v>
      </c>
      <c r="W48" s="256">
        <f>Sales!W67</f>
        <v>0</v>
      </c>
      <c r="X48" s="257">
        <f>Sales!X67</f>
        <v>0</v>
      </c>
      <c r="Y48" s="257">
        <f>Sales!Y67</f>
        <v>0</v>
      </c>
      <c r="Z48" s="257">
        <f>Sales!Z67</f>
        <v>0</v>
      </c>
      <c r="AA48" s="258">
        <f>Sales!AA67</f>
        <v>0</v>
      </c>
      <c r="AB48" s="256">
        <f>Sales!AB67</f>
        <v>0</v>
      </c>
      <c r="AC48" s="256">
        <f>Sales!AC67</f>
        <v>0</v>
      </c>
      <c r="AD48" s="256">
        <f>Sales!AD67</f>
        <v>0</v>
      </c>
      <c r="AE48" s="256">
        <f>Sales!AE67</f>
        <v>0</v>
      </c>
      <c r="AF48" s="258">
        <f>Sales!AF67</f>
        <v>0</v>
      </c>
      <c r="AG48" s="256">
        <f>Sales!AG67</f>
        <v>0</v>
      </c>
      <c r="AH48" s="256">
        <f>Sales!AH67</f>
        <v>0</v>
      </c>
      <c r="AI48" s="256">
        <f>Sales!AI67</f>
        <v>0</v>
      </c>
      <c r="AJ48" s="256">
        <f>Sales!AJ67</f>
        <v>0</v>
      </c>
      <c r="AK48" s="258">
        <f>Sales!AK67</f>
        <v>0</v>
      </c>
      <c r="AL48" s="257">
        <f>Sales!AL67</f>
        <v>0</v>
      </c>
      <c r="AM48" s="257">
        <f>Sales!AM67</f>
        <v>0</v>
      </c>
      <c r="AN48" s="257">
        <f>Sales!AN67</f>
        <v>0</v>
      </c>
      <c r="AO48" s="257">
        <f>Sales!AO67</f>
        <v>0</v>
      </c>
      <c r="AP48" s="258">
        <f>Sales!AP67</f>
        <v>0</v>
      </c>
      <c r="AQ48" s="290">
        <f>Sales!AQ67</f>
        <v>0</v>
      </c>
      <c r="AR48" s="257">
        <f>Sales!AR67</f>
        <v>0</v>
      </c>
      <c r="AS48" s="247">
        <f>Sales!AS67</f>
        <v>0</v>
      </c>
      <c r="AT48" s="247">
        <f>Sales!AT67</f>
        <v>0</v>
      </c>
      <c r="AU48" s="258">
        <f>Sales!AU67</f>
        <v>0</v>
      </c>
      <c r="AV48" s="257">
        <f>Sales!AV67</f>
        <v>0</v>
      </c>
      <c r="AW48" s="247">
        <f>Sales!AW67</f>
        <v>0</v>
      </c>
      <c r="AX48" s="247">
        <f>Sales!AX67</f>
        <v>0</v>
      </c>
      <c r="AY48" s="247">
        <f>Sales!AY67</f>
        <v>0</v>
      </c>
      <c r="AZ48" s="258"/>
      <c r="BA48" s="236">
        <f>Sales!BA67</f>
        <v>62</v>
      </c>
      <c r="BB48" s="236">
        <f>Sales!BB67</f>
        <v>64</v>
      </c>
      <c r="BC48" s="240">
        <f>Sales!BC67</f>
        <v>35</v>
      </c>
      <c r="BD48" s="240">
        <f>Sales!BD67</f>
        <v>58</v>
      </c>
      <c r="BE48" s="235">
        <f>Sales!BE67</f>
        <v>219</v>
      </c>
      <c r="BF48" s="241">
        <f>Sales!BF67</f>
        <v>30</v>
      </c>
      <c r="BG48" s="241">
        <f>Sales!BG67</f>
        <v>30</v>
      </c>
      <c r="BH48" s="241">
        <f>Sales!BH67</f>
        <v>30</v>
      </c>
      <c r="BI48" s="241">
        <f>Sales!BI67</f>
        <v>30</v>
      </c>
      <c r="BJ48" s="235">
        <f>Sales!BJ67</f>
        <v>120</v>
      </c>
      <c r="BK48" s="241">
        <f>Sales!BK67</f>
        <v>0</v>
      </c>
      <c r="BL48" s="241">
        <f>Sales!BL67</f>
        <v>0</v>
      </c>
      <c r="BM48" s="241">
        <f>Sales!BM67</f>
        <v>0</v>
      </c>
      <c r="BN48" s="241">
        <f>Sales!BN67</f>
        <v>0</v>
      </c>
      <c r="BO48" s="235">
        <f>Sales!BO67</f>
        <v>117.6</v>
      </c>
      <c r="BP48" s="241">
        <f>Sales!BP67</f>
        <v>0</v>
      </c>
      <c r="BQ48" s="241">
        <f>Sales!BQ67</f>
        <v>0</v>
      </c>
      <c r="BR48" s="241">
        <f>Sales!BR67</f>
        <v>0</v>
      </c>
      <c r="BS48" s="241">
        <f>Sales!BS67</f>
        <v>0</v>
      </c>
      <c r="BT48" s="235">
        <f>Sales!BT67</f>
        <v>115.24799999999999</v>
      </c>
      <c r="BU48" s="241">
        <f>Sales!BU67</f>
        <v>0</v>
      </c>
      <c r="BV48" s="241">
        <f>Sales!BV67</f>
        <v>0</v>
      </c>
      <c r="BW48" s="241">
        <f>Sales!BW67</f>
        <v>0</v>
      </c>
      <c r="BX48" s="241">
        <f>Sales!BX67</f>
        <v>0</v>
      </c>
      <c r="BY48" s="235">
        <f>Sales!BY67</f>
        <v>112.94303999999998</v>
      </c>
      <c r="BZ48" s="241">
        <f>Sales!BZ67</f>
        <v>0</v>
      </c>
      <c r="CA48" s="241">
        <f>Sales!CA67</f>
        <v>0</v>
      </c>
      <c r="CB48" s="241">
        <f>Sales!CB67</f>
        <v>0</v>
      </c>
      <c r="CC48" s="241">
        <f>Sales!CC67</f>
        <v>0</v>
      </c>
      <c r="CD48" s="235">
        <f>Sales!CD67</f>
        <v>110.68417919999997</v>
      </c>
    </row>
    <row r="49" spans="1:82" s="252" customFormat="1" outlineLevel="2" x14ac:dyDescent="0.15">
      <c r="B49" s="238" t="str">
        <f>Sales!B69</f>
        <v>Isuprel</v>
      </c>
      <c r="C49" s="253">
        <f>Sales!C69</f>
        <v>0</v>
      </c>
      <c r="D49" s="254">
        <f>Sales!D69</f>
        <v>0</v>
      </c>
      <c r="E49" s="254">
        <f>Sales!E69</f>
        <v>0</v>
      </c>
      <c r="F49" s="254">
        <f>Sales!F69</f>
        <v>0</v>
      </c>
      <c r="G49" s="255">
        <f>Sales!G69</f>
        <v>0</v>
      </c>
      <c r="H49" s="254">
        <f>Sales!H69</f>
        <v>0</v>
      </c>
      <c r="I49" s="254">
        <f>Sales!I69</f>
        <v>0</v>
      </c>
      <c r="J49" s="254">
        <f>Sales!J69</f>
        <v>0</v>
      </c>
      <c r="K49" s="254">
        <f>Sales!K69</f>
        <v>0</v>
      </c>
      <c r="L49" s="255">
        <f>Sales!L69</f>
        <v>0</v>
      </c>
      <c r="M49" s="254">
        <f>Sales!M69</f>
        <v>0</v>
      </c>
      <c r="N49" s="254">
        <f>Sales!N69</f>
        <v>0</v>
      </c>
      <c r="O49" s="254">
        <f>Sales!O69</f>
        <v>0</v>
      </c>
      <c r="P49" s="254">
        <f>Sales!P69</f>
        <v>0</v>
      </c>
      <c r="Q49" s="255">
        <f>Sales!Q69</f>
        <v>0</v>
      </c>
      <c r="R49" s="254">
        <f>Sales!R69</f>
        <v>0</v>
      </c>
      <c r="S49" s="254">
        <f>Sales!S69</f>
        <v>0</v>
      </c>
      <c r="T49" s="254">
        <f>Sales!T69</f>
        <v>0</v>
      </c>
      <c r="U49" s="254">
        <f>Sales!U69</f>
        <v>0</v>
      </c>
      <c r="V49" s="255">
        <f>Sales!V69</f>
        <v>0</v>
      </c>
      <c r="W49" s="256">
        <f>Sales!W69</f>
        <v>0</v>
      </c>
      <c r="X49" s="257">
        <f>Sales!X69</f>
        <v>0</v>
      </c>
      <c r="Y49" s="257">
        <f>Sales!Y69</f>
        <v>0</v>
      </c>
      <c r="Z49" s="257">
        <f>Sales!Z69</f>
        <v>0</v>
      </c>
      <c r="AA49" s="258">
        <f>Sales!AA69</f>
        <v>0</v>
      </c>
      <c r="AB49" s="256">
        <f>Sales!AB69</f>
        <v>0</v>
      </c>
      <c r="AC49" s="256">
        <f>Sales!AC69</f>
        <v>0</v>
      </c>
      <c r="AD49" s="256">
        <f>Sales!AD69</f>
        <v>0</v>
      </c>
      <c r="AE49" s="256">
        <f>Sales!AE69</f>
        <v>0</v>
      </c>
      <c r="AF49" s="258">
        <f>Sales!AF69</f>
        <v>0</v>
      </c>
      <c r="AG49" s="256">
        <f>Sales!AG69</f>
        <v>0</v>
      </c>
      <c r="AH49" s="256">
        <f>Sales!AH69</f>
        <v>0</v>
      </c>
      <c r="AI49" s="256">
        <f>Sales!AI69</f>
        <v>0</v>
      </c>
      <c r="AJ49" s="256">
        <f>Sales!AJ69</f>
        <v>0</v>
      </c>
      <c r="AK49" s="258">
        <f>Sales!AK69</f>
        <v>0</v>
      </c>
      <c r="AL49" s="257">
        <f>Sales!AL69</f>
        <v>0</v>
      </c>
      <c r="AM49" s="257">
        <f>Sales!AM69</f>
        <v>0</v>
      </c>
      <c r="AN49" s="257">
        <f>Sales!AN69</f>
        <v>0</v>
      </c>
      <c r="AO49" s="257">
        <f>Sales!AO69</f>
        <v>0</v>
      </c>
      <c r="AP49" s="258">
        <f>Sales!AP69</f>
        <v>0</v>
      </c>
      <c r="AQ49" s="290">
        <f>Sales!AQ69</f>
        <v>0</v>
      </c>
      <c r="AR49" s="257">
        <f>Sales!AR69</f>
        <v>0</v>
      </c>
      <c r="AS49" s="247">
        <f>Sales!AS69</f>
        <v>0</v>
      </c>
      <c r="AT49" s="247">
        <f>Sales!AT69</f>
        <v>0</v>
      </c>
      <c r="AU49" s="258">
        <f>Sales!AU69</f>
        <v>0</v>
      </c>
      <c r="AV49" s="257">
        <f>Sales!AV69</f>
        <v>0</v>
      </c>
      <c r="AW49" s="247">
        <f>Sales!AW69</f>
        <v>0</v>
      </c>
      <c r="AX49" s="247">
        <f>Sales!AX69</f>
        <v>0</v>
      </c>
      <c r="AY49" s="247">
        <f>Sales!AY69</f>
        <v>0</v>
      </c>
      <c r="AZ49" s="258"/>
      <c r="BA49" s="236">
        <f>Sales!BA69</f>
        <v>72</v>
      </c>
      <c r="BB49" s="236">
        <f>Sales!BB69</f>
        <v>49</v>
      </c>
      <c r="BC49" s="240">
        <f>Sales!BC69</f>
        <v>50</v>
      </c>
      <c r="BD49" s="240">
        <f>Sales!BD69</f>
        <v>53</v>
      </c>
      <c r="BE49" s="235">
        <f>Sales!BE69</f>
        <v>224</v>
      </c>
      <c r="BF49" s="241">
        <f>Sales!BF69</f>
        <v>35</v>
      </c>
      <c r="BG49" s="241">
        <f>Sales!BG69</f>
        <v>35</v>
      </c>
      <c r="BH49" s="241">
        <f>Sales!BH69</f>
        <v>35</v>
      </c>
      <c r="BI49" s="241">
        <f>Sales!BI69</f>
        <v>35</v>
      </c>
      <c r="BJ49" s="235">
        <f>Sales!BJ69</f>
        <v>140</v>
      </c>
      <c r="BK49" s="241">
        <f>Sales!BK69</f>
        <v>0</v>
      </c>
      <c r="BL49" s="241">
        <f>Sales!BL69</f>
        <v>0</v>
      </c>
      <c r="BM49" s="241">
        <f>Sales!BM69</f>
        <v>0</v>
      </c>
      <c r="BN49" s="241">
        <f>Sales!BN69</f>
        <v>0</v>
      </c>
      <c r="BO49" s="235">
        <f>Sales!BO69</f>
        <v>137.19999999999999</v>
      </c>
      <c r="BP49" s="241">
        <f>Sales!BP69</f>
        <v>0</v>
      </c>
      <c r="BQ49" s="241">
        <f>Sales!BQ69</f>
        <v>0</v>
      </c>
      <c r="BR49" s="241">
        <f>Sales!BR69</f>
        <v>0</v>
      </c>
      <c r="BS49" s="241">
        <f>Sales!BS69</f>
        <v>0</v>
      </c>
      <c r="BT49" s="235">
        <f>Sales!BT69</f>
        <v>134.45599999999999</v>
      </c>
      <c r="BU49" s="241">
        <f>Sales!BU69</f>
        <v>0</v>
      </c>
      <c r="BV49" s="241">
        <f>Sales!BV69</f>
        <v>0</v>
      </c>
      <c r="BW49" s="241">
        <f>Sales!BW69</f>
        <v>0</v>
      </c>
      <c r="BX49" s="241">
        <f>Sales!BX69</f>
        <v>0</v>
      </c>
      <c r="BY49" s="235">
        <f>Sales!BY69</f>
        <v>131.76687999999999</v>
      </c>
      <c r="BZ49" s="241">
        <f>Sales!BZ69</f>
        <v>0</v>
      </c>
      <c r="CA49" s="241">
        <f>Sales!CA69</f>
        <v>0</v>
      </c>
      <c r="CB49" s="241">
        <f>Sales!CB69</f>
        <v>0</v>
      </c>
      <c r="CC49" s="241">
        <f>Sales!CC69</f>
        <v>0</v>
      </c>
      <c r="CD49" s="235">
        <f>Sales!CD69</f>
        <v>129.13154239999997</v>
      </c>
    </row>
    <row r="50" spans="1:82" s="285" customFormat="1" hidden="1" outlineLevel="2" x14ac:dyDescent="0.15">
      <c r="B50" s="238" t="str">
        <f>Sales!B71</f>
        <v>Other Neuro/Other/Generics</v>
      </c>
      <c r="C50" s="236">
        <f>Sales!C71</f>
        <v>0</v>
      </c>
      <c r="D50" s="236">
        <f>Sales!D71</f>
        <v>0</v>
      </c>
      <c r="E50" s="236">
        <f>Sales!E71</f>
        <v>0</v>
      </c>
      <c r="F50" s="236">
        <f>Sales!F71</f>
        <v>0</v>
      </c>
      <c r="G50" s="235">
        <f>Sales!G71</f>
        <v>0</v>
      </c>
      <c r="H50" s="236">
        <f>Sales!H71</f>
        <v>0</v>
      </c>
      <c r="I50" s="236">
        <f>Sales!I71</f>
        <v>0</v>
      </c>
      <c r="J50" s="236">
        <f>Sales!J71</f>
        <v>0</v>
      </c>
      <c r="K50" s="236">
        <f>Sales!K71</f>
        <v>0</v>
      </c>
      <c r="L50" s="235">
        <f>Sales!L71</f>
        <v>0</v>
      </c>
      <c r="M50" s="236">
        <f>Sales!M71</f>
        <v>0</v>
      </c>
      <c r="N50" s="236">
        <f>Sales!N71</f>
        <v>0</v>
      </c>
      <c r="O50" s="236">
        <f>Sales!O71</f>
        <v>0</v>
      </c>
      <c r="P50" s="236">
        <f>Sales!P71</f>
        <v>0</v>
      </c>
      <c r="Q50" s="235">
        <f>Sales!Q71</f>
        <v>0</v>
      </c>
      <c r="R50" s="236">
        <f>Sales!R71</f>
        <v>0</v>
      </c>
      <c r="S50" s="236">
        <f>Sales!S71</f>
        <v>0</v>
      </c>
      <c r="T50" s="236">
        <f>Sales!T71</f>
        <v>0</v>
      </c>
      <c r="U50" s="236">
        <f>Sales!U71</f>
        <v>0</v>
      </c>
      <c r="V50" s="235">
        <f>Sales!V71</f>
        <v>0</v>
      </c>
      <c r="W50" s="236">
        <f>Sales!W71</f>
        <v>0</v>
      </c>
      <c r="X50" s="236">
        <f>Sales!X71</f>
        <v>0</v>
      </c>
      <c r="Y50" s="236">
        <f>Sales!Y71</f>
        <v>0</v>
      </c>
      <c r="Z50" s="236">
        <f>Sales!Z71</f>
        <v>0</v>
      </c>
      <c r="AA50" s="235">
        <f>Sales!AA71</f>
        <v>0</v>
      </c>
      <c r="AB50" s="236">
        <f>Sales!AB71</f>
        <v>0</v>
      </c>
      <c r="AC50" s="236">
        <f>Sales!AC71</f>
        <v>0</v>
      </c>
      <c r="AD50" s="236">
        <f>Sales!AD71</f>
        <v>0</v>
      </c>
      <c r="AE50" s="236">
        <f>Sales!AE71</f>
        <v>0</v>
      </c>
      <c r="AF50" s="235">
        <f>Sales!AF71</f>
        <v>0</v>
      </c>
      <c r="AG50" s="236">
        <f>Sales!AG71</f>
        <v>0</v>
      </c>
      <c r="AH50" s="236">
        <f>Sales!AH71</f>
        <v>0</v>
      </c>
      <c r="AI50" s="236">
        <f>Sales!AI71</f>
        <v>0</v>
      </c>
      <c r="AJ50" s="236">
        <f>Sales!AJ71</f>
        <v>0</v>
      </c>
      <c r="AK50" s="235">
        <f>Sales!AK71</f>
        <v>0</v>
      </c>
      <c r="AL50" s="288">
        <f>Sales!AL71</f>
        <v>0</v>
      </c>
      <c r="AM50" s="239">
        <f>Sales!AM71</f>
        <v>0</v>
      </c>
      <c r="AN50" s="288">
        <f>Sales!AN71</f>
        <v>0</v>
      </c>
      <c r="AO50" s="240">
        <f>Sales!AO71</f>
        <v>0</v>
      </c>
      <c r="AP50" s="235">
        <f>Sales!AP71</f>
        <v>0</v>
      </c>
      <c r="AQ50" s="236">
        <f>Sales!AQ71</f>
        <v>0</v>
      </c>
      <c r="AR50" s="236">
        <f>Sales!AR71</f>
        <v>0</v>
      </c>
      <c r="AS50" s="236">
        <f>Sales!AS71</f>
        <v>274</v>
      </c>
      <c r="AT50" s="236">
        <f>Sales!AT71</f>
        <v>368.79999999999995</v>
      </c>
      <c r="AU50" s="235">
        <f>Sales!AU71</f>
        <v>0</v>
      </c>
      <c r="AV50" s="236">
        <f>Sales!AV71</f>
        <v>241.5</v>
      </c>
      <c r="AW50" s="236">
        <f>Sales!AW71</f>
        <v>214.7</v>
      </c>
      <c r="AX50" s="236">
        <f>Sales!AX71</f>
        <v>296</v>
      </c>
      <c r="AY50" s="236">
        <f>Sales!AY71</f>
        <v>370.5</v>
      </c>
      <c r="AZ50" s="235">
        <f>Sales!AZ71</f>
        <v>1122.7</v>
      </c>
      <c r="BA50" s="236">
        <f>Sales!BA71</f>
        <v>280.10000000000002</v>
      </c>
      <c r="BB50" s="236">
        <f>Sales!BB71</f>
        <v>280.20000000000005</v>
      </c>
      <c r="BC50" s="236">
        <f>Sales!BC71</f>
        <v>296.5</v>
      </c>
      <c r="BD50" s="236">
        <f>Sales!BD71</f>
        <v>303.5</v>
      </c>
      <c r="BE50" s="235">
        <f>Sales!BE71</f>
        <v>1160.3000000000002</v>
      </c>
      <c r="BF50" s="241">
        <f>Sales!BF71</f>
        <v>210.07500000000002</v>
      </c>
      <c r="BG50" s="241">
        <f>Sales!BG71</f>
        <v>238.17000000000004</v>
      </c>
      <c r="BH50" s="241">
        <f>Sales!BH71</f>
        <v>252.02500000000001</v>
      </c>
      <c r="BI50" s="241">
        <f>Sales!BI71</f>
        <v>288.32499999999999</v>
      </c>
      <c r="BJ50" s="235">
        <f>Sales!BJ71</f>
        <v>988.59500000000003</v>
      </c>
      <c r="BK50" s="241">
        <f>Sales!BK71</f>
        <v>0</v>
      </c>
      <c r="BL50" s="241">
        <f>Sales!BL71</f>
        <v>0</v>
      </c>
      <c r="BM50" s="241">
        <f>Sales!BM71</f>
        <v>0</v>
      </c>
      <c r="BN50" s="241">
        <f>Sales!BN71</f>
        <v>0</v>
      </c>
      <c r="BO50" s="235">
        <f>Sales!BO71</f>
        <v>939.16525000000001</v>
      </c>
      <c r="BP50" s="241">
        <f>Sales!BP71</f>
        <v>0</v>
      </c>
      <c r="BQ50" s="241">
        <f>Sales!BQ71</f>
        <v>0</v>
      </c>
      <c r="BR50" s="241">
        <f>Sales!BR71</f>
        <v>0</v>
      </c>
      <c r="BS50" s="241">
        <f>Sales!BS71</f>
        <v>0</v>
      </c>
      <c r="BT50" s="235">
        <f>Sales!BT71</f>
        <v>939.16525000000001</v>
      </c>
      <c r="BU50" s="241">
        <f>Sales!BU71</f>
        <v>0</v>
      </c>
      <c r="BV50" s="241">
        <f>Sales!BV71</f>
        <v>0</v>
      </c>
      <c r="BW50" s="241">
        <f>Sales!BW71</f>
        <v>0</v>
      </c>
      <c r="BX50" s="241">
        <f>Sales!BX71</f>
        <v>0</v>
      </c>
      <c r="BY50" s="235">
        <f>Sales!BY71</f>
        <v>939.16525000000001</v>
      </c>
      <c r="BZ50" s="241">
        <f>Sales!BZ71</f>
        <v>0</v>
      </c>
      <c r="CA50" s="241">
        <f>Sales!CA71</f>
        <v>0</v>
      </c>
      <c r="CB50" s="241">
        <f>Sales!CB71</f>
        <v>0</v>
      </c>
      <c r="CC50" s="241">
        <f>Sales!CC71</f>
        <v>0</v>
      </c>
      <c r="CD50" s="235">
        <f>Sales!CD71</f>
        <v>939.16525000000001</v>
      </c>
    </row>
    <row r="51" spans="1:82" s="355" customFormat="1" ht="13" collapsed="1" x14ac:dyDescent="0.15">
      <c r="A51" s="349"/>
      <c r="B51" s="298" t="str">
        <f>Sales!B73</f>
        <v>Total Neuro/Other/Generics</v>
      </c>
      <c r="C51" s="350">
        <f>Sales!C73</f>
        <v>0</v>
      </c>
      <c r="D51" s="350">
        <f>Sales!D73</f>
        <v>0</v>
      </c>
      <c r="E51" s="350">
        <f>Sales!E73</f>
        <v>0</v>
      </c>
      <c r="F51" s="351">
        <f>Sales!F73</f>
        <v>0</v>
      </c>
      <c r="G51" s="352">
        <f>Sales!G73</f>
        <v>0</v>
      </c>
      <c r="H51" s="351">
        <f>Sales!H73</f>
        <v>0</v>
      </c>
      <c r="I51" s="351">
        <f>Sales!I73</f>
        <v>0</v>
      </c>
      <c r="J51" s="351">
        <f>Sales!J73</f>
        <v>0</v>
      </c>
      <c r="K51" s="351">
        <f>Sales!K73</f>
        <v>0</v>
      </c>
      <c r="L51" s="352">
        <f>Sales!L73</f>
        <v>0</v>
      </c>
      <c r="M51" s="351">
        <f>Sales!M73</f>
        <v>0</v>
      </c>
      <c r="N51" s="351">
        <f>Sales!N73</f>
        <v>0</v>
      </c>
      <c r="O51" s="351">
        <f>Sales!O73</f>
        <v>0</v>
      </c>
      <c r="P51" s="351">
        <f>Sales!P73</f>
        <v>0</v>
      </c>
      <c r="Q51" s="352">
        <f>Sales!Q73</f>
        <v>0</v>
      </c>
      <c r="R51" s="353">
        <f>Sales!R73</f>
        <v>0</v>
      </c>
      <c r="S51" s="353">
        <f>Sales!S73</f>
        <v>0</v>
      </c>
      <c r="T51" s="353">
        <f>Sales!T73</f>
        <v>0</v>
      </c>
      <c r="U51" s="353">
        <f>Sales!U73</f>
        <v>0</v>
      </c>
      <c r="V51" s="354">
        <f>Sales!V73</f>
        <v>0</v>
      </c>
      <c r="W51" s="353">
        <f>Sales!W73</f>
        <v>0</v>
      </c>
      <c r="X51" s="353">
        <f>Sales!X73</f>
        <v>0</v>
      </c>
      <c r="Y51" s="353">
        <f>Sales!Y73</f>
        <v>0</v>
      </c>
      <c r="Z51" s="353">
        <f>Sales!Z73</f>
        <v>0</v>
      </c>
      <c r="AA51" s="354">
        <f>Sales!AA73</f>
        <v>0</v>
      </c>
      <c r="AB51" s="302">
        <f>Sales!AB73</f>
        <v>0</v>
      </c>
      <c r="AC51" s="302">
        <f>Sales!AC73</f>
        <v>0</v>
      </c>
      <c r="AD51" s="302">
        <f>Sales!AD73</f>
        <v>0</v>
      </c>
      <c r="AE51" s="302">
        <f>Sales!AE73</f>
        <v>0</v>
      </c>
      <c r="AF51" s="311">
        <f>Sales!AF73</f>
        <v>0</v>
      </c>
      <c r="AG51" s="355">
        <f>Sales!AG73</f>
        <v>0</v>
      </c>
      <c r="AH51" s="355">
        <f>Sales!AH73</f>
        <v>0</v>
      </c>
      <c r="AI51" s="355">
        <f>Sales!AI73</f>
        <v>0</v>
      </c>
      <c r="AJ51" s="355">
        <f>Sales!AJ73</f>
        <v>0</v>
      </c>
      <c r="AK51" s="311">
        <f>Sales!AK73</f>
        <v>0</v>
      </c>
      <c r="AL51" s="355">
        <f>Sales!AL73</f>
        <v>0</v>
      </c>
      <c r="AM51" s="355">
        <f>Sales!AM73</f>
        <v>0</v>
      </c>
      <c r="AN51" s="355">
        <f>Sales!AN73</f>
        <v>0</v>
      </c>
      <c r="AO51" s="355">
        <f>Sales!AO73</f>
        <v>0</v>
      </c>
      <c r="AP51" s="311">
        <f>Sales!AP73</f>
        <v>0</v>
      </c>
      <c r="AQ51" s="356">
        <f>Sales!AQ73</f>
        <v>0</v>
      </c>
      <c r="AR51" s="355">
        <f>Sales!AR73</f>
        <v>0</v>
      </c>
      <c r="AS51" s="275">
        <f>Sales!AS73</f>
        <v>354</v>
      </c>
      <c r="AT51" s="275">
        <f>Sales!AT73</f>
        <v>453.79999999999995</v>
      </c>
      <c r="AU51" s="311">
        <f>Sales!AU73</f>
        <v>0</v>
      </c>
      <c r="AV51" s="275">
        <f>Sales!AV73</f>
        <v>351.5</v>
      </c>
      <c r="AW51" s="275">
        <f>Sales!AW73</f>
        <v>332.7</v>
      </c>
      <c r="AX51" s="275">
        <f>Sales!AX73</f>
        <v>424</v>
      </c>
      <c r="AY51" s="275">
        <f>Sales!AY73</f>
        <v>496.5</v>
      </c>
      <c r="AZ51" s="277">
        <f>Sales!AZ73</f>
        <v>1604.7</v>
      </c>
      <c r="BA51" s="275">
        <f>Sales!BA73</f>
        <v>539.1</v>
      </c>
      <c r="BB51" s="275">
        <f>Sales!BB73</f>
        <v>526.20000000000005</v>
      </c>
      <c r="BC51" s="275">
        <f>Sales!BC73</f>
        <v>546.5</v>
      </c>
      <c r="BD51" s="275">
        <f>Sales!BD73</f>
        <v>557.5</v>
      </c>
      <c r="BE51" s="332">
        <f>Sales!BE73</f>
        <v>2169.3000000000002</v>
      </c>
      <c r="BF51" s="285">
        <f>Sales!BF73</f>
        <v>357.07500000000005</v>
      </c>
      <c r="BG51" s="285">
        <f>Sales!BG73</f>
        <v>389.17000000000007</v>
      </c>
      <c r="BH51" s="285">
        <f>Sales!BH73</f>
        <v>402.02499999999998</v>
      </c>
      <c r="BI51" s="285">
        <f>Sales!BI73</f>
        <v>438.32499999999999</v>
      </c>
      <c r="BJ51" s="332">
        <f>Sales!BJ73</f>
        <v>1586.595</v>
      </c>
      <c r="BK51" s="285">
        <f>Sales!BK73</f>
        <v>0</v>
      </c>
      <c r="BL51" s="285">
        <f>Sales!BL73</f>
        <v>0</v>
      </c>
      <c r="BM51" s="285">
        <f>Sales!BM73</f>
        <v>0</v>
      </c>
      <c r="BN51" s="285">
        <f>Sales!BN73</f>
        <v>0</v>
      </c>
      <c r="BO51" s="332">
        <f>Sales!BO73</f>
        <v>1538.2652499999999</v>
      </c>
      <c r="BP51" s="285">
        <f>Sales!BP73</f>
        <v>0</v>
      </c>
      <c r="BQ51" s="285">
        <f>Sales!BQ73</f>
        <v>0</v>
      </c>
      <c r="BR51" s="285">
        <f>Sales!BR73</f>
        <v>0</v>
      </c>
      <c r="BS51" s="285">
        <f>Sales!BS73</f>
        <v>0</v>
      </c>
      <c r="BT51" s="332">
        <f>Sales!BT73</f>
        <v>1533.1692499999999</v>
      </c>
      <c r="BU51" s="285">
        <f>Sales!BU73</f>
        <v>0</v>
      </c>
      <c r="BV51" s="285">
        <f>Sales!BV73</f>
        <v>0</v>
      </c>
      <c r="BW51" s="285">
        <f>Sales!BW73</f>
        <v>0</v>
      </c>
      <c r="BX51" s="285">
        <f>Sales!BX73</f>
        <v>0</v>
      </c>
      <c r="BY51" s="332">
        <f>Sales!BY73</f>
        <v>1512.1101699999999</v>
      </c>
      <c r="BZ51" s="285">
        <f>Sales!BZ73</f>
        <v>0</v>
      </c>
      <c r="CA51" s="285">
        <f>Sales!CA73</f>
        <v>0</v>
      </c>
      <c r="CB51" s="285">
        <f>Sales!CB73</f>
        <v>0</v>
      </c>
      <c r="CC51" s="285">
        <f>Sales!CC73</f>
        <v>0</v>
      </c>
      <c r="CD51" s="332">
        <f>Sales!CD73</f>
        <v>1491.9542216</v>
      </c>
    </row>
    <row r="52" spans="1:82" s="355" customFormat="1" ht="13" hidden="1" x14ac:dyDescent="0.15">
      <c r="A52" s="28"/>
      <c r="B52" s="309" t="str">
        <f>Sales!B74</f>
        <v>growth</v>
      </c>
      <c r="C52" s="357">
        <f>Sales!C74</f>
        <v>0</v>
      </c>
      <c r="D52" s="357">
        <f>Sales!D74</f>
        <v>0</v>
      </c>
      <c r="E52" s="357">
        <f>Sales!E74</f>
        <v>0</v>
      </c>
      <c r="F52" s="357">
        <f>Sales!F74</f>
        <v>0</v>
      </c>
      <c r="G52" s="358">
        <f>Sales!G74</f>
        <v>0</v>
      </c>
      <c r="H52" s="357">
        <f>Sales!H74</f>
        <v>0</v>
      </c>
      <c r="I52" s="357">
        <f>Sales!I74</f>
        <v>0</v>
      </c>
      <c r="J52" s="357">
        <f>Sales!J74</f>
        <v>0</v>
      </c>
      <c r="K52" s="357">
        <f>Sales!K74</f>
        <v>0</v>
      </c>
      <c r="L52" s="358">
        <f>Sales!L74</f>
        <v>0</v>
      </c>
      <c r="M52" s="357">
        <f>Sales!M74</f>
        <v>0</v>
      </c>
      <c r="N52" s="357">
        <f>Sales!N74</f>
        <v>0</v>
      </c>
      <c r="O52" s="357">
        <f>Sales!O74</f>
        <v>0</v>
      </c>
      <c r="P52" s="357">
        <f>Sales!P74</f>
        <v>0</v>
      </c>
      <c r="Q52" s="358">
        <f>Sales!Q74</f>
        <v>0</v>
      </c>
      <c r="R52" s="357">
        <f>Sales!R74</f>
        <v>0</v>
      </c>
      <c r="S52" s="357">
        <f>Sales!S74</f>
        <v>0</v>
      </c>
      <c r="T52" s="357">
        <f>Sales!T74</f>
        <v>0</v>
      </c>
      <c r="U52" s="357">
        <f>Sales!U74</f>
        <v>0</v>
      </c>
      <c r="V52" s="358">
        <f>Sales!V74</f>
        <v>0</v>
      </c>
      <c r="W52" s="357">
        <f>Sales!W74</f>
        <v>0</v>
      </c>
      <c r="X52" s="357">
        <f>Sales!X74</f>
        <v>0</v>
      </c>
      <c r="Y52" s="357">
        <f>Sales!Y74</f>
        <v>0</v>
      </c>
      <c r="Z52" s="357">
        <f>Sales!Z74</f>
        <v>0</v>
      </c>
      <c r="AA52" s="358">
        <f>Sales!AA74</f>
        <v>0</v>
      </c>
      <c r="AB52" s="310">
        <f>Sales!AB74</f>
        <v>0</v>
      </c>
      <c r="AC52" s="310">
        <f>Sales!AC74</f>
        <v>0</v>
      </c>
      <c r="AD52" s="310">
        <f>Sales!AD74</f>
        <v>0</v>
      </c>
      <c r="AE52" s="310">
        <f>Sales!AE74</f>
        <v>0</v>
      </c>
      <c r="AF52" s="311">
        <f>Sales!AF74</f>
        <v>0</v>
      </c>
      <c r="AG52" s="355">
        <f>Sales!AG74</f>
        <v>0</v>
      </c>
      <c r="AH52" s="355">
        <f>Sales!AH74</f>
        <v>0</v>
      </c>
      <c r="AI52" s="355">
        <f>Sales!AI74</f>
        <v>0</v>
      </c>
      <c r="AJ52" s="355">
        <f>Sales!AJ74</f>
        <v>0</v>
      </c>
      <c r="AK52" s="311">
        <f>Sales!AK74</f>
        <v>0</v>
      </c>
      <c r="AL52" s="355">
        <f>Sales!AL74</f>
        <v>0</v>
      </c>
      <c r="AM52" s="355">
        <f>Sales!AM74</f>
        <v>0</v>
      </c>
      <c r="AN52" s="355">
        <f>Sales!AN74</f>
        <v>0</v>
      </c>
      <c r="AO52" s="355">
        <f>Sales!AO74</f>
        <v>0</v>
      </c>
      <c r="AP52" s="311">
        <f>Sales!AP74</f>
        <v>0</v>
      </c>
      <c r="AQ52" s="356">
        <f>Sales!AQ74</f>
        <v>0</v>
      </c>
      <c r="AR52" s="355">
        <f>Sales!AR74</f>
        <v>0</v>
      </c>
      <c r="AS52" s="355">
        <f>Sales!AS74</f>
        <v>0</v>
      </c>
      <c r="AT52" s="355">
        <f>Sales!AT74</f>
        <v>0</v>
      </c>
      <c r="AU52" s="311">
        <f>Sales!AU74</f>
        <v>0</v>
      </c>
      <c r="AV52" s="355">
        <f>Sales!AV74</f>
        <v>0</v>
      </c>
      <c r="AW52" s="355">
        <f>Sales!AW74</f>
        <v>0</v>
      </c>
      <c r="AX52" s="281">
        <f>Sales!AX74</f>
        <v>0.19774011299435035</v>
      </c>
      <c r="AY52" s="281">
        <f>Sales!AY74</f>
        <v>9.409431467606888E-2</v>
      </c>
      <c r="AZ52" s="311">
        <f>Sales!AZ74</f>
        <v>0</v>
      </c>
      <c r="BA52" s="281">
        <f>Sales!BA74</f>
        <v>0.53371266002844964</v>
      </c>
      <c r="BB52" s="281">
        <f>Sales!BB74</f>
        <v>0.58160504959422932</v>
      </c>
      <c r="BC52" s="281">
        <f>Sales!BC74</f>
        <v>0.28891509433962259</v>
      </c>
      <c r="BD52" s="281">
        <f>Sales!BD74</f>
        <v>0.12286002014098685</v>
      </c>
      <c r="BE52" s="282">
        <f>Sales!BE74</f>
        <v>0.35184146569452235</v>
      </c>
      <c r="BF52" s="285">
        <f>Sales!BF74</f>
        <v>-0.33764607679465775</v>
      </c>
      <c r="BG52" s="285">
        <f>Sales!BG74</f>
        <v>-0.26041429114405157</v>
      </c>
      <c r="BH52" s="285">
        <f>Sales!BH74</f>
        <v>-0.26436413540713632</v>
      </c>
      <c r="BI52" s="285">
        <f>Sales!BI74</f>
        <v>-0.2137668161434978</v>
      </c>
      <c r="BJ52" s="282">
        <f>Sales!BJ74</f>
        <v>-0.26861429954363159</v>
      </c>
      <c r="BK52" s="285">
        <f>Sales!BK74</f>
        <v>0</v>
      </c>
      <c r="BL52" s="285">
        <f>Sales!BL74</f>
        <v>0</v>
      </c>
      <c r="BM52" s="285">
        <f>Sales!BM74</f>
        <v>0</v>
      </c>
      <c r="BN52" s="285">
        <f>Sales!BN74</f>
        <v>0</v>
      </c>
      <c r="BO52" s="282">
        <f>Sales!BO74</f>
        <v>-3.046130234874056E-2</v>
      </c>
      <c r="BP52" s="285">
        <f>Sales!BP74</f>
        <v>0</v>
      </c>
      <c r="BQ52" s="285">
        <f>Sales!BQ74</f>
        <v>0</v>
      </c>
      <c r="BR52" s="285">
        <f>Sales!BR74</f>
        <v>0</v>
      </c>
      <c r="BS52" s="285">
        <f>Sales!BS74</f>
        <v>0</v>
      </c>
      <c r="BT52" s="282">
        <f>Sales!BT74</f>
        <v>-3.3128226747630718E-3</v>
      </c>
      <c r="BU52" s="285">
        <f>Sales!BU74</f>
        <v>0</v>
      </c>
      <c r="BV52" s="285">
        <f>Sales!BV74</f>
        <v>0</v>
      </c>
      <c r="BW52" s="285">
        <f>Sales!BW74</f>
        <v>0</v>
      </c>
      <c r="BX52" s="285">
        <f>Sales!BX74</f>
        <v>0</v>
      </c>
      <c r="BY52" s="282">
        <f>Sales!BY74</f>
        <v>-1.3735652472810833E-2</v>
      </c>
      <c r="BZ52" s="285">
        <f>Sales!BZ74</f>
        <v>0</v>
      </c>
      <c r="CA52" s="285">
        <f>Sales!CA74</f>
        <v>0</v>
      </c>
      <c r="CB52" s="285">
        <f>Sales!CB74</f>
        <v>0</v>
      </c>
      <c r="CC52" s="285">
        <f>Sales!CC74</f>
        <v>0</v>
      </c>
      <c r="CD52" s="282">
        <f>Sales!CD74</f>
        <v>-1.332968245296573E-2</v>
      </c>
    </row>
    <row r="53" spans="1:82" s="355" customFormat="1" ht="13" hidden="1" x14ac:dyDescent="0.15">
      <c r="A53" s="28"/>
      <c r="B53" s="309"/>
      <c r="C53" s="357"/>
      <c r="D53" s="357"/>
      <c r="E53" s="357"/>
      <c r="F53" s="357"/>
      <c r="G53" s="358"/>
      <c r="H53" s="357"/>
      <c r="I53" s="357"/>
      <c r="J53" s="357"/>
      <c r="K53" s="357"/>
      <c r="L53" s="358"/>
      <c r="M53" s="357"/>
      <c r="N53" s="357"/>
      <c r="O53" s="357"/>
      <c r="P53" s="357"/>
      <c r="Q53" s="358"/>
      <c r="R53" s="357"/>
      <c r="S53" s="357"/>
      <c r="T53" s="357"/>
      <c r="U53" s="357"/>
      <c r="V53" s="358"/>
      <c r="W53" s="357"/>
      <c r="X53" s="357"/>
      <c r="Y53" s="357"/>
      <c r="Z53" s="357"/>
      <c r="AA53" s="358"/>
      <c r="AB53" s="310"/>
      <c r="AC53" s="310"/>
      <c r="AD53" s="310"/>
      <c r="AE53" s="310"/>
      <c r="AF53" s="311"/>
      <c r="AK53" s="311"/>
      <c r="AP53" s="311"/>
      <c r="AQ53" s="356"/>
      <c r="AU53" s="311"/>
      <c r="AZ53" s="311"/>
      <c r="BE53" s="311"/>
      <c r="BF53" s="285"/>
      <c r="BG53" s="285"/>
      <c r="BH53" s="285"/>
      <c r="BI53" s="285"/>
      <c r="BJ53" s="311"/>
      <c r="BK53" s="285"/>
      <c r="BL53" s="285"/>
      <c r="BM53" s="285"/>
      <c r="BN53" s="285"/>
      <c r="BO53" s="311"/>
      <c r="BP53" s="285"/>
      <c r="BQ53" s="285"/>
      <c r="BR53" s="285"/>
      <c r="BS53" s="285"/>
      <c r="BT53" s="311"/>
      <c r="BU53" s="285"/>
      <c r="BV53" s="285"/>
      <c r="BW53" s="285"/>
      <c r="BX53" s="285"/>
      <c r="BY53" s="311"/>
      <c r="BZ53" s="285"/>
      <c r="CA53" s="285"/>
      <c r="CB53" s="285"/>
      <c r="CC53" s="285"/>
      <c r="CD53" s="311"/>
    </row>
    <row r="54" spans="1:82" s="285" customFormat="1" hidden="1" outlineLevel="1" x14ac:dyDescent="0.15">
      <c r="B54" s="230" t="str">
        <f>Sales!B76</f>
        <v>Dental</v>
      </c>
      <c r="C54" s="236">
        <f>Sales!C76</f>
        <v>0</v>
      </c>
      <c r="D54" s="236">
        <f>Sales!D76</f>
        <v>0</v>
      </c>
      <c r="E54" s="236">
        <f>Sales!E76</f>
        <v>0</v>
      </c>
      <c r="F54" s="236">
        <f>Sales!F76</f>
        <v>0</v>
      </c>
      <c r="G54" s="235">
        <f>Sales!G76</f>
        <v>0</v>
      </c>
      <c r="H54" s="236">
        <f>Sales!H76</f>
        <v>0</v>
      </c>
      <c r="I54" s="236">
        <f>Sales!I76</f>
        <v>0</v>
      </c>
      <c r="J54" s="236">
        <f>Sales!J76</f>
        <v>0</v>
      </c>
      <c r="K54" s="236">
        <f>Sales!K76</f>
        <v>0</v>
      </c>
      <c r="L54" s="235">
        <f>Sales!L76</f>
        <v>0</v>
      </c>
      <c r="M54" s="236">
        <f>Sales!M76</f>
        <v>0</v>
      </c>
      <c r="N54" s="236">
        <f>Sales!N76</f>
        <v>0</v>
      </c>
      <c r="O54" s="236">
        <f>Sales!O76</f>
        <v>0</v>
      </c>
      <c r="P54" s="236">
        <f>Sales!P76</f>
        <v>0</v>
      </c>
      <c r="Q54" s="235">
        <f>Sales!Q76</f>
        <v>0</v>
      </c>
      <c r="R54" s="236">
        <f>Sales!R76</f>
        <v>0</v>
      </c>
      <c r="S54" s="236">
        <f>Sales!S76</f>
        <v>0</v>
      </c>
      <c r="T54" s="236">
        <f>Sales!T76</f>
        <v>0</v>
      </c>
      <c r="U54" s="236">
        <f>Sales!U76</f>
        <v>0</v>
      </c>
      <c r="V54" s="235">
        <f>Sales!V76</f>
        <v>0</v>
      </c>
      <c r="W54" s="236">
        <f>Sales!W76</f>
        <v>0</v>
      </c>
      <c r="X54" s="236">
        <f>Sales!X76</f>
        <v>0</v>
      </c>
      <c r="Y54" s="236">
        <f>Sales!Y76</f>
        <v>0</v>
      </c>
      <c r="Z54" s="236">
        <f>Sales!Z76</f>
        <v>0</v>
      </c>
      <c r="AA54" s="235">
        <f>Sales!AA76</f>
        <v>0</v>
      </c>
      <c r="AB54" s="310">
        <f>Sales!AB76</f>
        <v>0</v>
      </c>
      <c r="AC54" s="310">
        <f>Sales!AC76</f>
        <v>0</v>
      </c>
      <c r="AD54" s="310">
        <f>Sales!AD76</f>
        <v>0</v>
      </c>
      <c r="AE54" s="310">
        <f>Sales!AE76</f>
        <v>0</v>
      </c>
      <c r="AF54" s="235">
        <f>Sales!AF76</f>
        <v>0</v>
      </c>
      <c r="AG54" s="236">
        <f>Sales!AG76</f>
        <v>0</v>
      </c>
      <c r="AH54" s="236">
        <f>Sales!AH76</f>
        <v>0</v>
      </c>
      <c r="AI54" s="236">
        <f>Sales!AI76</f>
        <v>0</v>
      </c>
      <c r="AJ54" s="236">
        <f>Sales!AJ76</f>
        <v>0</v>
      </c>
      <c r="AK54" s="235">
        <f>Sales!AK76</f>
        <v>0</v>
      </c>
      <c r="AL54" s="288">
        <f>Sales!AL76</f>
        <v>0</v>
      </c>
      <c r="AM54" s="239">
        <f>Sales!AM76</f>
        <v>0</v>
      </c>
      <c r="AN54" s="288">
        <f>Sales!AN76</f>
        <v>0</v>
      </c>
      <c r="AO54" s="240">
        <f>Sales!AO76</f>
        <v>0</v>
      </c>
      <c r="AP54" s="235">
        <f>Sales!AP76</f>
        <v>0</v>
      </c>
      <c r="AQ54" s="289">
        <f>Sales!AQ76</f>
        <v>0</v>
      </c>
      <c r="AR54" s="236">
        <f>Sales!AR76</f>
        <v>0</v>
      </c>
      <c r="AS54" s="236">
        <f>Sales!AS76</f>
        <v>0</v>
      </c>
      <c r="AT54" s="236">
        <f>Sales!AT76</f>
        <v>0</v>
      </c>
      <c r="AU54" s="235">
        <f>Sales!AU76</f>
        <v>0</v>
      </c>
      <c r="AV54" s="236">
        <f>Sales!AV76</f>
        <v>0</v>
      </c>
      <c r="AW54" s="236">
        <f>Sales!AW76</f>
        <v>0</v>
      </c>
      <c r="AX54" s="236">
        <f>Sales!AX76</f>
        <v>0</v>
      </c>
      <c r="AY54" s="236">
        <f>Sales!AY76</f>
        <v>0</v>
      </c>
      <c r="AZ54" s="235">
        <f>Sales!AZ76</f>
        <v>0</v>
      </c>
      <c r="BA54" s="236">
        <f>Sales!BA76</f>
        <v>0</v>
      </c>
      <c r="BB54" s="236">
        <f>Sales!BB76</f>
        <v>0</v>
      </c>
      <c r="BC54" s="236">
        <f>Sales!BC76</f>
        <v>0</v>
      </c>
      <c r="BD54" s="236">
        <f>Sales!BD76</f>
        <v>0</v>
      </c>
      <c r="BE54" s="235">
        <f>Sales!BE76</f>
        <v>0</v>
      </c>
      <c r="BF54" s="241">
        <f>Sales!BF76</f>
        <v>0</v>
      </c>
      <c r="BG54" s="241">
        <f>Sales!BG76</f>
        <v>0</v>
      </c>
      <c r="BH54" s="241">
        <f>Sales!BH76</f>
        <v>0</v>
      </c>
      <c r="BI54" s="241">
        <f>Sales!BI76</f>
        <v>0</v>
      </c>
      <c r="BJ54" s="235">
        <f>Sales!BJ76</f>
        <v>0</v>
      </c>
      <c r="BK54" s="241">
        <f>Sales!BK76</f>
        <v>0</v>
      </c>
      <c r="BL54" s="241">
        <f>Sales!BL76</f>
        <v>0</v>
      </c>
      <c r="BM54" s="241">
        <f>Sales!BM76</f>
        <v>0</v>
      </c>
      <c r="BN54" s="241">
        <f>Sales!BN76</f>
        <v>0</v>
      </c>
      <c r="BO54" s="235">
        <f>Sales!BO76</f>
        <v>0</v>
      </c>
      <c r="BP54" s="241">
        <f>Sales!BP76</f>
        <v>0</v>
      </c>
      <c r="BQ54" s="241">
        <f>Sales!BQ76</f>
        <v>0</v>
      </c>
      <c r="BR54" s="241">
        <f>Sales!BR76</f>
        <v>0</v>
      </c>
      <c r="BS54" s="241">
        <f>Sales!BS76</f>
        <v>0</v>
      </c>
      <c r="BT54" s="235">
        <f>Sales!BT76</f>
        <v>0</v>
      </c>
      <c r="BU54" s="241">
        <f>Sales!BU76</f>
        <v>0</v>
      </c>
      <c r="BV54" s="241">
        <f>Sales!BV76</f>
        <v>0</v>
      </c>
      <c r="BW54" s="241">
        <f>Sales!BW76</f>
        <v>0</v>
      </c>
      <c r="BX54" s="241">
        <f>Sales!BX76</f>
        <v>0</v>
      </c>
      <c r="BY54" s="235">
        <f>Sales!BY76</f>
        <v>0</v>
      </c>
      <c r="BZ54" s="241">
        <f>Sales!BZ76</f>
        <v>0</v>
      </c>
      <c r="CA54" s="241">
        <f>Sales!CA76</f>
        <v>0</v>
      </c>
      <c r="CB54" s="241">
        <f>Sales!CB76</f>
        <v>0</v>
      </c>
      <c r="CC54" s="241">
        <f>Sales!CC76</f>
        <v>0</v>
      </c>
      <c r="CD54" s="235">
        <f>Sales!CD76</f>
        <v>0</v>
      </c>
    </row>
    <row r="55" spans="1:82" s="28" customFormat="1" hidden="1" outlineLevel="2" x14ac:dyDescent="0.15">
      <c r="B55" s="238" t="str">
        <f>Sales!B77</f>
        <v>Arestin</v>
      </c>
      <c r="C55" s="336">
        <f>Sales!C77</f>
        <v>36.799999999999997</v>
      </c>
      <c r="D55" s="336">
        <f>Sales!D77</f>
        <v>70.5</v>
      </c>
      <c r="E55" s="336">
        <f>Sales!E77</f>
        <v>109.3</v>
      </c>
      <c r="F55" s="336">
        <f>Sales!F77</f>
        <v>137.69999999999999</v>
      </c>
      <c r="G55" s="337">
        <f>Sales!G77</f>
        <v>354.29999999999995</v>
      </c>
      <c r="H55" s="336">
        <f>Sales!H77</f>
        <v>65</v>
      </c>
      <c r="I55" s="336">
        <f>Sales!I77</f>
        <v>114</v>
      </c>
      <c r="J55" s="336">
        <f>Sales!J77</f>
        <v>123.3</v>
      </c>
      <c r="K55" s="336">
        <f>Sales!K77</f>
        <v>148.1</v>
      </c>
      <c r="L55" s="337">
        <f>Sales!L77</f>
        <v>450.4</v>
      </c>
      <c r="M55" s="336">
        <f>Sales!M77</f>
        <v>61.405000000000001</v>
      </c>
      <c r="N55" s="336">
        <f>Sales!N77</f>
        <v>53.048000000000002</v>
      </c>
      <c r="O55" s="336">
        <f>Sales!O77</f>
        <v>53.515999999999998</v>
      </c>
      <c r="P55" s="336">
        <f>Sales!P77</f>
        <v>44.356000000000002</v>
      </c>
      <c r="Q55" s="337">
        <f>Sales!Q77</f>
        <v>212.32499999999999</v>
      </c>
      <c r="R55" s="336">
        <f>Sales!R77</f>
        <v>58.856000000000002</v>
      </c>
      <c r="S55" s="336">
        <f>Sales!S77</f>
        <v>30.42</v>
      </c>
      <c r="T55" s="336">
        <f>Sales!T77</f>
        <v>16.587</v>
      </c>
      <c r="U55" s="336">
        <f>Sales!U77</f>
        <v>14.882</v>
      </c>
      <c r="V55" s="337">
        <f>Sales!V77</f>
        <v>120.74500000000002</v>
      </c>
      <c r="W55" s="236">
        <f>Sales!W77</f>
        <v>20.12</v>
      </c>
      <c r="X55" s="236">
        <f>Sales!X77</f>
        <v>37.134999999999998</v>
      </c>
      <c r="Y55" s="236">
        <f>Sales!Y77</f>
        <v>58.606000000000002</v>
      </c>
      <c r="Z55" s="236">
        <f>Sales!Z77</f>
        <v>57.427</v>
      </c>
      <c r="AA55" s="235">
        <f>Sales!AA77</f>
        <v>173.28799999999998</v>
      </c>
      <c r="AB55" s="310">
        <f>Sales!AB77</f>
        <v>0</v>
      </c>
      <c r="AC55" s="310">
        <f>Sales!AC77</f>
        <v>0</v>
      </c>
      <c r="AD55" s="310">
        <f>Sales!AD77</f>
        <v>0</v>
      </c>
      <c r="AE55" s="310">
        <f>Sales!AE77</f>
        <v>0</v>
      </c>
      <c r="AF55" s="235">
        <f>Sales!AF77</f>
        <v>0</v>
      </c>
      <c r="AG55" s="236">
        <f>Sales!AG77</f>
        <v>0</v>
      </c>
      <c r="AH55" s="236">
        <f>Sales!AH77</f>
        <v>0</v>
      </c>
      <c r="AI55" s="236">
        <f>Sales!AI77</f>
        <v>0</v>
      </c>
      <c r="AJ55" s="236">
        <f>Sales!AJ77</f>
        <v>0</v>
      </c>
      <c r="AK55" s="235">
        <f>Sales!AK77</f>
        <v>0</v>
      </c>
      <c r="AL55" s="287">
        <f>Sales!AL77</f>
        <v>0</v>
      </c>
      <c r="AM55" s="236">
        <f>Sales!AM77</f>
        <v>0</v>
      </c>
      <c r="AN55" s="236">
        <f>Sales!AN77</f>
        <v>0</v>
      </c>
      <c r="AO55" s="236">
        <f>Sales!AO77</f>
        <v>0</v>
      </c>
      <c r="AP55" s="235">
        <f>Sales!AP77</f>
        <v>0</v>
      </c>
      <c r="AQ55" s="289">
        <f>Sales!AQ77</f>
        <v>0</v>
      </c>
      <c r="AR55" s="236">
        <f>Sales!AR77</f>
        <v>0</v>
      </c>
      <c r="AS55" s="239">
        <f>Sales!AS77</f>
        <v>0</v>
      </c>
      <c r="AT55" s="239">
        <f>Sales!AT77</f>
        <v>0</v>
      </c>
      <c r="AU55" s="235">
        <f>Sales!AU77</f>
        <v>0</v>
      </c>
      <c r="AV55" s="239">
        <f>Sales!AV77</f>
        <v>15</v>
      </c>
      <c r="AW55" s="239">
        <f>Sales!AW77</f>
        <v>30</v>
      </c>
      <c r="AX55" s="239">
        <f>Sales!AX77</f>
        <v>30</v>
      </c>
      <c r="AY55" s="239">
        <f>Sales!AY77</f>
        <v>38</v>
      </c>
      <c r="AZ55" s="235">
        <f>Sales!AZ77</f>
        <v>113</v>
      </c>
      <c r="BA55" s="239">
        <f>Sales!BA77</f>
        <v>32</v>
      </c>
      <c r="BB55" s="239">
        <f>Sales!BB77</f>
        <v>52</v>
      </c>
      <c r="BC55" s="240">
        <f>Sales!BC77</f>
        <v>35</v>
      </c>
      <c r="BD55" s="240">
        <f>Sales!BD77</f>
        <v>32</v>
      </c>
      <c r="BE55" s="235">
        <f>Sales!BE77</f>
        <v>151</v>
      </c>
      <c r="BF55" s="241">
        <f>Sales!BF77</f>
        <v>32</v>
      </c>
      <c r="BG55" s="241">
        <f>Sales!BG77</f>
        <v>38</v>
      </c>
      <c r="BH55" s="241">
        <f>Sales!BH77</f>
        <v>40</v>
      </c>
      <c r="BI55" s="241">
        <f>Sales!BI77</f>
        <v>40</v>
      </c>
      <c r="BJ55" s="235">
        <f>Sales!BJ77</f>
        <v>150</v>
      </c>
      <c r="BK55" s="241">
        <f>Sales!BK77</f>
        <v>0</v>
      </c>
      <c r="BL55" s="241">
        <f>Sales!BL77</f>
        <v>0</v>
      </c>
      <c r="BM55" s="241">
        <f>Sales!BM77</f>
        <v>0</v>
      </c>
      <c r="BN55" s="241">
        <f>Sales!BN77</f>
        <v>0</v>
      </c>
      <c r="BO55" s="235">
        <f>Sales!BO77</f>
        <v>165</v>
      </c>
      <c r="BP55" s="241">
        <f>Sales!BP77</f>
        <v>0</v>
      </c>
      <c r="BQ55" s="241">
        <f>Sales!BQ77</f>
        <v>0</v>
      </c>
      <c r="BR55" s="241">
        <f>Sales!BR77</f>
        <v>0</v>
      </c>
      <c r="BS55" s="241">
        <f>Sales!BS77</f>
        <v>0</v>
      </c>
      <c r="BT55" s="235">
        <f>Sales!BT77</f>
        <v>181.50000000000003</v>
      </c>
      <c r="BU55" s="241">
        <f>Sales!BU77</f>
        <v>0</v>
      </c>
      <c r="BV55" s="241">
        <f>Sales!BV77</f>
        <v>0</v>
      </c>
      <c r="BW55" s="241">
        <f>Sales!BW77</f>
        <v>0</v>
      </c>
      <c r="BX55" s="241">
        <f>Sales!BX77</f>
        <v>0</v>
      </c>
      <c r="BY55" s="235">
        <f>Sales!BY77</f>
        <v>199.65000000000003</v>
      </c>
      <c r="BZ55" s="241">
        <f>Sales!BZ77</f>
        <v>0</v>
      </c>
      <c r="CA55" s="241">
        <f>Sales!CA77</f>
        <v>0</v>
      </c>
      <c r="CB55" s="241">
        <f>Sales!CB77</f>
        <v>0</v>
      </c>
      <c r="CC55" s="241">
        <f>Sales!CC77</f>
        <v>0</v>
      </c>
      <c r="CD55" s="235">
        <f>Sales!CD77</f>
        <v>219.61500000000007</v>
      </c>
    </row>
    <row r="56" spans="1:82" s="342" customFormat="1" hidden="1" outlineLevel="2" x14ac:dyDescent="0.15">
      <c r="B56" s="245" t="str">
        <f>Sales!B78</f>
        <v>growth</v>
      </c>
      <c r="C56" s="338">
        <f>Sales!C78</f>
        <v>0</v>
      </c>
      <c r="D56" s="338">
        <f>Sales!D78</f>
        <v>0</v>
      </c>
      <c r="E56" s="338">
        <f>Sales!E78</f>
        <v>0</v>
      </c>
      <c r="F56" s="338">
        <f>Sales!F78</f>
        <v>0</v>
      </c>
      <c r="G56" s="251">
        <f>Sales!G78</f>
        <v>0</v>
      </c>
      <c r="H56" s="338">
        <f>Sales!H78</f>
        <v>0.76630434782608714</v>
      </c>
      <c r="I56" s="338">
        <f>Sales!I78</f>
        <v>0.61702127659574457</v>
      </c>
      <c r="J56" s="338">
        <f>Sales!J78</f>
        <v>0.12808783165599258</v>
      </c>
      <c r="K56" s="338">
        <f>Sales!K78</f>
        <v>7.5526506899056045E-2</v>
      </c>
      <c r="L56" s="251">
        <f>Sales!L78</f>
        <v>0.27123906294101063</v>
      </c>
      <c r="M56" s="338">
        <f>Sales!M78</f>
        <v>-5.530769230769228E-2</v>
      </c>
      <c r="N56" s="338">
        <f>Sales!N78</f>
        <v>-0.53466666666666662</v>
      </c>
      <c r="O56" s="338">
        <f>Sales!O78</f>
        <v>-0.56596918085969183</v>
      </c>
      <c r="P56" s="338">
        <f>Sales!P78</f>
        <v>-0.70049966239027683</v>
      </c>
      <c r="Q56" s="251">
        <f>Sales!Q78</f>
        <v>-0.52858570159857909</v>
      </c>
      <c r="R56" s="338">
        <f>Sales!R78</f>
        <v>-4.1511277583258677E-2</v>
      </c>
      <c r="S56" s="338">
        <f>Sales!S78</f>
        <v>-0.42655708038003315</v>
      </c>
      <c r="T56" s="338">
        <f>Sales!T78</f>
        <v>-0.69005531056132741</v>
      </c>
      <c r="U56" s="338">
        <f>Sales!U78</f>
        <v>-0.66448732978627478</v>
      </c>
      <c r="V56" s="251">
        <f>Sales!V78</f>
        <v>-0.43131991051454122</v>
      </c>
      <c r="W56" s="247">
        <f>Sales!W78</f>
        <v>-0.65814870191654207</v>
      </c>
      <c r="X56" s="247">
        <f>Sales!X78</f>
        <v>0.22074293228139363</v>
      </c>
      <c r="Y56" s="247">
        <f>Sales!Y78</f>
        <v>2.53324892988485</v>
      </c>
      <c r="Z56" s="247">
        <f>Sales!Z78</f>
        <v>2.8588227388791831</v>
      </c>
      <c r="AA56" s="251">
        <f>Sales!AA78</f>
        <v>0.43515673526854082</v>
      </c>
      <c r="AB56" s="302">
        <f>Sales!AB78</f>
        <v>0</v>
      </c>
      <c r="AC56" s="302">
        <f>Sales!AC78</f>
        <v>0</v>
      </c>
      <c r="AD56" s="302">
        <f>Sales!AD78</f>
        <v>0</v>
      </c>
      <c r="AE56" s="302">
        <f>Sales!AE78</f>
        <v>0</v>
      </c>
      <c r="AF56" s="251">
        <f>Sales!AF78</f>
        <v>0</v>
      </c>
      <c r="AG56" s="247">
        <f>Sales!AG78</f>
        <v>0</v>
      </c>
      <c r="AH56" s="247">
        <f>Sales!AH78</f>
        <v>0</v>
      </c>
      <c r="AI56" s="247">
        <f>Sales!AI78</f>
        <v>0</v>
      </c>
      <c r="AJ56" s="247">
        <f>Sales!AJ78</f>
        <v>0</v>
      </c>
      <c r="AK56" s="251">
        <f>Sales!AK78</f>
        <v>0</v>
      </c>
      <c r="AL56" s="247">
        <f>Sales!AL78</f>
        <v>0</v>
      </c>
      <c r="AM56" s="247">
        <f>Sales!AM78</f>
        <v>0</v>
      </c>
      <c r="AN56" s="247">
        <f>Sales!AN78</f>
        <v>0</v>
      </c>
      <c r="AO56" s="247">
        <f>Sales!AO78</f>
        <v>0</v>
      </c>
      <c r="AP56" s="251">
        <f>Sales!AP78</f>
        <v>0</v>
      </c>
      <c r="AQ56" s="339">
        <f>Sales!AQ78</f>
        <v>0</v>
      </c>
      <c r="AR56" s="295">
        <f>Sales!AR78</f>
        <v>0</v>
      </c>
      <c r="AS56" s="247">
        <f>Sales!AS78</f>
        <v>0</v>
      </c>
      <c r="AT56" s="247">
        <f>Sales!AT78</f>
        <v>0</v>
      </c>
      <c r="AU56" s="235">
        <f>Sales!AU78</f>
        <v>0</v>
      </c>
      <c r="AV56" s="247">
        <f>Sales!AV78</f>
        <v>0</v>
      </c>
      <c r="AW56" s="247">
        <f>Sales!AW78</f>
        <v>0</v>
      </c>
      <c r="AX56" s="247">
        <f>Sales!AX78</f>
        <v>0</v>
      </c>
      <c r="AY56" s="247">
        <f>Sales!AY78</f>
        <v>0</v>
      </c>
      <c r="AZ56" s="251">
        <f>Sales!AZ78</f>
        <v>0</v>
      </c>
      <c r="BA56" s="247">
        <f>Sales!BA78</f>
        <v>1.1333333333333333</v>
      </c>
      <c r="BB56" s="247">
        <f>Sales!BB78</f>
        <v>0.73333333333333339</v>
      </c>
      <c r="BC56" s="247">
        <f>Sales!BC78</f>
        <v>0.16666666666666674</v>
      </c>
      <c r="BD56" s="247">
        <f>Sales!BD78</f>
        <v>-0.15789473684210531</v>
      </c>
      <c r="BE56" s="251">
        <f>Sales!BE78</f>
        <v>0.33628318584070804</v>
      </c>
      <c r="BF56" s="340">
        <f>Sales!BF78</f>
        <v>0</v>
      </c>
      <c r="BG56" s="340">
        <f>Sales!BG78</f>
        <v>-0.26923076923076927</v>
      </c>
      <c r="BH56" s="340">
        <f>Sales!BH78</f>
        <v>0.14285714285714279</v>
      </c>
      <c r="BI56" s="340">
        <f>Sales!BI78</f>
        <v>0.25</v>
      </c>
      <c r="BJ56" s="251">
        <f>Sales!BJ78</f>
        <v>-6.6225165562914245E-3</v>
      </c>
      <c r="BK56" s="340">
        <f>Sales!BK78</f>
        <v>0</v>
      </c>
      <c r="BL56" s="340">
        <f>Sales!BL78</f>
        <v>0</v>
      </c>
      <c r="BM56" s="340">
        <f>Sales!BM78</f>
        <v>0</v>
      </c>
      <c r="BN56" s="340">
        <f>Sales!BN78</f>
        <v>0</v>
      </c>
      <c r="BO56" s="251">
        <f>Sales!BO78</f>
        <v>0.1</v>
      </c>
      <c r="BP56" s="340">
        <f>Sales!BP78</f>
        <v>0</v>
      </c>
      <c r="BQ56" s="340">
        <f>Sales!BQ78</f>
        <v>0</v>
      </c>
      <c r="BR56" s="340">
        <f>Sales!BR78</f>
        <v>0</v>
      </c>
      <c r="BS56" s="340">
        <f>Sales!BS78</f>
        <v>0</v>
      </c>
      <c r="BT56" s="251">
        <f>Sales!BT78</f>
        <v>0.1</v>
      </c>
      <c r="BU56" s="340">
        <f>Sales!BU78</f>
        <v>0</v>
      </c>
      <c r="BV56" s="340">
        <f>Sales!BV78</f>
        <v>0</v>
      </c>
      <c r="BW56" s="340">
        <f>Sales!BW78</f>
        <v>0</v>
      </c>
      <c r="BX56" s="340">
        <f>Sales!BX78</f>
        <v>0</v>
      </c>
      <c r="BY56" s="251">
        <f>Sales!BY78</f>
        <v>0.1</v>
      </c>
      <c r="BZ56" s="340">
        <f>Sales!BZ78</f>
        <v>0</v>
      </c>
      <c r="CA56" s="340">
        <f>Sales!CA78</f>
        <v>0</v>
      </c>
      <c r="CB56" s="340">
        <f>Sales!CB78</f>
        <v>0</v>
      </c>
      <c r="CC56" s="340">
        <f>Sales!CC78</f>
        <v>0</v>
      </c>
      <c r="CD56" s="251">
        <f>Sales!CD78</f>
        <v>0.1</v>
      </c>
    </row>
    <row r="57" spans="1:82" s="285" customFormat="1" hidden="1" outlineLevel="2" x14ac:dyDescent="0.15">
      <c r="B57" s="238" t="str">
        <f>Sales!B79</f>
        <v>Other Dental</v>
      </c>
      <c r="C57" s="236">
        <f>Sales!C79</f>
        <v>0</v>
      </c>
      <c r="D57" s="236">
        <f>Sales!D79</f>
        <v>0</v>
      </c>
      <c r="E57" s="236">
        <f>Sales!E79</f>
        <v>0</v>
      </c>
      <c r="F57" s="236">
        <f>Sales!F79</f>
        <v>0</v>
      </c>
      <c r="G57" s="235">
        <f>Sales!G79</f>
        <v>0</v>
      </c>
      <c r="H57" s="236">
        <f>Sales!H79</f>
        <v>0</v>
      </c>
      <c r="I57" s="236">
        <f>Sales!I79</f>
        <v>0</v>
      </c>
      <c r="J57" s="236">
        <f>Sales!J79</f>
        <v>0</v>
      </c>
      <c r="K57" s="236">
        <f>Sales!K79</f>
        <v>0</v>
      </c>
      <c r="L57" s="235">
        <f>Sales!L79</f>
        <v>0</v>
      </c>
      <c r="M57" s="236">
        <f>Sales!M79</f>
        <v>0</v>
      </c>
      <c r="N57" s="236">
        <f>Sales!N79</f>
        <v>0</v>
      </c>
      <c r="O57" s="236">
        <f>Sales!O79</f>
        <v>0</v>
      </c>
      <c r="P57" s="236">
        <f>Sales!P79</f>
        <v>0</v>
      </c>
      <c r="Q57" s="235">
        <f>Sales!Q79</f>
        <v>0</v>
      </c>
      <c r="R57" s="236">
        <f>Sales!R79</f>
        <v>0</v>
      </c>
      <c r="S57" s="236">
        <f>Sales!S79</f>
        <v>0</v>
      </c>
      <c r="T57" s="236">
        <f>Sales!T79</f>
        <v>0</v>
      </c>
      <c r="U57" s="236">
        <f>Sales!U79</f>
        <v>0</v>
      </c>
      <c r="V57" s="235">
        <f>Sales!V79</f>
        <v>0</v>
      </c>
      <c r="W57" s="236">
        <f>Sales!W79</f>
        <v>0</v>
      </c>
      <c r="X57" s="236">
        <f>Sales!X79</f>
        <v>0</v>
      </c>
      <c r="Y57" s="236">
        <f>Sales!Y79</f>
        <v>0</v>
      </c>
      <c r="Z57" s="236">
        <f>Sales!Z79</f>
        <v>0</v>
      </c>
      <c r="AA57" s="235">
        <f>Sales!AA79</f>
        <v>0</v>
      </c>
      <c r="AB57" s="310">
        <f>Sales!AB79</f>
        <v>0</v>
      </c>
      <c r="AC57" s="310">
        <f>Sales!AC79</f>
        <v>0</v>
      </c>
      <c r="AD57" s="310">
        <f>Sales!AD79</f>
        <v>0</v>
      </c>
      <c r="AE57" s="310">
        <f>Sales!AE79</f>
        <v>0</v>
      </c>
      <c r="AF57" s="235">
        <f>Sales!AF79</f>
        <v>0</v>
      </c>
      <c r="AG57" s="236">
        <f>Sales!AG79</f>
        <v>0</v>
      </c>
      <c r="AH57" s="236">
        <f>Sales!AH79</f>
        <v>0</v>
      </c>
      <c r="AI57" s="236">
        <f>Sales!AI79</f>
        <v>0</v>
      </c>
      <c r="AJ57" s="236">
        <f>Sales!AJ79</f>
        <v>0</v>
      </c>
      <c r="AK57" s="235">
        <f>Sales!AK79</f>
        <v>0</v>
      </c>
      <c r="AL57" s="288">
        <f>Sales!AL79</f>
        <v>0</v>
      </c>
      <c r="AM57" s="239">
        <f>Sales!AM79</f>
        <v>0</v>
      </c>
      <c r="AN57" s="288">
        <f>Sales!AN79</f>
        <v>0</v>
      </c>
      <c r="AO57" s="240">
        <f>Sales!AO79</f>
        <v>0</v>
      </c>
      <c r="AP57" s="235">
        <f>Sales!AP79</f>
        <v>0</v>
      </c>
      <c r="AQ57" s="289">
        <f>Sales!AQ79</f>
        <v>0</v>
      </c>
      <c r="AR57" s="236">
        <f>Sales!AR79</f>
        <v>0</v>
      </c>
      <c r="AS57" s="236">
        <f>Sales!AS79</f>
        <v>0</v>
      </c>
      <c r="AT57" s="236">
        <f>Sales!AT79</f>
        <v>0</v>
      </c>
      <c r="AU57" s="235">
        <f>Sales!AU79</f>
        <v>0</v>
      </c>
      <c r="AV57" s="236">
        <f>Sales!AV79</f>
        <v>3.1999999999999993</v>
      </c>
      <c r="AW57" s="236">
        <f>Sales!AW79</f>
        <v>1.6999999999999993</v>
      </c>
      <c r="AX57" s="236">
        <f>Sales!AX79</f>
        <v>2.3999999999999986</v>
      </c>
      <c r="AY57" s="236">
        <f>Sales!AY79</f>
        <v>3.1000000000000014</v>
      </c>
      <c r="AZ57" s="235">
        <f>Sales!AZ79</f>
        <v>10.400000000000006</v>
      </c>
      <c r="BA57" s="236">
        <f>Sales!BA79</f>
        <v>2.7999999999999972</v>
      </c>
      <c r="BB57" s="236">
        <f>Sales!BB79</f>
        <v>7</v>
      </c>
      <c r="BC57" s="240">
        <f>Sales!BC79</f>
        <v>8.7999999999999972</v>
      </c>
      <c r="BD57" s="240">
        <f>Sales!BD79</f>
        <v>12.700000000000003</v>
      </c>
      <c r="BE57" s="235">
        <f>Sales!BE79</f>
        <v>31.299999999999997</v>
      </c>
      <c r="BF57" s="241">
        <f>Sales!BF79</f>
        <v>10</v>
      </c>
      <c r="BG57" s="241">
        <f>Sales!BG79</f>
        <v>10</v>
      </c>
      <c r="BH57" s="241">
        <f>Sales!BH79</f>
        <v>10</v>
      </c>
      <c r="BI57" s="241">
        <f>Sales!BI79</f>
        <v>10</v>
      </c>
      <c r="BJ57" s="235">
        <f>Sales!BJ79</f>
        <v>40</v>
      </c>
      <c r="BK57" s="241">
        <f>Sales!BK79</f>
        <v>0</v>
      </c>
      <c r="BL57" s="241">
        <f>Sales!BL79</f>
        <v>0</v>
      </c>
      <c r="BM57" s="241">
        <f>Sales!BM79</f>
        <v>0</v>
      </c>
      <c r="BN57" s="241">
        <f>Sales!BN79</f>
        <v>0</v>
      </c>
      <c r="BO57" s="235">
        <f>Sales!BO79</f>
        <v>44</v>
      </c>
      <c r="BP57" s="241">
        <f>Sales!BP79</f>
        <v>0</v>
      </c>
      <c r="BQ57" s="241">
        <f>Sales!BQ79</f>
        <v>0</v>
      </c>
      <c r="BR57" s="241">
        <f>Sales!BR79</f>
        <v>0</v>
      </c>
      <c r="BS57" s="241">
        <f>Sales!BS79</f>
        <v>0</v>
      </c>
      <c r="BT57" s="235">
        <f>Sales!BT79</f>
        <v>48.400000000000006</v>
      </c>
      <c r="BU57" s="241">
        <f>Sales!BU79</f>
        <v>0</v>
      </c>
      <c r="BV57" s="241">
        <f>Sales!BV79</f>
        <v>0</v>
      </c>
      <c r="BW57" s="241">
        <f>Sales!BW79</f>
        <v>0</v>
      </c>
      <c r="BX57" s="241">
        <f>Sales!BX79</f>
        <v>0</v>
      </c>
      <c r="BY57" s="235">
        <f>Sales!BY79</f>
        <v>52.272000000000013</v>
      </c>
      <c r="BZ57" s="241">
        <f>Sales!BZ79</f>
        <v>0</v>
      </c>
      <c r="CA57" s="241">
        <f>Sales!CA79</f>
        <v>0</v>
      </c>
      <c r="CB57" s="241">
        <f>Sales!CB79</f>
        <v>0</v>
      </c>
      <c r="CC57" s="241">
        <f>Sales!CC79</f>
        <v>0</v>
      </c>
      <c r="CD57" s="235">
        <f>Sales!CD79</f>
        <v>55.408320000000018</v>
      </c>
    </row>
    <row r="58" spans="1:82" s="285" customFormat="1" ht="15" hidden="1" outlineLevel="2" x14ac:dyDescent="0.3">
      <c r="B58" s="262" t="str">
        <f>Sales!B80</f>
        <v>growth</v>
      </c>
      <c r="C58" s="236">
        <f>Sales!C80</f>
        <v>0</v>
      </c>
      <c r="D58" s="236">
        <f>Sales!D80</f>
        <v>0</v>
      </c>
      <c r="E58" s="236">
        <f>Sales!E80</f>
        <v>0</v>
      </c>
      <c r="F58" s="236">
        <f>Sales!F80</f>
        <v>0</v>
      </c>
      <c r="G58" s="235">
        <f>Sales!G80</f>
        <v>0</v>
      </c>
      <c r="H58" s="236">
        <f>Sales!H80</f>
        <v>0</v>
      </c>
      <c r="I58" s="236">
        <f>Sales!I80</f>
        <v>0</v>
      </c>
      <c r="J58" s="236">
        <f>Sales!J80</f>
        <v>0</v>
      </c>
      <c r="K58" s="236">
        <f>Sales!K80</f>
        <v>0</v>
      </c>
      <c r="L58" s="235">
        <f>Sales!L80</f>
        <v>0</v>
      </c>
      <c r="M58" s="236">
        <f>Sales!M80</f>
        <v>0</v>
      </c>
      <c r="N58" s="236">
        <f>Sales!N80</f>
        <v>0</v>
      </c>
      <c r="O58" s="236">
        <f>Sales!O80</f>
        <v>0</v>
      </c>
      <c r="P58" s="236">
        <f>Sales!P80</f>
        <v>0</v>
      </c>
      <c r="Q58" s="235">
        <f>Sales!Q80</f>
        <v>0</v>
      </c>
      <c r="R58" s="236">
        <f>Sales!R80</f>
        <v>0</v>
      </c>
      <c r="S58" s="236">
        <f>Sales!S80</f>
        <v>0</v>
      </c>
      <c r="T58" s="236">
        <f>Sales!T80</f>
        <v>0</v>
      </c>
      <c r="U58" s="236">
        <f>Sales!U80</f>
        <v>0</v>
      </c>
      <c r="V58" s="235">
        <f>Sales!V80</f>
        <v>0</v>
      </c>
      <c r="W58" s="236">
        <f>Sales!W80</f>
        <v>0</v>
      </c>
      <c r="X58" s="236">
        <f>Sales!X80</f>
        <v>0</v>
      </c>
      <c r="Y58" s="236">
        <f>Sales!Y80</f>
        <v>0</v>
      </c>
      <c r="Z58" s="236">
        <f>Sales!Z80</f>
        <v>0</v>
      </c>
      <c r="AA58" s="235">
        <f>Sales!AA80</f>
        <v>0</v>
      </c>
      <c r="AB58" s="310">
        <f>Sales!AB80</f>
        <v>0</v>
      </c>
      <c r="AC58" s="310">
        <f>Sales!AC80</f>
        <v>0</v>
      </c>
      <c r="AD58" s="310">
        <f>Sales!AD80</f>
        <v>0</v>
      </c>
      <c r="AE58" s="310">
        <f>Sales!AE80</f>
        <v>0</v>
      </c>
      <c r="AF58" s="235">
        <f>Sales!AF80</f>
        <v>0</v>
      </c>
      <c r="AG58" s="236">
        <f>Sales!AG80</f>
        <v>0</v>
      </c>
      <c r="AH58" s="236">
        <f>Sales!AH80</f>
        <v>0</v>
      </c>
      <c r="AI58" s="236">
        <f>Sales!AI80</f>
        <v>0</v>
      </c>
      <c r="AJ58" s="236">
        <f>Sales!AJ80</f>
        <v>0</v>
      </c>
      <c r="AK58" s="235">
        <f>Sales!AK80</f>
        <v>0</v>
      </c>
      <c r="AL58" s="288">
        <f>Sales!AL80</f>
        <v>0</v>
      </c>
      <c r="AM58" s="239">
        <f>Sales!AM80</f>
        <v>0</v>
      </c>
      <c r="AN58" s="288">
        <f>Sales!AN80</f>
        <v>0</v>
      </c>
      <c r="AO58" s="240">
        <f>Sales!AO80</f>
        <v>0</v>
      </c>
      <c r="AP58" s="235">
        <f>Sales!AP80</f>
        <v>0</v>
      </c>
      <c r="AQ58" s="289">
        <f>Sales!AQ80</f>
        <v>0</v>
      </c>
      <c r="AR58" s="236">
        <f>Sales!AR80</f>
        <v>0</v>
      </c>
      <c r="AS58" s="236">
        <f>Sales!AS80</f>
        <v>0</v>
      </c>
      <c r="AT58" s="236">
        <f>Sales!AT80</f>
        <v>0</v>
      </c>
      <c r="AU58" s="235">
        <f>Sales!AU80</f>
        <v>0</v>
      </c>
      <c r="AV58" s="236">
        <f>Sales!AV80</f>
        <v>0</v>
      </c>
      <c r="AW58" s="236">
        <f>Sales!AW80</f>
        <v>0</v>
      </c>
      <c r="AX58" s="236">
        <f>Sales!AX80</f>
        <v>0</v>
      </c>
      <c r="AY58" s="236">
        <f>Sales!AY80</f>
        <v>0</v>
      </c>
      <c r="AZ58" s="235">
        <f>Sales!AZ80</f>
        <v>0</v>
      </c>
      <c r="BA58" s="247">
        <f>Sales!BA80</f>
        <v>-0.12500000000000067</v>
      </c>
      <c r="BB58" s="247">
        <f>Sales!BB80</f>
        <v>3.1176470588235308</v>
      </c>
      <c r="BC58" s="247">
        <f>Sales!BC80</f>
        <v>2.6666666666666679</v>
      </c>
      <c r="BD58" s="247">
        <f>Sales!BD80</f>
        <v>3.0967741935483861</v>
      </c>
      <c r="BE58" s="251">
        <f>Sales!BE80</f>
        <v>2.0096153846153828</v>
      </c>
      <c r="BF58" s="241">
        <f>Sales!BF80</f>
        <v>2.5714285714285752</v>
      </c>
      <c r="BG58" s="241">
        <f>Sales!BG80</f>
        <v>0.4285714285714286</v>
      </c>
      <c r="BH58" s="241">
        <f>Sales!BH80</f>
        <v>0.13636363636363669</v>
      </c>
      <c r="BI58" s="241">
        <f>Sales!BI80</f>
        <v>-0.21259842519685057</v>
      </c>
      <c r="BJ58" s="251">
        <f>Sales!BJ80</f>
        <v>0.27795527156549538</v>
      </c>
      <c r="BK58" s="340">
        <f>Sales!BK80</f>
        <v>0</v>
      </c>
      <c r="BL58" s="340">
        <f>Sales!BL80</f>
        <v>0</v>
      </c>
      <c r="BM58" s="340">
        <f>Sales!BM80</f>
        <v>0</v>
      </c>
      <c r="BN58" s="340">
        <f>Sales!BN80</f>
        <v>0</v>
      </c>
      <c r="BO58" s="251">
        <f>Sales!BO80</f>
        <v>0.1</v>
      </c>
      <c r="BP58" s="340">
        <f>Sales!BP80</f>
        <v>0</v>
      </c>
      <c r="BQ58" s="340">
        <f>Sales!BQ80</f>
        <v>0</v>
      </c>
      <c r="BR58" s="340">
        <f>Sales!BR80</f>
        <v>0</v>
      </c>
      <c r="BS58" s="340">
        <f>Sales!BS80</f>
        <v>0</v>
      </c>
      <c r="BT58" s="251">
        <f>Sales!BT80</f>
        <v>0.1</v>
      </c>
      <c r="BU58" s="340">
        <f>Sales!BU80</f>
        <v>0</v>
      </c>
      <c r="BV58" s="340">
        <f>Sales!BV80</f>
        <v>0</v>
      </c>
      <c r="BW58" s="340">
        <f>Sales!BW80</f>
        <v>0</v>
      </c>
      <c r="BX58" s="340">
        <f>Sales!BX80</f>
        <v>0</v>
      </c>
      <c r="BY58" s="251">
        <f>Sales!BY80</f>
        <v>0.08</v>
      </c>
      <c r="BZ58" s="340">
        <f>Sales!BZ80</f>
        <v>0</v>
      </c>
      <c r="CA58" s="340">
        <f>Sales!CA80</f>
        <v>0</v>
      </c>
      <c r="CB58" s="340">
        <f>Sales!CB80</f>
        <v>0</v>
      </c>
      <c r="CC58" s="340">
        <f>Sales!CC80</f>
        <v>0</v>
      </c>
      <c r="CD58" s="251">
        <f>Sales!CD80</f>
        <v>0.06</v>
      </c>
    </row>
    <row r="59" spans="1:82" s="355" customFormat="1" ht="13" collapsed="1" x14ac:dyDescent="0.15">
      <c r="A59" s="349"/>
      <c r="B59" s="298" t="str">
        <f>Sales!B81</f>
        <v>Total Dental</v>
      </c>
      <c r="C59" s="350">
        <f>Sales!C81</f>
        <v>0</v>
      </c>
      <c r="D59" s="350">
        <f>Sales!D81</f>
        <v>0</v>
      </c>
      <c r="E59" s="350">
        <f>Sales!E81</f>
        <v>0</v>
      </c>
      <c r="F59" s="351">
        <f>Sales!F81</f>
        <v>0</v>
      </c>
      <c r="G59" s="352">
        <f>Sales!G81</f>
        <v>0</v>
      </c>
      <c r="H59" s="351">
        <f>Sales!H81</f>
        <v>0</v>
      </c>
      <c r="I59" s="351">
        <f>Sales!I81</f>
        <v>0</v>
      </c>
      <c r="J59" s="351">
        <f>Sales!J81</f>
        <v>0</v>
      </c>
      <c r="K59" s="351">
        <f>Sales!K81</f>
        <v>0</v>
      </c>
      <c r="L59" s="352">
        <f>Sales!L81</f>
        <v>0</v>
      </c>
      <c r="M59" s="351">
        <f>Sales!M81</f>
        <v>0</v>
      </c>
      <c r="N59" s="351">
        <f>Sales!N81</f>
        <v>0</v>
      </c>
      <c r="O59" s="351">
        <f>Sales!O81</f>
        <v>0</v>
      </c>
      <c r="P59" s="351">
        <f>Sales!P81</f>
        <v>0</v>
      </c>
      <c r="Q59" s="352">
        <f>Sales!Q81</f>
        <v>0</v>
      </c>
      <c r="R59" s="353">
        <f>Sales!R81</f>
        <v>0</v>
      </c>
      <c r="S59" s="353">
        <f>Sales!S81</f>
        <v>0</v>
      </c>
      <c r="T59" s="353">
        <f>Sales!T81</f>
        <v>0</v>
      </c>
      <c r="U59" s="353">
        <f>Sales!U81</f>
        <v>0</v>
      </c>
      <c r="V59" s="354">
        <f>Sales!V81</f>
        <v>0</v>
      </c>
      <c r="W59" s="353">
        <f>Sales!W81</f>
        <v>0</v>
      </c>
      <c r="X59" s="353">
        <f>Sales!X81</f>
        <v>0</v>
      </c>
      <c r="Y59" s="353">
        <f>Sales!Y81</f>
        <v>0</v>
      </c>
      <c r="Z59" s="353">
        <f>Sales!Z81</f>
        <v>0</v>
      </c>
      <c r="AA59" s="354">
        <f>Sales!AA81</f>
        <v>0</v>
      </c>
      <c r="AB59" s="302">
        <f>Sales!AB81</f>
        <v>0</v>
      </c>
      <c r="AC59" s="302">
        <f>Sales!AC81</f>
        <v>0</v>
      </c>
      <c r="AD59" s="302">
        <f>Sales!AD81</f>
        <v>0</v>
      </c>
      <c r="AE59" s="302">
        <f>Sales!AE81</f>
        <v>0</v>
      </c>
      <c r="AF59" s="360">
        <f>Sales!AF81</f>
        <v>0</v>
      </c>
      <c r="AG59" s="355">
        <f>Sales!AG81</f>
        <v>0</v>
      </c>
      <c r="AH59" s="355">
        <f>Sales!AH81</f>
        <v>0</v>
      </c>
      <c r="AI59" s="355">
        <f>Sales!AI81</f>
        <v>0</v>
      </c>
      <c r="AJ59" s="355">
        <f>Sales!AJ81</f>
        <v>0</v>
      </c>
      <c r="AK59" s="311">
        <f>Sales!AK81</f>
        <v>0</v>
      </c>
      <c r="AL59" s="355">
        <f>Sales!AL81</f>
        <v>0</v>
      </c>
      <c r="AM59" s="355">
        <f>Sales!AM81</f>
        <v>0</v>
      </c>
      <c r="AN59" s="355">
        <f>Sales!AN81</f>
        <v>0</v>
      </c>
      <c r="AO59" s="355">
        <f>Sales!AO81</f>
        <v>0</v>
      </c>
      <c r="AP59" s="360">
        <f>Sales!AP81</f>
        <v>0</v>
      </c>
      <c r="AQ59" s="356">
        <f>Sales!AQ81</f>
        <v>0</v>
      </c>
      <c r="AR59" s="355">
        <f>Sales!AR81</f>
        <v>0</v>
      </c>
      <c r="AS59" s="275">
        <f>Sales!AS81</f>
        <v>27</v>
      </c>
      <c r="AT59" s="275">
        <f>Sales!AT81</f>
        <v>29.8</v>
      </c>
      <c r="AU59" s="311">
        <f>Sales!AU81</f>
        <v>0</v>
      </c>
      <c r="AV59" s="275">
        <f>Sales!AV81</f>
        <v>18.2</v>
      </c>
      <c r="AW59" s="275">
        <f>Sales!AW81</f>
        <v>31.7</v>
      </c>
      <c r="AX59" s="275">
        <f>Sales!AX81</f>
        <v>32.4</v>
      </c>
      <c r="AY59" s="275">
        <f>Sales!AY81</f>
        <v>41.1</v>
      </c>
      <c r="AZ59" s="277">
        <f>Sales!AZ81</f>
        <v>123.4</v>
      </c>
      <c r="BA59" s="275">
        <f>Sales!BA81</f>
        <v>34.799999999999997</v>
      </c>
      <c r="BB59" s="275">
        <f>Sales!BB81</f>
        <v>59</v>
      </c>
      <c r="BC59" s="275">
        <f>Sales!BC81</f>
        <v>43.8</v>
      </c>
      <c r="BD59" s="275">
        <f>Sales!BD81</f>
        <v>44.7</v>
      </c>
      <c r="BE59" s="332">
        <f>Sales!BE81</f>
        <v>182.3</v>
      </c>
      <c r="BF59" s="285">
        <f>Sales!BF81</f>
        <v>42</v>
      </c>
      <c r="BG59" s="285">
        <f>Sales!BG81</f>
        <v>48</v>
      </c>
      <c r="BH59" s="285">
        <f>Sales!BH81</f>
        <v>50</v>
      </c>
      <c r="BI59" s="285">
        <f>Sales!BI81</f>
        <v>50</v>
      </c>
      <c r="BJ59" s="332">
        <f>Sales!BJ81</f>
        <v>190</v>
      </c>
      <c r="BK59" s="285">
        <f>Sales!BK81</f>
        <v>0</v>
      </c>
      <c r="BL59" s="285">
        <f>Sales!BL81</f>
        <v>0</v>
      </c>
      <c r="BM59" s="285">
        <f>Sales!BM81</f>
        <v>0</v>
      </c>
      <c r="BN59" s="285">
        <f>Sales!BN81</f>
        <v>0</v>
      </c>
      <c r="BO59" s="332">
        <f>Sales!BO81</f>
        <v>209</v>
      </c>
      <c r="BP59" s="285">
        <f>Sales!BP81</f>
        <v>0</v>
      </c>
      <c r="BQ59" s="285">
        <f>Sales!BQ81</f>
        <v>0</v>
      </c>
      <c r="BR59" s="285">
        <f>Sales!BR81</f>
        <v>0</v>
      </c>
      <c r="BS59" s="285">
        <f>Sales!BS81</f>
        <v>0</v>
      </c>
      <c r="BT59" s="332">
        <f>Sales!BT81</f>
        <v>229.90000000000003</v>
      </c>
      <c r="BU59" s="285">
        <f>Sales!BU81</f>
        <v>0</v>
      </c>
      <c r="BV59" s="285">
        <f>Sales!BV81</f>
        <v>0</v>
      </c>
      <c r="BW59" s="285">
        <f>Sales!BW81</f>
        <v>0</v>
      </c>
      <c r="BX59" s="285">
        <f>Sales!BX81</f>
        <v>0</v>
      </c>
      <c r="BY59" s="332">
        <f>Sales!BY81</f>
        <v>251.92200000000005</v>
      </c>
      <c r="BZ59" s="285">
        <f>Sales!BZ81</f>
        <v>0</v>
      </c>
      <c r="CA59" s="285">
        <f>Sales!CA81</f>
        <v>0</v>
      </c>
      <c r="CB59" s="285">
        <f>Sales!CB81</f>
        <v>0</v>
      </c>
      <c r="CC59" s="285">
        <f>Sales!CC81</f>
        <v>0</v>
      </c>
      <c r="CD59" s="332">
        <f>Sales!CD81</f>
        <v>275.02332000000007</v>
      </c>
    </row>
    <row r="60" spans="1:82" s="355" customFormat="1" ht="13" hidden="1" x14ac:dyDescent="0.15">
      <c r="A60" s="28"/>
      <c r="B60" s="309" t="str">
        <f>Sales!B82</f>
        <v>growth</v>
      </c>
      <c r="C60" s="357">
        <f>Sales!C82</f>
        <v>0</v>
      </c>
      <c r="D60" s="357">
        <f>Sales!D82</f>
        <v>0</v>
      </c>
      <c r="E60" s="357">
        <f>Sales!E82</f>
        <v>0</v>
      </c>
      <c r="F60" s="357">
        <f>Sales!F82</f>
        <v>0</v>
      </c>
      <c r="G60" s="358">
        <f>Sales!G82</f>
        <v>0</v>
      </c>
      <c r="H60" s="357">
        <f>Sales!H82</f>
        <v>0</v>
      </c>
      <c r="I60" s="357">
        <f>Sales!I82</f>
        <v>0</v>
      </c>
      <c r="J60" s="357">
        <f>Sales!J82</f>
        <v>0</v>
      </c>
      <c r="K60" s="357">
        <f>Sales!K82</f>
        <v>0</v>
      </c>
      <c r="L60" s="358">
        <f>Sales!L82</f>
        <v>0</v>
      </c>
      <c r="M60" s="357">
        <f>Sales!M82</f>
        <v>0</v>
      </c>
      <c r="N60" s="357">
        <f>Sales!N82</f>
        <v>0</v>
      </c>
      <c r="O60" s="357">
        <f>Sales!O82</f>
        <v>0</v>
      </c>
      <c r="P60" s="357">
        <f>Sales!P82</f>
        <v>0</v>
      </c>
      <c r="Q60" s="358">
        <f>Sales!Q82</f>
        <v>0</v>
      </c>
      <c r="R60" s="357">
        <f>Sales!R82</f>
        <v>0</v>
      </c>
      <c r="S60" s="357">
        <f>Sales!S82</f>
        <v>0</v>
      </c>
      <c r="T60" s="357">
        <f>Sales!T82</f>
        <v>0</v>
      </c>
      <c r="U60" s="357">
        <f>Sales!U82</f>
        <v>0</v>
      </c>
      <c r="V60" s="358">
        <f>Sales!V82</f>
        <v>0</v>
      </c>
      <c r="W60" s="357">
        <f>Sales!W82</f>
        <v>0</v>
      </c>
      <c r="X60" s="357">
        <f>Sales!X82</f>
        <v>0</v>
      </c>
      <c r="Y60" s="357">
        <f>Sales!Y82</f>
        <v>0</v>
      </c>
      <c r="Z60" s="357">
        <f>Sales!Z82</f>
        <v>0</v>
      </c>
      <c r="AA60" s="358">
        <f>Sales!AA82</f>
        <v>0</v>
      </c>
      <c r="AB60" s="310">
        <f>Sales!AB82</f>
        <v>0</v>
      </c>
      <c r="AC60" s="310">
        <f>Sales!AC82</f>
        <v>0</v>
      </c>
      <c r="AD60" s="310">
        <f>Sales!AD82</f>
        <v>0</v>
      </c>
      <c r="AE60" s="310">
        <f>Sales!AE82</f>
        <v>0</v>
      </c>
      <c r="AF60" s="360">
        <f>Sales!AF82</f>
        <v>0</v>
      </c>
      <c r="AG60" s="355">
        <f>Sales!AG82</f>
        <v>0</v>
      </c>
      <c r="AH60" s="355">
        <f>Sales!AH82</f>
        <v>0</v>
      </c>
      <c r="AI60" s="355">
        <f>Sales!AI82</f>
        <v>0</v>
      </c>
      <c r="AJ60" s="355">
        <f>Sales!AJ82</f>
        <v>0</v>
      </c>
      <c r="AK60" s="311">
        <f>Sales!AK82</f>
        <v>0</v>
      </c>
      <c r="AL60" s="355">
        <f>Sales!AL82</f>
        <v>0</v>
      </c>
      <c r="AM60" s="355">
        <f>Sales!AM82</f>
        <v>0</v>
      </c>
      <c r="AN60" s="355">
        <f>Sales!AN82</f>
        <v>0</v>
      </c>
      <c r="AO60" s="355">
        <f>Sales!AO82</f>
        <v>0</v>
      </c>
      <c r="AP60" s="360">
        <f>Sales!AP82</f>
        <v>0</v>
      </c>
      <c r="AQ60" s="356">
        <f>Sales!AQ82</f>
        <v>0</v>
      </c>
      <c r="AR60" s="355">
        <f>Sales!AR82</f>
        <v>0</v>
      </c>
      <c r="AS60" s="355">
        <f>Sales!AS82</f>
        <v>0</v>
      </c>
      <c r="AT60" s="355">
        <f>Sales!AT82</f>
        <v>0</v>
      </c>
      <c r="AU60" s="311">
        <f>Sales!AU82</f>
        <v>0</v>
      </c>
      <c r="AV60" s="310">
        <f>Sales!AV82</f>
        <v>0</v>
      </c>
      <c r="AW60" s="355">
        <f>Sales!AW82</f>
        <v>0</v>
      </c>
      <c r="AX60" s="281">
        <f>Sales!AX82</f>
        <v>0.19999999999999996</v>
      </c>
      <c r="AY60" s="281">
        <f>Sales!AY82</f>
        <v>0.37919463087248317</v>
      </c>
      <c r="AZ60" s="311">
        <f>Sales!AZ82</f>
        <v>0</v>
      </c>
      <c r="BA60" s="281">
        <f>Sales!BA82</f>
        <v>0.91208791208791196</v>
      </c>
      <c r="BB60" s="281">
        <f>Sales!BB82</f>
        <v>0.86119873817034698</v>
      </c>
      <c r="BC60" s="281">
        <f>Sales!BC82</f>
        <v>0.35185185185185186</v>
      </c>
      <c r="BD60" s="281">
        <f>Sales!BD82</f>
        <v>8.7591240875912524E-2</v>
      </c>
      <c r="BE60" s="282">
        <f>Sales!BE82</f>
        <v>0.47730956239870337</v>
      </c>
      <c r="BF60" s="285">
        <f>Sales!BF82</f>
        <v>0.20689655172413812</v>
      </c>
      <c r="BG60" s="285">
        <f>Sales!BG82</f>
        <v>-0.18644067796610164</v>
      </c>
      <c r="BH60" s="285">
        <f>Sales!BH82</f>
        <v>0.14155251141552516</v>
      </c>
      <c r="BI60" s="285">
        <f>Sales!BI82</f>
        <v>0.11856823266219241</v>
      </c>
      <c r="BJ60" s="282">
        <f>Sales!BJ82</f>
        <v>4.2238069116840249E-2</v>
      </c>
      <c r="BK60" s="285">
        <f>Sales!BK82</f>
        <v>0</v>
      </c>
      <c r="BL60" s="285">
        <f>Sales!BL82</f>
        <v>0</v>
      </c>
      <c r="BM60" s="285">
        <f>Sales!BM82</f>
        <v>0</v>
      </c>
      <c r="BN60" s="285">
        <f>Sales!BN82</f>
        <v>0</v>
      </c>
      <c r="BO60" s="282">
        <f>Sales!BO82</f>
        <v>0.10000000000000009</v>
      </c>
      <c r="BP60" s="285">
        <f>Sales!BP82</f>
        <v>0</v>
      </c>
      <c r="BQ60" s="285">
        <f>Sales!BQ82</f>
        <v>0</v>
      </c>
      <c r="BR60" s="285">
        <f>Sales!BR82</f>
        <v>0</v>
      </c>
      <c r="BS60" s="285">
        <f>Sales!BS82</f>
        <v>0</v>
      </c>
      <c r="BT60" s="282">
        <f>Sales!BT82</f>
        <v>0.10000000000000009</v>
      </c>
      <c r="BU60" s="285">
        <f>Sales!BU82</f>
        <v>0</v>
      </c>
      <c r="BV60" s="285">
        <f>Sales!BV82</f>
        <v>0</v>
      </c>
      <c r="BW60" s="285">
        <f>Sales!BW82</f>
        <v>0</v>
      </c>
      <c r="BX60" s="285">
        <f>Sales!BX82</f>
        <v>0</v>
      </c>
      <c r="BY60" s="282">
        <f>Sales!BY82</f>
        <v>9.5789473684210646E-2</v>
      </c>
      <c r="BZ60" s="285">
        <f>Sales!BZ82</f>
        <v>0</v>
      </c>
      <c r="CA60" s="285">
        <f>Sales!CA82</f>
        <v>0</v>
      </c>
      <c r="CB60" s="285">
        <f>Sales!CB82</f>
        <v>0</v>
      </c>
      <c r="CC60" s="285">
        <f>Sales!CC82</f>
        <v>0</v>
      </c>
      <c r="CD60" s="282">
        <f>Sales!CD82</f>
        <v>9.1700288184437984E-2</v>
      </c>
    </row>
    <row r="61" spans="1:82" s="355" customFormat="1" ht="13" hidden="1" x14ac:dyDescent="0.15">
      <c r="A61" s="28"/>
      <c r="B61" s="309"/>
      <c r="C61" s="357"/>
      <c r="D61" s="357"/>
      <c r="E61" s="357"/>
      <c r="F61" s="357"/>
      <c r="G61" s="358"/>
      <c r="H61" s="357"/>
      <c r="I61" s="357"/>
      <c r="J61" s="357"/>
      <c r="K61" s="357"/>
      <c r="L61" s="358"/>
      <c r="M61" s="357"/>
      <c r="N61" s="357"/>
      <c r="O61" s="357"/>
      <c r="P61" s="357"/>
      <c r="Q61" s="358"/>
      <c r="R61" s="357"/>
      <c r="S61" s="357"/>
      <c r="T61" s="357"/>
      <c r="U61" s="357"/>
      <c r="V61" s="358"/>
      <c r="W61" s="357"/>
      <c r="X61" s="357"/>
      <c r="Y61" s="357"/>
      <c r="Z61" s="357"/>
      <c r="AA61" s="358"/>
      <c r="AB61" s="310"/>
      <c r="AC61" s="310"/>
      <c r="AD61" s="310"/>
      <c r="AE61" s="310"/>
      <c r="AF61" s="360"/>
      <c r="AK61" s="311"/>
      <c r="AP61" s="360"/>
      <c r="AQ61" s="356"/>
      <c r="AU61" s="311"/>
      <c r="AV61" s="310"/>
      <c r="AZ61" s="311"/>
      <c r="BE61" s="311"/>
      <c r="BF61" s="285"/>
      <c r="BG61" s="285"/>
      <c r="BH61" s="285"/>
      <c r="BI61" s="285"/>
      <c r="BJ61" s="311"/>
      <c r="BK61" s="285"/>
      <c r="BL61" s="285"/>
      <c r="BM61" s="285"/>
      <c r="BN61" s="285"/>
      <c r="BO61" s="311"/>
      <c r="BP61" s="285"/>
      <c r="BQ61" s="285"/>
      <c r="BR61" s="285"/>
      <c r="BS61" s="285"/>
      <c r="BT61" s="311"/>
      <c r="BU61" s="285"/>
      <c r="BV61" s="285"/>
      <c r="BW61" s="285"/>
      <c r="BX61" s="285"/>
      <c r="BY61" s="311"/>
      <c r="BZ61" s="285"/>
      <c r="CA61" s="285"/>
      <c r="CB61" s="285"/>
      <c r="CC61" s="285"/>
      <c r="CD61" s="311"/>
    </row>
    <row r="62" spans="1:82" s="252" customFormat="1" x14ac:dyDescent="0.15">
      <c r="B62" s="268" t="str">
        <f>Sales!B84</f>
        <v>Total Oncology/Urology (Provenge)</v>
      </c>
      <c r="C62" s="317">
        <f>Sales!C84</f>
        <v>0</v>
      </c>
      <c r="D62" s="318">
        <f>Sales!D84</f>
        <v>0</v>
      </c>
      <c r="E62" s="318">
        <f>Sales!E84</f>
        <v>0</v>
      </c>
      <c r="F62" s="318">
        <f>Sales!F84</f>
        <v>0</v>
      </c>
      <c r="G62" s="319">
        <f>Sales!G84</f>
        <v>0</v>
      </c>
      <c r="H62" s="318">
        <f>Sales!H84</f>
        <v>0</v>
      </c>
      <c r="I62" s="318">
        <f>Sales!I84</f>
        <v>0</v>
      </c>
      <c r="J62" s="318">
        <f>Sales!J84</f>
        <v>0</v>
      </c>
      <c r="K62" s="318">
        <f>Sales!K84</f>
        <v>0</v>
      </c>
      <c r="L62" s="319">
        <f>Sales!L84</f>
        <v>0</v>
      </c>
      <c r="M62" s="318">
        <f>Sales!M84</f>
        <v>0</v>
      </c>
      <c r="N62" s="318">
        <f>Sales!N84</f>
        <v>0</v>
      </c>
      <c r="O62" s="318">
        <f>Sales!O84</f>
        <v>0</v>
      </c>
      <c r="P62" s="318">
        <f>Sales!P84</f>
        <v>0</v>
      </c>
      <c r="Q62" s="319">
        <f>Sales!Q84</f>
        <v>0</v>
      </c>
      <c r="R62" s="318">
        <f>Sales!R84</f>
        <v>0</v>
      </c>
      <c r="S62" s="318">
        <f>Sales!S84</f>
        <v>0</v>
      </c>
      <c r="T62" s="318">
        <f>Sales!T84</f>
        <v>0</v>
      </c>
      <c r="U62" s="318">
        <f>Sales!U84</f>
        <v>0</v>
      </c>
      <c r="V62" s="319">
        <f>Sales!V84</f>
        <v>0</v>
      </c>
      <c r="W62" s="320">
        <f>Sales!W84</f>
        <v>0</v>
      </c>
      <c r="X62" s="321">
        <f>Sales!X84</f>
        <v>0</v>
      </c>
      <c r="Y62" s="321">
        <f>Sales!Y84</f>
        <v>0</v>
      </c>
      <c r="Z62" s="321">
        <f>Sales!Z84</f>
        <v>0</v>
      </c>
      <c r="AA62" s="322">
        <f>Sales!AA84</f>
        <v>0</v>
      </c>
      <c r="AB62" s="361">
        <f>Sales!AB84</f>
        <v>0</v>
      </c>
      <c r="AC62" s="361">
        <f>Sales!AC84</f>
        <v>0</v>
      </c>
      <c r="AD62" s="361">
        <f>Sales!AD84</f>
        <v>0</v>
      </c>
      <c r="AE62" s="361">
        <f>Sales!AE84</f>
        <v>0</v>
      </c>
      <c r="AF62" s="46">
        <f>Sales!AF84</f>
        <v>0</v>
      </c>
      <c r="AG62" s="362">
        <f>Sales!AG84</f>
        <v>0</v>
      </c>
      <c r="AH62" s="49">
        <f>Sales!AH84</f>
        <v>0</v>
      </c>
      <c r="AI62" s="363">
        <f>Sales!AI84</f>
        <v>0</v>
      </c>
      <c r="AJ62" s="363">
        <f>Sales!AJ84</f>
        <v>0</v>
      </c>
      <c r="AK62" s="46">
        <f>Sales!AK84</f>
        <v>0</v>
      </c>
      <c r="AL62" s="364">
        <f>Sales!AL84</f>
        <v>0</v>
      </c>
      <c r="AM62" s="280">
        <f>Sales!AM84</f>
        <v>0</v>
      </c>
      <c r="AN62" s="364">
        <f>Sales!AN84</f>
        <v>0</v>
      </c>
      <c r="AO62" s="280">
        <f>Sales!AO84</f>
        <v>0</v>
      </c>
      <c r="AP62" s="46">
        <f>Sales!AP84</f>
        <v>0</v>
      </c>
      <c r="AQ62" s="365">
        <f>Sales!AQ84</f>
        <v>0</v>
      </c>
      <c r="AR62" s="280">
        <f>Sales!AR84</f>
        <v>0</v>
      </c>
      <c r="AS62" s="275">
        <f>Sales!AS84</f>
        <v>0</v>
      </c>
      <c r="AT62" s="275">
        <f>Sales!AT84</f>
        <v>0</v>
      </c>
      <c r="AU62" s="46">
        <f>Sales!AU84</f>
        <v>0</v>
      </c>
      <c r="AV62" s="275">
        <f>Sales!AV84</f>
        <v>0</v>
      </c>
      <c r="AW62" s="275">
        <f>Sales!AW84</f>
        <v>0</v>
      </c>
      <c r="AX62" s="275">
        <f>Sales!AX84</f>
        <v>0</v>
      </c>
      <c r="AY62" s="275">
        <f>Sales!AY84</f>
        <v>0</v>
      </c>
      <c r="AZ62" s="366">
        <f>Sales!AZ84</f>
        <v>0</v>
      </c>
      <c r="BA62" s="275">
        <f>Sales!BA84</f>
        <v>30.1</v>
      </c>
      <c r="BB62" s="275">
        <f>Sales!BB84</f>
        <v>73.7</v>
      </c>
      <c r="BC62" s="371">
        <f>Sales!BC84</f>
        <v>69.3</v>
      </c>
      <c r="BD62" s="371">
        <f>Sales!BD84</f>
        <v>77</v>
      </c>
      <c r="BE62" s="276">
        <f>Sales!BE84</f>
        <v>250.10000000000002</v>
      </c>
      <c r="BF62" s="28">
        <f>Sales!BF84</f>
        <v>75</v>
      </c>
      <c r="BG62" s="28">
        <f>Sales!BG84</f>
        <v>75</v>
      </c>
      <c r="BH62" s="28">
        <f>Sales!BH84</f>
        <v>77</v>
      </c>
      <c r="BI62" s="28">
        <f>Sales!BI84</f>
        <v>78</v>
      </c>
      <c r="BJ62" s="647">
        <f>Sales!BJ84</f>
        <v>305</v>
      </c>
      <c r="BK62" s="28">
        <f>Sales!BK84</f>
        <v>0</v>
      </c>
      <c r="BL62" s="28">
        <f>Sales!BL84</f>
        <v>0</v>
      </c>
      <c r="BM62" s="28">
        <f>Sales!BM84</f>
        <v>0</v>
      </c>
      <c r="BN62" s="28">
        <f>Sales!BN84</f>
        <v>0</v>
      </c>
      <c r="BO62" s="46">
        <f>Sales!BO84</f>
        <v>314.15000000000003</v>
      </c>
      <c r="BP62" s="28">
        <f>Sales!BP84</f>
        <v>0</v>
      </c>
      <c r="BQ62" s="28">
        <f>Sales!BQ84</f>
        <v>0</v>
      </c>
      <c r="BR62" s="28">
        <f>Sales!BR84</f>
        <v>0</v>
      </c>
      <c r="BS62" s="28">
        <f>Sales!BS84</f>
        <v>0</v>
      </c>
      <c r="BT62" s="46">
        <f>Sales!BT84</f>
        <v>320.43300000000005</v>
      </c>
      <c r="BU62" s="28">
        <f>Sales!BU84</f>
        <v>0</v>
      </c>
      <c r="BV62" s="28">
        <f>Sales!BV84</f>
        <v>0</v>
      </c>
      <c r="BW62" s="28">
        <f>Sales!BW84</f>
        <v>0</v>
      </c>
      <c r="BX62" s="28">
        <f>Sales!BX84</f>
        <v>0</v>
      </c>
      <c r="BY62" s="46">
        <f>Sales!BY84</f>
        <v>326.84166000000005</v>
      </c>
      <c r="BZ62" s="28">
        <f>Sales!BZ84</f>
        <v>0</v>
      </c>
      <c r="CA62" s="28">
        <f>Sales!CA84</f>
        <v>0</v>
      </c>
      <c r="CB62" s="28">
        <f>Sales!CB84</f>
        <v>0</v>
      </c>
      <c r="CC62" s="28">
        <f>Sales!CC84</f>
        <v>0</v>
      </c>
      <c r="CD62" s="46">
        <f>Sales!CD84</f>
        <v>326.84166000000005</v>
      </c>
    </row>
    <row r="63" spans="1:82" s="252" customFormat="1" hidden="1" x14ac:dyDescent="0.15">
      <c r="B63" s="309" t="str">
        <f>Sales!B85</f>
        <v>growth</v>
      </c>
      <c r="C63" s="317">
        <f>Sales!C85</f>
        <v>0</v>
      </c>
      <c r="D63" s="318">
        <f>Sales!D85</f>
        <v>0</v>
      </c>
      <c r="E63" s="318">
        <f>Sales!E85</f>
        <v>0</v>
      </c>
      <c r="F63" s="318">
        <f>Sales!F85</f>
        <v>0</v>
      </c>
      <c r="G63" s="319">
        <f>Sales!G85</f>
        <v>0</v>
      </c>
      <c r="H63" s="318">
        <f>Sales!H85</f>
        <v>0</v>
      </c>
      <c r="I63" s="318">
        <f>Sales!I85</f>
        <v>0</v>
      </c>
      <c r="J63" s="318">
        <f>Sales!J85</f>
        <v>0</v>
      </c>
      <c r="K63" s="318">
        <f>Sales!K85</f>
        <v>0</v>
      </c>
      <c r="L63" s="319">
        <f>Sales!L85</f>
        <v>0</v>
      </c>
      <c r="M63" s="318">
        <f>Sales!M85</f>
        <v>0</v>
      </c>
      <c r="N63" s="318">
        <f>Sales!N85</f>
        <v>0</v>
      </c>
      <c r="O63" s="318">
        <f>Sales!O85</f>
        <v>0</v>
      </c>
      <c r="P63" s="318">
        <f>Sales!P85</f>
        <v>0</v>
      </c>
      <c r="Q63" s="319">
        <f>Sales!Q85</f>
        <v>0</v>
      </c>
      <c r="R63" s="318">
        <f>Sales!R85</f>
        <v>0</v>
      </c>
      <c r="S63" s="318">
        <f>Sales!S85</f>
        <v>0</v>
      </c>
      <c r="T63" s="318">
        <f>Sales!T85</f>
        <v>0</v>
      </c>
      <c r="U63" s="318">
        <f>Sales!U85</f>
        <v>0</v>
      </c>
      <c r="V63" s="319">
        <f>Sales!V85</f>
        <v>0</v>
      </c>
      <c r="W63" s="320">
        <f>Sales!W85</f>
        <v>0</v>
      </c>
      <c r="X63" s="321">
        <f>Sales!X85</f>
        <v>0</v>
      </c>
      <c r="Y63" s="321">
        <f>Sales!Y85</f>
        <v>0</v>
      </c>
      <c r="Z63" s="321">
        <f>Sales!Z85</f>
        <v>0</v>
      </c>
      <c r="AA63" s="322">
        <f>Sales!AA85</f>
        <v>0</v>
      </c>
      <c r="AB63" s="361">
        <f>Sales!AB85</f>
        <v>0</v>
      </c>
      <c r="AC63" s="361">
        <f>Sales!AC85</f>
        <v>0</v>
      </c>
      <c r="AD63" s="361">
        <f>Sales!AD85</f>
        <v>0</v>
      </c>
      <c r="AE63" s="361">
        <f>Sales!AE85</f>
        <v>0</v>
      </c>
      <c r="AF63" s="372">
        <f>Sales!AF85</f>
        <v>0</v>
      </c>
      <c r="AG63" s="324">
        <f>Sales!AG85</f>
        <v>0</v>
      </c>
      <c r="AH63" s="324">
        <f>Sales!AH85</f>
        <v>0</v>
      </c>
      <c r="AI63" s="324">
        <f>Sales!AI85</f>
        <v>0</v>
      </c>
      <c r="AJ63" s="373">
        <f>Sales!AJ85</f>
        <v>0</v>
      </c>
      <c r="AK63" s="372">
        <f>Sales!AK85</f>
        <v>0</v>
      </c>
      <c r="AL63" s="373">
        <f>Sales!AL85</f>
        <v>0</v>
      </c>
      <c r="AM63" s="324">
        <f>Sales!AM85</f>
        <v>0</v>
      </c>
      <c r="AN63" s="373">
        <f>Sales!AN85</f>
        <v>0</v>
      </c>
      <c r="AO63" s="373">
        <f>Sales!AO85</f>
        <v>0</v>
      </c>
      <c r="AP63" s="372">
        <f>Sales!AP85</f>
        <v>0</v>
      </c>
      <c r="AQ63" s="374">
        <f>Sales!AQ85</f>
        <v>0</v>
      </c>
      <c r="AR63" s="324">
        <f>Sales!AR85</f>
        <v>0</v>
      </c>
      <c r="AS63" s="373">
        <f>Sales!AS85</f>
        <v>0</v>
      </c>
      <c r="AT63" s="373">
        <f>Sales!AT85</f>
        <v>0</v>
      </c>
      <c r="AU63" s="372">
        <f>Sales!AU85</f>
        <v>0</v>
      </c>
      <c r="AV63" s="324">
        <f>Sales!AV85</f>
        <v>0</v>
      </c>
      <c r="AW63" s="373">
        <f>Sales!AW85</f>
        <v>0</v>
      </c>
      <c r="AX63" s="373">
        <f>Sales!AX85</f>
        <v>0</v>
      </c>
      <c r="AY63" s="373">
        <f>Sales!AY85</f>
        <v>0</v>
      </c>
      <c r="AZ63" s="372">
        <f>Sales!AZ85</f>
        <v>0</v>
      </c>
      <c r="BA63" s="373">
        <f>Sales!BA85</f>
        <v>0</v>
      </c>
      <c r="BB63" s="373">
        <f>Sales!BB85</f>
        <v>0</v>
      </c>
      <c r="BC63" s="373">
        <f>Sales!BC85</f>
        <v>0</v>
      </c>
      <c r="BD63" s="373">
        <f>Sales!BD85</f>
        <v>0</v>
      </c>
      <c r="BE63" s="375">
        <f>Sales!BE85</f>
        <v>0</v>
      </c>
      <c r="BF63" s="376">
        <f>Sales!BF85</f>
        <v>0</v>
      </c>
      <c r="BG63" s="376">
        <f>Sales!BG85</f>
        <v>0</v>
      </c>
      <c r="BH63" s="376">
        <f>Sales!BH85</f>
        <v>0</v>
      </c>
      <c r="BI63" s="376">
        <f>Sales!BI85</f>
        <v>0</v>
      </c>
      <c r="BJ63" s="372">
        <f>Sales!BJ85</f>
        <v>0</v>
      </c>
      <c r="BK63" s="376">
        <f>Sales!BK85</f>
        <v>0</v>
      </c>
      <c r="BL63" s="376">
        <f>Sales!BL85</f>
        <v>0</v>
      </c>
      <c r="BM63" s="376">
        <f>Sales!BM85</f>
        <v>0</v>
      </c>
      <c r="BN63" s="376">
        <f>Sales!BN85</f>
        <v>0</v>
      </c>
      <c r="BO63" s="372">
        <f>Sales!BO85</f>
        <v>0.03</v>
      </c>
      <c r="BP63" s="376">
        <f>Sales!BP85</f>
        <v>0</v>
      </c>
      <c r="BQ63" s="376">
        <f>Sales!BQ85</f>
        <v>0</v>
      </c>
      <c r="BR63" s="376">
        <f>Sales!BR85</f>
        <v>0</v>
      </c>
      <c r="BS63" s="376">
        <f>Sales!BS85</f>
        <v>0</v>
      </c>
      <c r="BT63" s="372">
        <f>Sales!BT85</f>
        <v>0.02</v>
      </c>
      <c r="BU63" s="376">
        <f>Sales!BU85</f>
        <v>0</v>
      </c>
      <c r="BV63" s="376">
        <f>Sales!BV85</f>
        <v>0</v>
      </c>
      <c r="BW63" s="376">
        <f>Sales!BW85</f>
        <v>0</v>
      </c>
      <c r="BX63" s="376">
        <f>Sales!BX85</f>
        <v>0</v>
      </c>
      <c r="BY63" s="372">
        <f>Sales!BY85</f>
        <v>0.02</v>
      </c>
      <c r="BZ63" s="376">
        <f>Sales!BZ85</f>
        <v>0</v>
      </c>
      <c r="CA63" s="376">
        <f>Sales!CA85</f>
        <v>0</v>
      </c>
      <c r="CB63" s="376">
        <f>Sales!CB85</f>
        <v>0</v>
      </c>
      <c r="CC63" s="376">
        <f>Sales!CC85</f>
        <v>0</v>
      </c>
      <c r="CD63" s="372">
        <f>Sales!CD85</f>
        <v>0</v>
      </c>
    </row>
    <row r="64" spans="1:82" s="252" customFormat="1" hidden="1" x14ac:dyDescent="0.15">
      <c r="B64" s="309"/>
      <c r="C64" s="317"/>
      <c r="D64" s="318"/>
      <c r="E64" s="318"/>
      <c r="F64" s="318"/>
      <c r="G64" s="319"/>
      <c r="H64" s="318"/>
      <c r="I64" s="318"/>
      <c r="J64" s="318"/>
      <c r="K64" s="318"/>
      <c r="L64" s="319"/>
      <c r="M64" s="318"/>
      <c r="N64" s="318"/>
      <c r="O64" s="318"/>
      <c r="P64" s="318"/>
      <c r="Q64" s="319"/>
      <c r="R64" s="318"/>
      <c r="S64" s="318"/>
      <c r="T64" s="318"/>
      <c r="U64" s="318"/>
      <c r="V64" s="319"/>
      <c r="W64" s="320"/>
      <c r="X64" s="321"/>
      <c r="Y64" s="321"/>
      <c r="Z64" s="321"/>
      <c r="AA64" s="322"/>
      <c r="AB64" s="361"/>
      <c r="AC64" s="361"/>
      <c r="AD64" s="361"/>
      <c r="AE64" s="361"/>
      <c r="AF64" s="372"/>
      <c r="AG64" s="324"/>
      <c r="AH64" s="324"/>
      <c r="AI64" s="324"/>
      <c r="AJ64" s="373"/>
      <c r="AK64" s="372"/>
      <c r="AL64" s="373"/>
      <c r="AM64" s="324"/>
      <c r="AN64" s="373"/>
      <c r="AO64" s="373"/>
      <c r="AP64" s="372"/>
      <c r="AQ64" s="374"/>
      <c r="AR64" s="324"/>
      <c r="AS64" s="373"/>
      <c r="AT64" s="373"/>
      <c r="AU64" s="372"/>
      <c r="AV64" s="324"/>
      <c r="AW64" s="373"/>
      <c r="AX64" s="373"/>
      <c r="AY64" s="373"/>
      <c r="AZ64" s="372"/>
      <c r="BA64" s="373"/>
      <c r="BB64" s="373"/>
      <c r="BC64" s="373"/>
      <c r="BD64" s="373"/>
      <c r="BE64" s="375"/>
      <c r="BF64" s="376"/>
      <c r="BG64" s="376"/>
      <c r="BH64" s="376"/>
      <c r="BI64" s="376"/>
      <c r="BJ64" s="372"/>
      <c r="BK64" s="376"/>
      <c r="BL64" s="376"/>
      <c r="BM64" s="376"/>
      <c r="BN64" s="376"/>
      <c r="BO64" s="372"/>
      <c r="BP64" s="376"/>
      <c r="BQ64" s="376"/>
      <c r="BR64" s="376"/>
      <c r="BS64" s="376"/>
      <c r="BT64" s="372"/>
      <c r="BU64" s="376"/>
      <c r="BV64" s="376"/>
      <c r="BW64" s="376"/>
      <c r="BX64" s="376"/>
      <c r="BY64" s="372"/>
      <c r="BZ64" s="376"/>
      <c r="CA64" s="376"/>
      <c r="CB64" s="376"/>
      <c r="CC64" s="376"/>
      <c r="CD64" s="372"/>
    </row>
    <row r="65" spans="1:83" s="252" customFormat="1" x14ac:dyDescent="0.15">
      <c r="B65" s="268" t="str">
        <f>Sales!B87</f>
        <v>Total Women's Health (Addyi)</v>
      </c>
      <c r="C65" s="317">
        <f>Sales!C87</f>
        <v>0</v>
      </c>
      <c r="D65" s="318">
        <f>Sales!D87</f>
        <v>0</v>
      </c>
      <c r="E65" s="318">
        <f>Sales!E87</f>
        <v>0</v>
      </c>
      <c r="F65" s="318">
        <f>Sales!F87</f>
        <v>0</v>
      </c>
      <c r="G65" s="319">
        <f>Sales!G87</f>
        <v>0</v>
      </c>
      <c r="H65" s="318">
        <f>Sales!H87</f>
        <v>0</v>
      </c>
      <c r="I65" s="318">
        <f>Sales!I87</f>
        <v>0</v>
      </c>
      <c r="J65" s="318">
        <f>Sales!J87</f>
        <v>0</v>
      </c>
      <c r="K65" s="318">
        <f>Sales!K87</f>
        <v>0</v>
      </c>
      <c r="L65" s="319">
        <f>Sales!L87</f>
        <v>0</v>
      </c>
      <c r="M65" s="318">
        <f>Sales!M87</f>
        <v>0</v>
      </c>
      <c r="N65" s="318">
        <f>Sales!N87</f>
        <v>0</v>
      </c>
      <c r="O65" s="318">
        <f>Sales!O87</f>
        <v>0</v>
      </c>
      <c r="P65" s="318">
        <f>Sales!P87</f>
        <v>0</v>
      </c>
      <c r="Q65" s="319">
        <f>Sales!Q87</f>
        <v>0</v>
      </c>
      <c r="R65" s="318">
        <f>Sales!R87</f>
        <v>0</v>
      </c>
      <c r="S65" s="318">
        <f>Sales!S87</f>
        <v>0</v>
      </c>
      <c r="T65" s="318">
        <f>Sales!T87</f>
        <v>0</v>
      </c>
      <c r="U65" s="318">
        <f>Sales!U87</f>
        <v>0</v>
      </c>
      <c r="V65" s="319">
        <f>Sales!V87</f>
        <v>0</v>
      </c>
      <c r="W65" s="320">
        <f>Sales!W87</f>
        <v>0</v>
      </c>
      <c r="X65" s="321">
        <f>Sales!X87</f>
        <v>0</v>
      </c>
      <c r="Y65" s="321">
        <f>Sales!Y87</f>
        <v>0</v>
      </c>
      <c r="Z65" s="321">
        <f>Sales!Z87</f>
        <v>0</v>
      </c>
      <c r="AA65" s="322">
        <f>Sales!AA87</f>
        <v>0</v>
      </c>
      <c r="AB65" s="361">
        <f>Sales!AB87</f>
        <v>0</v>
      </c>
      <c r="AC65" s="361">
        <f>Sales!AC87</f>
        <v>0</v>
      </c>
      <c r="AD65" s="361">
        <f>Sales!AD87</f>
        <v>0</v>
      </c>
      <c r="AE65" s="361">
        <f>Sales!AE87</f>
        <v>0</v>
      </c>
      <c r="AF65" s="46">
        <f>Sales!AF87</f>
        <v>0</v>
      </c>
      <c r="AG65" s="362">
        <f>Sales!AG87</f>
        <v>0</v>
      </c>
      <c r="AH65" s="49">
        <f>Sales!AH87</f>
        <v>0</v>
      </c>
      <c r="AI65" s="363">
        <f>Sales!AI87</f>
        <v>0</v>
      </c>
      <c r="AJ65" s="363">
        <f>Sales!AJ87</f>
        <v>0</v>
      </c>
      <c r="AK65" s="46">
        <f>Sales!AK87</f>
        <v>0</v>
      </c>
      <c r="AL65" s="364">
        <f>Sales!AL87</f>
        <v>0</v>
      </c>
      <c r="AM65" s="280">
        <f>Sales!AM87</f>
        <v>0</v>
      </c>
      <c r="AN65" s="364">
        <f>Sales!AN87</f>
        <v>0</v>
      </c>
      <c r="AO65" s="280">
        <f>Sales!AO87</f>
        <v>0</v>
      </c>
      <c r="AP65" s="46">
        <f>Sales!AP87</f>
        <v>0</v>
      </c>
      <c r="AQ65" s="365">
        <f>Sales!AQ87</f>
        <v>0</v>
      </c>
      <c r="AR65" s="280">
        <f>Sales!AR87</f>
        <v>0</v>
      </c>
      <c r="AS65" s="275">
        <f>Sales!AS87</f>
        <v>0</v>
      </c>
      <c r="AT65" s="275">
        <f>Sales!AT87</f>
        <v>0</v>
      </c>
      <c r="AU65" s="46">
        <f>Sales!AU87</f>
        <v>0</v>
      </c>
      <c r="AV65" s="275">
        <f>Sales!AV87</f>
        <v>0</v>
      </c>
      <c r="AW65" s="275">
        <f>Sales!AW87</f>
        <v>0</v>
      </c>
      <c r="AX65" s="275">
        <f>Sales!AX87</f>
        <v>0</v>
      </c>
      <c r="AY65" s="275">
        <f>Sales!AY87</f>
        <v>0</v>
      </c>
      <c r="AZ65" s="311">
        <f>Sales!AZ87</f>
        <v>0</v>
      </c>
      <c r="BA65" s="367">
        <f>Sales!BA87</f>
        <v>0</v>
      </c>
      <c r="BB65" s="367">
        <f>Sales!BB87</f>
        <v>0</v>
      </c>
      <c r="BC65" s="310">
        <f>Sales!BC87</f>
        <v>0</v>
      </c>
      <c r="BD65" s="310">
        <f>Sales!BD87</f>
        <v>0</v>
      </c>
      <c r="BE65" s="311">
        <f>Sales!BE87</f>
        <v>0</v>
      </c>
      <c r="BF65" s="285">
        <f>Sales!BF87</f>
        <v>3</v>
      </c>
      <c r="BG65" s="285">
        <f>Sales!BG87</f>
        <v>5</v>
      </c>
      <c r="BH65" s="285">
        <f>Sales!BH87</f>
        <v>5</v>
      </c>
      <c r="BI65" s="285">
        <f>Sales!BI87</f>
        <v>10</v>
      </c>
      <c r="BJ65" s="369">
        <f>Sales!BJ87</f>
        <v>23</v>
      </c>
      <c r="BK65" s="285">
        <f>Sales!BK87</f>
        <v>0</v>
      </c>
      <c r="BL65" s="285">
        <f>Sales!BL87</f>
        <v>0</v>
      </c>
      <c r="BM65" s="285">
        <f>Sales!BM87</f>
        <v>0</v>
      </c>
      <c r="BN65" s="285">
        <f>Sales!BN87</f>
        <v>0</v>
      </c>
      <c r="BO65" s="55">
        <f>Sales!BO87</f>
        <v>34.5</v>
      </c>
      <c r="BP65" s="285">
        <f>Sales!BP87</f>
        <v>0</v>
      </c>
      <c r="BQ65" s="285">
        <f>Sales!BQ87</f>
        <v>0</v>
      </c>
      <c r="BR65" s="285">
        <f>Sales!BR87</f>
        <v>0</v>
      </c>
      <c r="BS65" s="285">
        <f>Sales!BS87</f>
        <v>0</v>
      </c>
      <c r="BT65" s="55">
        <f>Sales!BT87</f>
        <v>44.85</v>
      </c>
      <c r="BU65" s="285">
        <f>Sales!BU87</f>
        <v>0</v>
      </c>
      <c r="BV65" s="285">
        <f>Sales!BV87</f>
        <v>0</v>
      </c>
      <c r="BW65" s="285">
        <f>Sales!BW87</f>
        <v>0</v>
      </c>
      <c r="BX65" s="285">
        <f>Sales!BX87</f>
        <v>0</v>
      </c>
      <c r="BY65" s="55">
        <f>Sales!BY87</f>
        <v>56.0625</v>
      </c>
      <c r="BZ65" s="285">
        <f>Sales!BZ87</f>
        <v>0</v>
      </c>
      <c r="CA65" s="285">
        <f>Sales!CA87</f>
        <v>0</v>
      </c>
      <c r="CB65" s="285">
        <f>Sales!CB87</f>
        <v>0</v>
      </c>
      <c r="CC65" s="285">
        <f>Sales!CC87</f>
        <v>0</v>
      </c>
      <c r="CD65" s="55">
        <f>Sales!CD87</f>
        <v>67.274999999999991</v>
      </c>
    </row>
    <row r="66" spans="1:83" s="252" customFormat="1" hidden="1" x14ac:dyDescent="0.15">
      <c r="B66" s="309" t="str">
        <f>Sales!B88</f>
        <v>growth</v>
      </c>
      <c r="C66" s="317">
        <f>Sales!C88</f>
        <v>0</v>
      </c>
      <c r="D66" s="318">
        <f>Sales!D88</f>
        <v>0</v>
      </c>
      <c r="E66" s="318">
        <f>Sales!E88</f>
        <v>0</v>
      </c>
      <c r="F66" s="318">
        <f>Sales!F88</f>
        <v>0</v>
      </c>
      <c r="G66" s="319">
        <f>Sales!G88</f>
        <v>0</v>
      </c>
      <c r="H66" s="318">
        <f>Sales!H88</f>
        <v>0</v>
      </c>
      <c r="I66" s="318">
        <f>Sales!I88</f>
        <v>0</v>
      </c>
      <c r="J66" s="318">
        <f>Sales!J88</f>
        <v>0</v>
      </c>
      <c r="K66" s="318">
        <f>Sales!K88</f>
        <v>0</v>
      </c>
      <c r="L66" s="319">
        <f>Sales!L88</f>
        <v>0</v>
      </c>
      <c r="M66" s="318">
        <f>Sales!M88</f>
        <v>0</v>
      </c>
      <c r="N66" s="318">
        <f>Sales!N88</f>
        <v>0</v>
      </c>
      <c r="O66" s="318">
        <f>Sales!O88</f>
        <v>0</v>
      </c>
      <c r="P66" s="318">
        <f>Sales!P88</f>
        <v>0</v>
      </c>
      <c r="Q66" s="319">
        <f>Sales!Q88</f>
        <v>0</v>
      </c>
      <c r="R66" s="318">
        <f>Sales!R88</f>
        <v>0</v>
      </c>
      <c r="S66" s="318">
        <f>Sales!S88</f>
        <v>0</v>
      </c>
      <c r="T66" s="318">
        <f>Sales!T88</f>
        <v>0</v>
      </c>
      <c r="U66" s="318">
        <f>Sales!U88</f>
        <v>0</v>
      </c>
      <c r="V66" s="319">
        <f>Sales!V88</f>
        <v>0</v>
      </c>
      <c r="W66" s="320">
        <f>Sales!W88</f>
        <v>0</v>
      </c>
      <c r="X66" s="321">
        <f>Sales!X88</f>
        <v>0</v>
      </c>
      <c r="Y66" s="321">
        <f>Sales!Y88</f>
        <v>0</v>
      </c>
      <c r="Z66" s="321">
        <f>Sales!Z88</f>
        <v>0</v>
      </c>
      <c r="AA66" s="322">
        <f>Sales!AA88</f>
        <v>0</v>
      </c>
      <c r="AB66" s="361">
        <f>Sales!AB88</f>
        <v>0</v>
      </c>
      <c r="AC66" s="361">
        <f>Sales!AC88</f>
        <v>0</v>
      </c>
      <c r="AD66" s="361">
        <f>Sales!AD88</f>
        <v>0</v>
      </c>
      <c r="AE66" s="361">
        <f>Sales!AE88</f>
        <v>0</v>
      </c>
      <c r="AF66" s="372">
        <f>Sales!AF88</f>
        <v>0</v>
      </c>
      <c r="AG66" s="324">
        <f>Sales!AG88</f>
        <v>0</v>
      </c>
      <c r="AH66" s="324">
        <f>Sales!AH88</f>
        <v>0</v>
      </c>
      <c r="AI66" s="324">
        <f>Sales!AI88</f>
        <v>0</v>
      </c>
      <c r="AJ66" s="373">
        <f>Sales!AJ88</f>
        <v>0</v>
      </c>
      <c r="AK66" s="372">
        <f>Sales!AK88</f>
        <v>0</v>
      </c>
      <c r="AL66" s="373">
        <f>Sales!AL88</f>
        <v>0</v>
      </c>
      <c r="AM66" s="324">
        <f>Sales!AM88</f>
        <v>0</v>
      </c>
      <c r="AN66" s="373">
        <f>Sales!AN88</f>
        <v>0</v>
      </c>
      <c r="AO66" s="373">
        <f>Sales!AO88</f>
        <v>0</v>
      </c>
      <c r="AP66" s="372">
        <f>Sales!AP88</f>
        <v>0</v>
      </c>
      <c r="AQ66" s="374">
        <f>Sales!AQ88</f>
        <v>0</v>
      </c>
      <c r="AR66" s="324">
        <f>Sales!AR88</f>
        <v>0</v>
      </c>
      <c r="AS66" s="373">
        <f>Sales!AS88</f>
        <v>0</v>
      </c>
      <c r="AT66" s="373">
        <f>Sales!AT88</f>
        <v>0</v>
      </c>
      <c r="AU66" s="372">
        <f>Sales!AU88</f>
        <v>0</v>
      </c>
      <c r="AV66" s="324">
        <f>Sales!AV88</f>
        <v>0</v>
      </c>
      <c r="AW66" s="373">
        <f>Sales!AW88</f>
        <v>0</v>
      </c>
      <c r="AX66" s="373">
        <f>Sales!AX88</f>
        <v>0</v>
      </c>
      <c r="AY66" s="373">
        <f>Sales!AY88</f>
        <v>0</v>
      </c>
      <c r="AZ66" s="648">
        <f>Sales!AZ88</f>
        <v>0</v>
      </c>
      <c r="BA66" s="302">
        <f>Sales!BA88</f>
        <v>0</v>
      </c>
      <c r="BB66" s="302">
        <f>Sales!BB88</f>
        <v>0</v>
      </c>
      <c r="BC66" s="302">
        <f>Sales!BC88</f>
        <v>0</v>
      </c>
      <c r="BD66" s="302">
        <f>Sales!BD88</f>
        <v>0</v>
      </c>
      <c r="BE66" s="649">
        <f>Sales!BE88</f>
        <v>0</v>
      </c>
      <c r="BF66" s="650">
        <f>Sales!BF88</f>
        <v>0</v>
      </c>
      <c r="BG66" s="650">
        <f>Sales!BG88</f>
        <v>0</v>
      </c>
      <c r="BH66" s="650">
        <f>Sales!BH88</f>
        <v>0</v>
      </c>
      <c r="BI66" s="650">
        <f>Sales!BI88</f>
        <v>0</v>
      </c>
      <c r="BJ66" s="648">
        <f>Sales!BJ88</f>
        <v>0</v>
      </c>
      <c r="BK66" s="650">
        <f>Sales!BK88</f>
        <v>0</v>
      </c>
      <c r="BL66" s="650">
        <f>Sales!BL88</f>
        <v>0</v>
      </c>
      <c r="BM66" s="650">
        <f>Sales!BM88</f>
        <v>0</v>
      </c>
      <c r="BN66" s="650">
        <f>Sales!BN88</f>
        <v>0</v>
      </c>
      <c r="BO66" s="648">
        <f>Sales!BO88</f>
        <v>0.5</v>
      </c>
      <c r="BP66" s="650">
        <f>Sales!BP88</f>
        <v>0</v>
      </c>
      <c r="BQ66" s="650">
        <f>Sales!BQ88</f>
        <v>0</v>
      </c>
      <c r="BR66" s="650">
        <f>Sales!BR88</f>
        <v>0</v>
      </c>
      <c r="BS66" s="650">
        <f>Sales!BS88</f>
        <v>0</v>
      </c>
      <c r="BT66" s="648">
        <f>Sales!BT88</f>
        <v>0.3</v>
      </c>
      <c r="BU66" s="650">
        <f>Sales!BU88</f>
        <v>0</v>
      </c>
      <c r="BV66" s="650">
        <f>Sales!BV88</f>
        <v>0</v>
      </c>
      <c r="BW66" s="650">
        <f>Sales!BW88</f>
        <v>0</v>
      </c>
      <c r="BX66" s="650">
        <f>Sales!BX88</f>
        <v>0</v>
      </c>
      <c r="BY66" s="648">
        <f>Sales!BY88</f>
        <v>0.25</v>
      </c>
      <c r="BZ66" s="650">
        <f>Sales!BZ88</f>
        <v>0</v>
      </c>
      <c r="CA66" s="650">
        <f>Sales!CA88</f>
        <v>0</v>
      </c>
      <c r="CB66" s="650">
        <f>Sales!CB88</f>
        <v>0</v>
      </c>
      <c r="CC66" s="650">
        <f>Sales!CC88</f>
        <v>0</v>
      </c>
      <c r="CD66" s="648">
        <f>Sales!CD88</f>
        <v>0.2</v>
      </c>
    </row>
    <row r="67" spans="1:83" s="355" customFormat="1" ht="13" hidden="1" x14ac:dyDescent="0.15">
      <c r="A67" s="28"/>
      <c r="B67" s="309"/>
      <c r="C67" s="357"/>
      <c r="D67" s="357"/>
      <c r="E67" s="357"/>
      <c r="F67" s="357"/>
      <c r="G67" s="358"/>
      <c r="H67" s="357"/>
      <c r="I67" s="357"/>
      <c r="J67" s="357"/>
      <c r="K67" s="357"/>
      <c r="L67" s="358"/>
      <c r="M67" s="357"/>
      <c r="N67" s="357"/>
      <c r="O67" s="357"/>
      <c r="P67" s="357"/>
      <c r="Q67" s="358"/>
      <c r="R67" s="357"/>
      <c r="S67" s="357"/>
      <c r="T67" s="357"/>
      <c r="U67" s="357"/>
      <c r="V67" s="358"/>
      <c r="W67" s="357"/>
      <c r="X67" s="357"/>
      <c r="Y67" s="357"/>
      <c r="Z67" s="357"/>
      <c r="AA67" s="358"/>
      <c r="AB67" s="310"/>
      <c r="AC67" s="310"/>
      <c r="AD67" s="310"/>
      <c r="AE67" s="310"/>
      <c r="AF67" s="360"/>
      <c r="AK67" s="372"/>
      <c r="AP67" s="360"/>
      <c r="AQ67" s="356"/>
      <c r="AU67" s="311"/>
      <c r="AV67" s="310"/>
      <c r="AZ67" s="311"/>
      <c r="BE67" s="311"/>
      <c r="BF67" s="285"/>
      <c r="BG67" s="285"/>
      <c r="BH67" s="285"/>
      <c r="BI67" s="285"/>
      <c r="BJ67" s="311"/>
      <c r="BK67" s="285"/>
      <c r="BL67" s="285"/>
      <c r="BM67" s="285"/>
      <c r="BN67" s="285"/>
      <c r="BO67" s="311"/>
      <c r="BP67" s="285"/>
      <c r="BQ67" s="285"/>
      <c r="BR67" s="285"/>
      <c r="BS67" s="285"/>
      <c r="BT67" s="311"/>
      <c r="BU67" s="285"/>
      <c r="BV67" s="285"/>
      <c r="BW67" s="285"/>
      <c r="BX67" s="285"/>
      <c r="BY67" s="311"/>
      <c r="BZ67" s="285"/>
      <c r="CA67" s="285"/>
      <c r="CB67" s="285"/>
      <c r="CC67" s="285"/>
      <c r="CD67" s="311"/>
    </row>
    <row r="68" spans="1:83" s="285" customFormat="1" hidden="1" outlineLevel="1" x14ac:dyDescent="0.15">
      <c r="B68" s="230" t="str">
        <f>Sales!B90</f>
        <v>Gastrointestinal (Salix)</v>
      </c>
      <c r="C68" s="236">
        <f>Sales!C90</f>
        <v>0</v>
      </c>
      <c r="D68" s="236">
        <f>Sales!D90</f>
        <v>0</v>
      </c>
      <c r="E68" s="236">
        <f>Sales!E90</f>
        <v>0</v>
      </c>
      <c r="F68" s="236">
        <f>Sales!F90</f>
        <v>0</v>
      </c>
      <c r="G68" s="235">
        <f>Sales!G90</f>
        <v>0</v>
      </c>
      <c r="H68" s="236">
        <f>Sales!H90</f>
        <v>0</v>
      </c>
      <c r="I68" s="236">
        <f>Sales!I90</f>
        <v>0</v>
      </c>
      <c r="J68" s="236">
        <f>Sales!J90</f>
        <v>0</v>
      </c>
      <c r="K68" s="236">
        <f>Sales!K90</f>
        <v>0</v>
      </c>
      <c r="L68" s="235">
        <f>Sales!L90</f>
        <v>0</v>
      </c>
      <c r="M68" s="236">
        <f>Sales!M90</f>
        <v>0</v>
      </c>
      <c r="N68" s="236">
        <f>Sales!N90</f>
        <v>0</v>
      </c>
      <c r="O68" s="236">
        <f>Sales!O90</f>
        <v>0</v>
      </c>
      <c r="P68" s="236">
        <f>Sales!P90</f>
        <v>0</v>
      </c>
      <c r="Q68" s="235">
        <f>Sales!Q90</f>
        <v>0</v>
      </c>
      <c r="R68" s="236">
        <f>Sales!R90</f>
        <v>0</v>
      </c>
      <c r="S68" s="236">
        <f>Sales!S90</f>
        <v>0</v>
      </c>
      <c r="T68" s="236">
        <f>Sales!T90</f>
        <v>0</v>
      </c>
      <c r="U68" s="236">
        <f>Sales!U90</f>
        <v>0</v>
      </c>
      <c r="V68" s="235">
        <f>Sales!V90</f>
        <v>0</v>
      </c>
      <c r="W68" s="236">
        <f>Sales!W90</f>
        <v>0</v>
      </c>
      <c r="X68" s="236">
        <f>Sales!X90</f>
        <v>0</v>
      </c>
      <c r="Y68" s="236">
        <f>Sales!Y90</f>
        <v>0</v>
      </c>
      <c r="Z68" s="236">
        <f>Sales!Z90</f>
        <v>0</v>
      </c>
      <c r="AA68" s="235">
        <f>Sales!AA90</f>
        <v>0</v>
      </c>
      <c r="AB68" s="310">
        <f>Sales!AB90</f>
        <v>0</v>
      </c>
      <c r="AC68" s="310">
        <f>Sales!AC90</f>
        <v>0</v>
      </c>
      <c r="AD68" s="310">
        <f>Sales!AD90</f>
        <v>0</v>
      </c>
      <c r="AE68" s="310">
        <f>Sales!AE90</f>
        <v>0</v>
      </c>
      <c r="AF68" s="235">
        <f>Sales!AF90</f>
        <v>0</v>
      </c>
      <c r="AG68" s="236">
        <f>Sales!AG90</f>
        <v>0</v>
      </c>
      <c r="AH68" s="236">
        <f>Sales!AH90</f>
        <v>0</v>
      </c>
      <c r="AI68" s="236">
        <f>Sales!AI90</f>
        <v>0</v>
      </c>
      <c r="AJ68" s="236">
        <f>Sales!AJ90</f>
        <v>0</v>
      </c>
      <c r="AK68" s="235">
        <f>Sales!AK90</f>
        <v>0</v>
      </c>
      <c r="AL68" s="288">
        <f>Sales!AL90</f>
        <v>0</v>
      </c>
      <c r="AM68" s="239">
        <f>Sales!AM90</f>
        <v>0</v>
      </c>
      <c r="AN68" s="288">
        <f>Sales!AN90</f>
        <v>0</v>
      </c>
      <c r="AO68" s="240">
        <f>Sales!AO90</f>
        <v>0</v>
      </c>
      <c r="AP68" s="235">
        <f>Sales!AP90</f>
        <v>0</v>
      </c>
      <c r="AQ68" s="289">
        <f>Sales!AQ90</f>
        <v>0</v>
      </c>
      <c r="AR68" s="236">
        <f>Sales!AR90</f>
        <v>0</v>
      </c>
      <c r="AS68" s="236">
        <f>Sales!AS90</f>
        <v>0</v>
      </c>
      <c r="AT68" s="236">
        <f>Sales!AT90</f>
        <v>0</v>
      </c>
      <c r="AU68" s="235">
        <f>Sales!AU90</f>
        <v>0</v>
      </c>
      <c r="AV68" s="236">
        <f>Sales!AV90</f>
        <v>0</v>
      </c>
      <c r="AW68" s="236">
        <f>Sales!AW90</f>
        <v>0</v>
      </c>
      <c r="AX68" s="236">
        <f>Sales!AX90</f>
        <v>0</v>
      </c>
      <c r="AY68" s="236">
        <f>Sales!AY90</f>
        <v>0</v>
      </c>
      <c r="AZ68" s="235">
        <f>Sales!AZ90</f>
        <v>0</v>
      </c>
      <c r="BA68" s="236">
        <f>Sales!BA90</f>
        <v>0</v>
      </c>
      <c r="BB68" s="236">
        <f>Sales!BB90</f>
        <v>0</v>
      </c>
      <c r="BC68" s="236">
        <f>Sales!BC90</f>
        <v>0</v>
      </c>
      <c r="BD68" s="236">
        <f>Sales!BD90</f>
        <v>0</v>
      </c>
      <c r="BE68" s="235">
        <f>Sales!BE90</f>
        <v>0</v>
      </c>
      <c r="BF68" s="241">
        <f>Sales!BF90</f>
        <v>0</v>
      </c>
      <c r="BG68" s="241">
        <f>Sales!BG90</f>
        <v>0</v>
      </c>
      <c r="BH68" s="241">
        <f>Sales!BH90</f>
        <v>0</v>
      </c>
      <c r="BI68" s="241">
        <f>Sales!BI90</f>
        <v>0</v>
      </c>
      <c r="BJ68" s="235">
        <f>Sales!BJ90</f>
        <v>0</v>
      </c>
      <c r="BK68" s="241">
        <f>Sales!BK90</f>
        <v>0</v>
      </c>
      <c r="BL68" s="241">
        <f>Sales!BL90</f>
        <v>0</v>
      </c>
      <c r="BM68" s="241">
        <f>Sales!BM90</f>
        <v>0</v>
      </c>
      <c r="BN68" s="241">
        <f>Sales!BN90</f>
        <v>0</v>
      </c>
      <c r="BO68" s="235">
        <f>Sales!BO90</f>
        <v>0</v>
      </c>
      <c r="BP68" s="241">
        <f>Sales!BP90</f>
        <v>0</v>
      </c>
      <c r="BQ68" s="241">
        <f>Sales!BQ90</f>
        <v>0</v>
      </c>
      <c r="BR68" s="241">
        <f>Sales!BR90</f>
        <v>0</v>
      </c>
      <c r="BS68" s="241">
        <f>Sales!BS90</f>
        <v>0</v>
      </c>
      <c r="BT68" s="235">
        <f>Sales!BT90</f>
        <v>0</v>
      </c>
      <c r="BU68" s="241">
        <f>Sales!BU90</f>
        <v>0</v>
      </c>
      <c r="BV68" s="241">
        <f>Sales!BV90</f>
        <v>0</v>
      </c>
      <c r="BW68" s="241">
        <f>Sales!BW90</f>
        <v>0</v>
      </c>
      <c r="BX68" s="241">
        <f>Sales!BX90</f>
        <v>0</v>
      </c>
      <c r="BY68" s="235">
        <f>Sales!BY90</f>
        <v>0</v>
      </c>
      <c r="BZ68" s="241">
        <f>Sales!BZ90</f>
        <v>0</v>
      </c>
      <c r="CA68" s="241">
        <f>Sales!CA90</f>
        <v>0</v>
      </c>
      <c r="CB68" s="241">
        <f>Sales!CB90</f>
        <v>0</v>
      </c>
      <c r="CC68" s="241">
        <f>Sales!CC90</f>
        <v>0</v>
      </c>
      <c r="CD68" s="235">
        <f>Sales!CD90</f>
        <v>0</v>
      </c>
    </row>
    <row r="69" spans="1:83" s="390" customFormat="1" outlineLevel="1" x14ac:dyDescent="0.15">
      <c r="A69" s="8"/>
      <c r="B69" s="381" t="str">
        <f>Sales!B91</f>
        <v>Xifaxan (HE, TD)</v>
      </c>
      <c r="C69" s="236">
        <f>Sales!C91</f>
        <v>0</v>
      </c>
      <c r="D69" s="236">
        <f>Sales!D91</f>
        <v>0</v>
      </c>
      <c r="E69" s="236">
        <f>Sales!E91</f>
        <v>0</v>
      </c>
      <c r="F69" s="236">
        <f>Sales!F91</f>
        <v>0</v>
      </c>
      <c r="G69" s="235">
        <f>Sales!G91</f>
        <v>0</v>
      </c>
      <c r="H69" s="236">
        <f>Sales!H91</f>
        <v>0</v>
      </c>
      <c r="I69" s="236">
        <f>Sales!I91</f>
        <v>0</v>
      </c>
      <c r="J69" s="236">
        <f>Sales!J91</f>
        <v>0</v>
      </c>
      <c r="K69" s="236">
        <f>Sales!K91</f>
        <v>0</v>
      </c>
      <c r="L69" s="235">
        <f>Sales!L91</f>
        <v>0</v>
      </c>
      <c r="M69" s="236">
        <f>Sales!M91</f>
        <v>0</v>
      </c>
      <c r="N69" s="236">
        <f>Sales!N91</f>
        <v>0</v>
      </c>
      <c r="O69" s="236">
        <f>Sales!O91</f>
        <v>0</v>
      </c>
      <c r="P69" s="236">
        <f>Sales!P91</f>
        <v>0</v>
      </c>
      <c r="Q69" s="235">
        <f>Sales!Q91</f>
        <v>0</v>
      </c>
      <c r="R69" s="236">
        <f>Sales!R91</f>
        <v>0</v>
      </c>
      <c r="S69" s="236">
        <f>Sales!S91</f>
        <v>0</v>
      </c>
      <c r="T69" s="236">
        <f>Sales!T91</f>
        <v>0</v>
      </c>
      <c r="U69" s="236">
        <f>Sales!U91</f>
        <v>0</v>
      </c>
      <c r="V69" s="235">
        <f>Sales!V91</f>
        <v>0</v>
      </c>
      <c r="W69" s="236">
        <f>Sales!W91</f>
        <v>0</v>
      </c>
      <c r="X69" s="236">
        <f>Sales!X91</f>
        <v>0</v>
      </c>
      <c r="Y69" s="236">
        <f>Sales!Y91</f>
        <v>0</v>
      </c>
      <c r="Z69" s="236">
        <f>Sales!Z91</f>
        <v>0</v>
      </c>
      <c r="AA69" s="382">
        <f>Sales!AA91</f>
        <v>0</v>
      </c>
      <c r="AB69" s="310">
        <f>Sales!AB91</f>
        <v>0</v>
      </c>
      <c r="AC69" s="310">
        <f>Sales!AC91</f>
        <v>0</v>
      </c>
      <c r="AD69" s="383">
        <f>Sales!AD91</f>
        <v>0</v>
      </c>
      <c r="AE69" s="383">
        <f>Sales!AE91</f>
        <v>0</v>
      </c>
      <c r="AF69" s="384">
        <f>Sales!AF91</f>
        <v>0</v>
      </c>
      <c r="AG69" s="236">
        <f>Sales!AG91</f>
        <v>0</v>
      </c>
      <c r="AH69" s="385">
        <f>Sales!AH91</f>
        <v>0</v>
      </c>
      <c r="AI69" s="386">
        <f>Sales!AI91</f>
        <v>0</v>
      </c>
      <c r="AJ69" s="386">
        <f>Sales!AJ91</f>
        <v>0</v>
      </c>
      <c r="AK69" s="384">
        <f>Sales!AK91</f>
        <v>0</v>
      </c>
      <c r="AL69" s="344">
        <f>Sales!AL91</f>
        <v>0</v>
      </c>
      <c r="AM69" s="236">
        <f>Sales!AM91</f>
        <v>0</v>
      </c>
      <c r="AN69" s="344">
        <f>Sales!AN91</f>
        <v>0</v>
      </c>
      <c r="AO69" s="236">
        <f>Sales!AO91</f>
        <v>0</v>
      </c>
      <c r="AP69" s="384">
        <f>Sales!AP91</f>
        <v>0</v>
      </c>
      <c r="AQ69" s="289">
        <f>Sales!AQ91</f>
        <v>0</v>
      </c>
      <c r="AR69" s="236">
        <f>Sales!AR91</f>
        <v>0</v>
      </c>
      <c r="AS69" s="259">
        <f>Sales!AS91</f>
        <v>0</v>
      </c>
      <c r="AT69" s="259">
        <f>Sales!AT91</f>
        <v>0</v>
      </c>
      <c r="AU69" s="384">
        <f>Sales!AU91</f>
        <v>0</v>
      </c>
      <c r="AV69" s="236">
        <f>Sales!AV91</f>
        <v>0</v>
      </c>
      <c r="AW69" s="259">
        <f>Sales!AW91</f>
        <v>0</v>
      </c>
      <c r="AX69" s="259">
        <f>Sales!AX91</f>
        <v>0</v>
      </c>
      <c r="AY69" s="259">
        <f>Sales!AY91</f>
        <v>0</v>
      </c>
      <c r="AZ69" s="235">
        <f>Sales!AZ91</f>
        <v>0</v>
      </c>
      <c r="BA69" s="388">
        <f>Sales!BA91</f>
        <v>105</v>
      </c>
      <c r="BB69" s="259">
        <f>Sales!BB91</f>
        <v>120</v>
      </c>
      <c r="BC69" s="259">
        <f>Sales!BC91</f>
        <v>150</v>
      </c>
      <c r="BD69" s="259">
        <f>Sales!BD91</f>
        <v>140</v>
      </c>
      <c r="BE69" s="235">
        <f>Sales!BE91</f>
        <v>410</v>
      </c>
      <c r="BF69" s="241">
        <f>Sales!BF91</f>
        <v>150</v>
      </c>
      <c r="BG69" s="241">
        <f>Sales!BG91</f>
        <v>190</v>
      </c>
      <c r="BH69" s="241">
        <f>Sales!BH91</f>
        <v>205</v>
      </c>
      <c r="BI69" s="241">
        <f>Sales!BI91</f>
        <v>220</v>
      </c>
      <c r="BJ69" s="389">
        <f>Sales!BJ91</f>
        <v>765</v>
      </c>
      <c r="BK69" s="241">
        <f>Sales!BK91</f>
        <v>0</v>
      </c>
      <c r="BL69" s="241">
        <f>Sales!BL91</f>
        <v>0</v>
      </c>
      <c r="BM69" s="241">
        <f>Sales!BM91</f>
        <v>0</v>
      </c>
      <c r="BN69" s="241">
        <f>Sales!BN91</f>
        <v>0</v>
      </c>
      <c r="BO69" s="384">
        <f>Sales!BO91</f>
        <v>887.4</v>
      </c>
      <c r="BP69" s="241">
        <f>Sales!BP91</f>
        <v>0</v>
      </c>
      <c r="BQ69" s="241">
        <f>Sales!BQ91</f>
        <v>0</v>
      </c>
      <c r="BR69" s="241">
        <f>Sales!BR91</f>
        <v>0</v>
      </c>
      <c r="BS69" s="241">
        <f>Sales!BS91</f>
        <v>0</v>
      </c>
      <c r="BT69" s="384">
        <f>Sales!BT91</f>
        <v>993.88800000000003</v>
      </c>
      <c r="BU69" s="241">
        <f>Sales!BU91</f>
        <v>0</v>
      </c>
      <c r="BV69" s="241">
        <f>Sales!BV91</f>
        <v>0</v>
      </c>
      <c r="BW69" s="241">
        <f>Sales!BW91</f>
        <v>0</v>
      </c>
      <c r="BX69" s="241">
        <f>Sales!BX91</f>
        <v>0</v>
      </c>
      <c r="BY69" s="384">
        <f>Sales!BY91</f>
        <v>1093.2768000000001</v>
      </c>
      <c r="BZ69" s="241">
        <f>Sales!BZ91</f>
        <v>0</v>
      </c>
      <c r="CA69" s="241">
        <f>Sales!CA91</f>
        <v>0</v>
      </c>
      <c r="CB69" s="241">
        <f>Sales!CB91</f>
        <v>0</v>
      </c>
      <c r="CC69" s="241">
        <f>Sales!CC91</f>
        <v>0</v>
      </c>
      <c r="CD69" s="384">
        <f>Sales!CD91</f>
        <v>1202.6044800000002</v>
      </c>
      <c r="CE69" s="8"/>
    </row>
    <row r="70" spans="1:83" s="390" customFormat="1" outlineLevel="1" x14ac:dyDescent="0.15">
      <c r="A70" s="8"/>
      <c r="B70" s="381" t="str">
        <f>Sales!B93</f>
        <v>Xifaxan (IBS-D)</v>
      </c>
      <c r="C70" s="236">
        <f>Sales!C93</f>
        <v>0</v>
      </c>
      <c r="D70" s="236">
        <f>Sales!D93</f>
        <v>0</v>
      </c>
      <c r="E70" s="236">
        <f>Sales!E93</f>
        <v>0</v>
      </c>
      <c r="F70" s="236">
        <f>Sales!F93</f>
        <v>0</v>
      </c>
      <c r="G70" s="235">
        <f>Sales!G93</f>
        <v>0</v>
      </c>
      <c r="H70" s="236">
        <f>Sales!H93</f>
        <v>0</v>
      </c>
      <c r="I70" s="236">
        <f>Sales!I93</f>
        <v>0</v>
      </c>
      <c r="J70" s="236">
        <f>Sales!J93</f>
        <v>0</v>
      </c>
      <c r="K70" s="236">
        <f>Sales!K93</f>
        <v>0</v>
      </c>
      <c r="L70" s="235">
        <f>Sales!L93</f>
        <v>0</v>
      </c>
      <c r="M70" s="236">
        <f>Sales!M93</f>
        <v>0</v>
      </c>
      <c r="N70" s="236">
        <f>Sales!N93</f>
        <v>0</v>
      </c>
      <c r="O70" s="236">
        <f>Sales!O93</f>
        <v>0</v>
      </c>
      <c r="P70" s="236">
        <f>Sales!P93</f>
        <v>0</v>
      </c>
      <c r="Q70" s="235">
        <f>Sales!Q93</f>
        <v>0</v>
      </c>
      <c r="R70" s="236">
        <f>Sales!R93</f>
        <v>0</v>
      </c>
      <c r="S70" s="236">
        <f>Sales!S93</f>
        <v>0</v>
      </c>
      <c r="T70" s="236">
        <f>Sales!T93</f>
        <v>0</v>
      </c>
      <c r="U70" s="236">
        <f>Sales!U93</f>
        <v>0</v>
      </c>
      <c r="V70" s="235">
        <f>Sales!V93</f>
        <v>0</v>
      </c>
      <c r="W70" s="236">
        <f>Sales!W93</f>
        <v>0</v>
      </c>
      <c r="X70" s="236">
        <f>Sales!X93</f>
        <v>0</v>
      </c>
      <c r="Y70" s="236">
        <f>Sales!Y93</f>
        <v>0</v>
      </c>
      <c r="Z70" s="236">
        <f>Sales!Z93</f>
        <v>0</v>
      </c>
      <c r="AA70" s="382">
        <f>Sales!AA93</f>
        <v>0</v>
      </c>
      <c r="AB70" s="310">
        <f>Sales!AB93</f>
        <v>0</v>
      </c>
      <c r="AC70" s="310">
        <f>Sales!AC93</f>
        <v>0</v>
      </c>
      <c r="AD70" s="383">
        <f>Sales!AD93</f>
        <v>0</v>
      </c>
      <c r="AE70" s="383">
        <f>Sales!AE93</f>
        <v>0</v>
      </c>
      <c r="AF70" s="384">
        <f>Sales!AF93</f>
        <v>0</v>
      </c>
      <c r="AG70" s="236">
        <f>Sales!AG93</f>
        <v>0</v>
      </c>
      <c r="AH70" s="385">
        <f>Sales!AH93</f>
        <v>0</v>
      </c>
      <c r="AI70" s="386">
        <f>Sales!AI93</f>
        <v>0</v>
      </c>
      <c r="AJ70" s="386">
        <f>Sales!AJ93</f>
        <v>0</v>
      </c>
      <c r="AK70" s="384">
        <f>Sales!AK93</f>
        <v>0</v>
      </c>
      <c r="AL70" s="344">
        <f>Sales!AL93</f>
        <v>0</v>
      </c>
      <c r="AM70" s="236">
        <f>Sales!AM93</f>
        <v>0</v>
      </c>
      <c r="AN70" s="344">
        <f>Sales!AN93</f>
        <v>0</v>
      </c>
      <c r="AO70" s="236">
        <f>Sales!AO93</f>
        <v>0</v>
      </c>
      <c r="AP70" s="384">
        <f>Sales!AP93</f>
        <v>0</v>
      </c>
      <c r="AQ70" s="289">
        <f>Sales!AQ93</f>
        <v>0</v>
      </c>
      <c r="AR70" s="236">
        <f>Sales!AR93</f>
        <v>0</v>
      </c>
      <c r="AS70" s="236">
        <f>Sales!AS93</f>
        <v>0</v>
      </c>
      <c r="AT70" s="236">
        <f>Sales!AT93</f>
        <v>0</v>
      </c>
      <c r="AU70" s="384">
        <f>Sales!AU93</f>
        <v>0</v>
      </c>
      <c r="AV70" s="397">
        <f>Sales!AV93</f>
        <v>0</v>
      </c>
      <c r="AW70" s="236">
        <f>Sales!AW93</f>
        <v>0</v>
      </c>
      <c r="AX70" s="236">
        <f>Sales!AX93</f>
        <v>0</v>
      </c>
      <c r="AY70" s="236">
        <f>Sales!AY93</f>
        <v>0</v>
      </c>
      <c r="AZ70" s="235">
        <f>Sales!AZ93</f>
        <v>0</v>
      </c>
      <c r="BA70" s="388">
        <f>Sales!BA93</f>
        <v>25</v>
      </c>
      <c r="BB70" s="236">
        <f>Sales!BB93</f>
        <v>28</v>
      </c>
      <c r="BC70" s="259">
        <f>Sales!BC93</f>
        <v>70</v>
      </c>
      <c r="BD70" s="259">
        <f>Sales!BD93</f>
        <v>70</v>
      </c>
      <c r="BE70" s="235">
        <f>Sales!BE93</f>
        <v>168</v>
      </c>
      <c r="BF70" s="241">
        <f>Sales!BF93</f>
        <v>75</v>
      </c>
      <c r="BG70" s="241">
        <f>Sales!BG93</f>
        <v>110</v>
      </c>
      <c r="BH70" s="241">
        <f>Sales!BH93</f>
        <v>125</v>
      </c>
      <c r="BI70" s="241">
        <f>Sales!BI93</f>
        <v>140</v>
      </c>
      <c r="BJ70" s="389">
        <f>Sales!BJ93</f>
        <v>450</v>
      </c>
      <c r="BK70" s="241">
        <f>Sales!BK93</f>
        <v>0</v>
      </c>
      <c r="BL70" s="241">
        <f>Sales!BL93</f>
        <v>0</v>
      </c>
      <c r="BM70" s="241">
        <f>Sales!BM93</f>
        <v>0</v>
      </c>
      <c r="BN70" s="241">
        <f>Sales!BN93</f>
        <v>0</v>
      </c>
      <c r="BO70" s="384">
        <f>Sales!BO93</f>
        <v>585</v>
      </c>
      <c r="BP70" s="241">
        <f>Sales!BP93</f>
        <v>0</v>
      </c>
      <c r="BQ70" s="241">
        <f>Sales!BQ93</f>
        <v>0</v>
      </c>
      <c r="BR70" s="241">
        <f>Sales!BR93</f>
        <v>0</v>
      </c>
      <c r="BS70" s="241">
        <f>Sales!BS93</f>
        <v>0</v>
      </c>
      <c r="BT70" s="384">
        <f>Sales!BT93</f>
        <v>690.3</v>
      </c>
      <c r="BU70" s="241">
        <f>Sales!BU93</f>
        <v>0</v>
      </c>
      <c r="BV70" s="241">
        <f>Sales!BV93</f>
        <v>0</v>
      </c>
      <c r="BW70" s="241">
        <f>Sales!BW93</f>
        <v>0</v>
      </c>
      <c r="BX70" s="241">
        <f>Sales!BX93</f>
        <v>0</v>
      </c>
      <c r="BY70" s="384">
        <f>Sales!BY93</f>
        <v>793.84499999999991</v>
      </c>
      <c r="BZ70" s="241">
        <f>Sales!BZ93</f>
        <v>0</v>
      </c>
      <c r="CA70" s="241">
        <f>Sales!CA93</f>
        <v>0</v>
      </c>
      <c r="CB70" s="241">
        <f>Sales!CB93</f>
        <v>0</v>
      </c>
      <c r="CC70" s="241">
        <f>Sales!CC93</f>
        <v>0</v>
      </c>
      <c r="CD70" s="384">
        <f>Sales!CD93</f>
        <v>897.04484999999977</v>
      </c>
      <c r="CE70" s="8"/>
    </row>
    <row r="71" spans="1:83" s="390" customFormat="1" outlineLevel="1" x14ac:dyDescent="0.15">
      <c r="A71" s="8"/>
      <c r="B71" s="398" t="str">
        <f>Sales!B95</f>
        <v>Total Xifaxan</v>
      </c>
      <c r="C71" s="399">
        <f>Sales!C95</f>
        <v>0</v>
      </c>
      <c r="D71" s="399">
        <f>Sales!D95</f>
        <v>0</v>
      </c>
      <c r="E71" s="399">
        <f>Sales!E95</f>
        <v>0</v>
      </c>
      <c r="F71" s="399">
        <f>Sales!F95</f>
        <v>0</v>
      </c>
      <c r="G71" s="400">
        <f>Sales!G95</f>
        <v>0</v>
      </c>
      <c r="H71" s="399">
        <f>Sales!H95</f>
        <v>0</v>
      </c>
      <c r="I71" s="399">
        <f>Sales!I95</f>
        <v>0</v>
      </c>
      <c r="J71" s="399">
        <f>Sales!J95</f>
        <v>0</v>
      </c>
      <c r="K71" s="399">
        <f>Sales!K95</f>
        <v>0</v>
      </c>
      <c r="L71" s="400">
        <f>Sales!L95</f>
        <v>0</v>
      </c>
      <c r="M71" s="399">
        <f>Sales!M95</f>
        <v>0</v>
      </c>
      <c r="N71" s="399">
        <f>Sales!N95</f>
        <v>0</v>
      </c>
      <c r="O71" s="399">
        <f>Sales!O95</f>
        <v>0</v>
      </c>
      <c r="P71" s="399">
        <f>Sales!P95</f>
        <v>0</v>
      </c>
      <c r="Q71" s="400">
        <f>Sales!Q95</f>
        <v>0</v>
      </c>
      <c r="R71" s="399">
        <f>Sales!R95</f>
        <v>0</v>
      </c>
      <c r="S71" s="399">
        <f>Sales!S95</f>
        <v>0</v>
      </c>
      <c r="T71" s="399">
        <f>Sales!T95</f>
        <v>0</v>
      </c>
      <c r="U71" s="399">
        <f>Sales!U95</f>
        <v>0</v>
      </c>
      <c r="V71" s="400">
        <f>Sales!V95</f>
        <v>0</v>
      </c>
      <c r="W71" s="399">
        <f>Sales!W95</f>
        <v>0</v>
      </c>
      <c r="X71" s="399">
        <f>Sales!X95</f>
        <v>0</v>
      </c>
      <c r="Y71" s="399">
        <f>Sales!Y95</f>
        <v>0</v>
      </c>
      <c r="Z71" s="399">
        <f>Sales!Z95</f>
        <v>0</v>
      </c>
      <c r="AA71" s="401">
        <f>Sales!AA95</f>
        <v>0</v>
      </c>
      <c r="AB71" s="367">
        <f>Sales!AB95</f>
        <v>0</v>
      </c>
      <c r="AC71" s="367">
        <f>Sales!AC95</f>
        <v>0</v>
      </c>
      <c r="AD71" s="402">
        <f>Sales!AD95</f>
        <v>0</v>
      </c>
      <c r="AE71" s="402">
        <f>Sales!AE95</f>
        <v>0</v>
      </c>
      <c r="AF71" s="403">
        <f>Sales!AF95</f>
        <v>0</v>
      </c>
      <c r="AG71" s="399">
        <f>Sales!AG95</f>
        <v>0</v>
      </c>
      <c r="AH71" s="404">
        <f>Sales!AH95</f>
        <v>0</v>
      </c>
      <c r="AI71" s="405">
        <f>Sales!AI95</f>
        <v>0</v>
      </c>
      <c r="AJ71" s="405">
        <f>Sales!AJ95</f>
        <v>0</v>
      </c>
      <c r="AK71" s="403">
        <f>Sales!AK95</f>
        <v>0</v>
      </c>
      <c r="AL71" s="406">
        <f>Sales!AL95</f>
        <v>0</v>
      </c>
      <c r="AM71" s="399">
        <f>Sales!AM95</f>
        <v>0</v>
      </c>
      <c r="AN71" s="406">
        <f>Sales!AN95</f>
        <v>0</v>
      </c>
      <c r="AO71" s="399">
        <f>Sales!AO95</f>
        <v>0</v>
      </c>
      <c r="AP71" s="403">
        <f>Sales!AP95</f>
        <v>0</v>
      </c>
      <c r="AQ71" s="407">
        <f>Sales!AQ95</f>
        <v>0</v>
      </c>
      <c r="AR71" s="399">
        <f>Sales!AR95</f>
        <v>0</v>
      </c>
      <c r="AS71" s="399">
        <f>Sales!AS95</f>
        <v>0</v>
      </c>
      <c r="AT71" s="399">
        <f>Sales!AT95</f>
        <v>0</v>
      </c>
      <c r="AU71" s="403">
        <f>Sales!AU95</f>
        <v>0</v>
      </c>
      <c r="AV71" s="399">
        <f>Sales!AV95</f>
        <v>0</v>
      </c>
      <c r="AW71" s="399">
        <f>Sales!AW95</f>
        <v>0</v>
      </c>
      <c r="AX71" s="399">
        <f>Sales!AX95</f>
        <v>0</v>
      </c>
      <c r="AY71" s="399">
        <f>Sales!AY95</f>
        <v>0</v>
      </c>
      <c r="AZ71" s="400">
        <f>Sales!AZ95</f>
        <v>0</v>
      </c>
      <c r="BA71" s="425">
        <f>Sales!BA95</f>
        <v>130</v>
      </c>
      <c r="BB71" s="399">
        <f>Sales!BB95</f>
        <v>148</v>
      </c>
      <c r="BC71" s="399">
        <f>Sales!BC95</f>
        <v>220</v>
      </c>
      <c r="BD71" s="399">
        <f>Sales!BD95</f>
        <v>210</v>
      </c>
      <c r="BE71" s="400">
        <f>Sales!BE95</f>
        <v>578</v>
      </c>
      <c r="BF71" s="410">
        <f>Sales!BF95</f>
        <v>225</v>
      </c>
      <c r="BG71" s="410">
        <f>Sales!BG95</f>
        <v>300</v>
      </c>
      <c r="BH71" s="410">
        <f>Sales!BH95</f>
        <v>330</v>
      </c>
      <c r="BI71" s="410">
        <f>Sales!BI95</f>
        <v>360</v>
      </c>
      <c r="BJ71" s="403">
        <f>Sales!BJ95</f>
        <v>1215</v>
      </c>
      <c r="BK71" s="410">
        <f>Sales!BK95</f>
        <v>0</v>
      </c>
      <c r="BL71" s="410">
        <f>Sales!BL95</f>
        <v>0</v>
      </c>
      <c r="BM71" s="410">
        <f>Sales!BM95</f>
        <v>0</v>
      </c>
      <c r="BN71" s="410">
        <f>Sales!BN95</f>
        <v>0</v>
      </c>
      <c r="BO71" s="403">
        <f>Sales!BO95</f>
        <v>1472.4</v>
      </c>
      <c r="BP71" s="410">
        <f>Sales!BP95</f>
        <v>0</v>
      </c>
      <c r="BQ71" s="410">
        <f>Sales!BQ95</f>
        <v>0</v>
      </c>
      <c r="BR71" s="410">
        <f>Sales!BR95</f>
        <v>0</v>
      </c>
      <c r="BS71" s="410">
        <f>Sales!BS95</f>
        <v>0</v>
      </c>
      <c r="BT71" s="403">
        <f>Sales!BT95</f>
        <v>1684.1880000000001</v>
      </c>
      <c r="BU71" s="410">
        <f>Sales!BU95</f>
        <v>0</v>
      </c>
      <c r="BV71" s="410">
        <f>Sales!BV95</f>
        <v>0</v>
      </c>
      <c r="BW71" s="410">
        <f>Sales!BW95</f>
        <v>0</v>
      </c>
      <c r="BX71" s="410">
        <f>Sales!BX95</f>
        <v>0</v>
      </c>
      <c r="BY71" s="403">
        <f>Sales!BY95</f>
        <v>1887.1217999999999</v>
      </c>
      <c r="BZ71" s="410">
        <f>Sales!BZ95</f>
        <v>0</v>
      </c>
      <c r="CA71" s="410">
        <f>Sales!CA95</f>
        <v>0</v>
      </c>
      <c r="CB71" s="410">
        <f>Sales!CB95</f>
        <v>0</v>
      </c>
      <c r="CC71" s="410">
        <f>Sales!CC95</f>
        <v>0</v>
      </c>
      <c r="CD71" s="403">
        <f>Sales!CD95</f>
        <v>2099.6493300000002</v>
      </c>
      <c r="CE71" s="8"/>
    </row>
    <row r="72" spans="1:83" s="390" customFormat="1" hidden="1" outlineLevel="1" x14ac:dyDescent="0.15">
      <c r="A72" s="8"/>
      <c r="B72" s="238" t="str">
        <f>Sales!B97</f>
        <v>Glumetza</v>
      </c>
      <c r="C72" s="413">
        <f>Sales!C97</f>
        <v>0</v>
      </c>
      <c r="D72" s="413">
        <f>Sales!D97</f>
        <v>0</v>
      </c>
      <c r="E72" s="413">
        <f>Sales!E97</f>
        <v>0</v>
      </c>
      <c r="F72" s="413">
        <f>Sales!F97</f>
        <v>0</v>
      </c>
      <c r="G72" s="414">
        <f>Sales!G97</f>
        <v>0</v>
      </c>
      <c r="H72" s="413">
        <f>Sales!H97</f>
        <v>0</v>
      </c>
      <c r="I72" s="413">
        <f>Sales!I97</f>
        <v>0</v>
      </c>
      <c r="J72" s="413">
        <f>Sales!J97</f>
        <v>0</v>
      </c>
      <c r="K72" s="413">
        <f>Sales!K97</f>
        <v>0</v>
      </c>
      <c r="L72" s="414">
        <f>Sales!L97</f>
        <v>0</v>
      </c>
      <c r="M72" s="413">
        <f>Sales!M97</f>
        <v>0</v>
      </c>
      <c r="N72" s="413">
        <f>Sales!N97</f>
        <v>0</v>
      </c>
      <c r="O72" s="413">
        <f>Sales!O97</f>
        <v>0</v>
      </c>
      <c r="P72" s="413">
        <f>Sales!P97</f>
        <v>0</v>
      </c>
      <c r="Q72" s="414">
        <f>Sales!Q97</f>
        <v>0</v>
      </c>
      <c r="R72" s="413">
        <f>Sales!R97</f>
        <v>0</v>
      </c>
      <c r="S72" s="413">
        <f>Sales!S97</f>
        <v>0</v>
      </c>
      <c r="T72" s="413">
        <f>Sales!T97</f>
        <v>0</v>
      </c>
      <c r="U72" s="413">
        <f>Sales!U97</f>
        <v>0</v>
      </c>
      <c r="V72" s="414">
        <f>Sales!V97</f>
        <v>0</v>
      </c>
      <c r="W72" s="415">
        <f>Sales!W97</f>
        <v>0</v>
      </c>
      <c r="X72" s="415">
        <f>Sales!X97</f>
        <v>0</v>
      </c>
      <c r="Y72" s="415">
        <f>Sales!Y97</f>
        <v>0</v>
      </c>
      <c r="Z72" s="415">
        <f>Sales!Z97</f>
        <v>0</v>
      </c>
      <c r="AA72" s="416">
        <f>Sales!AA97</f>
        <v>0</v>
      </c>
      <c r="AB72" s="417">
        <f>Sales!AB97</f>
        <v>0</v>
      </c>
      <c r="AC72" s="417">
        <f>Sales!AC97</f>
        <v>0</v>
      </c>
      <c r="AD72" s="417">
        <f>Sales!AD97</f>
        <v>0</v>
      </c>
      <c r="AE72" s="417">
        <f>Sales!AE97</f>
        <v>0</v>
      </c>
      <c r="AF72" s="416">
        <f>Sales!AF97</f>
        <v>0</v>
      </c>
      <c r="AG72" s="415">
        <f>Sales!AG97</f>
        <v>0</v>
      </c>
      <c r="AH72" s="415">
        <f>Sales!AH97</f>
        <v>0</v>
      </c>
      <c r="AI72" s="415">
        <f>Sales!AI97</f>
        <v>0</v>
      </c>
      <c r="AJ72" s="418">
        <f>Sales!AJ97</f>
        <v>0</v>
      </c>
      <c r="AK72" s="416">
        <f>Sales!AK97</f>
        <v>0</v>
      </c>
      <c r="AL72" s="406">
        <f>Sales!AL97</f>
        <v>0</v>
      </c>
      <c r="AM72" s="399">
        <f>Sales!AM97</f>
        <v>0</v>
      </c>
      <c r="AN72" s="406">
        <f>Sales!AN97</f>
        <v>0</v>
      </c>
      <c r="AO72" s="399">
        <f>Sales!AO97</f>
        <v>0</v>
      </c>
      <c r="AP72" s="403">
        <f>Sales!AP97</f>
        <v>0</v>
      </c>
      <c r="AQ72" s="419">
        <f>Sales!AQ97</f>
        <v>0</v>
      </c>
      <c r="AR72" s="399">
        <f>Sales!AR97</f>
        <v>0</v>
      </c>
      <c r="AS72" s="236">
        <f>Sales!AS97</f>
        <v>0</v>
      </c>
      <c r="AT72" s="236">
        <f>Sales!AT97</f>
        <v>0</v>
      </c>
      <c r="AU72" s="403">
        <f>Sales!AU97</f>
        <v>0</v>
      </c>
      <c r="AV72" s="406">
        <f>Sales!AV97</f>
        <v>0</v>
      </c>
      <c r="AW72" s="236">
        <f>Sales!AW97</f>
        <v>0</v>
      </c>
      <c r="AX72" s="236">
        <f>Sales!AX97</f>
        <v>0</v>
      </c>
      <c r="AY72" s="236">
        <f>Sales!AY97</f>
        <v>0</v>
      </c>
      <c r="AZ72" s="420">
        <f>Sales!AZ97</f>
        <v>0</v>
      </c>
      <c r="BA72" s="388">
        <f>Sales!BA97</f>
        <v>35</v>
      </c>
      <c r="BB72" s="236">
        <f>Sales!BB97</f>
        <v>26</v>
      </c>
      <c r="BC72" s="259">
        <f>Sales!BC97</f>
        <v>53</v>
      </c>
      <c r="BD72" s="259">
        <f>Sales!BD97</f>
        <v>86</v>
      </c>
      <c r="BE72" s="384">
        <f>Sales!BE97</f>
        <v>165</v>
      </c>
      <c r="BF72" s="410">
        <f>Sales!BF97</f>
        <v>20</v>
      </c>
      <c r="BG72" s="410">
        <f>Sales!BG97</f>
        <v>5</v>
      </c>
      <c r="BH72" s="410">
        <f>Sales!BH97</f>
        <v>5</v>
      </c>
      <c r="BI72" s="410">
        <f>Sales!BI97</f>
        <v>5</v>
      </c>
      <c r="BJ72" s="380">
        <f>Sales!BJ97</f>
        <v>35</v>
      </c>
      <c r="BK72" s="241">
        <f>Sales!BK97</f>
        <v>0</v>
      </c>
      <c r="BL72" s="241">
        <f>Sales!BL97</f>
        <v>0</v>
      </c>
      <c r="BM72" s="241">
        <f>Sales!BM97</f>
        <v>0</v>
      </c>
      <c r="BN72" s="241">
        <f>Sales!BN97</f>
        <v>0</v>
      </c>
      <c r="BO72" s="384">
        <f>Sales!BO97</f>
        <v>24.5</v>
      </c>
      <c r="BP72" s="241">
        <f>Sales!BP97</f>
        <v>0</v>
      </c>
      <c r="BQ72" s="241">
        <f>Sales!BQ97</f>
        <v>0</v>
      </c>
      <c r="BR72" s="241">
        <f>Sales!BR97</f>
        <v>0</v>
      </c>
      <c r="BS72" s="241">
        <f>Sales!BS97</f>
        <v>0</v>
      </c>
      <c r="BT72" s="384">
        <f>Sales!BT97</f>
        <v>18.375</v>
      </c>
      <c r="BU72" s="241">
        <f>Sales!BU97</f>
        <v>0</v>
      </c>
      <c r="BV72" s="241">
        <f>Sales!BV97</f>
        <v>0</v>
      </c>
      <c r="BW72" s="241">
        <f>Sales!BW97</f>
        <v>0</v>
      </c>
      <c r="BX72" s="241">
        <f>Sales!BX97</f>
        <v>0</v>
      </c>
      <c r="BY72" s="384">
        <f>Sales!BY97</f>
        <v>13.78125</v>
      </c>
      <c r="BZ72" s="241">
        <f>Sales!BZ97</f>
        <v>0</v>
      </c>
      <c r="CA72" s="241">
        <f>Sales!CA97</f>
        <v>0</v>
      </c>
      <c r="CB72" s="241">
        <f>Sales!CB97</f>
        <v>0</v>
      </c>
      <c r="CC72" s="241">
        <f>Sales!CC97</f>
        <v>0</v>
      </c>
      <c r="CD72" s="384">
        <f>Sales!CD97</f>
        <v>10.3359375</v>
      </c>
      <c r="CE72" s="8"/>
    </row>
    <row r="73" spans="1:83" s="390" customFormat="1" hidden="1" outlineLevel="1" x14ac:dyDescent="0.15">
      <c r="A73" s="8"/>
      <c r="B73" s="238" t="str">
        <f>Sales!B99</f>
        <v>Apriso</v>
      </c>
      <c r="C73" s="413">
        <f>Sales!C99</f>
        <v>0</v>
      </c>
      <c r="D73" s="413">
        <f>Sales!D99</f>
        <v>0</v>
      </c>
      <c r="E73" s="413">
        <f>Sales!E99</f>
        <v>0</v>
      </c>
      <c r="F73" s="413">
        <f>Sales!F99</f>
        <v>0</v>
      </c>
      <c r="G73" s="414">
        <f>Sales!G99</f>
        <v>0</v>
      </c>
      <c r="H73" s="413">
        <f>Sales!H99</f>
        <v>0</v>
      </c>
      <c r="I73" s="413">
        <f>Sales!I99</f>
        <v>0</v>
      </c>
      <c r="J73" s="413">
        <f>Sales!J99</f>
        <v>0</v>
      </c>
      <c r="K73" s="413">
        <f>Sales!K99</f>
        <v>0</v>
      </c>
      <c r="L73" s="414">
        <f>Sales!L99</f>
        <v>0</v>
      </c>
      <c r="M73" s="413">
        <f>Sales!M99</f>
        <v>0</v>
      </c>
      <c r="N73" s="413">
        <f>Sales!N99</f>
        <v>0</v>
      </c>
      <c r="O73" s="413">
        <f>Sales!O99</f>
        <v>0</v>
      </c>
      <c r="P73" s="413">
        <f>Sales!P99</f>
        <v>0</v>
      </c>
      <c r="Q73" s="414">
        <f>Sales!Q99</f>
        <v>0</v>
      </c>
      <c r="R73" s="413">
        <f>Sales!R99</f>
        <v>0</v>
      </c>
      <c r="S73" s="413">
        <f>Sales!S99</f>
        <v>0</v>
      </c>
      <c r="T73" s="413">
        <f>Sales!T99</f>
        <v>0</v>
      </c>
      <c r="U73" s="413">
        <f>Sales!U99</f>
        <v>0</v>
      </c>
      <c r="V73" s="414">
        <f>Sales!V99</f>
        <v>0</v>
      </c>
      <c r="W73" s="415">
        <f>Sales!W99</f>
        <v>0</v>
      </c>
      <c r="X73" s="415">
        <f>Sales!X99</f>
        <v>0</v>
      </c>
      <c r="Y73" s="415">
        <f>Sales!Y99</f>
        <v>0</v>
      </c>
      <c r="Z73" s="415">
        <f>Sales!Z99</f>
        <v>0</v>
      </c>
      <c r="AA73" s="416">
        <f>Sales!AA99</f>
        <v>0</v>
      </c>
      <c r="AB73" s="417">
        <f>Sales!AB99</f>
        <v>0</v>
      </c>
      <c r="AC73" s="417">
        <f>Sales!AC99</f>
        <v>0</v>
      </c>
      <c r="AD73" s="417">
        <f>Sales!AD99</f>
        <v>0</v>
      </c>
      <c r="AE73" s="417">
        <f>Sales!AE99</f>
        <v>0</v>
      </c>
      <c r="AF73" s="416">
        <f>Sales!AF99</f>
        <v>0</v>
      </c>
      <c r="AG73" s="415">
        <f>Sales!AG99</f>
        <v>0</v>
      </c>
      <c r="AH73" s="415">
        <f>Sales!AH99</f>
        <v>0</v>
      </c>
      <c r="AI73" s="415">
        <f>Sales!AI99</f>
        <v>0</v>
      </c>
      <c r="AJ73" s="418">
        <f>Sales!AJ99</f>
        <v>0</v>
      </c>
      <c r="AK73" s="416">
        <f>Sales!AK99</f>
        <v>0</v>
      </c>
      <c r="AL73" s="406">
        <f>Sales!AL99</f>
        <v>0</v>
      </c>
      <c r="AM73" s="399">
        <f>Sales!AM99</f>
        <v>0</v>
      </c>
      <c r="AN73" s="406">
        <f>Sales!AN99</f>
        <v>0</v>
      </c>
      <c r="AO73" s="399">
        <f>Sales!AO99</f>
        <v>0</v>
      </c>
      <c r="AP73" s="403">
        <f>Sales!AP99</f>
        <v>0</v>
      </c>
      <c r="AQ73" s="419">
        <f>Sales!AQ99</f>
        <v>0</v>
      </c>
      <c r="AR73" s="399">
        <f>Sales!AR99</f>
        <v>0</v>
      </c>
      <c r="AS73" s="236">
        <f>Sales!AS99</f>
        <v>0</v>
      </c>
      <c r="AT73" s="236">
        <f>Sales!AT99</f>
        <v>0</v>
      </c>
      <c r="AU73" s="403">
        <f>Sales!AU99</f>
        <v>0</v>
      </c>
      <c r="AV73" s="406">
        <f>Sales!AV99</f>
        <v>0</v>
      </c>
      <c r="AW73" s="236">
        <f>Sales!AW99</f>
        <v>0</v>
      </c>
      <c r="AX73" s="236">
        <f>Sales!AX99</f>
        <v>0</v>
      </c>
      <c r="AY73" s="236">
        <f>Sales!AY99</f>
        <v>0</v>
      </c>
      <c r="AZ73" s="420">
        <f>Sales!AZ99</f>
        <v>0</v>
      </c>
      <c r="BA73" s="388">
        <f>Sales!BA99</f>
        <v>20</v>
      </c>
      <c r="BB73" s="236">
        <f>Sales!BB99</f>
        <v>31</v>
      </c>
      <c r="BC73" s="259">
        <f>Sales!BC99</f>
        <v>35</v>
      </c>
      <c r="BD73" s="259">
        <f>Sales!BD99</f>
        <v>31</v>
      </c>
      <c r="BE73" s="384">
        <f>Sales!BE99</f>
        <v>97</v>
      </c>
      <c r="BF73" s="410">
        <f>Sales!BF99</f>
        <v>30</v>
      </c>
      <c r="BG73" s="410">
        <f>Sales!BG99</f>
        <v>35</v>
      </c>
      <c r="BH73" s="410">
        <f>Sales!BH99</f>
        <v>37</v>
      </c>
      <c r="BI73" s="410">
        <f>Sales!BI99</f>
        <v>40</v>
      </c>
      <c r="BJ73" s="391">
        <f>Sales!BJ99</f>
        <v>142</v>
      </c>
      <c r="BK73" s="241">
        <f>Sales!BK99</f>
        <v>0</v>
      </c>
      <c r="BL73" s="241">
        <f>Sales!BL99</f>
        <v>0</v>
      </c>
      <c r="BM73" s="241">
        <f>Sales!BM99</f>
        <v>0</v>
      </c>
      <c r="BN73" s="241">
        <f>Sales!BN99</f>
        <v>0</v>
      </c>
      <c r="BO73" s="384">
        <f>Sales!BO99</f>
        <v>164.72</v>
      </c>
      <c r="BP73" s="241">
        <f>Sales!BP99</f>
        <v>0</v>
      </c>
      <c r="BQ73" s="241">
        <f>Sales!BQ99</f>
        <v>0</v>
      </c>
      <c r="BR73" s="241">
        <f>Sales!BR99</f>
        <v>0</v>
      </c>
      <c r="BS73" s="241">
        <f>Sales!BS99</f>
        <v>0</v>
      </c>
      <c r="BT73" s="384">
        <f>Sales!BT99</f>
        <v>181.19200000000001</v>
      </c>
      <c r="BU73" s="241">
        <f>Sales!BU99</f>
        <v>0</v>
      </c>
      <c r="BV73" s="241">
        <f>Sales!BV99</f>
        <v>0</v>
      </c>
      <c r="BW73" s="241">
        <f>Sales!BW99</f>
        <v>0</v>
      </c>
      <c r="BX73" s="241">
        <f>Sales!BX99</f>
        <v>0</v>
      </c>
      <c r="BY73" s="384">
        <f>Sales!BY99</f>
        <v>195.68736000000001</v>
      </c>
      <c r="BZ73" s="241">
        <f>Sales!BZ99</f>
        <v>0</v>
      </c>
      <c r="CA73" s="241">
        <f>Sales!CA99</f>
        <v>0</v>
      </c>
      <c r="CB73" s="241">
        <f>Sales!CB99</f>
        <v>0</v>
      </c>
      <c r="CC73" s="241">
        <f>Sales!CC99</f>
        <v>0</v>
      </c>
      <c r="CD73" s="384">
        <f>Sales!CD99</f>
        <v>211.34234880000002</v>
      </c>
      <c r="CE73" s="8"/>
    </row>
    <row r="74" spans="1:83" s="390" customFormat="1" hidden="1" outlineLevel="1" x14ac:dyDescent="0.15">
      <c r="A74" s="8"/>
      <c r="B74" s="381" t="str">
        <f>Sales!B101</f>
        <v>Uceris Tablets</v>
      </c>
      <c r="C74" s="236">
        <f>Sales!C101</f>
        <v>0</v>
      </c>
      <c r="D74" s="236">
        <f>Sales!D101</f>
        <v>0</v>
      </c>
      <c r="E74" s="236">
        <f>Sales!E101</f>
        <v>0</v>
      </c>
      <c r="F74" s="236">
        <f>Sales!F101</f>
        <v>0</v>
      </c>
      <c r="G74" s="235">
        <f>Sales!G101</f>
        <v>0</v>
      </c>
      <c r="H74" s="236">
        <f>Sales!H101</f>
        <v>0</v>
      </c>
      <c r="I74" s="236">
        <f>Sales!I101</f>
        <v>0</v>
      </c>
      <c r="J74" s="236">
        <f>Sales!J101</f>
        <v>0</v>
      </c>
      <c r="K74" s="236">
        <f>Sales!K101</f>
        <v>0</v>
      </c>
      <c r="L74" s="235">
        <f>Sales!L101</f>
        <v>0</v>
      </c>
      <c r="M74" s="236">
        <f>Sales!M101</f>
        <v>0</v>
      </c>
      <c r="N74" s="236">
        <f>Sales!N101</f>
        <v>0</v>
      </c>
      <c r="O74" s="236">
        <f>Sales!O101</f>
        <v>0</v>
      </c>
      <c r="P74" s="236">
        <f>Sales!P101</f>
        <v>0</v>
      </c>
      <c r="Q74" s="235">
        <f>Sales!Q101</f>
        <v>0</v>
      </c>
      <c r="R74" s="236">
        <f>Sales!R101</f>
        <v>0</v>
      </c>
      <c r="S74" s="236">
        <f>Sales!S101</f>
        <v>0</v>
      </c>
      <c r="T74" s="236">
        <f>Sales!T101</f>
        <v>0</v>
      </c>
      <c r="U74" s="236">
        <f>Sales!U101</f>
        <v>0</v>
      </c>
      <c r="V74" s="235">
        <f>Sales!V101</f>
        <v>0</v>
      </c>
      <c r="W74" s="236">
        <f>Sales!W101</f>
        <v>0</v>
      </c>
      <c r="X74" s="236">
        <f>Sales!X101</f>
        <v>0</v>
      </c>
      <c r="Y74" s="236">
        <f>Sales!Y101</f>
        <v>0</v>
      </c>
      <c r="Z74" s="236">
        <f>Sales!Z101</f>
        <v>0</v>
      </c>
      <c r="AA74" s="235">
        <f>Sales!AA101</f>
        <v>0</v>
      </c>
      <c r="AB74" s="310">
        <f>Sales!AB101</f>
        <v>0</v>
      </c>
      <c r="AC74" s="310">
        <f>Sales!AC101</f>
        <v>0</v>
      </c>
      <c r="AD74" s="383">
        <f>Sales!AD101</f>
        <v>0</v>
      </c>
      <c r="AE74" s="383">
        <f>Sales!AE101</f>
        <v>0</v>
      </c>
      <c r="AF74" s="384">
        <f>Sales!AF101</f>
        <v>0</v>
      </c>
      <c r="AG74" s="236">
        <f>Sales!AG101</f>
        <v>0</v>
      </c>
      <c r="AH74" s="385">
        <f>Sales!AH101</f>
        <v>0</v>
      </c>
      <c r="AI74" s="386">
        <f>Sales!AI101</f>
        <v>0</v>
      </c>
      <c r="AJ74" s="386">
        <f>Sales!AJ101</f>
        <v>0</v>
      </c>
      <c r="AK74" s="384">
        <f>Sales!AK101</f>
        <v>0</v>
      </c>
      <c r="AL74" s="344">
        <f>Sales!AL101</f>
        <v>0</v>
      </c>
      <c r="AM74" s="236">
        <f>Sales!AM101</f>
        <v>0</v>
      </c>
      <c r="AN74" s="344">
        <f>Sales!AN101</f>
        <v>0</v>
      </c>
      <c r="AO74" s="236">
        <f>Sales!AO101</f>
        <v>0</v>
      </c>
      <c r="AP74" s="384">
        <f>Sales!AP101</f>
        <v>0</v>
      </c>
      <c r="AQ74" s="289">
        <f>Sales!AQ101</f>
        <v>0</v>
      </c>
      <c r="AR74" s="259">
        <f>Sales!AR101</f>
        <v>0</v>
      </c>
      <c r="AS74" s="259">
        <f>Sales!AS101</f>
        <v>0</v>
      </c>
      <c r="AT74" s="259">
        <f>Sales!AT101</f>
        <v>0</v>
      </c>
      <c r="AU74" s="384">
        <f>Sales!AU101</f>
        <v>0</v>
      </c>
      <c r="AV74" s="259">
        <f>Sales!AV101</f>
        <v>0</v>
      </c>
      <c r="AW74" s="259">
        <f>Sales!AW101</f>
        <v>0</v>
      </c>
      <c r="AX74" s="259">
        <f>Sales!AX101</f>
        <v>0</v>
      </c>
      <c r="AY74" s="259">
        <f>Sales!AY101</f>
        <v>0</v>
      </c>
      <c r="AZ74" s="420">
        <f>Sales!AZ101</f>
        <v>0</v>
      </c>
      <c r="BA74" s="388">
        <f>Sales!BA101</f>
        <v>25</v>
      </c>
      <c r="BB74" s="259">
        <f>Sales!BB101</f>
        <v>24</v>
      </c>
      <c r="BC74" s="259">
        <f>Sales!BC101</f>
        <v>46</v>
      </c>
      <c r="BD74" s="259">
        <f>Sales!BD101</f>
        <v>39</v>
      </c>
      <c r="BE74" s="235">
        <f>Sales!BE101</f>
        <v>109</v>
      </c>
      <c r="BF74" s="241">
        <f>Sales!BF101</f>
        <v>40</v>
      </c>
      <c r="BG74" s="241">
        <f>Sales!BG101</f>
        <v>45</v>
      </c>
      <c r="BH74" s="241">
        <f>Sales!BH101</f>
        <v>50</v>
      </c>
      <c r="BI74" s="241">
        <f>Sales!BI101</f>
        <v>50</v>
      </c>
      <c r="BJ74" s="391">
        <f>Sales!BJ101</f>
        <v>185</v>
      </c>
      <c r="BK74" s="241">
        <f>Sales!BK101</f>
        <v>0</v>
      </c>
      <c r="BL74" s="241">
        <f>Sales!BL101</f>
        <v>0</v>
      </c>
      <c r="BM74" s="241">
        <f>Sales!BM101</f>
        <v>0</v>
      </c>
      <c r="BN74" s="241">
        <f>Sales!BN101</f>
        <v>0</v>
      </c>
      <c r="BO74" s="384">
        <f>Sales!BO101</f>
        <v>212.74999999999997</v>
      </c>
      <c r="BP74" s="241">
        <f>Sales!BP101</f>
        <v>0</v>
      </c>
      <c r="BQ74" s="241">
        <f>Sales!BQ101</f>
        <v>0</v>
      </c>
      <c r="BR74" s="241">
        <f>Sales!BR101</f>
        <v>0</v>
      </c>
      <c r="BS74" s="241">
        <f>Sales!BS101</f>
        <v>0</v>
      </c>
      <c r="BT74" s="384">
        <f>Sales!BT101</f>
        <v>244.66249999999994</v>
      </c>
      <c r="BU74" s="241">
        <f>Sales!BU101</f>
        <v>0</v>
      </c>
      <c r="BV74" s="241">
        <f>Sales!BV101</f>
        <v>0</v>
      </c>
      <c r="BW74" s="241">
        <f>Sales!BW101</f>
        <v>0</v>
      </c>
      <c r="BX74" s="241">
        <f>Sales!BX101</f>
        <v>0</v>
      </c>
      <c r="BY74" s="384">
        <f>Sales!BY101</f>
        <v>269.12874999999997</v>
      </c>
      <c r="BZ74" s="241">
        <f>Sales!BZ101</f>
        <v>0</v>
      </c>
      <c r="CA74" s="241">
        <f>Sales!CA101</f>
        <v>0</v>
      </c>
      <c r="CB74" s="241">
        <f>Sales!CB101</f>
        <v>0</v>
      </c>
      <c r="CC74" s="241">
        <f>Sales!CC101</f>
        <v>0</v>
      </c>
      <c r="CD74" s="384">
        <f>Sales!CD101</f>
        <v>134.56437499999998</v>
      </c>
      <c r="CE74" s="8"/>
    </row>
    <row r="75" spans="1:83" s="390" customFormat="1" hidden="1" outlineLevel="1" x14ac:dyDescent="0.15">
      <c r="A75" s="8"/>
      <c r="B75" s="381" t="str">
        <f>Sales!B103</f>
        <v>Uceris Foam</v>
      </c>
      <c r="C75" s="236">
        <f>Sales!C103</f>
        <v>0</v>
      </c>
      <c r="D75" s="236">
        <f>Sales!D103</f>
        <v>0</v>
      </c>
      <c r="E75" s="236">
        <f>Sales!E103</f>
        <v>0</v>
      </c>
      <c r="F75" s="236">
        <f>Sales!F103</f>
        <v>0</v>
      </c>
      <c r="G75" s="235">
        <f>Sales!G103</f>
        <v>0</v>
      </c>
      <c r="H75" s="236">
        <f>Sales!H103</f>
        <v>0</v>
      </c>
      <c r="I75" s="236">
        <f>Sales!I103</f>
        <v>0</v>
      </c>
      <c r="J75" s="236">
        <f>Sales!J103</f>
        <v>0</v>
      </c>
      <c r="K75" s="236">
        <f>Sales!K103</f>
        <v>0</v>
      </c>
      <c r="L75" s="235">
        <f>Sales!L103</f>
        <v>0</v>
      </c>
      <c r="M75" s="236">
        <f>Sales!M103</f>
        <v>0</v>
      </c>
      <c r="N75" s="236">
        <f>Sales!N103</f>
        <v>0</v>
      </c>
      <c r="O75" s="236">
        <f>Sales!O103</f>
        <v>0</v>
      </c>
      <c r="P75" s="236">
        <f>Sales!P103</f>
        <v>0</v>
      </c>
      <c r="Q75" s="235">
        <f>Sales!Q103</f>
        <v>0</v>
      </c>
      <c r="R75" s="236">
        <f>Sales!R103</f>
        <v>0</v>
      </c>
      <c r="S75" s="236">
        <f>Sales!S103</f>
        <v>0</v>
      </c>
      <c r="T75" s="236">
        <f>Sales!T103</f>
        <v>0</v>
      </c>
      <c r="U75" s="236">
        <f>Sales!U103</f>
        <v>0</v>
      </c>
      <c r="V75" s="235">
        <f>Sales!V103</f>
        <v>0</v>
      </c>
      <c r="W75" s="236">
        <f>Sales!W103</f>
        <v>0</v>
      </c>
      <c r="X75" s="236">
        <f>Sales!X103</f>
        <v>0</v>
      </c>
      <c r="Y75" s="236">
        <f>Sales!Y103</f>
        <v>0</v>
      </c>
      <c r="Z75" s="236">
        <f>Sales!Z103</f>
        <v>0</v>
      </c>
      <c r="AA75" s="235">
        <f>Sales!AA103</f>
        <v>0</v>
      </c>
      <c r="AB75" s="310">
        <f>Sales!AB103</f>
        <v>0</v>
      </c>
      <c r="AC75" s="310">
        <f>Sales!AC103</f>
        <v>0</v>
      </c>
      <c r="AD75" s="383">
        <f>Sales!AD103</f>
        <v>0</v>
      </c>
      <c r="AE75" s="383">
        <f>Sales!AE103</f>
        <v>0</v>
      </c>
      <c r="AF75" s="384">
        <f>Sales!AF103</f>
        <v>0</v>
      </c>
      <c r="AG75" s="236">
        <f>Sales!AG103</f>
        <v>0</v>
      </c>
      <c r="AH75" s="385">
        <f>Sales!AH103</f>
        <v>0</v>
      </c>
      <c r="AI75" s="386">
        <f>Sales!AI103</f>
        <v>0</v>
      </c>
      <c r="AJ75" s="386">
        <f>Sales!AJ103</f>
        <v>0</v>
      </c>
      <c r="AK75" s="384">
        <f>Sales!AK103</f>
        <v>0</v>
      </c>
      <c r="AL75" s="344">
        <f>Sales!AL103</f>
        <v>0</v>
      </c>
      <c r="AM75" s="236">
        <f>Sales!AM103</f>
        <v>0</v>
      </c>
      <c r="AN75" s="344">
        <f>Sales!AN103</f>
        <v>0</v>
      </c>
      <c r="AO75" s="236">
        <f>Sales!AO103</f>
        <v>0</v>
      </c>
      <c r="AP75" s="384">
        <f>Sales!AP103</f>
        <v>0</v>
      </c>
      <c r="AQ75" s="289">
        <f>Sales!AQ103</f>
        <v>0</v>
      </c>
      <c r="AR75" s="259">
        <f>Sales!AR103</f>
        <v>0</v>
      </c>
      <c r="AS75" s="259">
        <f>Sales!AS103</f>
        <v>0</v>
      </c>
      <c r="AT75" s="259">
        <f>Sales!AT103</f>
        <v>0</v>
      </c>
      <c r="AU75" s="384">
        <f>Sales!AU103</f>
        <v>0</v>
      </c>
      <c r="AV75" s="259">
        <f>Sales!AV103</f>
        <v>0</v>
      </c>
      <c r="AW75" s="259">
        <f>Sales!AW103</f>
        <v>0</v>
      </c>
      <c r="AX75" s="259">
        <f>Sales!AX103</f>
        <v>0</v>
      </c>
      <c r="AY75" s="259">
        <f>Sales!AY103</f>
        <v>0</v>
      </c>
      <c r="AZ75" s="420">
        <f>Sales!AZ103</f>
        <v>0</v>
      </c>
      <c r="BA75" s="388">
        <f>Sales!BA103</f>
        <v>0</v>
      </c>
      <c r="BB75" s="259">
        <f>Sales!BB103</f>
        <v>0</v>
      </c>
      <c r="BC75" s="259">
        <f>Sales!BC103</f>
        <v>0</v>
      </c>
      <c r="BD75" s="259">
        <f>Sales!BD103</f>
        <v>10</v>
      </c>
      <c r="BE75" s="235">
        <f>Sales!BE103</f>
        <v>10</v>
      </c>
      <c r="BF75" s="241">
        <f>Sales!BF103</f>
        <v>5</v>
      </c>
      <c r="BG75" s="241">
        <f>Sales!BG103</f>
        <v>5</v>
      </c>
      <c r="BH75" s="241">
        <f>Sales!BH103</f>
        <v>8</v>
      </c>
      <c r="BI75" s="241">
        <f>Sales!BI103</f>
        <v>10</v>
      </c>
      <c r="BJ75" s="391">
        <f>Sales!BJ103</f>
        <v>28</v>
      </c>
      <c r="BK75" s="241">
        <f>Sales!BK103</f>
        <v>0</v>
      </c>
      <c r="BL75" s="241">
        <f>Sales!BL103</f>
        <v>0</v>
      </c>
      <c r="BM75" s="241">
        <f>Sales!BM103</f>
        <v>0</v>
      </c>
      <c r="BN75" s="241">
        <f>Sales!BN103</f>
        <v>0</v>
      </c>
      <c r="BO75" s="384">
        <f>Sales!BO103</f>
        <v>36.4</v>
      </c>
      <c r="BP75" s="241">
        <f>Sales!BP103</f>
        <v>0</v>
      </c>
      <c r="BQ75" s="241">
        <f>Sales!BQ103</f>
        <v>0</v>
      </c>
      <c r="BR75" s="241">
        <f>Sales!BR103</f>
        <v>0</v>
      </c>
      <c r="BS75" s="241">
        <f>Sales!BS103</f>
        <v>0</v>
      </c>
      <c r="BT75" s="384">
        <f>Sales!BT103</f>
        <v>45.5</v>
      </c>
      <c r="BU75" s="241">
        <f>Sales!BU103</f>
        <v>0</v>
      </c>
      <c r="BV75" s="241">
        <f>Sales!BV103</f>
        <v>0</v>
      </c>
      <c r="BW75" s="241">
        <f>Sales!BW103</f>
        <v>0</v>
      </c>
      <c r="BX75" s="241">
        <f>Sales!BX103</f>
        <v>0</v>
      </c>
      <c r="BY75" s="384">
        <f>Sales!BY103</f>
        <v>54.6</v>
      </c>
      <c r="BZ75" s="241">
        <f>Sales!BZ103</f>
        <v>0</v>
      </c>
      <c r="CA75" s="241">
        <f>Sales!CA103</f>
        <v>0</v>
      </c>
      <c r="CB75" s="241">
        <f>Sales!CB103</f>
        <v>0</v>
      </c>
      <c r="CC75" s="241">
        <f>Sales!CC103</f>
        <v>0</v>
      </c>
      <c r="CD75" s="384">
        <f>Sales!CD103</f>
        <v>65.52</v>
      </c>
      <c r="CE75" s="8"/>
    </row>
    <row r="76" spans="1:83" s="390" customFormat="1" hidden="1" outlineLevel="1" x14ac:dyDescent="0.15">
      <c r="A76" s="8"/>
      <c r="B76" s="398" t="str">
        <f>Sales!B105</f>
        <v>Total Uceris</v>
      </c>
      <c r="C76" s="399">
        <f>Sales!C105</f>
        <v>0</v>
      </c>
      <c r="D76" s="399">
        <f>Sales!D105</f>
        <v>0</v>
      </c>
      <c r="E76" s="399">
        <f>Sales!E105</f>
        <v>0</v>
      </c>
      <c r="F76" s="399">
        <f>Sales!F105</f>
        <v>0</v>
      </c>
      <c r="G76" s="400">
        <f>Sales!G105</f>
        <v>0</v>
      </c>
      <c r="H76" s="399">
        <f>Sales!H105</f>
        <v>0</v>
      </c>
      <c r="I76" s="399">
        <f>Sales!I105</f>
        <v>0</v>
      </c>
      <c r="J76" s="399">
        <f>Sales!J105</f>
        <v>0</v>
      </c>
      <c r="K76" s="399">
        <f>Sales!K105</f>
        <v>0</v>
      </c>
      <c r="L76" s="400">
        <f>Sales!L105</f>
        <v>0</v>
      </c>
      <c r="M76" s="399">
        <f>Sales!M105</f>
        <v>0</v>
      </c>
      <c r="N76" s="399">
        <f>Sales!N105</f>
        <v>0</v>
      </c>
      <c r="O76" s="399">
        <f>Sales!O105</f>
        <v>0</v>
      </c>
      <c r="P76" s="399">
        <f>Sales!P105</f>
        <v>0</v>
      </c>
      <c r="Q76" s="400">
        <f>Sales!Q105</f>
        <v>0</v>
      </c>
      <c r="R76" s="399">
        <f>Sales!R105</f>
        <v>0</v>
      </c>
      <c r="S76" s="399">
        <f>Sales!S105</f>
        <v>0</v>
      </c>
      <c r="T76" s="399">
        <f>Sales!T105</f>
        <v>0</v>
      </c>
      <c r="U76" s="399">
        <f>Sales!U105</f>
        <v>0</v>
      </c>
      <c r="V76" s="400">
        <f>Sales!V105</f>
        <v>0</v>
      </c>
      <c r="W76" s="399">
        <f>Sales!W105</f>
        <v>0</v>
      </c>
      <c r="X76" s="399">
        <f>Sales!X105</f>
        <v>0</v>
      </c>
      <c r="Y76" s="399">
        <f>Sales!Y105</f>
        <v>0</v>
      </c>
      <c r="Z76" s="399">
        <f>Sales!Z105</f>
        <v>0</v>
      </c>
      <c r="AA76" s="401">
        <f>Sales!AA105</f>
        <v>0</v>
      </c>
      <c r="AB76" s="367">
        <f>Sales!AB105</f>
        <v>0</v>
      </c>
      <c r="AC76" s="367">
        <f>Sales!AC105</f>
        <v>0</v>
      </c>
      <c r="AD76" s="402">
        <f>Sales!AD105</f>
        <v>0</v>
      </c>
      <c r="AE76" s="402">
        <f>Sales!AE105</f>
        <v>0</v>
      </c>
      <c r="AF76" s="403">
        <f>Sales!AF105</f>
        <v>0</v>
      </c>
      <c r="AG76" s="399">
        <f>Sales!AG105</f>
        <v>0</v>
      </c>
      <c r="AH76" s="404">
        <f>Sales!AH105</f>
        <v>0</v>
      </c>
      <c r="AI76" s="405">
        <f>Sales!AI105</f>
        <v>0</v>
      </c>
      <c r="AJ76" s="405">
        <f>Sales!AJ105</f>
        <v>0</v>
      </c>
      <c r="AK76" s="403">
        <f>Sales!AK105</f>
        <v>0</v>
      </c>
      <c r="AL76" s="406">
        <f>Sales!AL105</f>
        <v>0</v>
      </c>
      <c r="AM76" s="399">
        <f>Sales!AM105</f>
        <v>0</v>
      </c>
      <c r="AN76" s="406">
        <f>Sales!AN105</f>
        <v>0</v>
      </c>
      <c r="AO76" s="399">
        <f>Sales!AO105</f>
        <v>0</v>
      </c>
      <c r="AP76" s="403">
        <f>Sales!AP105</f>
        <v>0</v>
      </c>
      <c r="AQ76" s="407">
        <f>Sales!AQ105</f>
        <v>0</v>
      </c>
      <c r="AR76" s="399">
        <f>Sales!AR105</f>
        <v>0</v>
      </c>
      <c r="AS76" s="399">
        <f>Sales!AS105</f>
        <v>0</v>
      </c>
      <c r="AT76" s="399">
        <f>Sales!AT105</f>
        <v>0</v>
      </c>
      <c r="AU76" s="403">
        <f>Sales!AU105</f>
        <v>0</v>
      </c>
      <c r="AV76" s="399">
        <f>Sales!AV105</f>
        <v>0</v>
      </c>
      <c r="AW76" s="399">
        <f>Sales!AW105</f>
        <v>0</v>
      </c>
      <c r="AX76" s="399">
        <f>Sales!AX105</f>
        <v>0</v>
      </c>
      <c r="AY76" s="399">
        <f>Sales!AY105</f>
        <v>0</v>
      </c>
      <c r="AZ76" s="408">
        <f>Sales!AZ105</f>
        <v>0</v>
      </c>
      <c r="BA76" s="425">
        <f>Sales!BA105</f>
        <v>25</v>
      </c>
      <c r="BB76" s="399">
        <f>Sales!BB105</f>
        <v>24</v>
      </c>
      <c r="BC76" s="399">
        <f>Sales!BC105</f>
        <v>46</v>
      </c>
      <c r="BD76" s="399">
        <f>Sales!BD105</f>
        <v>49</v>
      </c>
      <c r="BE76" s="400">
        <f>Sales!BE105</f>
        <v>119</v>
      </c>
      <c r="BF76" s="410">
        <f>Sales!BF105</f>
        <v>45</v>
      </c>
      <c r="BG76" s="410">
        <f>Sales!BG105</f>
        <v>50</v>
      </c>
      <c r="BH76" s="410">
        <f>Sales!BH105</f>
        <v>58</v>
      </c>
      <c r="BI76" s="410">
        <f>Sales!BI105</f>
        <v>60</v>
      </c>
      <c r="BJ76" s="403">
        <f>Sales!BJ105</f>
        <v>213</v>
      </c>
      <c r="BK76" s="410">
        <f>Sales!BK105</f>
        <v>0</v>
      </c>
      <c r="BL76" s="410">
        <f>Sales!BL105</f>
        <v>0</v>
      </c>
      <c r="BM76" s="410">
        <f>Sales!BM105</f>
        <v>0</v>
      </c>
      <c r="BN76" s="410">
        <f>Sales!BN105</f>
        <v>0</v>
      </c>
      <c r="BO76" s="403">
        <f>Sales!BO105</f>
        <v>249.14999999999998</v>
      </c>
      <c r="BP76" s="410">
        <f>Sales!BP105</f>
        <v>0</v>
      </c>
      <c r="BQ76" s="410">
        <f>Sales!BQ105</f>
        <v>0</v>
      </c>
      <c r="BR76" s="410">
        <f>Sales!BR105</f>
        <v>0</v>
      </c>
      <c r="BS76" s="410">
        <f>Sales!BS105</f>
        <v>0</v>
      </c>
      <c r="BT76" s="403">
        <f>Sales!BT105</f>
        <v>290.16249999999991</v>
      </c>
      <c r="BU76" s="410">
        <f>Sales!BU105</f>
        <v>0</v>
      </c>
      <c r="BV76" s="410">
        <f>Sales!BV105</f>
        <v>0</v>
      </c>
      <c r="BW76" s="410">
        <f>Sales!BW105</f>
        <v>0</v>
      </c>
      <c r="BX76" s="410">
        <f>Sales!BX105</f>
        <v>0</v>
      </c>
      <c r="BY76" s="403">
        <f>Sales!BY105</f>
        <v>323.72874999999999</v>
      </c>
      <c r="BZ76" s="410">
        <f>Sales!BZ105</f>
        <v>0</v>
      </c>
      <c r="CA76" s="410">
        <f>Sales!CA105</f>
        <v>0</v>
      </c>
      <c r="CB76" s="410">
        <f>Sales!CB105</f>
        <v>0</v>
      </c>
      <c r="CC76" s="410">
        <f>Sales!CC105</f>
        <v>0</v>
      </c>
      <c r="CD76" s="403">
        <f>Sales!CD105</f>
        <v>200.08437499999997</v>
      </c>
      <c r="CE76" s="8"/>
    </row>
    <row r="77" spans="1:83" s="390" customFormat="1" hidden="1" outlineLevel="1" x14ac:dyDescent="0.15">
      <c r="A77" s="8"/>
      <c r="B77" s="238" t="str">
        <f>Sales!B107</f>
        <v>Relistor (injection)</v>
      </c>
      <c r="C77" s="236">
        <f>Sales!C107</f>
        <v>0</v>
      </c>
      <c r="D77" s="236">
        <f>Sales!D107</f>
        <v>0</v>
      </c>
      <c r="E77" s="236">
        <f>Sales!E107</f>
        <v>0</v>
      </c>
      <c r="F77" s="236">
        <f>Sales!F107</f>
        <v>0</v>
      </c>
      <c r="G77" s="235">
        <f>Sales!G107</f>
        <v>0</v>
      </c>
      <c r="H77" s="236">
        <f>Sales!H107</f>
        <v>0</v>
      </c>
      <c r="I77" s="236">
        <f>Sales!I107</f>
        <v>0</v>
      </c>
      <c r="J77" s="236">
        <f>Sales!J107</f>
        <v>0</v>
      </c>
      <c r="K77" s="236">
        <f>Sales!K107</f>
        <v>0</v>
      </c>
      <c r="L77" s="235">
        <f>Sales!L107</f>
        <v>0</v>
      </c>
      <c r="M77" s="236">
        <f>Sales!M107</f>
        <v>0</v>
      </c>
      <c r="N77" s="236">
        <f>Sales!N107</f>
        <v>0</v>
      </c>
      <c r="O77" s="236">
        <f>Sales!O107</f>
        <v>0</v>
      </c>
      <c r="P77" s="236">
        <f>Sales!P107</f>
        <v>0</v>
      </c>
      <c r="Q77" s="235">
        <f>Sales!Q107</f>
        <v>0</v>
      </c>
      <c r="R77" s="236">
        <f>Sales!R107</f>
        <v>0</v>
      </c>
      <c r="S77" s="236">
        <f>Sales!S107</f>
        <v>0</v>
      </c>
      <c r="T77" s="236">
        <f>Sales!T107</f>
        <v>0</v>
      </c>
      <c r="U77" s="236">
        <f>Sales!U107</f>
        <v>0</v>
      </c>
      <c r="V77" s="235">
        <f>Sales!V107</f>
        <v>0</v>
      </c>
      <c r="W77" s="236">
        <f>Sales!W107</f>
        <v>0</v>
      </c>
      <c r="X77" s="236">
        <f>Sales!X107</f>
        <v>0</v>
      </c>
      <c r="Y77" s="236">
        <f>Sales!Y107</f>
        <v>0</v>
      </c>
      <c r="Z77" s="236">
        <f>Sales!Z107</f>
        <v>0</v>
      </c>
      <c r="AA77" s="235">
        <f>Sales!AA107</f>
        <v>0</v>
      </c>
      <c r="AB77" s="310">
        <f>Sales!AB107</f>
        <v>0</v>
      </c>
      <c r="AC77" s="310">
        <f>Sales!AC107</f>
        <v>0</v>
      </c>
      <c r="AD77" s="383">
        <f>Sales!AD107</f>
        <v>0</v>
      </c>
      <c r="AE77" s="383">
        <f>Sales!AE107</f>
        <v>0</v>
      </c>
      <c r="AF77" s="384">
        <f>Sales!AF107</f>
        <v>0</v>
      </c>
      <c r="AG77" s="236">
        <f>Sales!AG107</f>
        <v>0</v>
      </c>
      <c r="AH77" s="385">
        <f>Sales!AH107</f>
        <v>0</v>
      </c>
      <c r="AI77" s="386">
        <f>Sales!AI107</f>
        <v>0</v>
      </c>
      <c r="AJ77" s="386">
        <f>Sales!AJ107</f>
        <v>0</v>
      </c>
      <c r="AK77" s="384">
        <f>Sales!AK107</f>
        <v>0</v>
      </c>
      <c r="AL77" s="426">
        <f>Sales!AL107</f>
        <v>0</v>
      </c>
      <c r="AM77" s="386">
        <f>Sales!AM107</f>
        <v>0</v>
      </c>
      <c r="AN77" s="386">
        <f>Sales!AN107</f>
        <v>0</v>
      </c>
      <c r="AO77" s="386">
        <f>Sales!AO107</f>
        <v>0</v>
      </c>
      <c r="AP77" s="384">
        <f>Sales!AP107</f>
        <v>0</v>
      </c>
      <c r="AQ77" s="289">
        <f>Sales!AQ107</f>
        <v>0</v>
      </c>
      <c r="AR77" s="236">
        <f>Sales!AR107</f>
        <v>0</v>
      </c>
      <c r="AS77" s="259">
        <f>Sales!AS107</f>
        <v>0</v>
      </c>
      <c r="AT77" s="259">
        <f>Sales!AT107</f>
        <v>0</v>
      </c>
      <c r="AU77" s="384">
        <f>Sales!AU107</f>
        <v>0</v>
      </c>
      <c r="AV77" s="259">
        <f>Sales!AV107</f>
        <v>0</v>
      </c>
      <c r="AW77" s="259">
        <f>Sales!AW107</f>
        <v>0</v>
      </c>
      <c r="AX77" s="259">
        <f>Sales!AX107</f>
        <v>0</v>
      </c>
      <c r="AY77" s="259">
        <f>Sales!AY107</f>
        <v>0</v>
      </c>
      <c r="AZ77" s="420">
        <f>Sales!AZ107</f>
        <v>0</v>
      </c>
      <c r="BA77" s="388">
        <f>Sales!BA107</f>
        <v>15</v>
      </c>
      <c r="BB77" s="259">
        <f>Sales!BB107</f>
        <v>15</v>
      </c>
      <c r="BC77" s="259">
        <f>Sales!BC107</f>
        <v>15</v>
      </c>
      <c r="BD77" s="259">
        <f>Sales!BD107</f>
        <v>22</v>
      </c>
      <c r="BE77" s="235">
        <f>Sales!BE107</f>
        <v>52</v>
      </c>
      <c r="BF77" s="241">
        <f>Sales!BF107</f>
        <v>22</v>
      </c>
      <c r="BG77" s="241">
        <f>Sales!BG107</f>
        <v>27</v>
      </c>
      <c r="BH77" s="241">
        <f>Sales!BH107</f>
        <v>25</v>
      </c>
      <c r="BI77" s="241">
        <f>Sales!BI107</f>
        <v>25</v>
      </c>
      <c r="BJ77" s="391">
        <f>Sales!BJ107</f>
        <v>99</v>
      </c>
      <c r="BK77" s="241">
        <f>Sales!BK107</f>
        <v>0</v>
      </c>
      <c r="BL77" s="241">
        <f>Sales!BL107</f>
        <v>0</v>
      </c>
      <c r="BM77" s="241">
        <f>Sales!BM107</f>
        <v>0</v>
      </c>
      <c r="BN77" s="241">
        <f>Sales!BN107</f>
        <v>0</v>
      </c>
      <c r="BO77" s="384">
        <f>Sales!BO107</f>
        <v>99</v>
      </c>
      <c r="BP77" s="241">
        <f>Sales!BP107</f>
        <v>0</v>
      </c>
      <c r="BQ77" s="241">
        <f>Sales!BQ107</f>
        <v>0</v>
      </c>
      <c r="BR77" s="241">
        <f>Sales!BR107</f>
        <v>0</v>
      </c>
      <c r="BS77" s="241">
        <f>Sales!BS107</f>
        <v>0</v>
      </c>
      <c r="BT77" s="384">
        <f>Sales!BT107</f>
        <v>99</v>
      </c>
      <c r="BU77" s="241">
        <f>Sales!BU107</f>
        <v>0</v>
      </c>
      <c r="BV77" s="241">
        <f>Sales!BV107</f>
        <v>0</v>
      </c>
      <c r="BW77" s="241">
        <f>Sales!BW107</f>
        <v>0</v>
      </c>
      <c r="BX77" s="241">
        <f>Sales!BX107</f>
        <v>0</v>
      </c>
      <c r="BY77" s="384">
        <f>Sales!BY107</f>
        <v>99</v>
      </c>
      <c r="BZ77" s="241">
        <f>Sales!BZ107</f>
        <v>0</v>
      </c>
      <c r="CA77" s="241">
        <f>Sales!CA107</f>
        <v>0</v>
      </c>
      <c r="CB77" s="241">
        <f>Sales!CB107</f>
        <v>0</v>
      </c>
      <c r="CC77" s="241">
        <f>Sales!CC107</f>
        <v>0</v>
      </c>
      <c r="CD77" s="384">
        <f>Sales!CD107</f>
        <v>99</v>
      </c>
      <c r="CE77" s="8"/>
    </row>
    <row r="78" spans="1:83" s="390" customFormat="1" hidden="1" outlineLevel="1" x14ac:dyDescent="0.15">
      <c r="A78" s="8"/>
      <c r="B78" s="238" t="str">
        <f>Sales!B109</f>
        <v>Relistor (oral)</v>
      </c>
      <c r="C78" s="293">
        <f>Sales!C109</f>
        <v>0</v>
      </c>
      <c r="D78" s="293">
        <f>Sales!D109</f>
        <v>0</v>
      </c>
      <c r="E78" s="293">
        <f>Sales!E109</f>
        <v>0</v>
      </c>
      <c r="F78" s="293">
        <f>Sales!F109</f>
        <v>0</v>
      </c>
      <c r="G78" s="294">
        <f>Sales!G109</f>
        <v>0</v>
      </c>
      <c r="H78" s="293">
        <f>Sales!H109</f>
        <v>0</v>
      </c>
      <c r="I78" s="293">
        <f>Sales!I109</f>
        <v>0</v>
      </c>
      <c r="J78" s="293">
        <f>Sales!J109</f>
        <v>0</v>
      </c>
      <c r="K78" s="293">
        <f>Sales!K109</f>
        <v>0</v>
      </c>
      <c r="L78" s="294">
        <f>Sales!L109</f>
        <v>0</v>
      </c>
      <c r="M78" s="293">
        <f>Sales!M109</f>
        <v>0</v>
      </c>
      <c r="N78" s="293">
        <f>Sales!N109</f>
        <v>0</v>
      </c>
      <c r="O78" s="293">
        <f>Sales!O109</f>
        <v>0</v>
      </c>
      <c r="P78" s="293">
        <f>Sales!P109</f>
        <v>0</v>
      </c>
      <c r="Q78" s="294">
        <f>Sales!Q109</f>
        <v>0</v>
      </c>
      <c r="R78" s="293">
        <f>Sales!R109</f>
        <v>0</v>
      </c>
      <c r="S78" s="293">
        <f>Sales!S109</f>
        <v>0</v>
      </c>
      <c r="T78" s="293">
        <f>Sales!T109</f>
        <v>0</v>
      </c>
      <c r="U78" s="293">
        <f>Sales!U109</f>
        <v>0</v>
      </c>
      <c r="V78" s="294">
        <f>Sales!V109</f>
        <v>0</v>
      </c>
      <c r="W78" s="247">
        <f>Sales!W109</f>
        <v>0</v>
      </c>
      <c r="X78" s="247">
        <f>Sales!X109</f>
        <v>0</v>
      </c>
      <c r="Y78" s="247">
        <f>Sales!Y109</f>
        <v>0</v>
      </c>
      <c r="Z78" s="247">
        <f>Sales!Z109</f>
        <v>0</v>
      </c>
      <c r="AA78" s="251">
        <f>Sales!AA109</f>
        <v>0</v>
      </c>
      <c r="AB78" s="302">
        <f>Sales!AB109</f>
        <v>0</v>
      </c>
      <c r="AC78" s="302">
        <f>Sales!AC109</f>
        <v>0</v>
      </c>
      <c r="AD78" s="302">
        <f>Sales!AD109</f>
        <v>0</v>
      </c>
      <c r="AE78" s="302">
        <f>Sales!AE109</f>
        <v>0</v>
      </c>
      <c r="AF78" s="251">
        <f>Sales!AF109</f>
        <v>0</v>
      </c>
      <c r="AG78" s="247">
        <f>Sales!AG109</f>
        <v>0</v>
      </c>
      <c r="AH78" s="247">
        <f>Sales!AH109</f>
        <v>0</v>
      </c>
      <c r="AI78" s="247">
        <f>Sales!AI109</f>
        <v>0</v>
      </c>
      <c r="AJ78" s="247">
        <f>Sales!AJ109</f>
        <v>0</v>
      </c>
      <c r="AK78" s="251">
        <f>Sales!AK109</f>
        <v>0</v>
      </c>
      <c r="AL78" s="247">
        <f>Sales!AL109</f>
        <v>0</v>
      </c>
      <c r="AM78" s="247">
        <f>Sales!AM109</f>
        <v>0</v>
      </c>
      <c r="AN78" s="247">
        <f>Sales!AN109</f>
        <v>0</v>
      </c>
      <c r="AO78" s="247">
        <f>Sales!AO109</f>
        <v>0</v>
      </c>
      <c r="AP78" s="251">
        <f>Sales!AP109</f>
        <v>0</v>
      </c>
      <c r="AQ78" s="347">
        <f>Sales!AQ109</f>
        <v>0</v>
      </c>
      <c r="AR78" s="247">
        <f>Sales!AR109</f>
        <v>0</v>
      </c>
      <c r="AS78" s="293">
        <f>Sales!AS109</f>
        <v>0</v>
      </c>
      <c r="AT78" s="293">
        <f>Sales!AT109</f>
        <v>0</v>
      </c>
      <c r="AU78" s="251">
        <f>Sales!AU109</f>
        <v>0</v>
      </c>
      <c r="AV78" s="293">
        <f>Sales!AV109</f>
        <v>0</v>
      </c>
      <c r="AW78" s="293">
        <f>Sales!AW109</f>
        <v>0</v>
      </c>
      <c r="AX78" s="293">
        <f>Sales!AX109</f>
        <v>0</v>
      </c>
      <c r="AY78" s="293">
        <f>Sales!AY109</f>
        <v>0</v>
      </c>
      <c r="AZ78" s="394">
        <f>Sales!AZ109</f>
        <v>0</v>
      </c>
      <c r="BA78" s="421">
        <f>Sales!BA109</f>
        <v>0</v>
      </c>
      <c r="BB78" s="293">
        <f>Sales!BB109</f>
        <v>0</v>
      </c>
      <c r="BC78" s="247">
        <f>Sales!BC109</f>
        <v>0</v>
      </c>
      <c r="BD78" s="247">
        <f>Sales!BD109</f>
        <v>0</v>
      </c>
      <c r="BE78" s="251">
        <f>Sales!BE109</f>
        <v>0</v>
      </c>
      <c r="BF78" s="340">
        <f>Sales!BF109</f>
        <v>0</v>
      </c>
      <c r="BG78" s="340">
        <f>Sales!BG109</f>
        <v>0</v>
      </c>
      <c r="BH78" s="340">
        <f>Sales!BH109</f>
        <v>15</v>
      </c>
      <c r="BI78" s="340">
        <f>Sales!BI109</f>
        <v>15</v>
      </c>
      <c r="BJ78" s="428">
        <f>Sales!BJ109</f>
        <v>30</v>
      </c>
      <c r="BK78" s="427">
        <f>Sales!BK109</f>
        <v>0</v>
      </c>
      <c r="BL78" s="427">
        <f>Sales!BL109</f>
        <v>0</v>
      </c>
      <c r="BM78" s="427">
        <f>Sales!BM109</f>
        <v>0</v>
      </c>
      <c r="BN78" s="427">
        <f>Sales!BN109</f>
        <v>0</v>
      </c>
      <c r="BO78" s="428">
        <f>Sales!BO109</f>
        <v>75</v>
      </c>
      <c r="BP78" s="241">
        <f>Sales!BP109</f>
        <v>0</v>
      </c>
      <c r="BQ78" s="241">
        <f>Sales!BQ109</f>
        <v>0</v>
      </c>
      <c r="BR78" s="241">
        <f>Sales!BR109</f>
        <v>0</v>
      </c>
      <c r="BS78" s="241">
        <f>Sales!BS109</f>
        <v>0</v>
      </c>
      <c r="BT78" s="384">
        <f>Sales!BT109</f>
        <v>105</v>
      </c>
      <c r="BU78" s="427">
        <f>Sales!BU109</f>
        <v>0</v>
      </c>
      <c r="BV78" s="427">
        <f>Sales!BV109</f>
        <v>0</v>
      </c>
      <c r="BW78" s="427">
        <f>Sales!BW109</f>
        <v>0</v>
      </c>
      <c r="BX78" s="427">
        <f>Sales!BX109</f>
        <v>0</v>
      </c>
      <c r="BY78" s="384">
        <f>Sales!BY109</f>
        <v>136.5</v>
      </c>
      <c r="BZ78" s="241">
        <f>Sales!BZ109</f>
        <v>0</v>
      </c>
      <c r="CA78" s="241">
        <f>Sales!CA109</f>
        <v>0</v>
      </c>
      <c r="CB78" s="241">
        <f>Sales!CB109</f>
        <v>0</v>
      </c>
      <c r="CC78" s="241">
        <f>Sales!CC109</f>
        <v>0</v>
      </c>
      <c r="CD78" s="384">
        <f>Sales!CD109</f>
        <v>163.79999999999998</v>
      </c>
      <c r="CE78" s="8"/>
    </row>
    <row r="79" spans="1:83" s="429" customFormat="1" ht="15" hidden="1" outlineLevel="1" x14ac:dyDescent="0.3">
      <c r="B79" s="625" t="str">
        <f>Sales!B111</f>
        <v>Other GI</v>
      </c>
      <c r="C79" s="626">
        <f>Sales!C111</f>
        <v>0</v>
      </c>
      <c r="D79" s="626">
        <f>Sales!D111</f>
        <v>0</v>
      </c>
      <c r="E79" s="626">
        <f>Sales!E111</f>
        <v>0</v>
      </c>
      <c r="F79" s="626">
        <f>Sales!F111</f>
        <v>0</v>
      </c>
      <c r="G79" s="627">
        <f>Sales!G111</f>
        <v>0</v>
      </c>
      <c r="H79" s="626">
        <f>Sales!H111</f>
        <v>0</v>
      </c>
      <c r="I79" s="626">
        <f>Sales!I111</f>
        <v>0</v>
      </c>
      <c r="J79" s="626">
        <f>Sales!J111</f>
        <v>0</v>
      </c>
      <c r="K79" s="626">
        <f>Sales!K111</f>
        <v>0</v>
      </c>
      <c r="L79" s="627">
        <f>Sales!L111</f>
        <v>0</v>
      </c>
      <c r="M79" s="626">
        <f>Sales!M111</f>
        <v>0</v>
      </c>
      <c r="N79" s="626">
        <f>Sales!N111</f>
        <v>0</v>
      </c>
      <c r="O79" s="626">
        <f>Sales!O111</f>
        <v>0</v>
      </c>
      <c r="P79" s="626">
        <f>Sales!P111</f>
        <v>0</v>
      </c>
      <c r="Q79" s="627">
        <f>Sales!Q111</f>
        <v>0</v>
      </c>
      <c r="R79" s="626">
        <f>Sales!R111</f>
        <v>0</v>
      </c>
      <c r="S79" s="626">
        <f>Sales!S111</f>
        <v>0</v>
      </c>
      <c r="T79" s="626">
        <f>Sales!T111</f>
        <v>0</v>
      </c>
      <c r="U79" s="626">
        <f>Sales!U111</f>
        <v>0</v>
      </c>
      <c r="V79" s="627">
        <f>Sales!V111</f>
        <v>0</v>
      </c>
      <c r="W79" s="626">
        <f>Sales!W111</f>
        <v>0</v>
      </c>
      <c r="X79" s="626">
        <f>Sales!X111</f>
        <v>0</v>
      </c>
      <c r="Y79" s="626">
        <f>Sales!Y111</f>
        <v>0</v>
      </c>
      <c r="Z79" s="626">
        <f>Sales!Z111</f>
        <v>0</v>
      </c>
      <c r="AA79" s="627">
        <f>Sales!AA111</f>
        <v>0</v>
      </c>
      <c r="AB79" s="651">
        <f>Sales!AB111</f>
        <v>0</v>
      </c>
      <c r="AC79" s="651">
        <f>Sales!AC111</f>
        <v>0</v>
      </c>
      <c r="AD79" s="652">
        <f>Sales!AD111</f>
        <v>0</v>
      </c>
      <c r="AE79" s="652">
        <f>Sales!AE111</f>
        <v>0</v>
      </c>
      <c r="AF79" s="653">
        <f>Sales!AF111</f>
        <v>0</v>
      </c>
      <c r="AG79" s="626">
        <f>Sales!AG111</f>
        <v>0</v>
      </c>
      <c r="AH79" s="654">
        <f>Sales!AH111</f>
        <v>0</v>
      </c>
      <c r="AI79" s="655">
        <f>Sales!AI111</f>
        <v>0</v>
      </c>
      <c r="AJ79" s="655">
        <f>Sales!AJ111</f>
        <v>0</v>
      </c>
      <c r="AK79" s="653">
        <f>Sales!AK111</f>
        <v>0</v>
      </c>
      <c r="AL79" s="626">
        <f>Sales!AL111</f>
        <v>0</v>
      </c>
      <c r="AM79" s="626">
        <f>Sales!AM111</f>
        <v>0</v>
      </c>
      <c r="AN79" s="656">
        <f>Sales!AN111</f>
        <v>0</v>
      </c>
      <c r="AO79" s="626">
        <f>Sales!AO111</f>
        <v>0</v>
      </c>
      <c r="AP79" s="653">
        <f>Sales!AP111</f>
        <v>0</v>
      </c>
      <c r="AQ79" s="657">
        <f>Sales!AQ111</f>
        <v>0</v>
      </c>
      <c r="AR79" s="658">
        <f>Sales!AR111</f>
        <v>0</v>
      </c>
      <c r="AS79" s="626">
        <f>Sales!AS111</f>
        <v>0</v>
      </c>
      <c r="AT79" s="626">
        <f>Sales!AT111</f>
        <v>0</v>
      </c>
      <c r="AU79" s="653">
        <f>Sales!AU111</f>
        <v>0</v>
      </c>
      <c r="AV79" s="626">
        <f>Sales!AV111</f>
        <v>0</v>
      </c>
      <c r="AW79" s="626">
        <f>Sales!AW111</f>
        <v>0</v>
      </c>
      <c r="AX79" s="626">
        <f>Sales!AX111</f>
        <v>0</v>
      </c>
      <c r="AY79" s="626">
        <f>Sales!AY111</f>
        <v>0</v>
      </c>
      <c r="AZ79" s="659">
        <f>Sales!AZ111</f>
        <v>0</v>
      </c>
      <c r="BA79" s="660">
        <f>Sales!BA111</f>
        <v>60</v>
      </c>
      <c r="BB79" s="626">
        <f>Sales!BB111</f>
        <v>69.300000000000011</v>
      </c>
      <c r="BC79" s="658">
        <f>Sales!BC111</f>
        <v>93.800000000000011</v>
      </c>
      <c r="BD79" s="658">
        <f>Sales!BD111</f>
        <v>111</v>
      </c>
      <c r="BE79" s="653">
        <f>Sales!BE111</f>
        <v>274.10000000000002</v>
      </c>
      <c r="BF79" s="629">
        <f>Sales!BF111</f>
        <v>105</v>
      </c>
      <c r="BG79" s="629">
        <f>Sales!BG111</f>
        <v>105</v>
      </c>
      <c r="BH79" s="629">
        <f>Sales!BH111</f>
        <v>105</v>
      </c>
      <c r="BI79" s="629">
        <f>Sales!BI111</f>
        <v>105</v>
      </c>
      <c r="BJ79" s="661">
        <f>Sales!BJ111</f>
        <v>420</v>
      </c>
      <c r="BK79" s="629">
        <f>Sales!BK111</f>
        <v>0</v>
      </c>
      <c r="BL79" s="629">
        <f>Sales!BL111</f>
        <v>0</v>
      </c>
      <c r="BM79" s="629">
        <f>Sales!BM111</f>
        <v>0</v>
      </c>
      <c r="BN79" s="629">
        <f>Sales!BN111</f>
        <v>0</v>
      </c>
      <c r="BO79" s="653">
        <f>Sales!BO111</f>
        <v>420</v>
      </c>
      <c r="BP79" s="629">
        <f>Sales!BP111</f>
        <v>0</v>
      </c>
      <c r="BQ79" s="629">
        <f>Sales!BQ111</f>
        <v>0</v>
      </c>
      <c r="BR79" s="629">
        <f>Sales!BR111</f>
        <v>0</v>
      </c>
      <c r="BS79" s="629">
        <f>Sales!BS111</f>
        <v>0</v>
      </c>
      <c r="BT79" s="653">
        <f>Sales!BT111</f>
        <v>420</v>
      </c>
      <c r="BU79" s="629">
        <f>Sales!BU111</f>
        <v>0</v>
      </c>
      <c r="BV79" s="629">
        <f>Sales!BV111</f>
        <v>0</v>
      </c>
      <c r="BW79" s="629">
        <f>Sales!BW111</f>
        <v>0</v>
      </c>
      <c r="BX79" s="629">
        <f>Sales!BX111</f>
        <v>0</v>
      </c>
      <c r="BY79" s="653">
        <f>Sales!BY111</f>
        <v>420</v>
      </c>
      <c r="BZ79" s="629">
        <f>Sales!BZ111</f>
        <v>0</v>
      </c>
      <c r="CA79" s="629">
        <f>Sales!CA111</f>
        <v>0</v>
      </c>
      <c r="CB79" s="629">
        <f>Sales!CB111</f>
        <v>0</v>
      </c>
      <c r="CC79" s="629">
        <f>Sales!CC111</f>
        <v>0</v>
      </c>
      <c r="CD79" s="653">
        <f>Sales!CD111</f>
        <v>420</v>
      </c>
    </row>
    <row r="80" spans="1:83" s="355" customFormat="1" ht="13" collapsed="1" x14ac:dyDescent="0.15">
      <c r="A80" s="349"/>
      <c r="B80" s="298" t="str">
        <f>Sales!B113</f>
        <v>Total Gastrointestinal (Salix)</v>
      </c>
      <c r="C80" s="350">
        <f>Sales!C113</f>
        <v>0</v>
      </c>
      <c r="D80" s="350">
        <f>Sales!D113</f>
        <v>0</v>
      </c>
      <c r="E80" s="350">
        <f>Sales!E113</f>
        <v>0</v>
      </c>
      <c r="F80" s="351">
        <f>Sales!F113</f>
        <v>0</v>
      </c>
      <c r="G80" s="352">
        <f>Sales!G113</f>
        <v>0</v>
      </c>
      <c r="H80" s="351">
        <f>Sales!H113</f>
        <v>0</v>
      </c>
      <c r="I80" s="351">
        <f>Sales!I113</f>
        <v>0</v>
      </c>
      <c r="J80" s="351">
        <f>Sales!J113</f>
        <v>0</v>
      </c>
      <c r="K80" s="351">
        <f>Sales!K113</f>
        <v>0</v>
      </c>
      <c r="L80" s="352">
        <f>Sales!L113</f>
        <v>0</v>
      </c>
      <c r="M80" s="351">
        <f>Sales!M113</f>
        <v>0</v>
      </c>
      <c r="N80" s="351">
        <f>Sales!N113</f>
        <v>0</v>
      </c>
      <c r="O80" s="351">
        <f>Sales!O113</f>
        <v>0</v>
      </c>
      <c r="P80" s="351">
        <f>Sales!P113</f>
        <v>0</v>
      </c>
      <c r="Q80" s="352">
        <f>Sales!Q113</f>
        <v>0</v>
      </c>
      <c r="R80" s="353">
        <f>Sales!R113</f>
        <v>0</v>
      </c>
      <c r="S80" s="353">
        <f>Sales!S113</f>
        <v>0</v>
      </c>
      <c r="T80" s="353">
        <f>Sales!T113</f>
        <v>0</v>
      </c>
      <c r="U80" s="353">
        <f>Sales!U113</f>
        <v>0</v>
      </c>
      <c r="V80" s="354">
        <f>Sales!V113</f>
        <v>0</v>
      </c>
      <c r="W80" s="353">
        <f>Sales!W113</f>
        <v>0</v>
      </c>
      <c r="X80" s="353">
        <f>Sales!X113</f>
        <v>0</v>
      </c>
      <c r="Y80" s="353">
        <f>Sales!Y113</f>
        <v>0</v>
      </c>
      <c r="Z80" s="353">
        <f>Sales!Z113</f>
        <v>0</v>
      </c>
      <c r="AA80" s="354">
        <f>Sales!AA113</f>
        <v>0</v>
      </c>
      <c r="AB80" s="302">
        <f>Sales!AB113</f>
        <v>0</v>
      </c>
      <c r="AC80" s="302">
        <f>Sales!AC113</f>
        <v>0</v>
      </c>
      <c r="AD80" s="302">
        <f>Sales!AD113</f>
        <v>0</v>
      </c>
      <c r="AE80" s="302">
        <f>Sales!AE113</f>
        <v>0</v>
      </c>
      <c r="AF80" s="360">
        <f>Sales!AF113</f>
        <v>0</v>
      </c>
      <c r="AG80" s="355">
        <f>Sales!AG113</f>
        <v>0</v>
      </c>
      <c r="AH80" s="355">
        <f>Sales!AH113</f>
        <v>0</v>
      </c>
      <c r="AI80" s="355">
        <f>Sales!AI113</f>
        <v>0</v>
      </c>
      <c r="AJ80" s="355">
        <f>Sales!AJ113</f>
        <v>0</v>
      </c>
      <c r="AK80" s="311">
        <f>Sales!AK113</f>
        <v>0</v>
      </c>
      <c r="AL80" s="355">
        <f>Sales!AL113</f>
        <v>0</v>
      </c>
      <c r="AM80" s="355">
        <f>Sales!AM113</f>
        <v>0</v>
      </c>
      <c r="AN80" s="355">
        <f>Sales!AN113</f>
        <v>0</v>
      </c>
      <c r="AO80" s="355">
        <f>Sales!AO113</f>
        <v>0</v>
      </c>
      <c r="AP80" s="360">
        <f>Sales!AP113</f>
        <v>0</v>
      </c>
      <c r="AQ80" s="356">
        <f>Sales!AQ113</f>
        <v>0</v>
      </c>
      <c r="AR80" s="355">
        <f>Sales!AR113</f>
        <v>0</v>
      </c>
      <c r="AS80" s="275">
        <f>Sales!AS113</f>
        <v>0</v>
      </c>
      <c r="AT80" s="275">
        <f>Sales!AT113</f>
        <v>0</v>
      </c>
      <c r="AU80" s="311">
        <f>Sales!AU113</f>
        <v>0</v>
      </c>
      <c r="AV80" s="275">
        <f>Sales!AV113</f>
        <v>0</v>
      </c>
      <c r="AW80" s="275">
        <f>Sales!AW113</f>
        <v>0</v>
      </c>
      <c r="AX80" s="275">
        <f>Sales!AX113</f>
        <v>0</v>
      </c>
      <c r="AY80" s="275">
        <f>Sales!AY113</f>
        <v>0</v>
      </c>
      <c r="AZ80" s="311">
        <f>Sales!AZ113</f>
        <v>0</v>
      </c>
      <c r="BA80" s="275">
        <f>Sales!BA113</f>
        <v>0</v>
      </c>
      <c r="BB80" s="275">
        <f>Sales!BB113</f>
        <v>313.3</v>
      </c>
      <c r="BC80" s="275">
        <f>Sales!BC113</f>
        <v>462.8</v>
      </c>
      <c r="BD80" s="275">
        <f>Sales!BD113</f>
        <v>509</v>
      </c>
      <c r="BE80" s="332">
        <f>Sales!BE113</f>
        <v>1285.0999999999999</v>
      </c>
      <c r="BF80" s="285">
        <f>Sales!BF113</f>
        <v>447</v>
      </c>
      <c r="BG80" s="285">
        <f>Sales!BG113</f>
        <v>522</v>
      </c>
      <c r="BH80" s="285">
        <f>Sales!BH113</f>
        <v>575</v>
      </c>
      <c r="BI80" s="285">
        <f>Sales!BI113</f>
        <v>610</v>
      </c>
      <c r="BJ80" s="277">
        <f>Sales!BJ113</f>
        <v>2154</v>
      </c>
      <c r="BK80" s="285">
        <f>Sales!BK113</f>
        <v>0</v>
      </c>
      <c r="BL80" s="285">
        <f>Sales!BL113</f>
        <v>0</v>
      </c>
      <c r="BM80" s="285">
        <f>Sales!BM113</f>
        <v>0</v>
      </c>
      <c r="BN80" s="285">
        <f>Sales!BN113</f>
        <v>0</v>
      </c>
      <c r="BO80" s="277">
        <f>Sales!BO113</f>
        <v>2504.77</v>
      </c>
      <c r="BP80" s="285">
        <f>Sales!BP113</f>
        <v>0</v>
      </c>
      <c r="BQ80" s="285">
        <f>Sales!BQ113</f>
        <v>0</v>
      </c>
      <c r="BR80" s="285">
        <f>Sales!BR113</f>
        <v>0</v>
      </c>
      <c r="BS80" s="285">
        <f>Sales!BS113</f>
        <v>0</v>
      </c>
      <c r="BT80" s="277">
        <f>Sales!BT113</f>
        <v>2797.9175</v>
      </c>
      <c r="BU80" s="285">
        <f>Sales!BU113</f>
        <v>0</v>
      </c>
      <c r="BV80" s="285">
        <f>Sales!BV113</f>
        <v>0</v>
      </c>
      <c r="BW80" s="285">
        <f>Sales!BW113</f>
        <v>0</v>
      </c>
      <c r="BX80" s="285">
        <f>Sales!BX113</f>
        <v>0</v>
      </c>
      <c r="BY80" s="277">
        <f>Sales!BY113</f>
        <v>3075.81916</v>
      </c>
      <c r="BZ80" s="285">
        <f>Sales!BZ113</f>
        <v>0</v>
      </c>
      <c r="CA80" s="285">
        <f>Sales!CA113</f>
        <v>0</v>
      </c>
      <c r="CB80" s="285">
        <f>Sales!CB113</f>
        <v>0</v>
      </c>
      <c r="CC80" s="285">
        <f>Sales!CC113</f>
        <v>0</v>
      </c>
      <c r="CD80" s="277">
        <f>Sales!CD113</f>
        <v>3204.2119913000001</v>
      </c>
    </row>
    <row r="81" spans="1:83" s="355" customFormat="1" ht="13" x14ac:dyDescent="0.15">
      <c r="A81" s="28"/>
      <c r="B81" s="309" t="str">
        <f>Sales!B114</f>
        <v>growth</v>
      </c>
      <c r="C81" s="317">
        <f>Sales!C114</f>
        <v>0</v>
      </c>
      <c r="D81" s="318">
        <f>Sales!D114</f>
        <v>0</v>
      </c>
      <c r="E81" s="318">
        <f>Sales!E114</f>
        <v>0</v>
      </c>
      <c r="F81" s="318">
        <f>Sales!F114</f>
        <v>0</v>
      </c>
      <c r="G81" s="319">
        <f>Sales!G114</f>
        <v>0</v>
      </c>
      <c r="H81" s="318">
        <f>Sales!H114</f>
        <v>0</v>
      </c>
      <c r="I81" s="318">
        <f>Sales!I114</f>
        <v>0</v>
      </c>
      <c r="J81" s="318">
        <f>Sales!J114</f>
        <v>0</v>
      </c>
      <c r="K81" s="318">
        <f>Sales!K114</f>
        <v>0</v>
      </c>
      <c r="L81" s="319">
        <f>Sales!L114</f>
        <v>0</v>
      </c>
      <c r="M81" s="318">
        <f>Sales!M114</f>
        <v>0</v>
      </c>
      <c r="N81" s="318">
        <f>Sales!N114</f>
        <v>0</v>
      </c>
      <c r="O81" s="318">
        <f>Sales!O114</f>
        <v>0</v>
      </c>
      <c r="P81" s="318">
        <f>Sales!P114</f>
        <v>0</v>
      </c>
      <c r="Q81" s="319">
        <f>Sales!Q114</f>
        <v>0</v>
      </c>
      <c r="R81" s="318">
        <f>Sales!R114</f>
        <v>0</v>
      </c>
      <c r="S81" s="318">
        <f>Sales!S114</f>
        <v>0</v>
      </c>
      <c r="T81" s="318">
        <f>Sales!T114</f>
        <v>0</v>
      </c>
      <c r="U81" s="318">
        <f>Sales!U114</f>
        <v>0</v>
      </c>
      <c r="V81" s="319">
        <f>Sales!V114</f>
        <v>0</v>
      </c>
      <c r="W81" s="320">
        <f>Sales!W114</f>
        <v>0</v>
      </c>
      <c r="X81" s="321">
        <f>Sales!X114</f>
        <v>0</v>
      </c>
      <c r="Y81" s="321">
        <f>Sales!Y114</f>
        <v>0</v>
      </c>
      <c r="Z81" s="321">
        <f>Sales!Z114</f>
        <v>0</v>
      </c>
      <c r="AA81" s="322">
        <f>Sales!AA114</f>
        <v>0</v>
      </c>
      <c r="AB81" s="320">
        <f>Sales!AB114</f>
        <v>0</v>
      </c>
      <c r="AC81" s="320">
        <f>Sales!AC114</f>
        <v>0</v>
      </c>
      <c r="AD81" s="320">
        <f>Sales!AD114</f>
        <v>0</v>
      </c>
      <c r="AE81" s="320">
        <f>Sales!AE114</f>
        <v>0</v>
      </c>
      <c r="AF81" s="372">
        <f>Sales!AF114</f>
        <v>0</v>
      </c>
      <c r="AG81" s="324">
        <f>Sales!AG114</f>
        <v>0</v>
      </c>
      <c r="AH81" s="324">
        <f>Sales!AH114</f>
        <v>0</v>
      </c>
      <c r="AI81" s="324">
        <f>Sales!AI114</f>
        <v>0</v>
      </c>
      <c r="AJ81" s="373">
        <f>Sales!AJ114</f>
        <v>0</v>
      </c>
      <c r="AK81" s="372">
        <f>Sales!AK114</f>
        <v>0</v>
      </c>
      <c r="AL81" s="373">
        <f>Sales!AL114</f>
        <v>0</v>
      </c>
      <c r="AM81" s="324">
        <f>Sales!AM114</f>
        <v>0</v>
      </c>
      <c r="AN81" s="373">
        <f>Sales!AN114</f>
        <v>0</v>
      </c>
      <c r="AO81" s="373">
        <f>Sales!AO114</f>
        <v>0</v>
      </c>
      <c r="AP81" s="372">
        <f>Sales!AP114</f>
        <v>0</v>
      </c>
      <c r="AQ81" s="374">
        <f>Sales!AQ114</f>
        <v>0</v>
      </c>
      <c r="AR81" s="324">
        <f>Sales!AR114</f>
        <v>0</v>
      </c>
      <c r="AS81" s="373">
        <f>Sales!AS114</f>
        <v>0</v>
      </c>
      <c r="AT81" s="373">
        <f>Sales!AT114</f>
        <v>0</v>
      </c>
      <c r="AU81" s="372">
        <f>Sales!AU114</f>
        <v>0</v>
      </c>
      <c r="AV81" s="324">
        <f>Sales!AV114</f>
        <v>0</v>
      </c>
      <c r="AW81" s="373">
        <f>Sales!AW114</f>
        <v>0</v>
      </c>
      <c r="AX81" s="373">
        <f>Sales!AX114</f>
        <v>0</v>
      </c>
      <c r="AY81" s="373">
        <f>Sales!AY114</f>
        <v>0</v>
      </c>
      <c r="AZ81" s="372">
        <f>Sales!AZ114</f>
        <v>0</v>
      </c>
      <c r="BA81" s="373">
        <f>Sales!BA114</f>
        <v>0</v>
      </c>
      <c r="BB81" s="373">
        <f>Sales!BB114</f>
        <v>0</v>
      </c>
      <c r="BC81" s="373">
        <f>Sales!BC114</f>
        <v>0</v>
      </c>
      <c r="BD81" s="373">
        <f>Sales!BD114</f>
        <v>0</v>
      </c>
      <c r="BE81" s="375">
        <f>Sales!BE114</f>
        <v>0</v>
      </c>
      <c r="BF81" s="376">
        <f>Sales!BF114</f>
        <v>0</v>
      </c>
      <c r="BG81" s="376">
        <f>Sales!BG114</f>
        <v>0</v>
      </c>
      <c r="BH81" s="376">
        <f>Sales!BH114</f>
        <v>0</v>
      </c>
      <c r="BI81" s="376">
        <f>Sales!BI114</f>
        <v>0</v>
      </c>
      <c r="BJ81" s="372">
        <f>Sales!BJ114</f>
        <v>0</v>
      </c>
      <c r="BK81" s="376">
        <f>Sales!BK114</f>
        <v>0</v>
      </c>
      <c r="BL81" s="376">
        <f>Sales!BL114</f>
        <v>0</v>
      </c>
      <c r="BM81" s="376">
        <f>Sales!BM114</f>
        <v>0</v>
      </c>
      <c r="BN81" s="376">
        <f>Sales!BN114</f>
        <v>0</v>
      </c>
      <c r="BO81" s="372">
        <f>Sales!BO114</f>
        <v>0.16284586815227486</v>
      </c>
      <c r="BP81" s="376">
        <f>Sales!BP114</f>
        <v>0</v>
      </c>
      <c r="BQ81" s="376">
        <f>Sales!BQ114</f>
        <v>0</v>
      </c>
      <c r="BR81" s="376">
        <f>Sales!BR114</f>
        <v>0</v>
      </c>
      <c r="BS81" s="376">
        <f>Sales!BS114</f>
        <v>0</v>
      </c>
      <c r="BT81" s="372">
        <f>Sales!BT114</f>
        <v>0.11703569589223761</v>
      </c>
      <c r="BU81" s="376">
        <f>Sales!BU114</f>
        <v>0</v>
      </c>
      <c r="BV81" s="376">
        <f>Sales!BV114</f>
        <v>0</v>
      </c>
      <c r="BW81" s="376">
        <f>Sales!BW114</f>
        <v>0</v>
      </c>
      <c r="BX81" s="376">
        <f>Sales!BX114</f>
        <v>0</v>
      </c>
      <c r="BY81" s="372">
        <f>Sales!BY114</f>
        <v>9.9324465428305198E-2</v>
      </c>
      <c r="BZ81" s="376">
        <f>Sales!BZ114</f>
        <v>0</v>
      </c>
      <c r="CA81" s="376">
        <f>Sales!CA114</f>
        <v>0</v>
      </c>
      <c r="CB81" s="376">
        <f>Sales!CB114</f>
        <v>0</v>
      </c>
      <c r="CC81" s="376">
        <f>Sales!CC114</f>
        <v>0</v>
      </c>
      <c r="CD81" s="372">
        <f>Sales!CD114</f>
        <v>4.1742646306943465E-2</v>
      </c>
    </row>
    <row r="82" spans="1:83" s="285" customFormat="1" x14ac:dyDescent="0.15">
      <c r="A82" s="28"/>
      <c r="B82" s="433" t="str">
        <f>Sales!B115</f>
        <v>Total United States</v>
      </c>
      <c r="C82" s="434">
        <f>Sales!C115</f>
        <v>0</v>
      </c>
      <c r="D82" s="434">
        <f>Sales!D115</f>
        <v>0</v>
      </c>
      <c r="E82" s="434">
        <f>Sales!E115</f>
        <v>0</v>
      </c>
      <c r="F82" s="434">
        <f>Sales!F115</f>
        <v>0</v>
      </c>
      <c r="G82" s="435">
        <f>Sales!G115</f>
        <v>0</v>
      </c>
      <c r="H82" s="434">
        <f>Sales!H115</f>
        <v>0</v>
      </c>
      <c r="I82" s="434">
        <f>Sales!I115</f>
        <v>0</v>
      </c>
      <c r="J82" s="434">
        <f>Sales!J115</f>
        <v>0</v>
      </c>
      <c r="K82" s="434">
        <f>Sales!K115</f>
        <v>0</v>
      </c>
      <c r="L82" s="435">
        <f>Sales!L115</f>
        <v>0</v>
      </c>
      <c r="M82" s="434">
        <f>Sales!M115</f>
        <v>0</v>
      </c>
      <c r="N82" s="434">
        <f>Sales!N115</f>
        <v>0</v>
      </c>
      <c r="O82" s="434">
        <f>Sales!O115</f>
        <v>0</v>
      </c>
      <c r="P82" s="434">
        <f>Sales!P115</f>
        <v>0</v>
      </c>
      <c r="Q82" s="435">
        <f>Sales!Q115</f>
        <v>0</v>
      </c>
      <c r="R82" s="434">
        <f>Sales!R115</f>
        <v>0</v>
      </c>
      <c r="S82" s="434">
        <f>Sales!S115</f>
        <v>0</v>
      </c>
      <c r="T82" s="434">
        <f>Sales!T115</f>
        <v>0</v>
      </c>
      <c r="U82" s="434">
        <f>Sales!U115</f>
        <v>0</v>
      </c>
      <c r="V82" s="435">
        <f>Sales!V115</f>
        <v>0</v>
      </c>
      <c r="W82" s="434">
        <f>Sales!W115</f>
        <v>0</v>
      </c>
      <c r="X82" s="434">
        <f>Sales!X115</f>
        <v>0</v>
      </c>
      <c r="Y82" s="434">
        <f>Sales!Y115</f>
        <v>0</v>
      </c>
      <c r="Z82" s="434">
        <f>Sales!Z115</f>
        <v>0</v>
      </c>
      <c r="AA82" s="435">
        <f>Sales!AA115</f>
        <v>0</v>
      </c>
      <c r="AB82" s="434">
        <f>Sales!AB115</f>
        <v>0</v>
      </c>
      <c r="AC82" s="434">
        <f>Sales!AC115</f>
        <v>0</v>
      </c>
      <c r="AD82" s="434">
        <f>Sales!AD115</f>
        <v>0</v>
      </c>
      <c r="AE82" s="434">
        <f>Sales!AE115</f>
        <v>0</v>
      </c>
      <c r="AF82" s="435">
        <f>Sales!AF115</f>
        <v>0</v>
      </c>
      <c r="AG82" s="434">
        <f>Sales!AG115</f>
        <v>0</v>
      </c>
      <c r="AH82" s="434">
        <f>Sales!AH115</f>
        <v>0</v>
      </c>
      <c r="AI82" s="434">
        <f>Sales!AI115</f>
        <v>0</v>
      </c>
      <c r="AJ82" s="434">
        <f>Sales!AJ115</f>
        <v>0</v>
      </c>
      <c r="AK82" s="435">
        <f>Sales!AK115</f>
        <v>0</v>
      </c>
      <c r="AL82" s="436">
        <f>Sales!AL115</f>
        <v>0</v>
      </c>
      <c r="AM82" s="434">
        <f>Sales!AM115</f>
        <v>0</v>
      </c>
      <c r="AN82" s="436">
        <f>Sales!AN115</f>
        <v>0</v>
      </c>
      <c r="AO82" s="434">
        <f>Sales!AO115</f>
        <v>0</v>
      </c>
      <c r="AP82" s="435">
        <f>Sales!AP115</f>
        <v>0</v>
      </c>
      <c r="AQ82" s="437">
        <f>Sales!AQ115</f>
        <v>642.6</v>
      </c>
      <c r="AR82" s="437">
        <f>Sales!AR115</f>
        <v>650.5</v>
      </c>
      <c r="AS82" s="437">
        <f>Sales!AS115</f>
        <v>815.80000000000007</v>
      </c>
      <c r="AT82" s="437">
        <f>Sales!AT115</f>
        <v>1085.5999999999999</v>
      </c>
      <c r="AU82" s="438">
        <f>Sales!AU115</f>
        <v>3194.5</v>
      </c>
      <c r="AV82" s="437">
        <f>Sales!AV115</f>
        <v>1006.4</v>
      </c>
      <c r="AW82" s="437">
        <f>Sales!AW115</f>
        <v>1038.1000000000001</v>
      </c>
      <c r="AX82" s="437">
        <f>Sales!AX115</f>
        <v>1087.2</v>
      </c>
      <c r="AY82" s="437">
        <f>Sales!AY115</f>
        <v>1334.7</v>
      </c>
      <c r="AZ82" s="438">
        <f>Sales!AZ115</f>
        <v>4466.3999999999996</v>
      </c>
      <c r="BA82" s="437">
        <f>Sales!BA115</f>
        <v>1403.7</v>
      </c>
      <c r="BB82" s="437">
        <f>Sales!BB115</f>
        <v>1840.3000000000002</v>
      </c>
      <c r="BC82" s="437">
        <f>Sales!BC115</f>
        <v>1968.1999999999998</v>
      </c>
      <c r="BD82" s="437">
        <f>Sales!BD115</f>
        <v>1894.6000000000001</v>
      </c>
      <c r="BE82" s="438">
        <f>Sales!BE115</f>
        <v>7106.8000000000011</v>
      </c>
      <c r="BF82" s="439">
        <f>Sales!BF115</f>
        <v>1591.17</v>
      </c>
      <c r="BG82" s="439">
        <f>Sales!BG115</f>
        <v>1822.41</v>
      </c>
      <c r="BH82" s="439">
        <f>Sales!BH115</f>
        <v>1953.175</v>
      </c>
      <c r="BI82" s="439">
        <f>Sales!BI115</f>
        <v>2065.585</v>
      </c>
      <c r="BJ82" s="438">
        <f>Sales!BJ115</f>
        <v>7432.34</v>
      </c>
      <c r="BK82" s="439">
        <f>Sales!BK115</f>
        <v>0</v>
      </c>
      <c r="BL82" s="439">
        <f>Sales!BL115</f>
        <v>0</v>
      </c>
      <c r="BM82" s="439">
        <f>Sales!BM115</f>
        <v>0</v>
      </c>
      <c r="BN82" s="439">
        <f>Sales!BN115</f>
        <v>0</v>
      </c>
      <c r="BO82" s="438">
        <f>Sales!BO115</f>
        <v>8054.9653500000004</v>
      </c>
      <c r="BP82" s="439">
        <f>Sales!BP115</f>
        <v>0</v>
      </c>
      <c r="BQ82" s="439">
        <f>Sales!BQ115</f>
        <v>0</v>
      </c>
      <c r="BR82" s="439">
        <f>Sales!BR115</f>
        <v>0</v>
      </c>
      <c r="BS82" s="439">
        <f>Sales!BS115</f>
        <v>0</v>
      </c>
      <c r="BT82" s="438">
        <f>Sales!BT115</f>
        <v>8602.3704519999992</v>
      </c>
      <c r="BU82" s="439">
        <f>Sales!BU115</f>
        <v>0</v>
      </c>
      <c r="BV82" s="439">
        <f>Sales!BV115</f>
        <v>0</v>
      </c>
      <c r="BW82" s="439">
        <f>Sales!BW115</f>
        <v>0</v>
      </c>
      <c r="BX82" s="439">
        <f>Sales!BX115</f>
        <v>0</v>
      </c>
      <c r="BY82" s="438">
        <f>Sales!BY115</f>
        <v>9178.9723760400011</v>
      </c>
      <c r="BZ82" s="439">
        <f>Sales!BZ115</f>
        <v>0</v>
      </c>
      <c r="CA82" s="439">
        <f>Sales!CA115</f>
        <v>0</v>
      </c>
      <c r="CB82" s="439">
        <f>Sales!CB115</f>
        <v>0</v>
      </c>
      <c r="CC82" s="439">
        <f>Sales!CC115</f>
        <v>0</v>
      </c>
      <c r="CD82" s="438">
        <f>Sales!CD115</f>
        <v>9587.0600168807996</v>
      </c>
    </row>
    <row r="83" spans="1:83" s="285" customFormat="1" x14ac:dyDescent="0.15">
      <c r="A83" s="28"/>
      <c r="B83" s="440" t="str">
        <f>Sales!B116</f>
        <v>growth</v>
      </c>
      <c r="C83" s="441">
        <f>Sales!C116</f>
        <v>0</v>
      </c>
      <c r="D83" s="441">
        <f>Sales!D116</f>
        <v>0</v>
      </c>
      <c r="E83" s="441">
        <f>Sales!E116</f>
        <v>0</v>
      </c>
      <c r="F83" s="441">
        <f>Sales!F116</f>
        <v>0</v>
      </c>
      <c r="G83" s="442">
        <f>Sales!G116</f>
        <v>0</v>
      </c>
      <c r="H83" s="441">
        <f>Sales!H116</f>
        <v>0</v>
      </c>
      <c r="I83" s="441">
        <f>Sales!I116</f>
        <v>0</v>
      </c>
      <c r="J83" s="441">
        <f>Sales!J116</f>
        <v>0</v>
      </c>
      <c r="K83" s="441">
        <f>Sales!K116</f>
        <v>0</v>
      </c>
      <c r="L83" s="442">
        <f>Sales!L116</f>
        <v>0</v>
      </c>
      <c r="M83" s="441">
        <f>Sales!M116</f>
        <v>0</v>
      </c>
      <c r="N83" s="441">
        <f>Sales!N116</f>
        <v>0</v>
      </c>
      <c r="O83" s="441">
        <f>Sales!O116</f>
        <v>0</v>
      </c>
      <c r="P83" s="441">
        <f>Sales!P116</f>
        <v>0</v>
      </c>
      <c r="Q83" s="442">
        <f>Sales!Q116</f>
        <v>0</v>
      </c>
      <c r="R83" s="441">
        <f>Sales!R116</f>
        <v>0</v>
      </c>
      <c r="S83" s="441">
        <f>Sales!S116</f>
        <v>0</v>
      </c>
      <c r="T83" s="441">
        <f>Sales!T116</f>
        <v>0</v>
      </c>
      <c r="U83" s="441">
        <f>Sales!U116</f>
        <v>0</v>
      </c>
      <c r="V83" s="442">
        <f>Sales!V116</f>
        <v>0</v>
      </c>
      <c r="W83" s="441">
        <f>Sales!W116</f>
        <v>0</v>
      </c>
      <c r="X83" s="441">
        <f>Sales!X116</f>
        <v>0</v>
      </c>
      <c r="Y83" s="441">
        <f>Sales!Y116</f>
        <v>0</v>
      </c>
      <c r="Z83" s="441">
        <f>Sales!Z116</f>
        <v>0</v>
      </c>
      <c r="AA83" s="442">
        <f>Sales!AA116</f>
        <v>0</v>
      </c>
      <c r="AB83" s="441">
        <f>Sales!AB116</f>
        <v>0</v>
      </c>
      <c r="AC83" s="441">
        <f>Sales!AC116</f>
        <v>0</v>
      </c>
      <c r="AD83" s="441">
        <f>Sales!AD116</f>
        <v>0</v>
      </c>
      <c r="AE83" s="441">
        <f>Sales!AE116</f>
        <v>0</v>
      </c>
      <c r="AF83" s="442">
        <f>Sales!AF116</f>
        <v>0</v>
      </c>
      <c r="AG83" s="441">
        <f>Sales!AG116</f>
        <v>0</v>
      </c>
      <c r="AH83" s="441">
        <f>Sales!AH116</f>
        <v>0</v>
      </c>
      <c r="AI83" s="441">
        <f>Sales!AI116</f>
        <v>0</v>
      </c>
      <c r="AJ83" s="441">
        <f>Sales!AJ116</f>
        <v>0</v>
      </c>
      <c r="AK83" s="442">
        <f>Sales!AK116</f>
        <v>0</v>
      </c>
      <c r="AL83" s="443">
        <f>Sales!AL116</f>
        <v>0</v>
      </c>
      <c r="AM83" s="441">
        <f>Sales!AM116</f>
        <v>0</v>
      </c>
      <c r="AN83" s="443">
        <f>Sales!AN116</f>
        <v>0</v>
      </c>
      <c r="AO83" s="441">
        <f>Sales!AO116</f>
        <v>0</v>
      </c>
      <c r="AP83" s="442">
        <f>Sales!AP116</f>
        <v>0</v>
      </c>
      <c r="AQ83" s="441">
        <f>Sales!AQ116</f>
        <v>0</v>
      </c>
      <c r="AR83" s="441">
        <f>Sales!AR116</f>
        <v>0</v>
      </c>
      <c r="AS83" s="441">
        <f>Sales!AS116</f>
        <v>0</v>
      </c>
      <c r="AT83" s="441">
        <f>Sales!AT116</f>
        <v>0</v>
      </c>
      <c r="AU83" s="442">
        <f>Sales!AU116</f>
        <v>0</v>
      </c>
      <c r="AV83" s="444">
        <f>Sales!AV116</f>
        <v>0.56613756613756605</v>
      </c>
      <c r="AW83" s="444">
        <f>Sales!AW116</f>
        <v>0.59584934665641831</v>
      </c>
      <c r="AX83" s="444">
        <f>Sales!AX116</f>
        <v>0.33267957832802142</v>
      </c>
      <c r="AY83" s="444">
        <f>Sales!AY116</f>
        <v>0.22945836403831987</v>
      </c>
      <c r="AZ83" s="445">
        <f>Sales!AZ116</f>
        <v>0.39815307559868507</v>
      </c>
      <c r="BA83" s="444">
        <f>Sales!BA116</f>
        <v>0.39477344992050889</v>
      </c>
      <c r="BB83" s="281">
        <f>Sales!BB116</f>
        <v>0.77275792312879288</v>
      </c>
      <c r="BC83" s="281">
        <f>Sales!BC116</f>
        <v>0.81033848417954357</v>
      </c>
      <c r="BD83" s="281">
        <f>Sales!BD116</f>
        <v>0.41949501760695296</v>
      </c>
      <c r="BE83" s="445">
        <f>Sales!BE116</f>
        <v>0.59116962206698953</v>
      </c>
      <c r="BF83" s="446">
        <f>Sales!BF116</f>
        <v>0.13355417824321436</v>
      </c>
      <c r="BG83" s="446">
        <f>Sales!BG116</f>
        <v>-9.721241101994238E-3</v>
      </c>
      <c r="BH83" s="446">
        <f>Sales!BH116</f>
        <v>-7.6338786708667339E-3</v>
      </c>
      <c r="BI83" s="446">
        <f>Sales!BI116</f>
        <v>9.0248601287870711E-2</v>
      </c>
      <c r="BJ83" s="445">
        <f>Sales!BJ116</f>
        <v>4.5806832892440807E-2</v>
      </c>
      <c r="BK83" s="446">
        <f>Sales!BK116</f>
        <v>0</v>
      </c>
      <c r="BL83" s="446">
        <f>Sales!BL116</f>
        <v>0</v>
      </c>
      <c r="BM83" s="446">
        <f>Sales!BM116</f>
        <v>0</v>
      </c>
      <c r="BN83" s="446">
        <f>Sales!BN116</f>
        <v>0</v>
      </c>
      <c r="BO83" s="445">
        <f>Sales!BO116</f>
        <v>8.3772452551955423E-2</v>
      </c>
      <c r="BP83" s="446">
        <f>Sales!BP116</f>
        <v>0</v>
      </c>
      <c r="BQ83" s="446">
        <f>Sales!BQ116</f>
        <v>0</v>
      </c>
      <c r="BR83" s="446">
        <f>Sales!BR116</f>
        <v>0</v>
      </c>
      <c r="BS83" s="446">
        <f>Sales!BS116</f>
        <v>0</v>
      </c>
      <c r="BT83" s="445">
        <f>Sales!BT116</f>
        <v>6.7958715924209212E-2</v>
      </c>
      <c r="BU83" s="446">
        <f>Sales!BU116</f>
        <v>0</v>
      </c>
      <c r="BV83" s="446">
        <f>Sales!BV116</f>
        <v>0</v>
      </c>
      <c r="BW83" s="446">
        <f>Sales!BW116</f>
        <v>0</v>
      </c>
      <c r="BX83" s="446">
        <f>Sales!BX116</f>
        <v>0</v>
      </c>
      <c r="BY83" s="445">
        <f>Sales!BY116</f>
        <v>6.7028260089164737E-2</v>
      </c>
      <c r="BZ83" s="446">
        <f>Sales!BZ116</f>
        <v>0</v>
      </c>
      <c r="CA83" s="446">
        <f>Sales!CA116</f>
        <v>0</v>
      </c>
      <c r="CB83" s="446">
        <f>Sales!CB116</f>
        <v>0</v>
      </c>
      <c r="CC83" s="446">
        <f>Sales!CC116</f>
        <v>0</v>
      </c>
      <c r="CD83" s="445">
        <f>Sales!CD116</f>
        <v>4.4458968185375092E-2</v>
      </c>
    </row>
    <row r="84" spans="1:83" s="454" customFormat="1" hidden="1" x14ac:dyDescent="0.15">
      <c r="A84" s="157"/>
      <c r="B84" s="447" t="str">
        <f>Sales!B117</f>
        <v>Total Developed ROW (Canada/Austraila/Japan/WEU)</v>
      </c>
      <c r="C84" s="448" t="e">
        <f>Sales!C117</f>
        <v>#REF!</v>
      </c>
      <c r="D84" s="448" t="e">
        <f>Sales!D117</f>
        <v>#REF!</v>
      </c>
      <c r="E84" s="448" t="e">
        <f>Sales!E117</f>
        <v>#REF!</v>
      </c>
      <c r="F84" s="448" t="e">
        <f>Sales!F117</f>
        <v>#REF!</v>
      </c>
      <c r="G84" s="449" t="e">
        <f>Sales!G117</f>
        <v>#REF!</v>
      </c>
      <c r="H84" s="448" t="e">
        <f>Sales!H117</f>
        <v>#REF!</v>
      </c>
      <c r="I84" s="448" t="e">
        <f>Sales!I117</f>
        <v>#REF!</v>
      </c>
      <c r="J84" s="448" t="e">
        <f>Sales!J117</f>
        <v>#REF!</v>
      </c>
      <c r="K84" s="448" t="e">
        <f>Sales!K117</f>
        <v>#REF!</v>
      </c>
      <c r="L84" s="449" t="e">
        <f>Sales!L117</f>
        <v>#REF!</v>
      </c>
      <c r="M84" s="448" t="e">
        <f>Sales!M117</f>
        <v>#REF!</v>
      </c>
      <c r="N84" s="448" t="e">
        <f>Sales!N117</f>
        <v>#REF!</v>
      </c>
      <c r="O84" s="448" t="e">
        <f>Sales!O117</f>
        <v>#REF!</v>
      </c>
      <c r="P84" s="448" t="e">
        <f>Sales!P117</f>
        <v>#REF!</v>
      </c>
      <c r="Q84" s="449" t="e">
        <f>Sales!Q117</f>
        <v>#REF!</v>
      </c>
      <c r="R84" s="448" t="e">
        <f>Sales!R117</f>
        <v>#REF!</v>
      </c>
      <c r="S84" s="448" t="e">
        <f>Sales!S117</f>
        <v>#REF!</v>
      </c>
      <c r="T84" s="448" t="e">
        <f>Sales!T117</f>
        <v>#REF!</v>
      </c>
      <c r="U84" s="448" t="e">
        <f>Sales!U117</f>
        <v>#REF!</v>
      </c>
      <c r="V84" s="449" t="e">
        <f>Sales!V117</f>
        <v>#REF!</v>
      </c>
      <c r="W84" s="450" t="e">
        <f>Sales!W117</f>
        <v>#REF!</v>
      </c>
      <c r="X84" s="450" t="e">
        <f>Sales!X117</f>
        <v>#REF!</v>
      </c>
      <c r="Y84" s="450" t="e">
        <f>Sales!Y117</f>
        <v>#REF!</v>
      </c>
      <c r="Z84" s="450" t="e">
        <f>Sales!Z117</f>
        <v>#REF!</v>
      </c>
      <c r="AA84" s="451" t="e">
        <f>Sales!AA117</f>
        <v>#REF!</v>
      </c>
      <c r="AB84" s="450">
        <f>Sales!AB117</f>
        <v>0</v>
      </c>
      <c r="AC84" s="450">
        <f>Sales!AC117</f>
        <v>0</v>
      </c>
      <c r="AD84" s="450">
        <f>Sales!AD117</f>
        <v>0</v>
      </c>
      <c r="AE84" s="450">
        <f>Sales!AE117</f>
        <v>0</v>
      </c>
      <c r="AF84" s="451">
        <f>Sales!AF117</f>
        <v>0</v>
      </c>
      <c r="AG84" s="452">
        <f>Sales!AG117</f>
        <v>0</v>
      </c>
      <c r="AH84" s="450">
        <f>Sales!AH117</f>
        <v>0</v>
      </c>
      <c r="AI84" s="450">
        <f>Sales!AI117</f>
        <v>0</v>
      </c>
      <c r="AJ84" s="452">
        <f>Sales!AJ117</f>
        <v>0</v>
      </c>
      <c r="AK84" s="451">
        <f>Sales!AK117</f>
        <v>0</v>
      </c>
      <c r="AL84" s="450">
        <f>Sales!AL117</f>
        <v>0</v>
      </c>
      <c r="AM84" s="452">
        <f>Sales!AM117</f>
        <v>0</v>
      </c>
      <c r="AN84" s="452">
        <f>Sales!AN117</f>
        <v>0</v>
      </c>
      <c r="AO84" s="450">
        <f>Sales!AO117</f>
        <v>0</v>
      </c>
      <c r="AP84" s="451">
        <f>Sales!AP117</f>
        <v>0</v>
      </c>
      <c r="AQ84" s="452">
        <f>Sales!AQ117</f>
        <v>128.5</v>
      </c>
      <c r="AR84" s="450">
        <f>Sales!AR117</f>
        <v>141.30000000000001</v>
      </c>
      <c r="AS84" s="450">
        <f>Sales!AS117</f>
        <v>326.88900000000001</v>
      </c>
      <c r="AT84" s="450">
        <f>Sales!AT117</f>
        <v>484.77199999999999</v>
      </c>
      <c r="AU84" s="451">
        <f>Sales!AU117</f>
        <v>1081.461</v>
      </c>
      <c r="AV84" s="450">
        <f>Sales!AV117</f>
        <v>415.4</v>
      </c>
      <c r="AW84" s="450">
        <f>Sales!AW117</f>
        <v>441.6</v>
      </c>
      <c r="AX84" s="450">
        <f>Sales!AX117</f>
        <v>420.7</v>
      </c>
      <c r="AY84" s="450">
        <f>Sales!AY117</f>
        <v>423</v>
      </c>
      <c r="AZ84" s="451">
        <f>Sales!AZ117</f>
        <v>1700.7</v>
      </c>
      <c r="BA84" s="450">
        <f>Sales!BA117</f>
        <v>360.7</v>
      </c>
      <c r="BB84" s="450">
        <f>Sales!BB117</f>
        <v>397.3</v>
      </c>
      <c r="BC84" s="450">
        <f>Sales!BC117</f>
        <v>352.5</v>
      </c>
      <c r="BD84" s="450">
        <f>Sales!BD117</f>
        <v>363.4</v>
      </c>
      <c r="BE84" s="451">
        <f>Sales!BE117</f>
        <v>1473.9</v>
      </c>
      <c r="BF84" s="451">
        <f>Sales!BF117</f>
        <v>339.05799999999999</v>
      </c>
      <c r="BG84" s="451">
        <f>Sales!BG117</f>
        <v>385.38100000000003</v>
      </c>
      <c r="BH84" s="451">
        <f>Sales!BH117</f>
        <v>348.97500000000002</v>
      </c>
      <c r="BI84" s="451">
        <f>Sales!BI117</f>
        <v>370.66800000000001</v>
      </c>
      <c r="BJ84" s="451">
        <f>Sales!BJ117</f>
        <v>1444.0820000000003</v>
      </c>
      <c r="BK84" s="28">
        <f>Sales!BK117</f>
        <v>0</v>
      </c>
      <c r="BL84" s="28">
        <f>Sales!BL117</f>
        <v>0</v>
      </c>
      <c r="BM84" s="28">
        <f>Sales!BM117</f>
        <v>0</v>
      </c>
      <c r="BN84" s="28">
        <f>Sales!BN117</f>
        <v>0</v>
      </c>
      <c r="BO84" s="451">
        <f>Sales!BO117</f>
        <v>1472.9636400000004</v>
      </c>
      <c r="BP84" s="451">
        <f>Sales!BP117</f>
        <v>0</v>
      </c>
      <c r="BQ84" s="451">
        <f>Sales!BQ117</f>
        <v>0</v>
      </c>
      <c r="BR84" s="451">
        <f>Sales!BR117</f>
        <v>0</v>
      </c>
      <c r="BS84" s="451">
        <f>Sales!BS117</f>
        <v>0</v>
      </c>
      <c r="BT84" s="451">
        <f>Sales!BT117</f>
        <v>1502.4229128000004</v>
      </c>
      <c r="BU84" s="28">
        <f>Sales!BU117</f>
        <v>0</v>
      </c>
      <c r="BV84" s="28">
        <f>Sales!BV117</f>
        <v>0</v>
      </c>
      <c r="BW84" s="28">
        <f>Sales!BW117</f>
        <v>0</v>
      </c>
      <c r="BX84" s="28">
        <f>Sales!BX117</f>
        <v>0</v>
      </c>
      <c r="BY84" s="451">
        <f>Sales!BY117</f>
        <v>1532.4713710560004</v>
      </c>
      <c r="BZ84" s="451">
        <f>Sales!BZ117</f>
        <v>0</v>
      </c>
      <c r="CA84" s="451">
        <f>Sales!CA117</f>
        <v>0</v>
      </c>
      <c r="CB84" s="451">
        <f>Sales!CB117</f>
        <v>0</v>
      </c>
      <c r="CC84" s="451">
        <f>Sales!CC117</f>
        <v>0</v>
      </c>
      <c r="CD84" s="451">
        <f>Sales!CD117</f>
        <v>1563.1207984771204</v>
      </c>
      <c r="CE84" s="157"/>
    </row>
    <row r="85" spans="1:83" s="454" customFormat="1" hidden="1" x14ac:dyDescent="0.15">
      <c r="A85" s="157"/>
      <c r="B85" s="455" t="str">
        <f>Sales!B118</f>
        <v>operational growth</v>
      </c>
      <c r="C85" s="456">
        <f>Sales!C118</f>
        <v>0</v>
      </c>
      <c r="D85" s="456">
        <f>Sales!D118</f>
        <v>0</v>
      </c>
      <c r="E85" s="456">
        <f>Sales!E118</f>
        <v>0</v>
      </c>
      <c r="F85" s="456">
        <f>Sales!F118</f>
        <v>0</v>
      </c>
      <c r="G85" s="457">
        <f>Sales!G118</f>
        <v>0</v>
      </c>
      <c r="H85" s="456">
        <f>Sales!H118</f>
        <v>0</v>
      </c>
      <c r="I85" s="456">
        <f>Sales!I118</f>
        <v>0</v>
      </c>
      <c r="J85" s="456">
        <f>Sales!J118</f>
        <v>0</v>
      </c>
      <c r="K85" s="456">
        <f>Sales!K118</f>
        <v>0</v>
      </c>
      <c r="L85" s="457">
        <f>Sales!L118</f>
        <v>0</v>
      </c>
      <c r="M85" s="456">
        <f>Sales!M118</f>
        <v>0</v>
      </c>
      <c r="N85" s="456">
        <f>Sales!N118</f>
        <v>0</v>
      </c>
      <c r="O85" s="456">
        <f>Sales!O118</f>
        <v>0</v>
      </c>
      <c r="P85" s="456">
        <f>Sales!P118</f>
        <v>0</v>
      </c>
      <c r="Q85" s="457">
        <f>Sales!Q118</f>
        <v>0</v>
      </c>
      <c r="R85" s="456">
        <f>Sales!R118</f>
        <v>0</v>
      </c>
      <c r="S85" s="456">
        <f>Sales!S118</f>
        <v>0</v>
      </c>
      <c r="T85" s="456">
        <f>Sales!T118</f>
        <v>0</v>
      </c>
      <c r="U85" s="456">
        <f>Sales!U118</f>
        <v>0</v>
      </c>
      <c r="V85" s="457">
        <f>Sales!V118</f>
        <v>0</v>
      </c>
      <c r="W85" s="458">
        <f>Sales!W118</f>
        <v>0</v>
      </c>
      <c r="X85" s="458">
        <f>Sales!X118</f>
        <v>0</v>
      </c>
      <c r="Y85" s="458">
        <f>Sales!Y118</f>
        <v>0</v>
      </c>
      <c r="Z85" s="458">
        <f>Sales!Z118</f>
        <v>0</v>
      </c>
      <c r="AA85" s="459">
        <f>Sales!AA118</f>
        <v>0</v>
      </c>
      <c r="AB85" s="458">
        <f>Sales!AB118</f>
        <v>0</v>
      </c>
      <c r="AC85" s="458">
        <f>Sales!AC118</f>
        <v>0</v>
      </c>
      <c r="AD85" s="458">
        <f>Sales!AD118</f>
        <v>0</v>
      </c>
      <c r="AE85" s="458">
        <f>Sales!AE118</f>
        <v>0</v>
      </c>
      <c r="AF85" s="459">
        <f>Sales!AF118</f>
        <v>0</v>
      </c>
      <c r="AG85" s="460">
        <f>Sales!AG118</f>
        <v>0</v>
      </c>
      <c r="AH85" s="458">
        <f>Sales!AH118</f>
        <v>0</v>
      </c>
      <c r="AI85" s="458">
        <f>Sales!AI118</f>
        <v>0</v>
      </c>
      <c r="AJ85" s="460">
        <f>Sales!AJ118</f>
        <v>0</v>
      </c>
      <c r="AK85" s="459">
        <f>Sales!AK118</f>
        <v>0</v>
      </c>
      <c r="AL85" s="458">
        <f>Sales!AL118</f>
        <v>0</v>
      </c>
      <c r="AM85" s="460">
        <f>Sales!AM118</f>
        <v>0</v>
      </c>
      <c r="AN85" s="460">
        <f>Sales!AN118</f>
        <v>0</v>
      </c>
      <c r="AO85" s="458">
        <f>Sales!AO118</f>
        <v>0</v>
      </c>
      <c r="AP85" s="459">
        <f>Sales!AP118</f>
        <v>0</v>
      </c>
      <c r="AQ85" s="460">
        <f>Sales!AQ118</f>
        <v>0</v>
      </c>
      <c r="AR85" s="458">
        <f>Sales!AR118</f>
        <v>0</v>
      </c>
      <c r="AS85" s="458">
        <f>Sales!AS118</f>
        <v>0</v>
      </c>
      <c r="AT85" s="458">
        <f>Sales!AT118</f>
        <v>0</v>
      </c>
      <c r="AU85" s="459">
        <f>Sales!AU118</f>
        <v>0</v>
      </c>
      <c r="AV85" s="458">
        <f>Sales!AV118</f>
        <v>0</v>
      </c>
      <c r="AW85" s="458">
        <f>Sales!AW118</f>
        <v>0</v>
      </c>
      <c r="AX85" s="461">
        <f>Sales!AX118</f>
        <v>0.31</v>
      </c>
      <c r="AY85" s="458">
        <f>Sales!AY118</f>
        <v>0</v>
      </c>
      <c r="AZ85" s="459">
        <f>Sales!AZ118</f>
        <v>0</v>
      </c>
      <c r="BA85" s="461">
        <f>Sales!BA118</f>
        <v>1.7573423206547867E-2</v>
      </c>
      <c r="BB85" s="461">
        <f>Sales!BB118</f>
        <v>7.0000000000000007E-2</v>
      </c>
      <c r="BC85" s="662">
        <f>Sales!BC118</f>
        <v>0</v>
      </c>
      <c r="BD85" s="662">
        <f>Sales!BD118</f>
        <v>-2.4586288416075575E-2</v>
      </c>
      <c r="BE85" s="459">
        <f>Sales!BE118</f>
        <v>1.6141543148091853E-2</v>
      </c>
      <c r="BF85" s="459">
        <f>Sales!BF118</f>
        <v>0</v>
      </c>
      <c r="BG85" s="459">
        <f>Sales!BG118</f>
        <v>0.02</v>
      </c>
      <c r="BH85" s="459">
        <f>Sales!BH118</f>
        <v>0.02</v>
      </c>
      <c r="BI85" s="459">
        <f>Sales!BI118</f>
        <v>0.02</v>
      </c>
      <c r="BJ85" s="459">
        <f>Sales!BJ118</f>
        <v>1.4769319492503014E-2</v>
      </c>
      <c r="BK85" s="28">
        <f>Sales!BK118</f>
        <v>0</v>
      </c>
      <c r="BL85" s="28">
        <f>Sales!BL118</f>
        <v>0</v>
      </c>
      <c r="BM85" s="28">
        <f>Sales!BM118</f>
        <v>0</v>
      </c>
      <c r="BN85" s="28">
        <f>Sales!BN118</f>
        <v>0</v>
      </c>
      <c r="BO85" s="459">
        <f>Sales!BO118</f>
        <v>0</v>
      </c>
      <c r="BP85" s="459">
        <f>Sales!BP118</f>
        <v>0</v>
      </c>
      <c r="BQ85" s="459">
        <f>Sales!BQ118</f>
        <v>0</v>
      </c>
      <c r="BR85" s="459">
        <f>Sales!BR118</f>
        <v>0</v>
      </c>
      <c r="BS85" s="459">
        <f>Sales!BS118</f>
        <v>0</v>
      </c>
      <c r="BT85" s="459">
        <f>Sales!BT118</f>
        <v>0</v>
      </c>
      <c r="BU85" s="28">
        <f>Sales!BU118</f>
        <v>0</v>
      </c>
      <c r="BV85" s="28">
        <f>Sales!BV118</f>
        <v>0</v>
      </c>
      <c r="BW85" s="28">
        <f>Sales!BW118</f>
        <v>0</v>
      </c>
      <c r="BX85" s="28">
        <f>Sales!BX118</f>
        <v>0</v>
      </c>
      <c r="BY85" s="459">
        <f>Sales!BY118</f>
        <v>0</v>
      </c>
      <c r="BZ85" s="459">
        <f>Sales!BZ118</f>
        <v>0</v>
      </c>
      <c r="CA85" s="459">
        <f>Sales!CA118</f>
        <v>0</v>
      </c>
      <c r="CB85" s="459">
        <f>Sales!CB118</f>
        <v>0</v>
      </c>
      <c r="CC85" s="459">
        <f>Sales!CC118</f>
        <v>0</v>
      </c>
      <c r="CD85" s="459">
        <f>Sales!CD118</f>
        <v>0</v>
      </c>
      <c r="CE85" s="157"/>
    </row>
    <row r="86" spans="1:83" s="454" customFormat="1" hidden="1" x14ac:dyDescent="0.15">
      <c r="A86" s="157"/>
      <c r="B86" s="455" t="str">
        <f>Sales!B119</f>
        <v>FX impact</v>
      </c>
      <c r="C86" s="456">
        <f>Sales!C119</f>
        <v>0</v>
      </c>
      <c r="D86" s="456">
        <f>Sales!D119</f>
        <v>0</v>
      </c>
      <c r="E86" s="456">
        <f>Sales!E119</f>
        <v>0</v>
      </c>
      <c r="F86" s="456">
        <f>Sales!F119</f>
        <v>0</v>
      </c>
      <c r="G86" s="457">
        <f>Sales!G119</f>
        <v>0</v>
      </c>
      <c r="H86" s="456">
        <f>Sales!H119</f>
        <v>0</v>
      </c>
      <c r="I86" s="456">
        <f>Sales!I119</f>
        <v>0</v>
      </c>
      <c r="J86" s="456">
        <f>Sales!J119</f>
        <v>0</v>
      </c>
      <c r="K86" s="456">
        <f>Sales!K119</f>
        <v>0</v>
      </c>
      <c r="L86" s="457">
        <f>Sales!L119</f>
        <v>0</v>
      </c>
      <c r="M86" s="456">
        <f>Sales!M119</f>
        <v>0</v>
      </c>
      <c r="N86" s="456">
        <f>Sales!N119</f>
        <v>0</v>
      </c>
      <c r="O86" s="456">
        <f>Sales!O119</f>
        <v>0</v>
      </c>
      <c r="P86" s="456">
        <f>Sales!P119</f>
        <v>0</v>
      </c>
      <c r="Q86" s="457">
        <f>Sales!Q119</f>
        <v>0</v>
      </c>
      <c r="R86" s="456">
        <f>Sales!R119</f>
        <v>0</v>
      </c>
      <c r="S86" s="456">
        <f>Sales!S119</f>
        <v>0</v>
      </c>
      <c r="T86" s="456">
        <f>Sales!T119</f>
        <v>0</v>
      </c>
      <c r="U86" s="456">
        <f>Sales!U119</f>
        <v>0</v>
      </c>
      <c r="V86" s="457">
        <f>Sales!V119</f>
        <v>0</v>
      </c>
      <c r="W86" s="458">
        <f>Sales!W119</f>
        <v>0</v>
      </c>
      <c r="X86" s="458">
        <f>Sales!X119</f>
        <v>0</v>
      </c>
      <c r="Y86" s="458">
        <f>Sales!Y119</f>
        <v>0</v>
      </c>
      <c r="Z86" s="458">
        <f>Sales!Z119</f>
        <v>0</v>
      </c>
      <c r="AA86" s="459">
        <f>Sales!AA119</f>
        <v>0</v>
      </c>
      <c r="AB86" s="458">
        <f>Sales!AB119</f>
        <v>0</v>
      </c>
      <c r="AC86" s="458">
        <f>Sales!AC119</f>
        <v>0</v>
      </c>
      <c r="AD86" s="458">
        <f>Sales!AD119</f>
        <v>0</v>
      </c>
      <c r="AE86" s="458">
        <f>Sales!AE119</f>
        <v>0</v>
      </c>
      <c r="AF86" s="459">
        <f>Sales!AF119</f>
        <v>0</v>
      </c>
      <c r="AG86" s="460">
        <f>Sales!AG119</f>
        <v>0</v>
      </c>
      <c r="AH86" s="458">
        <f>Sales!AH119</f>
        <v>0</v>
      </c>
      <c r="AI86" s="458">
        <f>Sales!AI119</f>
        <v>0</v>
      </c>
      <c r="AJ86" s="460">
        <f>Sales!AJ119</f>
        <v>0</v>
      </c>
      <c r="AK86" s="459">
        <f>Sales!AK119</f>
        <v>0</v>
      </c>
      <c r="AL86" s="458">
        <f>Sales!AL119</f>
        <v>0</v>
      </c>
      <c r="AM86" s="460">
        <f>Sales!AM119</f>
        <v>0</v>
      </c>
      <c r="AN86" s="460">
        <f>Sales!AN119</f>
        <v>0</v>
      </c>
      <c r="AO86" s="458">
        <f>Sales!AO119</f>
        <v>0</v>
      </c>
      <c r="AP86" s="459">
        <f>Sales!AP119</f>
        <v>0</v>
      </c>
      <c r="AQ86" s="460">
        <f>Sales!AQ119</f>
        <v>0</v>
      </c>
      <c r="AR86" s="458">
        <f>Sales!AR119</f>
        <v>0</v>
      </c>
      <c r="AS86" s="458">
        <f>Sales!AS119</f>
        <v>0</v>
      </c>
      <c r="AT86" s="458">
        <f>Sales!AT119</f>
        <v>0</v>
      </c>
      <c r="AU86" s="459">
        <f>Sales!AU119</f>
        <v>0</v>
      </c>
      <c r="AV86" s="458">
        <f>Sales!AV119</f>
        <v>0</v>
      </c>
      <c r="AW86" s="458">
        <f>Sales!AW119</f>
        <v>0</v>
      </c>
      <c r="AX86" s="461">
        <f>Sales!AX119</f>
        <v>-2.3018792311763459E-2</v>
      </c>
      <c r="AY86" s="458">
        <f>Sales!AY119</f>
        <v>0</v>
      </c>
      <c r="AZ86" s="459">
        <f>Sales!AZ119</f>
        <v>0</v>
      </c>
      <c r="BA86" s="461">
        <f>Sales!BA119</f>
        <v>-0.14925373134328357</v>
      </c>
      <c r="BB86" s="461">
        <f>Sales!BB119</f>
        <v>-0.17031702898550732</v>
      </c>
      <c r="BC86" s="662">
        <f>Sales!BC119</f>
        <v>-0.1621107677680057</v>
      </c>
      <c r="BD86" s="662">
        <f>Sales!BD119</f>
        <v>-0.11631205673758882</v>
      </c>
      <c r="BE86" s="459">
        <f>Sales!BE119</f>
        <v>-0.14949839620859634</v>
      </c>
      <c r="BF86" s="459">
        <f>Sales!BF119</f>
        <v>-0.06</v>
      </c>
      <c r="BG86" s="459">
        <f>Sales!BG119</f>
        <v>-0.05</v>
      </c>
      <c r="BH86" s="459">
        <f>Sales!BH119</f>
        <v>-0.03</v>
      </c>
      <c r="BI86" s="459">
        <f>Sales!BI119</f>
        <v>0</v>
      </c>
      <c r="BJ86" s="459">
        <f>Sales!BJ119</f>
        <v>-3.5000000000000003E-2</v>
      </c>
      <c r="BK86" s="28">
        <f>Sales!BK119</f>
        <v>0</v>
      </c>
      <c r="BL86" s="28">
        <f>Sales!BL119</f>
        <v>0</v>
      </c>
      <c r="BM86" s="28">
        <f>Sales!BM119</f>
        <v>0</v>
      </c>
      <c r="BN86" s="28">
        <f>Sales!BN119</f>
        <v>0</v>
      </c>
      <c r="BO86" s="459">
        <f>Sales!BO119</f>
        <v>0</v>
      </c>
      <c r="BP86" s="459">
        <f>Sales!BP119</f>
        <v>0</v>
      </c>
      <c r="BQ86" s="459">
        <f>Sales!BQ119</f>
        <v>0</v>
      </c>
      <c r="BR86" s="459">
        <f>Sales!BR119</f>
        <v>0</v>
      </c>
      <c r="BS86" s="459">
        <f>Sales!BS119</f>
        <v>0</v>
      </c>
      <c r="BT86" s="459">
        <f>Sales!BT119</f>
        <v>0</v>
      </c>
      <c r="BU86" s="28">
        <f>Sales!BU119</f>
        <v>0</v>
      </c>
      <c r="BV86" s="28">
        <f>Sales!BV119</f>
        <v>0</v>
      </c>
      <c r="BW86" s="28">
        <f>Sales!BW119</f>
        <v>0</v>
      </c>
      <c r="BX86" s="28">
        <f>Sales!BX119</f>
        <v>0</v>
      </c>
      <c r="BY86" s="459">
        <f>Sales!BY119</f>
        <v>0</v>
      </c>
      <c r="BZ86" s="459">
        <f>Sales!BZ119</f>
        <v>0</v>
      </c>
      <c r="CA86" s="459">
        <f>Sales!CA119</f>
        <v>0</v>
      </c>
      <c r="CB86" s="459">
        <f>Sales!CB119</f>
        <v>0</v>
      </c>
      <c r="CC86" s="459">
        <f>Sales!CC119</f>
        <v>0</v>
      </c>
      <c r="CD86" s="459">
        <f>Sales!CD119</f>
        <v>0</v>
      </c>
      <c r="CE86" s="157"/>
    </row>
    <row r="87" spans="1:83" s="467" customFormat="1" hidden="1" x14ac:dyDescent="0.15">
      <c r="B87" s="468" t="str">
        <f>Sales!B120</f>
        <v>growth</v>
      </c>
      <c r="C87" s="469">
        <f>Sales!C120</f>
        <v>0</v>
      </c>
      <c r="D87" s="469">
        <f>Sales!D120</f>
        <v>0</v>
      </c>
      <c r="E87" s="469">
        <f>Sales!E120</f>
        <v>0</v>
      </c>
      <c r="F87" s="469">
        <f>Sales!F120</f>
        <v>0</v>
      </c>
      <c r="G87" s="470">
        <f>Sales!G120</f>
        <v>0</v>
      </c>
      <c r="H87" s="471">
        <f>Sales!H120</f>
        <v>0</v>
      </c>
      <c r="I87" s="471">
        <f>Sales!I120</f>
        <v>0</v>
      </c>
      <c r="J87" s="471">
        <f>Sales!J120</f>
        <v>0</v>
      </c>
      <c r="K87" s="471">
        <f>Sales!K120</f>
        <v>0</v>
      </c>
      <c r="L87" s="319">
        <f>Sales!L120</f>
        <v>0</v>
      </c>
      <c r="M87" s="471">
        <f>Sales!M120</f>
        <v>0</v>
      </c>
      <c r="N87" s="471">
        <f>Sales!N120</f>
        <v>0</v>
      </c>
      <c r="O87" s="471">
        <f>Sales!O120</f>
        <v>0</v>
      </c>
      <c r="P87" s="471">
        <f>Sales!P120</f>
        <v>0</v>
      </c>
      <c r="Q87" s="319">
        <f>Sales!Q120</f>
        <v>0</v>
      </c>
      <c r="R87" s="471">
        <f>Sales!R120</f>
        <v>0</v>
      </c>
      <c r="S87" s="471">
        <f>Sales!S120</f>
        <v>0</v>
      </c>
      <c r="T87" s="471">
        <f>Sales!T120</f>
        <v>0</v>
      </c>
      <c r="U87" s="471">
        <f>Sales!U120</f>
        <v>0</v>
      </c>
      <c r="V87" s="319">
        <f>Sales!V120</f>
        <v>0</v>
      </c>
      <c r="W87" s="461">
        <f>Sales!W120</f>
        <v>0</v>
      </c>
      <c r="X87" s="461">
        <f>Sales!X120</f>
        <v>0</v>
      </c>
      <c r="Y87" s="461">
        <f>Sales!Y120</f>
        <v>0</v>
      </c>
      <c r="Z87" s="461">
        <f>Sales!Z120</f>
        <v>0</v>
      </c>
      <c r="AA87" s="372">
        <f>Sales!AA120</f>
        <v>0</v>
      </c>
      <c r="AB87" s="461">
        <f>Sales!AB120</f>
        <v>0</v>
      </c>
      <c r="AC87" s="461">
        <f>Sales!AC120</f>
        <v>0</v>
      </c>
      <c r="AD87" s="461">
        <f>Sales!AD120</f>
        <v>0</v>
      </c>
      <c r="AE87" s="461">
        <f>Sales!AE120</f>
        <v>0</v>
      </c>
      <c r="AF87" s="372">
        <f>Sales!AF120</f>
        <v>0</v>
      </c>
      <c r="AG87" s="461">
        <f>Sales!AG120</f>
        <v>0</v>
      </c>
      <c r="AH87" s="461">
        <f>Sales!AH120</f>
        <v>0</v>
      </c>
      <c r="AI87" s="461">
        <f>Sales!AI120</f>
        <v>0</v>
      </c>
      <c r="AJ87" s="461">
        <f>Sales!AJ120</f>
        <v>0</v>
      </c>
      <c r="AK87" s="372">
        <f>Sales!AK120</f>
        <v>0</v>
      </c>
      <c r="AL87" s="461">
        <f>Sales!AL120</f>
        <v>0</v>
      </c>
      <c r="AM87" s="461">
        <f>Sales!AM120</f>
        <v>0</v>
      </c>
      <c r="AN87" s="461">
        <f>Sales!AN120</f>
        <v>0</v>
      </c>
      <c r="AO87" s="461">
        <f>Sales!AO120</f>
        <v>0</v>
      </c>
      <c r="AP87" s="372">
        <f>Sales!AP120</f>
        <v>0</v>
      </c>
      <c r="AQ87" s="461">
        <f>Sales!AQ120</f>
        <v>0</v>
      </c>
      <c r="AR87" s="461">
        <f>Sales!AR120</f>
        <v>0</v>
      </c>
      <c r="AS87" s="461">
        <f>Sales!AS120</f>
        <v>0</v>
      </c>
      <c r="AT87" s="461">
        <f>Sales!AT120</f>
        <v>0</v>
      </c>
      <c r="AU87" s="372">
        <f>Sales!AU120</f>
        <v>0</v>
      </c>
      <c r="AV87" s="461">
        <f>Sales!AV120</f>
        <v>2.2326848249027234</v>
      </c>
      <c r="AW87" s="461">
        <f>Sales!AW120</f>
        <v>2.1252653927813161</v>
      </c>
      <c r="AX87" s="461">
        <f>Sales!AX120</f>
        <v>0.28698120768823654</v>
      </c>
      <c r="AY87" s="461">
        <f>Sales!AY120</f>
        <v>-0.12742485127028791</v>
      </c>
      <c r="AZ87" s="372">
        <f>Sales!AZ120</f>
        <v>0.57259485085453843</v>
      </c>
      <c r="BA87" s="461">
        <f>Sales!BA120</f>
        <v>-0.1316803081367357</v>
      </c>
      <c r="BB87" s="461">
        <f>Sales!BB120</f>
        <v>-0.10031702898550732</v>
      </c>
      <c r="BC87" s="663">
        <f>Sales!BC120</f>
        <v>-0.1621107677680057</v>
      </c>
      <c r="BD87" s="479">
        <f>Sales!BD120</f>
        <v>-0.14089834515366439</v>
      </c>
      <c r="BE87" s="475">
        <f>Sales!BE120</f>
        <v>-0.13335685306050449</v>
      </c>
      <c r="BF87" s="372">
        <f>Sales!BF120</f>
        <v>-0.06</v>
      </c>
      <c r="BG87" s="372">
        <f>Sales!BG120</f>
        <v>-3.0000000000000002E-2</v>
      </c>
      <c r="BH87" s="372">
        <f>Sales!BH120</f>
        <v>-9.9999999999999985E-3</v>
      </c>
      <c r="BI87" s="372">
        <f>Sales!BI120</f>
        <v>0.02</v>
      </c>
      <c r="BJ87" s="372">
        <f>Sales!BJ120</f>
        <v>-2.023068050749699E-2</v>
      </c>
      <c r="BK87" s="376">
        <f>Sales!BK120</f>
        <v>0</v>
      </c>
      <c r="BL87" s="376">
        <f>Sales!BL120</f>
        <v>0</v>
      </c>
      <c r="BM87" s="376">
        <f>Sales!BM120</f>
        <v>0</v>
      </c>
      <c r="BN87" s="376">
        <f>Sales!BN120</f>
        <v>0</v>
      </c>
      <c r="BO87" s="372">
        <f>Sales!BO120</f>
        <v>0.02</v>
      </c>
      <c r="BP87" s="372">
        <f>Sales!BP120</f>
        <v>0</v>
      </c>
      <c r="BQ87" s="372">
        <f>Sales!BQ120</f>
        <v>0</v>
      </c>
      <c r="BR87" s="372">
        <f>Sales!BR120</f>
        <v>0</v>
      </c>
      <c r="BS87" s="372">
        <f>Sales!BS120</f>
        <v>0</v>
      </c>
      <c r="BT87" s="372">
        <f>Sales!BT120</f>
        <v>0.02</v>
      </c>
      <c r="BU87" s="376">
        <f>Sales!BU120</f>
        <v>0</v>
      </c>
      <c r="BV87" s="376">
        <f>Sales!BV120</f>
        <v>0</v>
      </c>
      <c r="BW87" s="376">
        <f>Sales!BW120</f>
        <v>0</v>
      </c>
      <c r="BX87" s="376">
        <f>Sales!BX120</f>
        <v>0</v>
      </c>
      <c r="BY87" s="372">
        <f>Sales!BY120</f>
        <v>0.02</v>
      </c>
      <c r="BZ87" s="372">
        <f>Sales!BZ120</f>
        <v>0</v>
      </c>
      <c r="CA87" s="372">
        <f>Sales!CA120</f>
        <v>0</v>
      </c>
      <c r="CB87" s="372">
        <f>Sales!CB120</f>
        <v>0</v>
      </c>
      <c r="CC87" s="372">
        <f>Sales!CC120</f>
        <v>0</v>
      </c>
      <c r="CD87" s="372">
        <f>Sales!CD120</f>
        <v>0.02</v>
      </c>
    </row>
    <row r="88" spans="1:83" s="483" customFormat="1" x14ac:dyDescent="0.15">
      <c r="A88" s="480"/>
      <c r="B88" s="481" t="str">
        <f>Sales!B121</f>
        <v>Total Developed</v>
      </c>
      <c r="C88" s="452">
        <f>Sales!C121</f>
        <v>0</v>
      </c>
      <c r="D88" s="452">
        <f>Sales!D121</f>
        <v>0</v>
      </c>
      <c r="E88" s="452">
        <f>Sales!E121</f>
        <v>0</v>
      </c>
      <c r="F88" s="452">
        <f>Sales!F121</f>
        <v>0</v>
      </c>
      <c r="G88" s="482">
        <f>Sales!G121</f>
        <v>0</v>
      </c>
      <c r="H88" s="452">
        <f>Sales!H121</f>
        <v>0</v>
      </c>
      <c r="I88" s="452">
        <f>Sales!I121</f>
        <v>0</v>
      </c>
      <c r="J88" s="452">
        <f>Sales!J121</f>
        <v>0</v>
      </c>
      <c r="K88" s="452">
        <f>Sales!K121</f>
        <v>0</v>
      </c>
      <c r="L88" s="482">
        <f>Sales!L121</f>
        <v>0</v>
      </c>
      <c r="M88" s="452">
        <f>Sales!M121</f>
        <v>0</v>
      </c>
      <c r="N88" s="452">
        <f>Sales!N121</f>
        <v>0</v>
      </c>
      <c r="O88" s="452">
        <f>Sales!O121</f>
        <v>0</v>
      </c>
      <c r="P88" s="452">
        <f>Sales!P121</f>
        <v>0</v>
      </c>
      <c r="Q88" s="482">
        <f>Sales!Q121</f>
        <v>0</v>
      </c>
      <c r="R88" s="452" t="e">
        <f>Sales!R121</f>
        <v>#REF!</v>
      </c>
      <c r="S88" s="452" t="e">
        <f>Sales!S121</f>
        <v>#REF!</v>
      </c>
      <c r="T88" s="452" t="e">
        <f>Sales!T121</f>
        <v>#REF!</v>
      </c>
      <c r="U88" s="452" t="e">
        <f>Sales!U121</f>
        <v>#REF!</v>
      </c>
      <c r="V88" s="482" t="e">
        <f>Sales!V121</f>
        <v>#REF!</v>
      </c>
      <c r="W88" s="452" t="e">
        <f>Sales!W121</f>
        <v>#REF!</v>
      </c>
      <c r="X88" s="452" t="e">
        <f>Sales!X121</f>
        <v>#REF!</v>
      </c>
      <c r="Y88" s="452" t="e">
        <f>Sales!Y121</f>
        <v>#REF!</v>
      </c>
      <c r="Z88" s="452" t="e">
        <f>Sales!Z121</f>
        <v>#REF!</v>
      </c>
      <c r="AA88" s="482" t="e">
        <f>Sales!AA121</f>
        <v>#REF!</v>
      </c>
      <c r="AB88" s="452">
        <f>Sales!AB121</f>
        <v>0</v>
      </c>
      <c r="AC88" s="452">
        <f>Sales!AC121</f>
        <v>0</v>
      </c>
      <c r="AD88" s="452">
        <f>Sales!AD121</f>
        <v>0</v>
      </c>
      <c r="AE88" s="452">
        <f>Sales!AE121</f>
        <v>0</v>
      </c>
      <c r="AF88" s="482">
        <f>Sales!AF121</f>
        <v>0</v>
      </c>
      <c r="AG88" s="452">
        <f>Sales!AG121</f>
        <v>0</v>
      </c>
      <c r="AH88" s="452">
        <f>Sales!AH121</f>
        <v>0</v>
      </c>
      <c r="AI88" s="452">
        <f>Sales!AI121</f>
        <v>0</v>
      </c>
      <c r="AJ88" s="452">
        <f>Sales!AJ121</f>
        <v>0</v>
      </c>
      <c r="AK88" s="482">
        <f>Sales!AK121</f>
        <v>0</v>
      </c>
      <c r="AL88" s="452">
        <f>Sales!AL121</f>
        <v>0</v>
      </c>
      <c r="AM88" s="452">
        <f>Sales!AM121</f>
        <v>0</v>
      </c>
      <c r="AN88" s="452">
        <f>Sales!AN121</f>
        <v>0</v>
      </c>
      <c r="AO88" s="452">
        <f>Sales!AO121</f>
        <v>0</v>
      </c>
      <c r="AP88" s="482">
        <f>Sales!AP121</f>
        <v>0</v>
      </c>
      <c r="AQ88" s="452">
        <f>Sales!AQ121</f>
        <v>771.1</v>
      </c>
      <c r="AR88" s="452">
        <f>Sales!AR121</f>
        <v>791.8</v>
      </c>
      <c r="AS88" s="452">
        <f>Sales!AS121</f>
        <v>1142.6890000000001</v>
      </c>
      <c r="AT88" s="452">
        <f>Sales!AT121</f>
        <v>1570.3719999999998</v>
      </c>
      <c r="AU88" s="482">
        <f>Sales!AU121</f>
        <v>4275.9610000000002</v>
      </c>
      <c r="AV88" s="452">
        <f>Sales!AV121</f>
        <v>1421.8</v>
      </c>
      <c r="AW88" s="452">
        <f>Sales!AW121</f>
        <v>1479.7000000000003</v>
      </c>
      <c r="AX88" s="452">
        <f>Sales!AX121</f>
        <v>1507.9</v>
      </c>
      <c r="AY88" s="452">
        <f>Sales!AY121</f>
        <v>1757.7</v>
      </c>
      <c r="AZ88" s="482">
        <f>Sales!AZ121</f>
        <v>6167.0999999999995</v>
      </c>
      <c r="BA88" s="452">
        <f>Sales!BA121</f>
        <v>1764.4</v>
      </c>
      <c r="BB88" s="452">
        <f>Sales!BB121</f>
        <v>2237.6000000000004</v>
      </c>
      <c r="BC88" s="452">
        <f>Sales!BC121</f>
        <v>2320.6999999999998</v>
      </c>
      <c r="BD88" s="452">
        <f>Sales!BD121</f>
        <v>2258</v>
      </c>
      <c r="BE88" s="482">
        <f>Sales!BE121</f>
        <v>8580.7000000000007</v>
      </c>
      <c r="BF88" s="28">
        <f>Sales!BF121</f>
        <v>1930.2280000000001</v>
      </c>
      <c r="BG88" s="28">
        <f>Sales!BG121</f>
        <v>2207.7910000000002</v>
      </c>
      <c r="BH88" s="28">
        <f>Sales!BH121</f>
        <v>2302.15</v>
      </c>
      <c r="BI88" s="28">
        <f>Sales!BI121</f>
        <v>2436.2530000000002</v>
      </c>
      <c r="BJ88" s="482">
        <f>Sales!BJ121</f>
        <v>8876.4220000000005</v>
      </c>
      <c r="BK88" s="28">
        <f>Sales!BK121</f>
        <v>0</v>
      </c>
      <c r="BL88" s="28">
        <f>Sales!BL121</f>
        <v>0</v>
      </c>
      <c r="BM88" s="28">
        <f>Sales!BM121</f>
        <v>0</v>
      </c>
      <c r="BN88" s="28">
        <f>Sales!BN121</f>
        <v>0</v>
      </c>
      <c r="BO88" s="482">
        <f>Sales!BO121</f>
        <v>9527.9289900000003</v>
      </c>
      <c r="BP88" s="28">
        <f>Sales!BP121</f>
        <v>0</v>
      </c>
      <c r="BQ88" s="28">
        <f>Sales!BQ121</f>
        <v>0</v>
      </c>
      <c r="BR88" s="28">
        <f>Sales!BR121</f>
        <v>0</v>
      </c>
      <c r="BS88" s="28">
        <f>Sales!BS121</f>
        <v>0</v>
      </c>
      <c r="BT88" s="482">
        <f>Sales!BT121</f>
        <v>10104.7933648</v>
      </c>
      <c r="BU88" s="28">
        <f>Sales!BU121</f>
        <v>0</v>
      </c>
      <c r="BV88" s="28">
        <f>Sales!BV121</f>
        <v>0</v>
      </c>
      <c r="BW88" s="28">
        <f>Sales!BW121</f>
        <v>0</v>
      </c>
      <c r="BX88" s="28">
        <f>Sales!BX121</f>
        <v>0</v>
      </c>
      <c r="BY88" s="482">
        <f>Sales!BY121</f>
        <v>10711.443747096002</v>
      </c>
      <c r="BZ88" s="28">
        <f>Sales!BZ121</f>
        <v>0</v>
      </c>
      <c r="CA88" s="28">
        <f>Sales!CA121</f>
        <v>0</v>
      </c>
      <c r="CB88" s="28">
        <f>Sales!CB121</f>
        <v>0</v>
      </c>
      <c r="CC88" s="28">
        <f>Sales!CC121</f>
        <v>0</v>
      </c>
      <c r="CD88" s="482">
        <f>Sales!CD121</f>
        <v>11150.18081535792</v>
      </c>
      <c r="CE88" s="480"/>
    </row>
    <row r="89" spans="1:83" s="490" customFormat="1" x14ac:dyDescent="0.15">
      <c r="A89" s="467"/>
      <c r="B89" s="484" t="str">
        <f>Sales!B122</f>
        <v>growth</v>
      </c>
      <c r="C89" s="485">
        <f>Sales!C122</f>
        <v>0</v>
      </c>
      <c r="D89" s="485">
        <f>Sales!D122</f>
        <v>0</v>
      </c>
      <c r="E89" s="485">
        <f>Sales!E122</f>
        <v>0</v>
      </c>
      <c r="F89" s="485">
        <f>Sales!F122</f>
        <v>0</v>
      </c>
      <c r="G89" s="486">
        <f>Sales!G122</f>
        <v>0</v>
      </c>
      <c r="H89" s="485">
        <f>Sales!H122</f>
        <v>0</v>
      </c>
      <c r="I89" s="485">
        <f>Sales!I122</f>
        <v>0</v>
      </c>
      <c r="J89" s="485">
        <f>Sales!J122</f>
        <v>0</v>
      </c>
      <c r="K89" s="485">
        <f>Sales!K122</f>
        <v>0</v>
      </c>
      <c r="L89" s="486">
        <f>Sales!L122</f>
        <v>0</v>
      </c>
      <c r="M89" s="485">
        <f>Sales!M122</f>
        <v>0</v>
      </c>
      <c r="N89" s="485">
        <f>Sales!N122</f>
        <v>0</v>
      </c>
      <c r="O89" s="485">
        <f>Sales!O122</f>
        <v>0</v>
      </c>
      <c r="P89" s="485">
        <f>Sales!P122</f>
        <v>0</v>
      </c>
      <c r="Q89" s="486">
        <f>Sales!Q122</f>
        <v>0</v>
      </c>
      <c r="R89" s="487">
        <f>Sales!R122</f>
        <v>0</v>
      </c>
      <c r="S89" s="485">
        <f>Sales!S122</f>
        <v>0</v>
      </c>
      <c r="T89" s="485">
        <f>Sales!T122</f>
        <v>0</v>
      </c>
      <c r="U89" s="485">
        <f>Sales!U122</f>
        <v>0</v>
      </c>
      <c r="V89" s="486">
        <f>Sales!V122</f>
        <v>0</v>
      </c>
      <c r="W89" s="487">
        <f>Sales!W122</f>
        <v>0</v>
      </c>
      <c r="X89" s="485">
        <f>Sales!X122</f>
        <v>0</v>
      </c>
      <c r="Y89" s="485">
        <f>Sales!Y122</f>
        <v>0</v>
      </c>
      <c r="Z89" s="485">
        <f>Sales!Z122</f>
        <v>0</v>
      </c>
      <c r="AA89" s="486">
        <f>Sales!AA122</f>
        <v>0</v>
      </c>
      <c r="AB89" s="487">
        <f>Sales!AB122</f>
        <v>0</v>
      </c>
      <c r="AC89" s="487">
        <f>Sales!AC122</f>
        <v>0</v>
      </c>
      <c r="AD89" s="487">
        <f>Sales!AD122</f>
        <v>0</v>
      </c>
      <c r="AE89" s="487">
        <f>Sales!AE122</f>
        <v>0</v>
      </c>
      <c r="AF89" s="472">
        <f>Sales!AF122</f>
        <v>0</v>
      </c>
      <c r="AG89" s="487">
        <f>Sales!AG122</f>
        <v>0</v>
      </c>
      <c r="AH89" s="487">
        <f>Sales!AH122</f>
        <v>0</v>
      </c>
      <c r="AI89" s="487">
        <f>Sales!AI122</f>
        <v>0</v>
      </c>
      <c r="AJ89" s="487">
        <f>Sales!AJ122</f>
        <v>0</v>
      </c>
      <c r="AK89" s="472">
        <f>Sales!AK122</f>
        <v>0</v>
      </c>
      <c r="AL89" s="487">
        <f>Sales!AL122</f>
        <v>0</v>
      </c>
      <c r="AM89" s="487">
        <f>Sales!AM122</f>
        <v>0</v>
      </c>
      <c r="AN89" s="487">
        <f>Sales!AN122</f>
        <v>0</v>
      </c>
      <c r="AO89" s="487">
        <f>Sales!AO122</f>
        <v>0</v>
      </c>
      <c r="AP89" s="472">
        <f>Sales!AP122</f>
        <v>0</v>
      </c>
      <c r="AQ89" s="488">
        <f>Sales!AQ122</f>
        <v>0</v>
      </c>
      <c r="AR89" s="487">
        <f>Sales!AR122</f>
        <v>0</v>
      </c>
      <c r="AS89" s="487">
        <f>Sales!AS122</f>
        <v>0</v>
      </c>
      <c r="AT89" s="487">
        <f>Sales!AT122</f>
        <v>0</v>
      </c>
      <c r="AU89" s="472">
        <f>Sales!AU122</f>
        <v>0</v>
      </c>
      <c r="AV89" s="487">
        <f>Sales!AV122</f>
        <v>0.84385942160549843</v>
      </c>
      <c r="AW89" s="487">
        <f>Sales!AW122</f>
        <v>0.86877999494821978</v>
      </c>
      <c r="AX89" s="487">
        <f>Sales!AX122</f>
        <v>0.31960664712795861</v>
      </c>
      <c r="AY89" s="487">
        <f>Sales!AY122</f>
        <v>0.11928893281337172</v>
      </c>
      <c r="AZ89" s="472">
        <f>Sales!AZ122</f>
        <v>0.44227227516808476</v>
      </c>
      <c r="BA89" s="487">
        <f>Sales!BA122</f>
        <v>0.24096216064144049</v>
      </c>
      <c r="BB89" s="487">
        <f>Sales!BB122</f>
        <v>0.51219841859836457</v>
      </c>
      <c r="BC89" s="487">
        <f>Sales!BC122</f>
        <v>0.53902778698852694</v>
      </c>
      <c r="BD89" s="487">
        <f>Sales!BD122</f>
        <v>0.28463332764408023</v>
      </c>
      <c r="BE89" s="472">
        <f>Sales!BE122</f>
        <v>0.39136709312318607</v>
      </c>
      <c r="BF89" s="376">
        <f>Sales!BF122</f>
        <v>9.3985490818408568E-2</v>
      </c>
      <c r="BG89" s="376">
        <f>Sales!BG122</f>
        <v>-1.3321862710046539E-2</v>
      </c>
      <c r="BH89" s="376">
        <f>Sales!BH122</f>
        <v>-7.9932778902915835E-3</v>
      </c>
      <c r="BI89" s="376">
        <f>Sales!BI122</f>
        <v>7.8942869796279957E-2</v>
      </c>
      <c r="BJ89" s="472">
        <f>Sales!BJ122</f>
        <v>3.4463621849033288E-2</v>
      </c>
      <c r="BK89" s="376">
        <f>Sales!BK122</f>
        <v>0</v>
      </c>
      <c r="BL89" s="376">
        <f>Sales!BL122</f>
        <v>0</v>
      </c>
      <c r="BM89" s="376">
        <f>Sales!BM122</f>
        <v>0</v>
      </c>
      <c r="BN89" s="376">
        <f>Sales!BN122</f>
        <v>0</v>
      </c>
      <c r="BO89" s="472">
        <f>Sales!BO122</f>
        <v>7.3397478173074626E-2</v>
      </c>
      <c r="BP89" s="376">
        <f>Sales!BP122</f>
        <v>0</v>
      </c>
      <c r="BQ89" s="376">
        <f>Sales!BQ122</f>
        <v>0</v>
      </c>
      <c r="BR89" s="376">
        <f>Sales!BR122</f>
        <v>0</v>
      </c>
      <c r="BS89" s="376">
        <f>Sales!BS122</f>
        <v>0</v>
      </c>
      <c r="BT89" s="472">
        <f>Sales!BT122</f>
        <v>6.054457116603662E-2</v>
      </c>
      <c r="BU89" s="376">
        <f>Sales!BU122</f>
        <v>0</v>
      </c>
      <c r="BV89" s="376">
        <f>Sales!BV122</f>
        <v>0</v>
      </c>
      <c r="BW89" s="376">
        <f>Sales!BW122</f>
        <v>0</v>
      </c>
      <c r="BX89" s="376">
        <f>Sales!BX122</f>
        <v>0</v>
      </c>
      <c r="BY89" s="472">
        <f>Sales!BY122</f>
        <v>6.0035901813615178E-2</v>
      </c>
      <c r="BZ89" s="376">
        <f>Sales!BZ122</f>
        <v>0</v>
      </c>
      <c r="CA89" s="376">
        <f>Sales!CA122</f>
        <v>0</v>
      </c>
      <c r="CB89" s="376">
        <f>Sales!CB122</f>
        <v>0</v>
      </c>
      <c r="CC89" s="376">
        <f>Sales!CC122</f>
        <v>0</v>
      </c>
      <c r="CD89" s="472">
        <f>Sales!CD122</f>
        <v>4.0959657598058641E-2</v>
      </c>
      <c r="CE89" s="467"/>
    </row>
    <row r="90" spans="1:83" s="390" customFormat="1" x14ac:dyDescent="0.15">
      <c r="A90" s="8"/>
      <c r="B90" s="491"/>
      <c r="C90" s="49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492"/>
      <c r="V90" s="492"/>
      <c r="W90" s="493"/>
      <c r="X90" s="492"/>
      <c r="Y90" s="492"/>
      <c r="Z90" s="492"/>
      <c r="AA90" s="492"/>
      <c r="AB90" s="493"/>
      <c r="AC90" s="493"/>
      <c r="AD90" s="492"/>
      <c r="AE90" s="492"/>
      <c r="AF90" s="492"/>
      <c r="AG90" s="492"/>
      <c r="AH90" s="492"/>
      <c r="AI90" s="492"/>
      <c r="AJ90" s="492"/>
      <c r="AK90" s="492"/>
      <c r="AL90" s="492"/>
      <c r="AM90" s="492"/>
      <c r="AN90" s="492"/>
      <c r="AO90" s="492"/>
      <c r="AP90" s="492"/>
      <c r="AQ90" s="492"/>
      <c r="AR90" s="492"/>
      <c r="AS90" s="492"/>
      <c r="AT90" s="492"/>
      <c r="AU90" s="492"/>
      <c r="AV90" s="492"/>
      <c r="AW90" s="492"/>
      <c r="AX90" s="492"/>
      <c r="AY90" s="492"/>
      <c r="AZ90" s="494"/>
      <c r="BA90" s="28"/>
      <c r="BB90" s="28"/>
      <c r="BC90" s="28"/>
      <c r="BD90" s="28"/>
      <c r="BE90" s="8"/>
      <c r="BF90" s="28"/>
      <c r="BG90" s="28"/>
      <c r="BH90" s="28"/>
      <c r="BI90" s="28"/>
      <c r="BJ90" s="8"/>
      <c r="BK90" s="28"/>
      <c r="BL90" s="28"/>
      <c r="BM90" s="28"/>
      <c r="BN90" s="28"/>
      <c r="BO90" s="8"/>
      <c r="BP90" s="28"/>
      <c r="BQ90" s="28"/>
      <c r="BR90" s="28"/>
      <c r="BS90" s="28"/>
      <c r="BT90" s="8"/>
      <c r="BU90" s="28"/>
      <c r="BV90" s="28"/>
      <c r="BW90" s="28"/>
      <c r="BX90" s="28"/>
      <c r="BY90" s="8"/>
      <c r="BZ90" s="28"/>
      <c r="CA90" s="28"/>
      <c r="CB90" s="28"/>
      <c r="CC90" s="28"/>
      <c r="CD90" s="8"/>
      <c r="CE90" s="8"/>
    </row>
    <row r="91" spans="1:83" x14ac:dyDescent="0.15">
      <c r="B91" s="225" t="str">
        <f>Sales!B124</f>
        <v>Emerging Markets Segment</v>
      </c>
      <c r="C91" s="226">
        <f>Sales!C124</f>
        <v>0</v>
      </c>
      <c r="D91" s="226">
        <f>Sales!D124</f>
        <v>0</v>
      </c>
      <c r="E91" s="226">
        <f>Sales!E124</f>
        <v>0</v>
      </c>
      <c r="F91" s="226">
        <f>Sales!F124</f>
        <v>0</v>
      </c>
      <c r="G91" s="227">
        <f>Sales!G124</f>
        <v>0</v>
      </c>
      <c r="H91" s="226">
        <f>Sales!H124</f>
        <v>0</v>
      </c>
      <c r="I91" s="226">
        <f>Sales!I124</f>
        <v>0</v>
      </c>
      <c r="J91" s="226">
        <f>Sales!J124</f>
        <v>0</v>
      </c>
      <c r="K91" s="226">
        <f>Sales!K124</f>
        <v>0</v>
      </c>
      <c r="L91" s="227">
        <f>Sales!L124</f>
        <v>0</v>
      </c>
      <c r="M91" s="226">
        <f>Sales!M124</f>
        <v>0</v>
      </c>
      <c r="N91" s="226">
        <f>Sales!N124</f>
        <v>0</v>
      </c>
      <c r="O91" s="226">
        <f>Sales!O124</f>
        <v>0</v>
      </c>
      <c r="P91" s="226">
        <f>Sales!P124</f>
        <v>0</v>
      </c>
      <c r="Q91" s="227">
        <f>Sales!Q124</f>
        <v>0</v>
      </c>
      <c r="R91" s="226">
        <f>Sales!R124</f>
        <v>0</v>
      </c>
      <c r="S91" s="226">
        <f>Sales!S124</f>
        <v>0</v>
      </c>
      <c r="T91" s="226">
        <f>Sales!T124</f>
        <v>0</v>
      </c>
      <c r="U91" s="226">
        <f>Sales!U124</f>
        <v>0</v>
      </c>
      <c r="V91" s="227">
        <f>Sales!V124</f>
        <v>0</v>
      </c>
      <c r="W91" s="226">
        <f>Sales!W124</f>
        <v>0</v>
      </c>
      <c r="X91" s="226">
        <f>Sales!X124</f>
        <v>0</v>
      </c>
      <c r="Y91" s="226">
        <f>Sales!Y124</f>
        <v>0</v>
      </c>
      <c r="Z91" s="226">
        <f>Sales!Z124</f>
        <v>0</v>
      </c>
      <c r="AA91" s="227">
        <f>Sales!AA124</f>
        <v>0</v>
      </c>
      <c r="AB91" s="226">
        <f>Sales!AB124</f>
        <v>0</v>
      </c>
      <c r="AC91" s="226">
        <f>Sales!AC124</f>
        <v>0</v>
      </c>
      <c r="AD91" s="226">
        <f>Sales!AD124</f>
        <v>0</v>
      </c>
      <c r="AE91" s="226">
        <f>Sales!AE124</f>
        <v>0</v>
      </c>
      <c r="AF91" s="227">
        <f>Sales!AF124</f>
        <v>0</v>
      </c>
      <c r="AG91" s="226" t="str">
        <f>Sales!AG124</f>
        <v xml:space="preserve"> </v>
      </c>
      <c r="AH91" s="226">
        <f>Sales!AH124</f>
        <v>0</v>
      </c>
      <c r="AI91" s="226">
        <f>Sales!AI124</f>
        <v>0</v>
      </c>
      <c r="AJ91" s="226">
        <f>Sales!AJ124</f>
        <v>0</v>
      </c>
      <c r="AK91" s="227">
        <f>Sales!AK124</f>
        <v>0</v>
      </c>
      <c r="AL91" s="226">
        <f>Sales!AL124</f>
        <v>0</v>
      </c>
      <c r="AM91" s="226">
        <f>Sales!AM124</f>
        <v>0</v>
      </c>
      <c r="AN91" s="226">
        <f>Sales!AN124</f>
        <v>0</v>
      </c>
      <c r="AO91" s="226">
        <f>Sales!AO124</f>
        <v>0</v>
      </c>
      <c r="AP91" s="227">
        <f>Sales!AP124</f>
        <v>0</v>
      </c>
      <c r="AQ91" s="226">
        <f>Sales!AQ124</f>
        <v>0</v>
      </c>
      <c r="AR91" s="226">
        <f>Sales!AR124</f>
        <v>0</v>
      </c>
      <c r="AS91" s="226">
        <f>Sales!AS124</f>
        <v>0</v>
      </c>
      <c r="AT91" s="226">
        <f>Sales!AT124</f>
        <v>0</v>
      </c>
      <c r="AU91" s="227">
        <f>Sales!AU124</f>
        <v>0</v>
      </c>
      <c r="AV91" s="226">
        <f>Sales!AV124</f>
        <v>0</v>
      </c>
      <c r="AW91" s="226">
        <f>Sales!AW124</f>
        <v>0</v>
      </c>
      <c r="AX91" s="226">
        <f>Sales!AX124</f>
        <v>0</v>
      </c>
      <c r="AY91" s="226">
        <f>Sales!AY124</f>
        <v>0</v>
      </c>
      <c r="AZ91" s="227"/>
      <c r="BA91" s="226"/>
      <c r="BB91" s="226"/>
      <c r="BC91" s="226"/>
      <c r="BD91" s="226"/>
      <c r="BE91" s="227"/>
      <c r="BF91" s="228"/>
      <c r="BG91" s="228"/>
      <c r="BH91" s="228"/>
      <c r="BI91" s="228"/>
      <c r="BJ91" s="227"/>
      <c r="BK91" s="228"/>
      <c r="BL91" s="228"/>
      <c r="BM91" s="228"/>
      <c r="BN91" s="228"/>
      <c r="BO91" s="227"/>
      <c r="BP91" s="228"/>
      <c r="BQ91" s="228"/>
      <c r="BR91" s="228"/>
      <c r="BS91" s="228"/>
      <c r="BT91" s="227"/>
      <c r="BU91" s="228"/>
      <c r="BV91" s="228"/>
      <c r="BW91" s="228"/>
      <c r="BX91" s="228"/>
      <c r="BY91" s="227"/>
      <c r="BZ91" s="228"/>
      <c r="CA91" s="228"/>
      <c r="CB91" s="228"/>
      <c r="CC91" s="228"/>
      <c r="CD91" s="227"/>
    </row>
    <row r="92" spans="1:83" s="454" customFormat="1" x14ac:dyDescent="0.15">
      <c r="A92" s="502"/>
      <c r="B92" s="503" t="str">
        <f>Sales!B125</f>
        <v>Emerging Mkts - EMEA</v>
      </c>
      <c r="C92" s="504">
        <f>Sales!C125</f>
        <v>0</v>
      </c>
      <c r="D92" s="504">
        <f>Sales!D125</f>
        <v>0</v>
      </c>
      <c r="E92" s="504">
        <f>Sales!E125</f>
        <v>0</v>
      </c>
      <c r="F92" s="504">
        <f>Sales!F125</f>
        <v>0</v>
      </c>
      <c r="G92" s="459">
        <f>Sales!G125</f>
        <v>0</v>
      </c>
      <c r="H92" s="504">
        <f>Sales!H125</f>
        <v>0</v>
      </c>
      <c r="I92" s="504">
        <f>Sales!I125</f>
        <v>0</v>
      </c>
      <c r="J92" s="504">
        <f>Sales!J125</f>
        <v>0</v>
      </c>
      <c r="K92" s="504">
        <f>Sales!K125</f>
        <v>0</v>
      </c>
      <c r="L92" s="459">
        <f>Sales!L125</f>
        <v>0</v>
      </c>
      <c r="M92" s="504">
        <f>Sales!M125</f>
        <v>0</v>
      </c>
      <c r="N92" s="504">
        <f>Sales!N125</f>
        <v>0</v>
      </c>
      <c r="O92" s="504">
        <f>Sales!O125</f>
        <v>0</v>
      </c>
      <c r="P92" s="504">
        <f>Sales!P125</f>
        <v>0</v>
      </c>
      <c r="Q92" s="459">
        <f>Sales!Q125</f>
        <v>0</v>
      </c>
      <c r="R92" s="275">
        <f>Sales!R125</f>
        <v>37.953000000000003</v>
      </c>
      <c r="S92" s="275">
        <f>Sales!S125</f>
        <v>38.5</v>
      </c>
      <c r="T92" s="275">
        <f>Sales!T125</f>
        <v>40.43</v>
      </c>
      <c r="U92" s="275">
        <f>Sales!U125</f>
        <v>35.920999999999999</v>
      </c>
      <c r="V92" s="277">
        <f>Sales!V125</f>
        <v>152.804</v>
      </c>
      <c r="W92" s="504">
        <f>Sales!W125</f>
        <v>35.338000000000001</v>
      </c>
      <c r="X92" s="504">
        <f>Sales!X125</f>
        <v>34.031999999999996</v>
      </c>
      <c r="Y92" s="504">
        <f>Sales!Y125</f>
        <v>40.234000000000002</v>
      </c>
      <c r="Z92" s="504">
        <f>Sales!Z125</f>
        <v>42.045999999999999</v>
      </c>
      <c r="AA92" s="277">
        <f>Sales!AA125</f>
        <v>151.65</v>
      </c>
      <c r="AB92" s="275">
        <f>Sales!AB125</f>
        <v>41.707999999999998</v>
      </c>
      <c r="AC92" s="275">
        <f>Sales!AC125</f>
        <v>40.784999999999997</v>
      </c>
      <c r="AD92" s="505">
        <f>Sales!AD125</f>
        <v>42.2</v>
      </c>
      <c r="AE92" s="505">
        <f>Sales!AE125</f>
        <v>48.31</v>
      </c>
      <c r="AF92" s="41">
        <f>Sales!AF125</f>
        <v>173.00299999999999</v>
      </c>
      <c r="AG92" s="460">
        <f>Sales!AG125</f>
        <v>76.093000000000004</v>
      </c>
      <c r="AH92" s="460">
        <f>Sales!AH125</f>
        <v>116.3</v>
      </c>
      <c r="AI92" s="505">
        <f>Sales!AI125</f>
        <v>134.05500000000001</v>
      </c>
      <c r="AJ92" s="505">
        <f>Sales!AJ125</f>
        <v>144.33500000000001</v>
      </c>
      <c r="AK92" s="41">
        <f>Sales!AK125</f>
        <v>470.78300000000002</v>
      </c>
      <c r="AL92" s="506">
        <f>Sales!AL125</f>
        <v>156.90900000000002</v>
      </c>
      <c r="AM92" s="506">
        <f>Sales!AM125</f>
        <v>156.71700000000001</v>
      </c>
      <c r="AN92" s="506">
        <f>Sales!AN125</f>
        <v>149.40900000000002</v>
      </c>
      <c r="AO92" s="506">
        <f>Sales!AO125</f>
        <v>193.66</v>
      </c>
      <c r="AP92" s="41">
        <f>Sales!AP125</f>
        <v>656.69500000000005</v>
      </c>
      <c r="AQ92" s="507">
        <f>Sales!AQ125</f>
        <v>190.166</v>
      </c>
      <c r="AR92" s="507">
        <f>Sales!AR125</f>
        <v>190.37700000000001</v>
      </c>
      <c r="AS92" s="507">
        <f>Sales!AS125</f>
        <v>215.14699999999999</v>
      </c>
      <c r="AT92" s="507">
        <f>Sales!AT125</f>
        <v>254.73500000000001</v>
      </c>
      <c r="AU92" s="41">
        <f>Sales!AU125</f>
        <v>850.42500000000007</v>
      </c>
      <c r="AV92" s="507">
        <f>Sales!AV125</f>
        <v>249.1</v>
      </c>
      <c r="AW92" s="275">
        <f>Sales!AW125</f>
        <v>315.5</v>
      </c>
      <c r="AX92" s="507">
        <f>Sales!AX125</f>
        <v>291.39999999999998</v>
      </c>
      <c r="AY92" s="507">
        <f>Sales!AY125</f>
        <v>278.7</v>
      </c>
      <c r="AZ92" s="41">
        <f>Sales!AZ125</f>
        <v>1134.7</v>
      </c>
      <c r="BA92" s="275">
        <f>Sales!BA125</f>
        <v>212.1</v>
      </c>
      <c r="BB92" s="275">
        <f>Sales!BB125</f>
        <v>254.9</v>
      </c>
      <c r="BC92" s="275">
        <f>Sales!BC125</f>
        <v>224.7</v>
      </c>
      <c r="BD92" s="275">
        <f>Sales!BD125</f>
        <v>284.7</v>
      </c>
      <c r="BE92" s="41">
        <f>Sales!BE125</f>
        <v>976.40000000000009</v>
      </c>
      <c r="BF92" s="157">
        <f>Sales!BF125</f>
        <v>246.03599999999997</v>
      </c>
      <c r="BG92" s="157">
        <f>Sales!BG125</f>
        <v>295.68400000000003</v>
      </c>
      <c r="BH92" s="157">
        <f>Sales!BH125</f>
        <v>271.887</v>
      </c>
      <c r="BI92" s="157">
        <f>Sales!BI125</f>
        <v>318.86400000000003</v>
      </c>
      <c r="BJ92" s="41">
        <f>Sales!BJ125</f>
        <v>1132.471</v>
      </c>
      <c r="BK92" s="157">
        <f>Sales!BK125</f>
        <v>0</v>
      </c>
      <c r="BL92" s="157">
        <f>Sales!BL125</f>
        <v>0</v>
      </c>
      <c r="BM92" s="157">
        <f>Sales!BM125</f>
        <v>0</v>
      </c>
      <c r="BN92" s="157">
        <f>Sales!BN125</f>
        <v>0</v>
      </c>
      <c r="BO92" s="41">
        <f>Sales!BO125</f>
        <v>1189.09455</v>
      </c>
      <c r="BP92" s="157">
        <f>Sales!BP125</f>
        <v>0</v>
      </c>
      <c r="BQ92" s="157">
        <f>Sales!BQ125</f>
        <v>0</v>
      </c>
      <c r="BR92" s="157">
        <f>Sales!BR125</f>
        <v>0</v>
      </c>
      <c r="BS92" s="157">
        <f>Sales!BS125</f>
        <v>0</v>
      </c>
      <c r="BT92" s="41">
        <f>Sales!BT125</f>
        <v>1248.5492775</v>
      </c>
      <c r="BU92" s="157">
        <f>Sales!BU125</f>
        <v>0</v>
      </c>
      <c r="BV92" s="157">
        <f>Sales!BV125</f>
        <v>0</v>
      </c>
      <c r="BW92" s="157">
        <f>Sales!BW125</f>
        <v>0</v>
      </c>
      <c r="BX92" s="157">
        <f>Sales!BX125</f>
        <v>0</v>
      </c>
      <c r="BY92" s="41">
        <f>Sales!BY125</f>
        <v>1310.9767413750001</v>
      </c>
      <c r="BZ92" s="157">
        <f>Sales!BZ125</f>
        <v>0</v>
      </c>
      <c r="CA92" s="157">
        <f>Sales!CA125</f>
        <v>0</v>
      </c>
      <c r="CB92" s="157">
        <f>Sales!CB125</f>
        <v>0</v>
      </c>
      <c r="CC92" s="157">
        <f>Sales!CC125</f>
        <v>0</v>
      </c>
      <c r="CD92" s="41">
        <f>Sales!CD125</f>
        <v>1376.5255784437502</v>
      </c>
      <c r="CE92" s="157"/>
    </row>
    <row r="93" spans="1:83" s="454" customFormat="1" hidden="1" x14ac:dyDescent="0.15">
      <c r="A93" s="157"/>
      <c r="B93" s="511" t="str">
        <f>Sales!B126</f>
        <v>operational growth</v>
      </c>
      <c r="C93" s="456">
        <f>Sales!C126</f>
        <v>0</v>
      </c>
      <c r="D93" s="456">
        <f>Sales!D126</f>
        <v>0</v>
      </c>
      <c r="E93" s="456">
        <f>Sales!E126</f>
        <v>0</v>
      </c>
      <c r="F93" s="456">
        <f>Sales!F126</f>
        <v>0</v>
      </c>
      <c r="G93" s="457">
        <f>Sales!G126</f>
        <v>0</v>
      </c>
      <c r="H93" s="456">
        <f>Sales!H126</f>
        <v>0</v>
      </c>
      <c r="I93" s="456">
        <f>Sales!I126</f>
        <v>0</v>
      </c>
      <c r="J93" s="456">
        <f>Sales!J126</f>
        <v>0</v>
      </c>
      <c r="K93" s="456">
        <f>Sales!K126</f>
        <v>0</v>
      </c>
      <c r="L93" s="457">
        <f>Sales!L126</f>
        <v>0</v>
      </c>
      <c r="M93" s="456">
        <f>Sales!M126</f>
        <v>0</v>
      </c>
      <c r="N93" s="456">
        <f>Sales!N126</f>
        <v>0</v>
      </c>
      <c r="O93" s="456">
        <f>Sales!O126</f>
        <v>0</v>
      </c>
      <c r="P93" s="456">
        <f>Sales!P126</f>
        <v>0</v>
      </c>
      <c r="Q93" s="457">
        <f>Sales!Q126</f>
        <v>0</v>
      </c>
      <c r="R93" s="456">
        <f>Sales!R126</f>
        <v>0</v>
      </c>
      <c r="S93" s="456">
        <f>Sales!S126</f>
        <v>0</v>
      </c>
      <c r="T93" s="456">
        <f>Sales!T126</f>
        <v>0</v>
      </c>
      <c r="U93" s="456">
        <f>Sales!U126</f>
        <v>0</v>
      </c>
      <c r="V93" s="457">
        <f>Sales!V126</f>
        <v>0</v>
      </c>
      <c r="W93" s="458">
        <f>Sales!W126</f>
        <v>0</v>
      </c>
      <c r="X93" s="458">
        <f>Sales!X126</f>
        <v>0</v>
      </c>
      <c r="Y93" s="458">
        <f>Sales!Y126</f>
        <v>0</v>
      </c>
      <c r="Z93" s="458">
        <f>Sales!Z126</f>
        <v>0</v>
      </c>
      <c r="AA93" s="459">
        <f>Sales!AA126</f>
        <v>0</v>
      </c>
      <c r="AB93" s="458">
        <f>Sales!AB126</f>
        <v>0</v>
      </c>
      <c r="AC93" s="458">
        <f>Sales!AC126</f>
        <v>0</v>
      </c>
      <c r="AD93" s="458">
        <f>Sales!AD126</f>
        <v>0</v>
      </c>
      <c r="AE93" s="458">
        <f>Sales!AE126</f>
        <v>0</v>
      </c>
      <c r="AF93" s="459">
        <f>Sales!AF126</f>
        <v>0</v>
      </c>
      <c r="AG93" s="460">
        <f>Sales!AG126</f>
        <v>0</v>
      </c>
      <c r="AH93" s="458">
        <f>Sales!AH126</f>
        <v>0</v>
      </c>
      <c r="AI93" s="458">
        <f>Sales!AI126</f>
        <v>0</v>
      </c>
      <c r="AJ93" s="460">
        <f>Sales!AJ126</f>
        <v>0</v>
      </c>
      <c r="AK93" s="459">
        <f>Sales!AK126</f>
        <v>0</v>
      </c>
      <c r="AL93" s="458">
        <f>Sales!AL126</f>
        <v>0</v>
      </c>
      <c r="AM93" s="460">
        <f>Sales!AM126</f>
        <v>0</v>
      </c>
      <c r="AN93" s="460">
        <f>Sales!AN126</f>
        <v>0</v>
      </c>
      <c r="AO93" s="458">
        <f>Sales!AO126</f>
        <v>0</v>
      </c>
      <c r="AP93" s="459">
        <f>Sales!AP126</f>
        <v>0</v>
      </c>
      <c r="AQ93" s="460">
        <f>Sales!AQ126</f>
        <v>0</v>
      </c>
      <c r="AR93" s="458">
        <f>Sales!AR126</f>
        <v>0</v>
      </c>
      <c r="AS93" s="458">
        <f>Sales!AS126</f>
        <v>0</v>
      </c>
      <c r="AT93" s="458">
        <f>Sales!AT126</f>
        <v>0</v>
      </c>
      <c r="AU93" s="459">
        <f>Sales!AU126</f>
        <v>0</v>
      </c>
      <c r="AV93" s="458">
        <f>Sales!AV126</f>
        <v>0</v>
      </c>
      <c r="AW93" s="458">
        <f>Sales!AW126</f>
        <v>0</v>
      </c>
      <c r="AX93" s="458">
        <f>Sales!AX126</f>
        <v>0</v>
      </c>
      <c r="AY93" s="458">
        <f>Sales!AY126</f>
        <v>0</v>
      </c>
      <c r="AZ93" s="459">
        <f>Sales!AZ126</f>
        <v>0</v>
      </c>
      <c r="BA93" s="461">
        <f>Sales!BA126</f>
        <v>9.273384183059008E-2</v>
      </c>
      <c r="BB93" s="461">
        <f>Sales!BB126</f>
        <v>0.04</v>
      </c>
      <c r="BC93" s="516">
        <f>Sales!BC126</f>
        <v>-0.01</v>
      </c>
      <c r="BD93" s="516">
        <f>Sales!BD126</f>
        <v>0.19160387513455346</v>
      </c>
      <c r="BE93" s="463">
        <f>Sales!BE126</f>
        <v>7.6070503965202624E-2</v>
      </c>
      <c r="BF93" s="459">
        <f>Sales!BF126</f>
        <v>0.23</v>
      </c>
      <c r="BG93" s="459">
        <f>Sales!BG126</f>
        <v>0.28000000000000003</v>
      </c>
      <c r="BH93" s="459">
        <f>Sales!BH126</f>
        <v>0.28000000000000003</v>
      </c>
      <c r="BI93" s="459">
        <f>Sales!BI126</f>
        <v>0.12</v>
      </c>
      <c r="BJ93" s="459">
        <f>Sales!BJ126</f>
        <v>0.22484330192544039</v>
      </c>
      <c r="BK93" s="28">
        <f>Sales!BK126</f>
        <v>0</v>
      </c>
      <c r="BL93" s="28">
        <f>Sales!BL126</f>
        <v>0</v>
      </c>
      <c r="BM93" s="28">
        <f>Sales!BM126</f>
        <v>0</v>
      </c>
      <c r="BN93" s="28">
        <f>Sales!BN126</f>
        <v>0</v>
      </c>
      <c r="BO93" s="459">
        <f>Sales!BO126</f>
        <v>0</v>
      </c>
      <c r="BP93" s="459">
        <f>Sales!BP126</f>
        <v>0</v>
      </c>
      <c r="BQ93" s="459">
        <f>Sales!BQ126</f>
        <v>0</v>
      </c>
      <c r="BR93" s="459">
        <f>Sales!BR126</f>
        <v>0</v>
      </c>
      <c r="BS93" s="459">
        <f>Sales!BS126</f>
        <v>0</v>
      </c>
      <c r="BT93" s="459">
        <f>Sales!BT126</f>
        <v>0</v>
      </c>
      <c r="BU93" s="28">
        <f>Sales!BU126</f>
        <v>0</v>
      </c>
      <c r="BV93" s="28">
        <f>Sales!BV126</f>
        <v>0</v>
      </c>
      <c r="BW93" s="28">
        <f>Sales!BW126</f>
        <v>0</v>
      </c>
      <c r="BX93" s="28">
        <f>Sales!BX126</f>
        <v>0</v>
      </c>
      <c r="BY93" s="459">
        <f>Sales!BY126</f>
        <v>0</v>
      </c>
      <c r="BZ93" s="459">
        <f>Sales!BZ126</f>
        <v>0</v>
      </c>
      <c r="CA93" s="459">
        <f>Sales!CA126</f>
        <v>0</v>
      </c>
      <c r="CB93" s="459">
        <f>Sales!CB126</f>
        <v>0</v>
      </c>
      <c r="CC93" s="459">
        <f>Sales!CC126</f>
        <v>0</v>
      </c>
      <c r="CD93" s="459">
        <f>Sales!CD126</f>
        <v>0</v>
      </c>
      <c r="CE93" s="157"/>
    </row>
    <row r="94" spans="1:83" s="454" customFormat="1" hidden="1" x14ac:dyDescent="0.15">
      <c r="A94" s="157"/>
      <c r="B94" s="511" t="str">
        <f>Sales!B127</f>
        <v>FX impact</v>
      </c>
      <c r="C94" s="456">
        <f>Sales!C127</f>
        <v>0</v>
      </c>
      <c r="D94" s="456">
        <f>Sales!D127</f>
        <v>0</v>
      </c>
      <c r="E94" s="456">
        <f>Sales!E127</f>
        <v>0</v>
      </c>
      <c r="F94" s="456">
        <f>Sales!F127</f>
        <v>0</v>
      </c>
      <c r="G94" s="457">
        <f>Sales!G127</f>
        <v>0</v>
      </c>
      <c r="H94" s="456">
        <f>Sales!H127</f>
        <v>0</v>
      </c>
      <c r="I94" s="456">
        <f>Sales!I127</f>
        <v>0</v>
      </c>
      <c r="J94" s="456">
        <f>Sales!J127</f>
        <v>0</v>
      </c>
      <c r="K94" s="456">
        <f>Sales!K127</f>
        <v>0</v>
      </c>
      <c r="L94" s="457">
        <f>Sales!L127</f>
        <v>0</v>
      </c>
      <c r="M94" s="456">
        <f>Sales!M127</f>
        <v>0</v>
      </c>
      <c r="N94" s="456">
        <f>Sales!N127</f>
        <v>0</v>
      </c>
      <c r="O94" s="456">
        <f>Sales!O127</f>
        <v>0</v>
      </c>
      <c r="P94" s="456">
        <f>Sales!P127</f>
        <v>0</v>
      </c>
      <c r="Q94" s="457">
        <f>Sales!Q127</f>
        <v>0</v>
      </c>
      <c r="R94" s="456">
        <f>Sales!R127</f>
        <v>0</v>
      </c>
      <c r="S94" s="456">
        <f>Sales!S127</f>
        <v>0</v>
      </c>
      <c r="T94" s="456">
        <f>Sales!T127</f>
        <v>0</v>
      </c>
      <c r="U94" s="456">
        <f>Sales!U127</f>
        <v>0</v>
      </c>
      <c r="V94" s="457">
        <f>Sales!V127</f>
        <v>0</v>
      </c>
      <c r="W94" s="458">
        <f>Sales!W127</f>
        <v>0</v>
      </c>
      <c r="X94" s="458">
        <f>Sales!X127</f>
        <v>0</v>
      </c>
      <c r="Y94" s="458">
        <f>Sales!Y127</f>
        <v>0</v>
      </c>
      <c r="Z94" s="458">
        <f>Sales!Z127</f>
        <v>0</v>
      </c>
      <c r="AA94" s="459">
        <f>Sales!AA127</f>
        <v>0</v>
      </c>
      <c r="AB94" s="458">
        <f>Sales!AB127</f>
        <v>0</v>
      </c>
      <c r="AC94" s="458">
        <f>Sales!AC127</f>
        <v>0</v>
      </c>
      <c r="AD94" s="458">
        <f>Sales!AD127</f>
        <v>0</v>
      </c>
      <c r="AE94" s="458">
        <f>Sales!AE127</f>
        <v>0</v>
      </c>
      <c r="AF94" s="459">
        <f>Sales!AF127</f>
        <v>0</v>
      </c>
      <c r="AG94" s="460">
        <f>Sales!AG127</f>
        <v>0</v>
      </c>
      <c r="AH94" s="458">
        <f>Sales!AH127</f>
        <v>0</v>
      </c>
      <c r="AI94" s="458">
        <f>Sales!AI127</f>
        <v>0</v>
      </c>
      <c r="AJ94" s="460">
        <f>Sales!AJ127</f>
        <v>0</v>
      </c>
      <c r="AK94" s="459">
        <f>Sales!AK127</f>
        <v>0</v>
      </c>
      <c r="AL94" s="458">
        <f>Sales!AL127</f>
        <v>0</v>
      </c>
      <c r="AM94" s="460">
        <f>Sales!AM127</f>
        <v>0</v>
      </c>
      <c r="AN94" s="460">
        <f>Sales!AN127</f>
        <v>0</v>
      </c>
      <c r="AO94" s="458">
        <f>Sales!AO127</f>
        <v>0</v>
      </c>
      <c r="AP94" s="459">
        <f>Sales!AP127</f>
        <v>0</v>
      </c>
      <c r="AQ94" s="460">
        <f>Sales!AQ127</f>
        <v>0</v>
      </c>
      <c r="AR94" s="458">
        <f>Sales!AR127</f>
        <v>0</v>
      </c>
      <c r="AS94" s="458">
        <f>Sales!AS127</f>
        <v>0</v>
      </c>
      <c r="AT94" s="458">
        <f>Sales!AT127</f>
        <v>0</v>
      </c>
      <c r="AU94" s="459">
        <f>Sales!AU127</f>
        <v>0</v>
      </c>
      <c r="AV94" s="458">
        <f>Sales!AV127</f>
        <v>0</v>
      </c>
      <c r="AW94" s="458">
        <f>Sales!AW127</f>
        <v>0</v>
      </c>
      <c r="AX94" s="458">
        <f>Sales!AX127</f>
        <v>0</v>
      </c>
      <c r="AY94" s="458">
        <f>Sales!AY127</f>
        <v>0</v>
      </c>
      <c r="AZ94" s="459">
        <f>Sales!AZ127</f>
        <v>0</v>
      </c>
      <c r="BA94" s="461">
        <f>Sales!BA127</f>
        <v>-0.24126856684062625</v>
      </c>
      <c r="BB94" s="461">
        <f>Sales!BB127</f>
        <v>-0.23207606973058634</v>
      </c>
      <c r="BC94" s="516">
        <f>Sales!BC127</f>
        <v>-0.21889498970487298</v>
      </c>
      <c r="BD94" s="516">
        <f>Sales!BD127</f>
        <v>-0.17007534983853634</v>
      </c>
      <c r="BE94" s="463">
        <f>Sales!BE127</f>
        <v>-0.21557874402865548</v>
      </c>
      <c r="BF94" s="459">
        <f>Sales!BF127</f>
        <v>-7.0000000000000007E-2</v>
      </c>
      <c r="BG94" s="459">
        <f>Sales!BG127</f>
        <v>-0.12</v>
      </c>
      <c r="BH94" s="459">
        <f>Sales!BH127</f>
        <v>-7.0000000000000007E-2</v>
      </c>
      <c r="BI94" s="459">
        <f>Sales!BI127</f>
        <v>0</v>
      </c>
      <c r="BJ94" s="459">
        <f>Sales!BJ127</f>
        <v>-6.5000000000000002E-2</v>
      </c>
      <c r="BK94" s="28">
        <f>Sales!BK127</f>
        <v>0</v>
      </c>
      <c r="BL94" s="28">
        <f>Sales!BL127</f>
        <v>0</v>
      </c>
      <c r="BM94" s="28">
        <f>Sales!BM127</f>
        <v>0</v>
      </c>
      <c r="BN94" s="28">
        <f>Sales!BN127</f>
        <v>0</v>
      </c>
      <c r="BO94" s="459">
        <f>Sales!BO127</f>
        <v>0</v>
      </c>
      <c r="BP94" s="459">
        <f>Sales!BP127</f>
        <v>0</v>
      </c>
      <c r="BQ94" s="459">
        <f>Sales!BQ127</f>
        <v>0</v>
      </c>
      <c r="BR94" s="459">
        <f>Sales!BR127</f>
        <v>0</v>
      </c>
      <c r="BS94" s="459">
        <f>Sales!BS127</f>
        <v>0</v>
      </c>
      <c r="BT94" s="459">
        <f>Sales!BT127</f>
        <v>0</v>
      </c>
      <c r="BU94" s="28">
        <f>Sales!BU127</f>
        <v>0</v>
      </c>
      <c r="BV94" s="28">
        <f>Sales!BV127</f>
        <v>0</v>
      </c>
      <c r="BW94" s="28">
        <f>Sales!BW127</f>
        <v>0</v>
      </c>
      <c r="BX94" s="28">
        <f>Sales!BX127</f>
        <v>0</v>
      </c>
      <c r="BY94" s="459">
        <f>Sales!BY127</f>
        <v>0</v>
      </c>
      <c r="BZ94" s="459">
        <f>Sales!BZ127</f>
        <v>0</v>
      </c>
      <c r="CA94" s="459">
        <f>Sales!CA127</f>
        <v>0</v>
      </c>
      <c r="CB94" s="459">
        <f>Sales!CB127</f>
        <v>0</v>
      </c>
      <c r="CC94" s="459">
        <f>Sales!CC127</f>
        <v>0</v>
      </c>
      <c r="CD94" s="459">
        <f>Sales!CD127</f>
        <v>0</v>
      </c>
      <c r="CE94" s="157"/>
    </row>
    <row r="95" spans="1:83" s="529" customFormat="1" hidden="1" x14ac:dyDescent="0.15">
      <c r="A95" s="520"/>
      <c r="B95" s="521" t="str">
        <f>Sales!B128</f>
        <v>growth</v>
      </c>
      <c r="C95" s="522">
        <f>Sales!C128</f>
        <v>0</v>
      </c>
      <c r="D95" s="522">
        <f>Sales!D128</f>
        <v>0</v>
      </c>
      <c r="E95" s="522">
        <f>Sales!E128</f>
        <v>0</v>
      </c>
      <c r="F95" s="522">
        <f>Sales!F128</f>
        <v>0</v>
      </c>
      <c r="G95" s="523">
        <f>Sales!G128</f>
        <v>0</v>
      </c>
      <c r="H95" s="522">
        <f>Sales!H128</f>
        <v>0</v>
      </c>
      <c r="I95" s="522">
        <f>Sales!I128</f>
        <v>0</v>
      </c>
      <c r="J95" s="522">
        <f>Sales!J128</f>
        <v>0</v>
      </c>
      <c r="K95" s="522">
        <f>Sales!K128</f>
        <v>0</v>
      </c>
      <c r="L95" s="523">
        <f>Sales!L128</f>
        <v>0</v>
      </c>
      <c r="M95" s="522">
        <f>Sales!M128</f>
        <v>0</v>
      </c>
      <c r="N95" s="522">
        <f>Sales!N128</f>
        <v>0</v>
      </c>
      <c r="O95" s="522">
        <f>Sales!O128</f>
        <v>0</v>
      </c>
      <c r="P95" s="522">
        <f>Sales!P128</f>
        <v>0</v>
      </c>
      <c r="Q95" s="523">
        <f>Sales!Q128</f>
        <v>0</v>
      </c>
      <c r="R95" s="522">
        <f>Sales!R128</f>
        <v>0</v>
      </c>
      <c r="S95" s="522">
        <f>Sales!S128</f>
        <v>0</v>
      </c>
      <c r="T95" s="522">
        <f>Sales!T128</f>
        <v>0</v>
      </c>
      <c r="U95" s="522">
        <f>Sales!U128</f>
        <v>0</v>
      </c>
      <c r="V95" s="523">
        <f>Sales!V128</f>
        <v>0</v>
      </c>
      <c r="W95" s="487">
        <f>Sales!W128</f>
        <v>-6.8901009142887326E-2</v>
      </c>
      <c r="X95" s="487">
        <f>Sales!X128</f>
        <v>-0.11605194805194818</v>
      </c>
      <c r="Y95" s="487">
        <f>Sales!Y128</f>
        <v>-4.847885233737248E-3</v>
      </c>
      <c r="Z95" s="487">
        <f>Sales!Z128</f>
        <v>0.17051307034882113</v>
      </c>
      <c r="AA95" s="472">
        <f>Sales!AA128</f>
        <v>-7.5521583204627429E-3</v>
      </c>
      <c r="AB95" s="487">
        <f>Sales!AB128</f>
        <v>0.18025921104759735</v>
      </c>
      <c r="AC95" s="487">
        <f>Sales!AC128</f>
        <v>0.19843088857545843</v>
      </c>
      <c r="AD95" s="487">
        <f>Sales!AD128</f>
        <v>4.8864144753193894E-2</v>
      </c>
      <c r="AE95" s="487">
        <f>Sales!AE128</f>
        <v>0.14897968891214397</v>
      </c>
      <c r="AF95" s="472">
        <f>Sales!AF128</f>
        <v>0.14080448400923173</v>
      </c>
      <c r="AG95" s="487">
        <f>Sales!AG128</f>
        <v>0.82442217320418165</v>
      </c>
      <c r="AH95" s="487">
        <f>Sales!AH128</f>
        <v>1.8515385558416084</v>
      </c>
      <c r="AI95" s="487">
        <f>Sales!AI128</f>
        <v>2.176658767772512</v>
      </c>
      <c r="AJ95" s="487">
        <f>Sales!AJ128</f>
        <v>1.9876837093769408</v>
      </c>
      <c r="AK95" s="472">
        <f>Sales!AK128</f>
        <v>1.7212418281763902</v>
      </c>
      <c r="AL95" s="487">
        <f>Sales!AL128</f>
        <v>1.0620687842508509</v>
      </c>
      <c r="AM95" s="487">
        <f>Sales!AM128</f>
        <v>0.34752364574376626</v>
      </c>
      <c r="AN95" s="487">
        <f>Sales!AN128</f>
        <v>0.11453507888553216</v>
      </c>
      <c r="AO95" s="487">
        <f>Sales!AO128</f>
        <v>0.3417397027747946</v>
      </c>
      <c r="AP95" s="472">
        <f>Sales!AP128</f>
        <v>0.3948995609442143</v>
      </c>
      <c r="AQ95" s="487">
        <f>Sales!AQ128</f>
        <v>0.2119508759854436</v>
      </c>
      <c r="AR95" s="487">
        <f>Sales!AR128</f>
        <v>0.21478205938092221</v>
      </c>
      <c r="AS95" s="487">
        <f>Sales!AS128</f>
        <v>0.43998688164702227</v>
      </c>
      <c r="AT95" s="487">
        <f>Sales!AT128</f>
        <v>0.31537230197252919</v>
      </c>
      <c r="AU95" s="472">
        <f>Sales!AU128</f>
        <v>0.29500757581525661</v>
      </c>
      <c r="AV95" s="487">
        <f>Sales!AV128</f>
        <v>0.30990818548005428</v>
      </c>
      <c r="AW95" s="487">
        <f>Sales!AW128</f>
        <v>0.65723800669198473</v>
      </c>
      <c r="AX95" s="487">
        <f>Sales!AX128</f>
        <v>0.35442278999939569</v>
      </c>
      <c r="AY95" s="487">
        <f>Sales!AY128</f>
        <v>9.4078159656113103E-2</v>
      </c>
      <c r="AZ95" s="524">
        <f>Sales!AZ128</f>
        <v>0.33427403945086276</v>
      </c>
      <c r="BA95" s="487">
        <f>Sales!BA128</f>
        <v>-0.14853472501003617</v>
      </c>
      <c r="BB95" s="487">
        <f>Sales!BB128</f>
        <v>-0.19207606973058633</v>
      </c>
      <c r="BC95" s="487">
        <f>Sales!BC128</f>
        <v>-0.22889498970487299</v>
      </c>
      <c r="BD95" s="487">
        <f>Sales!BD128</f>
        <v>2.152852529601712E-2</v>
      </c>
      <c r="BE95" s="524">
        <f>Sales!BE128</f>
        <v>-0.13950824006345286</v>
      </c>
      <c r="BF95" s="530">
        <f>Sales!BF128</f>
        <v>0.16</v>
      </c>
      <c r="BG95" s="530">
        <f>Sales!BG128</f>
        <v>0.16000000000000003</v>
      </c>
      <c r="BH95" s="530">
        <f>Sales!BH128</f>
        <v>0.21000000000000002</v>
      </c>
      <c r="BI95" s="530">
        <f>Sales!BI128</f>
        <v>0.12</v>
      </c>
      <c r="BJ95" s="531">
        <f>Sales!BJ128</f>
        <v>0.15984330192544038</v>
      </c>
      <c r="BK95" s="532">
        <f>Sales!BK128</f>
        <v>0</v>
      </c>
      <c r="BL95" s="532">
        <f>Sales!BL128</f>
        <v>0</v>
      </c>
      <c r="BM95" s="532">
        <f>Sales!BM128</f>
        <v>0</v>
      </c>
      <c r="BN95" s="532">
        <f>Sales!BN128</f>
        <v>0</v>
      </c>
      <c r="BO95" s="531">
        <f>Sales!BO128</f>
        <v>0.05</v>
      </c>
      <c r="BP95" s="532">
        <f>Sales!BP128</f>
        <v>0</v>
      </c>
      <c r="BQ95" s="532">
        <f>Sales!BQ128</f>
        <v>0</v>
      </c>
      <c r="BR95" s="532">
        <f>Sales!BR128</f>
        <v>0</v>
      </c>
      <c r="BS95" s="532">
        <f>Sales!BS128</f>
        <v>0</v>
      </c>
      <c r="BT95" s="531">
        <f>Sales!BT128</f>
        <v>0.05</v>
      </c>
      <c r="BU95" s="532">
        <f>Sales!BU128</f>
        <v>0</v>
      </c>
      <c r="BV95" s="532">
        <f>Sales!BV128</f>
        <v>0</v>
      </c>
      <c r="BW95" s="532">
        <f>Sales!BW128</f>
        <v>0</v>
      </c>
      <c r="BX95" s="532">
        <f>Sales!BX128</f>
        <v>0</v>
      </c>
      <c r="BY95" s="531">
        <f>Sales!BY128</f>
        <v>0.05</v>
      </c>
      <c r="BZ95" s="532">
        <f>Sales!BZ128</f>
        <v>0</v>
      </c>
      <c r="CA95" s="532">
        <f>Sales!CA128</f>
        <v>0</v>
      </c>
      <c r="CB95" s="532">
        <f>Sales!CB128</f>
        <v>0</v>
      </c>
      <c r="CC95" s="532">
        <f>Sales!CC128</f>
        <v>0</v>
      </c>
      <c r="CD95" s="531">
        <f>Sales!CD128</f>
        <v>0.05</v>
      </c>
      <c r="CE95" s="520"/>
    </row>
    <row r="96" spans="1:83" s="534" customFormat="1" x14ac:dyDescent="0.15">
      <c r="A96" s="533"/>
      <c r="B96" s="503" t="str">
        <f>Sales!B129</f>
        <v>Emerging Mkts - Latin America</v>
      </c>
      <c r="C96" s="534">
        <f>Sales!C129</f>
        <v>0</v>
      </c>
      <c r="D96" s="534">
        <f>Sales!D129</f>
        <v>0</v>
      </c>
      <c r="E96" s="534">
        <f>Sales!E129</f>
        <v>0</v>
      </c>
      <c r="F96" s="534">
        <f>Sales!F129</f>
        <v>0</v>
      </c>
      <c r="G96" s="535">
        <f>Sales!G129</f>
        <v>0</v>
      </c>
      <c r="H96" s="534">
        <f>Sales!H129</f>
        <v>0</v>
      </c>
      <c r="I96" s="534">
        <f>Sales!I129</f>
        <v>0</v>
      </c>
      <c r="J96" s="534">
        <f>Sales!J129</f>
        <v>0</v>
      </c>
      <c r="K96" s="534">
        <f>Sales!K129</f>
        <v>0</v>
      </c>
      <c r="L96" s="535">
        <f>Sales!L129</f>
        <v>0</v>
      </c>
      <c r="M96" s="534">
        <f>Sales!M129</f>
        <v>0</v>
      </c>
      <c r="N96" s="534">
        <f>Sales!N129</f>
        <v>0</v>
      </c>
      <c r="O96" s="534">
        <f>Sales!O129</f>
        <v>0</v>
      </c>
      <c r="P96" s="534">
        <f>Sales!P129</f>
        <v>0</v>
      </c>
      <c r="Q96" s="535">
        <f>Sales!Q129</f>
        <v>0</v>
      </c>
      <c r="R96" s="533">
        <f>Sales!R129</f>
        <v>0</v>
      </c>
      <c r="S96" s="533">
        <f>Sales!S129</f>
        <v>0</v>
      </c>
      <c r="T96" s="533">
        <f>Sales!T129</f>
        <v>0</v>
      </c>
      <c r="U96" s="533">
        <f>Sales!U129</f>
        <v>0</v>
      </c>
      <c r="V96" s="536">
        <f>Sales!V129</f>
        <v>0</v>
      </c>
      <c r="W96" s="537">
        <f>Sales!W129</f>
        <v>0</v>
      </c>
      <c r="X96" s="537">
        <f>Sales!X129</f>
        <v>0</v>
      </c>
      <c r="Y96" s="537">
        <f>Sales!Y129</f>
        <v>0</v>
      </c>
      <c r="Z96" s="537">
        <f>Sales!Z129</f>
        <v>0</v>
      </c>
      <c r="AA96" s="538">
        <f>Sales!AA129</f>
        <v>0</v>
      </c>
      <c r="AB96" s="275">
        <f>Sales!AB129</f>
        <v>42.057000000000002</v>
      </c>
      <c r="AC96" s="275">
        <f>Sales!AC129</f>
        <v>51.771999999999998</v>
      </c>
      <c r="AD96" s="505">
        <f>Sales!AD129</f>
        <v>51.7</v>
      </c>
      <c r="AE96" s="505">
        <f>Sales!AE129</f>
        <v>69.037999999999997</v>
      </c>
      <c r="AF96" s="41">
        <f>Sales!AF129</f>
        <v>214.56700000000001</v>
      </c>
      <c r="AG96" s="504">
        <f>Sales!AG129</f>
        <v>56.383000000000003</v>
      </c>
      <c r="AH96" s="539">
        <f>Sales!AH129</f>
        <v>64.730999999999995</v>
      </c>
      <c r="AI96" s="505">
        <f>Sales!AI129</f>
        <v>67.954999999999998</v>
      </c>
      <c r="AJ96" s="505">
        <f>Sales!AJ129</f>
        <v>65.771000000000001</v>
      </c>
      <c r="AK96" s="41">
        <f>Sales!AK129</f>
        <v>254.84000000000003</v>
      </c>
      <c r="AL96" s="275">
        <f>Sales!AL129</f>
        <v>72</v>
      </c>
      <c r="AM96" s="275">
        <f>Sales!AM129</f>
        <v>73.400000000000006</v>
      </c>
      <c r="AN96" s="275">
        <f>Sales!AN129</f>
        <v>80.599999999999994</v>
      </c>
      <c r="AO96" s="275">
        <f>Sales!AO129</f>
        <v>95.1</v>
      </c>
      <c r="AP96" s="41">
        <f>Sales!AP129</f>
        <v>321.10000000000002</v>
      </c>
      <c r="AQ96" s="540">
        <f>Sales!AQ129</f>
        <v>81.709000000000003</v>
      </c>
      <c r="AR96" s="275">
        <f>Sales!AR129</f>
        <v>89.141999999999996</v>
      </c>
      <c r="AS96" s="540">
        <f>Sales!AS129</f>
        <v>100.495</v>
      </c>
      <c r="AT96" s="275">
        <f>Sales!AT129</f>
        <v>121.42100000000001</v>
      </c>
      <c r="AU96" s="41">
        <f>Sales!AU129</f>
        <v>392.767</v>
      </c>
      <c r="AV96" s="540">
        <f>Sales!AV129</f>
        <v>99.3</v>
      </c>
      <c r="AW96" s="275">
        <f>Sales!AW129</f>
        <v>109.8</v>
      </c>
      <c r="AX96" s="275">
        <f>Sales!AX129</f>
        <v>113.6</v>
      </c>
      <c r="AY96" s="275">
        <f>Sales!AY129</f>
        <v>112.7</v>
      </c>
      <c r="AZ96" s="41">
        <f>Sales!AZ129</f>
        <v>435.4</v>
      </c>
      <c r="BA96" s="540">
        <f>Sales!BA129</f>
        <v>89</v>
      </c>
      <c r="BB96" s="275">
        <f>Sales!BB129</f>
        <v>94.3</v>
      </c>
      <c r="BC96" s="540">
        <f>Sales!BC129</f>
        <v>92.6</v>
      </c>
      <c r="BD96" s="540">
        <f>Sales!BD129</f>
        <v>100.4</v>
      </c>
      <c r="BE96" s="41">
        <f>Sales!BE129</f>
        <v>376.29999999999995</v>
      </c>
      <c r="BF96" s="157">
        <f>Sales!BF129</f>
        <v>73.86999999999999</v>
      </c>
      <c r="BG96" s="157">
        <f>Sales!BG129</f>
        <v>86.756</v>
      </c>
      <c r="BH96" s="157">
        <f>Sales!BH129</f>
        <v>93.525999999999996</v>
      </c>
      <c r="BI96" s="157">
        <f>Sales!BI129</f>
        <v>105.42000000000002</v>
      </c>
      <c r="BJ96" s="41">
        <f>Sales!BJ129</f>
        <v>359.572</v>
      </c>
      <c r="BK96" s="157">
        <f>Sales!BK129</f>
        <v>0</v>
      </c>
      <c r="BL96" s="157">
        <f>Sales!BL129</f>
        <v>0</v>
      </c>
      <c r="BM96" s="157">
        <f>Sales!BM129</f>
        <v>0</v>
      </c>
      <c r="BN96" s="157">
        <f>Sales!BN129</f>
        <v>0</v>
      </c>
      <c r="BO96" s="41">
        <f>Sales!BO129</f>
        <v>377.55060000000003</v>
      </c>
      <c r="BP96" s="157">
        <f>Sales!BP129</f>
        <v>0</v>
      </c>
      <c r="BQ96" s="157">
        <f>Sales!BQ129</f>
        <v>0</v>
      </c>
      <c r="BR96" s="157">
        <f>Sales!BR129</f>
        <v>0</v>
      </c>
      <c r="BS96" s="157">
        <f>Sales!BS129</f>
        <v>0</v>
      </c>
      <c r="BT96" s="41">
        <f>Sales!BT129</f>
        <v>396.42813000000007</v>
      </c>
      <c r="BU96" s="157">
        <f>Sales!BU129</f>
        <v>0</v>
      </c>
      <c r="BV96" s="157">
        <f>Sales!BV129</f>
        <v>0</v>
      </c>
      <c r="BW96" s="157">
        <f>Sales!BW129</f>
        <v>0</v>
      </c>
      <c r="BX96" s="157">
        <f>Sales!BX129</f>
        <v>0</v>
      </c>
      <c r="BY96" s="41">
        <f>Sales!BY129</f>
        <v>416.24953650000009</v>
      </c>
      <c r="BZ96" s="157">
        <f>Sales!BZ129</f>
        <v>0</v>
      </c>
      <c r="CA96" s="157">
        <f>Sales!CA129</f>
        <v>0</v>
      </c>
      <c r="CB96" s="157">
        <f>Sales!CB129</f>
        <v>0</v>
      </c>
      <c r="CC96" s="157">
        <f>Sales!CC129</f>
        <v>0</v>
      </c>
      <c r="CD96" s="41">
        <f>Sales!CD129</f>
        <v>437.06201332500012</v>
      </c>
      <c r="CE96" s="533"/>
    </row>
    <row r="97" spans="1:83" s="454" customFormat="1" hidden="1" x14ac:dyDescent="0.15">
      <c r="A97" s="157"/>
      <c r="B97" s="511" t="str">
        <f>Sales!B130</f>
        <v>operational growth</v>
      </c>
      <c r="C97" s="456">
        <f>Sales!C130</f>
        <v>0</v>
      </c>
      <c r="D97" s="456">
        <f>Sales!D130</f>
        <v>0</v>
      </c>
      <c r="E97" s="456">
        <f>Sales!E130</f>
        <v>0</v>
      </c>
      <c r="F97" s="456">
        <f>Sales!F130</f>
        <v>0</v>
      </c>
      <c r="G97" s="457">
        <f>Sales!G130</f>
        <v>0</v>
      </c>
      <c r="H97" s="456">
        <f>Sales!H130</f>
        <v>0</v>
      </c>
      <c r="I97" s="456">
        <f>Sales!I130</f>
        <v>0</v>
      </c>
      <c r="J97" s="456">
        <f>Sales!J130</f>
        <v>0</v>
      </c>
      <c r="K97" s="456">
        <f>Sales!K130</f>
        <v>0</v>
      </c>
      <c r="L97" s="457">
        <f>Sales!L130</f>
        <v>0</v>
      </c>
      <c r="M97" s="456">
        <f>Sales!M130</f>
        <v>0</v>
      </c>
      <c r="N97" s="456">
        <f>Sales!N130</f>
        <v>0</v>
      </c>
      <c r="O97" s="456">
        <f>Sales!O130</f>
        <v>0</v>
      </c>
      <c r="P97" s="456">
        <f>Sales!P130</f>
        <v>0</v>
      </c>
      <c r="Q97" s="457">
        <f>Sales!Q130</f>
        <v>0</v>
      </c>
      <c r="R97" s="456">
        <f>Sales!R130</f>
        <v>0</v>
      </c>
      <c r="S97" s="456">
        <f>Sales!S130</f>
        <v>0</v>
      </c>
      <c r="T97" s="456">
        <f>Sales!T130</f>
        <v>0</v>
      </c>
      <c r="U97" s="456">
        <f>Sales!U130</f>
        <v>0</v>
      </c>
      <c r="V97" s="457">
        <f>Sales!V130</f>
        <v>0</v>
      </c>
      <c r="W97" s="458">
        <f>Sales!W130</f>
        <v>0</v>
      </c>
      <c r="X97" s="458">
        <f>Sales!X130</f>
        <v>0</v>
      </c>
      <c r="Y97" s="458">
        <f>Sales!Y130</f>
        <v>0</v>
      </c>
      <c r="Z97" s="458">
        <f>Sales!Z130</f>
        <v>0</v>
      </c>
      <c r="AA97" s="459">
        <f>Sales!AA130</f>
        <v>0</v>
      </c>
      <c r="AB97" s="324">
        <f>Sales!AB130</f>
        <v>0</v>
      </c>
      <c r="AC97" s="324">
        <f>Sales!AC130</f>
        <v>0</v>
      </c>
      <c r="AD97" s="324">
        <f>Sales!AD130</f>
        <v>0</v>
      </c>
      <c r="AE97" s="324">
        <f>Sales!AE130</f>
        <v>0</v>
      </c>
      <c r="AF97" s="372">
        <f>Sales!AF130</f>
        <v>0</v>
      </c>
      <c r="AG97" s="454">
        <f>Sales!AG130</f>
        <v>0</v>
      </c>
      <c r="AH97" s="454">
        <f>Sales!AH130</f>
        <v>0</v>
      </c>
      <c r="AI97" s="454">
        <f>Sales!AI130</f>
        <v>0</v>
      </c>
      <c r="AJ97" s="454">
        <f>Sales!AJ130</f>
        <v>0</v>
      </c>
      <c r="AK97" s="459">
        <f>Sales!AK130</f>
        <v>0</v>
      </c>
      <c r="AL97" s="454">
        <f>Sales!AL130</f>
        <v>0</v>
      </c>
      <c r="AM97" s="454">
        <f>Sales!AM130</f>
        <v>0</v>
      </c>
      <c r="AN97" s="454">
        <f>Sales!AN130</f>
        <v>0</v>
      </c>
      <c r="AO97" s="454">
        <f>Sales!AO130</f>
        <v>0</v>
      </c>
      <c r="AP97" s="459">
        <f>Sales!AP130</f>
        <v>0</v>
      </c>
      <c r="AQ97" s="324">
        <f>Sales!AQ130</f>
        <v>0</v>
      </c>
      <c r="AR97" s="324">
        <f>Sales!AR130</f>
        <v>0</v>
      </c>
      <c r="AS97" s="461">
        <f>Sales!AS130</f>
        <v>0</v>
      </c>
      <c r="AT97" s="512">
        <f>Sales!AT130</f>
        <v>0</v>
      </c>
      <c r="AU97" s="372">
        <f>Sales!AU130</f>
        <v>0</v>
      </c>
      <c r="AV97" s="324">
        <f>Sales!AV130</f>
        <v>0</v>
      </c>
      <c r="AW97" s="324">
        <f>Sales!AW130</f>
        <v>0</v>
      </c>
      <c r="AX97" s="324">
        <f>Sales!AX130</f>
        <v>0</v>
      </c>
      <c r="AY97" s="324">
        <f>Sales!AY130</f>
        <v>0.03</v>
      </c>
      <c r="AZ97" s="459">
        <f>Sales!AZ130</f>
        <v>0</v>
      </c>
      <c r="BA97" s="461">
        <f>Sales!BA130</f>
        <v>3.7260825780463191E-2</v>
      </c>
      <c r="BB97" s="461">
        <f>Sales!BB130</f>
        <v>0.05</v>
      </c>
      <c r="BC97" s="516">
        <f>Sales!BC130</f>
        <v>0.08</v>
      </c>
      <c r="BD97" s="516">
        <f>Sales!BD130</f>
        <v>0.14729370008873133</v>
      </c>
      <c r="BE97" s="463">
        <f>Sales!BE130</f>
        <v>7.7623953697838838E-2</v>
      </c>
      <c r="BF97" s="459">
        <f>Sales!BF130</f>
        <v>0.03</v>
      </c>
      <c r="BG97" s="459">
        <f>Sales!BG130</f>
        <v>0.08</v>
      </c>
      <c r="BH97" s="459">
        <f>Sales!BH130</f>
        <v>0.08</v>
      </c>
      <c r="BI97" s="459">
        <f>Sales!BI130</f>
        <v>0.05</v>
      </c>
      <c r="BJ97" s="459">
        <f>Sales!BJ130</f>
        <v>6.3046106829657347E-2</v>
      </c>
      <c r="BK97" s="28">
        <f>Sales!BK130</f>
        <v>0</v>
      </c>
      <c r="BL97" s="28">
        <f>Sales!BL130</f>
        <v>0</v>
      </c>
      <c r="BM97" s="28">
        <f>Sales!BM130</f>
        <v>0</v>
      </c>
      <c r="BN97" s="28">
        <f>Sales!BN130</f>
        <v>0</v>
      </c>
      <c r="BO97" s="459">
        <f>Sales!BO130</f>
        <v>0</v>
      </c>
      <c r="BP97" s="459">
        <f>Sales!BP130</f>
        <v>0</v>
      </c>
      <c r="BQ97" s="459">
        <f>Sales!BQ130</f>
        <v>0</v>
      </c>
      <c r="BR97" s="459">
        <f>Sales!BR130</f>
        <v>0</v>
      </c>
      <c r="BS97" s="459">
        <f>Sales!BS130</f>
        <v>0</v>
      </c>
      <c r="BT97" s="459">
        <f>Sales!BT130</f>
        <v>0</v>
      </c>
      <c r="BU97" s="28">
        <f>Sales!BU130</f>
        <v>0</v>
      </c>
      <c r="BV97" s="28">
        <f>Sales!BV130</f>
        <v>0</v>
      </c>
      <c r="BW97" s="28">
        <f>Sales!BW130</f>
        <v>0</v>
      </c>
      <c r="BX97" s="28">
        <f>Sales!BX130</f>
        <v>0</v>
      </c>
      <c r="BY97" s="459">
        <f>Sales!BY130</f>
        <v>0</v>
      </c>
      <c r="BZ97" s="459">
        <f>Sales!BZ130</f>
        <v>0</v>
      </c>
      <c r="CA97" s="459">
        <f>Sales!CA130</f>
        <v>0</v>
      </c>
      <c r="CB97" s="459">
        <f>Sales!CB130</f>
        <v>0</v>
      </c>
      <c r="CC97" s="459">
        <f>Sales!CC130</f>
        <v>0</v>
      </c>
      <c r="CD97" s="459">
        <f>Sales!CD130</f>
        <v>0</v>
      </c>
      <c r="CE97" s="157"/>
    </row>
    <row r="98" spans="1:83" s="454" customFormat="1" hidden="1" x14ac:dyDescent="0.15">
      <c r="A98" s="157"/>
      <c r="B98" s="511" t="str">
        <f>Sales!B131</f>
        <v>FX impact</v>
      </c>
      <c r="C98" s="456">
        <f>Sales!C131</f>
        <v>0</v>
      </c>
      <c r="D98" s="456">
        <f>Sales!D131</f>
        <v>0</v>
      </c>
      <c r="E98" s="456">
        <f>Sales!E131</f>
        <v>0</v>
      </c>
      <c r="F98" s="456">
        <f>Sales!F131</f>
        <v>0</v>
      </c>
      <c r="G98" s="457">
        <f>Sales!G131</f>
        <v>0</v>
      </c>
      <c r="H98" s="456">
        <f>Sales!H131</f>
        <v>0</v>
      </c>
      <c r="I98" s="456">
        <f>Sales!I131</f>
        <v>0</v>
      </c>
      <c r="J98" s="456">
        <f>Sales!J131</f>
        <v>0</v>
      </c>
      <c r="K98" s="456">
        <f>Sales!K131</f>
        <v>0</v>
      </c>
      <c r="L98" s="457">
        <f>Sales!L131</f>
        <v>0</v>
      </c>
      <c r="M98" s="456">
        <f>Sales!M131</f>
        <v>0</v>
      </c>
      <c r="N98" s="456">
        <f>Sales!N131</f>
        <v>0</v>
      </c>
      <c r="O98" s="456">
        <f>Sales!O131</f>
        <v>0</v>
      </c>
      <c r="P98" s="456">
        <f>Sales!P131</f>
        <v>0</v>
      </c>
      <c r="Q98" s="457">
        <f>Sales!Q131</f>
        <v>0</v>
      </c>
      <c r="R98" s="456">
        <f>Sales!R131</f>
        <v>0</v>
      </c>
      <c r="S98" s="456">
        <f>Sales!S131</f>
        <v>0</v>
      </c>
      <c r="T98" s="456">
        <f>Sales!T131</f>
        <v>0</v>
      </c>
      <c r="U98" s="456">
        <f>Sales!U131</f>
        <v>0</v>
      </c>
      <c r="V98" s="457">
        <f>Sales!V131</f>
        <v>0</v>
      </c>
      <c r="W98" s="458">
        <f>Sales!W131</f>
        <v>0</v>
      </c>
      <c r="X98" s="458">
        <f>Sales!X131</f>
        <v>0</v>
      </c>
      <c r="Y98" s="458">
        <f>Sales!Y131</f>
        <v>0</v>
      </c>
      <c r="Z98" s="458">
        <f>Sales!Z131</f>
        <v>0</v>
      </c>
      <c r="AA98" s="459">
        <f>Sales!AA131</f>
        <v>0</v>
      </c>
      <c r="AB98" s="458">
        <f>Sales!AB131</f>
        <v>0</v>
      </c>
      <c r="AC98" s="458">
        <f>Sales!AC131</f>
        <v>0</v>
      </c>
      <c r="AD98" s="458">
        <f>Sales!AD131</f>
        <v>0</v>
      </c>
      <c r="AE98" s="458">
        <f>Sales!AE131</f>
        <v>0</v>
      </c>
      <c r="AF98" s="459">
        <f>Sales!AF131</f>
        <v>0</v>
      </c>
      <c r="AG98" s="460">
        <f>Sales!AG131</f>
        <v>0</v>
      </c>
      <c r="AH98" s="458">
        <f>Sales!AH131</f>
        <v>0</v>
      </c>
      <c r="AI98" s="458">
        <f>Sales!AI131</f>
        <v>0</v>
      </c>
      <c r="AJ98" s="460">
        <f>Sales!AJ131</f>
        <v>0</v>
      </c>
      <c r="AK98" s="459">
        <f>Sales!AK131</f>
        <v>0</v>
      </c>
      <c r="AL98" s="458">
        <f>Sales!AL131</f>
        <v>0</v>
      </c>
      <c r="AM98" s="460">
        <f>Sales!AM131</f>
        <v>0</v>
      </c>
      <c r="AN98" s="460">
        <f>Sales!AN131</f>
        <v>0</v>
      </c>
      <c r="AO98" s="458">
        <f>Sales!AO131</f>
        <v>0</v>
      </c>
      <c r="AP98" s="459">
        <f>Sales!AP131</f>
        <v>0</v>
      </c>
      <c r="AQ98" s="460">
        <f>Sales!AQ131</f>
        <v>0</v>
      </c>
      <c r="AR98" s="458">
        <f>Sales!AR131</f>
        <v>0</v>
      </c>
      <c r="AS98" s="458">
        <f>Sales!AS131</f>
        <v>0</v>
      </c>
      <c r="AT98" s="458">
        <f>Sales!AT131</f>
        <v>0</v>
      </c>
      <c r="AU98" s="459">
        <f>Sales!AU131</f>
        <v>0</v>
      </c>
      <c r="AV98" s="458">
        <f>Sales!AV131</f>
        <v>0</v>
      </c>
      <c r="AW98" s="458">
        <f>Sales!AW131</f>
        <v>0</v>
      </c>
      <c r="AX98" s="458">
        <f>Sales!AX131</f>
        <v>0</v>
      </c>
      <c r="AY98" s="324">
        <f>Sales!AY131</f>
        <v>-0.10182447846748097</v>
      </c>
      <c r="AZ98" s="459">
        <f>Sales!AZ131</f>
        <v>0</v>
      </c>
      <c r="BA98" s="461">
        <f>Sales!BA131</f>
        <v>-0.14098690835850947</v>
      </c>
      <c r="BB98" s="461">
        <f>Sales!BB131</f>
        <v>-0.19116575591985424</v>
      </c>
      <c r="BC98" s="516">
        <f>Sales!BC131</f>
        <v>-0.26485915492957751</v>
      </c>
      <c r="BD98" s="516">
        <f>Sales!BD131</f>
        <v>-0.25643300798580315</v>
      </c>
      <c r="BE98" s="463">
        <f>Sales!BE131</f>
        <v>-0.21336120679843609</v>
      </c>
      <c r="BF98" s="459">
        <f>Sales!BF131</f>
        <v>-0.2</v>
      </c>
      <c r="BG98" s="459">
        <f>Sales!BG131</f>
        <v>-0.16</v>
      </c>
      <c r="BH98" s="459">
        <f>Sales!BH131</f>
        <v>-7.0000000000000007E-2</v>
      </c>
      <c r="BI98" s="459">
        <f>Sales!BI131</f>
        <v>0</v>
      </c>
      <c r="BJ98" s="459">
        <f>Sales!BJ131</f>
        <v>-0.1075</v>
      </c>
      <c r="BK98" s="28">
        <f>Sales!BK131</f>
        <v>0</v>
      </c>
      <c r="BL98" s="28">
        <f>Sales!BL131</f>
        <v>0</v>
      </c>
      <c r="BM98" s="28">
        <f>Sales!BM131</f>
        <v>0</v>
      </c>
      <c r="BN98" s="28">
        <f>Sales!BN131</f>
        <v>0</v>
      </c>
      <c r="BO98" s="459">
        <f>Sales!BO131</f>
        <v>0</v>
      </c>
      <c r="BP98" s="459">
        <f>Sales!BP131</f>
        <v>0</v>
      </c>
      <c r="BQ98" s="459">
        <f>Sales!BQ131</f>
        <v>0</v>
      </c>
      <c r="BR98" s="459">
        <f>Sales!BR131</f>
        <v>0</v>
      </c>
      <c r="BS98" s="459">
        <f>Sales!BS131</f>
        <v>0</v>
      </c>
      <c r="BT98" s="459">
        <f>Sales!BT131</f>
        <v>0</v>
      </c>
      <c r="BU98" s="28">
        <f>Sales!BU131</f>
        <v>0</v>
      </c>
      <c r="BV98" s="28">
        <f>Sales!BV131</f>
        <v>0</v>
      </c>
      <c r="BW98" s="28">
        <f>Sales!BW131</f>
        <v>0</v>
      </c>
      <c r="BX98" s="28">
        <f>Sales!BX131</f>
        <v>0</v>
      </c>
      <c r="BY98" s="459">
        <f>Sales!BY131</f>
        <v>0</v>
      </c>
      <c r="BZ98" s="459">
        <f>Sales!BZ131</f>
        <v>0</v>
      </c>
      <c r="CA98" s="459">
        <f>Sales!CA131</f>
        <v>0</v>
      </c>
      <c r="CB98" s="459">
        <f>Sales!CB131</f>
        <v>0</v>
      </c>
      <c r="CC98" s="459">
        <f>Sales!CC131</f>
        <v>0</v>
      </c>
      <c r="CD98" s="459">
        <f>Sales!CD131</f>
        <v>0</v>
      </c>
      <c r="CE98" s="157"/>
    </row>
    <row r="99" spans="1:83" s="529" customFormat="1" hidden="1" x14ac:dyDescent="0.15">
      <c r="A99" s="520"/>
      <c r="B99" s="521" t="str">
        <f>Sales!B132</f>
        <v>growth</v>
      </c>
      <c r="C99" s="522">
        <f>Sales!C132</f>
        <v>0</v>
      </c>
      <c r="D99" s="522">
        <f>Sales!D132</f>
        <v>0</v>
      </c>
      <c r="E99" s="522">
        <f>Sales!E132</f>
        <v>0</v>
      </c>
      <c r="F99" s="522">
        <f>Sales!F132</f>
        <v>0</v>
      </c>
      <c r="G99" s="523">
        <f>Sales!G132</f>
        <v>0</v>
      </c>
      <c r="H99" s="522">
        <f>Sales!H132</f>
        <v>0</v>
      </c>
      <c r="I99" s="522">
        <f>Sales!I132</f>
        <v>0</v>
      </c>
      <c r="J99" s="522">
        <f>Sales!J132</f>
        <v>0</v>
      </c>
      <c r="K99" s="522">
        <f>Sales!K132</f>
        <v>0</v>
      </c>
      <c r="L99" s="523">
        <f>Sales!L132</f>
        <v>0</v>
      </c>
      <c r="M99" s="522">
        <f>Sales!M132</f>
        <v>0</v>
      </c>
      <c r="N99" s="522">
        <f>Sales!N132</f>
        <v>0</v>
      </c>
      <c r="O99" s="522">
        <f>Sales!O132</f>
        <v>0</v>
      </c>
      <c r="P99" s="522">
        <f>Sales!P132</f>
        <v>0</v>
      </c>
      <c r="Q99" s="523">
        <f>Sales!Q132</f>
        <v>0</v>
      </c>
      <c r="R99" s="485">
        <f>Sales!R132</f>
        <v>0</v>
      </c>
      <c r="S99" s="485">
        <f>Sales!S132</f>
        <v>0</v>
      </c>
      <c r="T99" s="485">
        <f>Sales!T132</f>
        <v>0</v>
      </c>
      <c r="U99" s="485">
        <f>Sales!U132</f>
        <v>0</v>
      </c>
      <c r="V99" s="486">
        <f>Sales!V132</f>
        <v>0</v>
      </c>
      <c r="W99" s="487">
        <f>Sales!W132</f>
        <v>0</v>
      </c>
      <c r="X99" s="487">
        <f>Sales!X132</f>
        <v>0</v>
      </c>
      <c r="Y99" s="487">
        <f>Sales!Y132</f>
        <v>0</v>
      </c>
      <c r="Z99" s="487">
        <f>Sales!Z132</f>
        <v>0</v>
      </c>
      <c r="AA99" s="472">
        <f>Sales!AA132</f>
        <v>0</v>
      </c>
      <c r="AB99" s="487">
        <f>Sales!AB132</f>
        <v>0</v>
      </c>
      <c r="AC99" s="487">
        <f>Sales!AC132</f>
        <v>0</v>
      </c>
      <c r="AD99" s="487">
        <f>Sales!AD132</f>
        <v>0</v>
      </c>
      <c r="AE99" s="487">
        <f>Sales!AE132</f>
        <v>0</v>
      </c>
      <c r="AF99" s="472">
        <f>Sales!AF132</f>
        <v>0</v>
      </c>
      <c r="AG99" s="487">
        <f>Sales!AG132</f>
        <v>0.34063295051953291</v>
      </c>
      <c r="AH99" s="487">
        <f>Sales!AH132</f>
        <v>0.25030904736150816</v>
      </c>
      <c r="AI99" s="487">
        <f>Sales!AI132</f>
        <v>0.31441005802707922</v>
      </c>
      <c r="AJ99" s="487">
        <f>Sales!AJ132</f>
        <v>-4.73217648251687E-2</v>
      </c>
      <c r="AK99" s="472">
        <f>Sales!AK132</f>
        <v>0.18769428663307974</v>
      </c>
      <c r="AL99" s="487">
        <f>Sales!AL132</f>
        <v>0.27698065019598106</v>
      </c>
      <c r="AM99" s="487">
        <f>Sales!AM132</f>
        <v>0.13392346789019194</v>
      </c>
      <c r="AN99" s="487">
        <f>Sales!AN132</f>
        <v>0.18607902288278999</v>
      </c>
      <c r="AO99" s="487">
        <f>Sales!AO132</f>
        <v>0.4459260160252998</v>
      </c>
      <c r="AP99" s="472">
        <f>Sales!AP132</f>
        <v>0.26000627844922297</v>
      </c>
      <c r="AQ99" s="487">
        <f>Sales!AQ132</f>
        <v>0.13484722222222234</v>
      </c>
      <c r="AR99" s="487">
        <f>Sales!AR132</f>
        <v>0.21446866485013616</v>
      </c>
      <c r="AS99" s="487">
        <f>Sales!AS132</f>
        <v>0.24683622828784135</v>
      </c>
      <c r="AT99" s="487">
        <f>Sales!AT132</f>
        <v>0.27677181913774995</v>
      </c>
      <c r="AU99" s="472">
        <f>Sales!AU132</f>
        <v>0.22319215197757702</v>
      </c>
      <c r="AV99" s="485">
        <f>Sales!AV132</f>
        <v>0.21528840152247608</v>
      </c>
      <c r="AW99" s="485">
        <f>Sales!AW132</f>
        <v>0.23174261290973952</v>
      </c>
      <c r="AX99" s="487">
        <f>Sales!AX132</f>
        <v>0.13040449773620577</v>
      </c>
      <c r="AY99" s="487">
        <f>Sales!AY132</f>
        <v>-7.1824478467480968E-2</v>
      </c>
      <c r="AZ99" s="472">
        <f>Sales!AZ132</f>
        <v>0.10854526984191648</v>
      </c>
      <c r="BA99" s="485">
        <f>Sales!BA132</f>
        <v>-0.10372608257804627</v>
      </c>
      <c r="BB99" s="485">
        <f>Sales!BB132</f>
        <v>-0.14116575591985425</v>
      </c>
      <c r="BC99" s="487">
        <f>Sales!BC132</f>
        <v>-0.1848591549295775</v>
      </c>
      <c r="BD99" s="487">
        <f>Sales!BD132</f>
        <v>-0.10913930789707182</v>
      </c>
      <c r="BE99" s="472">
        <f>Sales!BE132</f>
        <v>-0.13573725310059725</v>
      </c>
      <c r="BF99" s="530">
        <f>Sales!BF132</f>
        <v>-0.17</v>
      </c>
      <c r="BG99" s="530">
        <f>Sales!BG132</f>
        <v>-0.08</v>
      </c>
      <c r="BH99" s="530">
        <f>Sales!BH132</f>
        <v>9.999999999999995E-3</v>
      </c>
      <c r="BI99" s="530">
        <f>Sales!BI132</f>
        <v>0.05</v>
      </c>
      <c r="BJ99" s="531">
        <f>Sales!BJ132</f>
        <v>-4.4453893170342651E-2</v>
      </c>
      <c r="BK99" s="532">
        <f>Sales!BK132</f>
        <v>0</v>
      </c>
      <c r="BL99" s="532">
        <f>Sales!BL132</f>
        <v>0</v>
      </c>
      <c r="BM99" s="532">
        <f>Sales!BM132</f>
        <v>0</v>
      </c>
      <c r="BN99" s="532">
        <f>Sales!BN132</f>
        <v>0</v>
      </c>
      <c r="BO99" s="531">
        <f>Sales!BO132</f>
        <v>0.05</v>
      </c>
      <c r="BP99" s="532">
        <f>Sales!BP132</f>
        <v>0</v>
      </c>
      <c r="BQ99" s="532">
        <f>Sales!BQ132</f>
        <v>0</v>
      </c>
      <c r="BR99" s="532">
        <f>Sales!BR132</f>
        <v>0</v>
      </c>
      <c r="BS99" s="532">
        <f>Sales!BS132</f>
        <v>0</v>
      </c>
      <c r="BT99" s="531">
        <f>Sales!BT132</f>
        <v>0.05</v>
      </c>
      <c r="BU99" s="532">
        <f>Sales!BU132</f>
        <v>0</v>
      </c>
      <c r="BV99" s="532">
        <f>Sales!BV132</f>
        <v>0</v>
      </c>
      <c r="BW99" s="532">
        <f>Sales!BW132</f>
        <v>0</v>
      </c>
      <c r="BX99" s="532">
        <f>Sales!BX132</f>
        <v>0</v>
      </c>
      <c r="BY99" s="531">
        <f>Sales!BY132</f>
        <v>0.05</v>
      </c>
      <c r="BZ99" s="532">
        <f>Sales!BZ132</f>
        <v>0</v>
      </c>
      <c r="CA99" s="532">
        <f>Sales!CA132</f>
        <v>0</v>
      </c>
      <c r="CB99" s="532">
        <f>Sales!CB132</f>
        <v>0</v>
      </c>
      <c r="CC99" s="532">
        <f>Sales!CC132</f>
        <v>0</v>
      </c>
      <c r="CD99" s="531">
        <f>Sales!CD132</f>
        <v>0.05</v>
      </c>
      <c r="CE99" s="520"/>
    </row>
    <row r="100" spans="1:83" s="534" customFormat="1" x14ac:dyDescent="0.15">
      <c r="A100" s="533"/>
      <c r="B100" s="503" t="str">
        <f>Sales!B133</f>
        <v>Emerging Mkts - Asia</v>
      </c>
      <c r="C100" s="534">
        <f>Sales!C133</f>
        <v>0</v>
      </c>
      <c r="D100" s="534">
        <f>Sales!D133</f>
        <v>0</v>
      </c>
      <c r="E100" s="534">
        <f>Sales!E133</f>
        <v>0</v>
      </c>
      <c r="F100" s="534">
        <f>Sales!F133</f>
        <v>0</v>
      </c>
      <c r="G100" s="535">
        <f>Sales!G133</f>
        <v>0</v>
      </c>
      <c r="H100" s="534">
        <f>Sales!H133</f>
        <v>0</v>
      </c>
      <c r="I100" s="534">
        <f>Sales!I133</f>
        <v>0</v>
      </c>
      <c r="J100" s="534">
        <f>Sales!J133</f>
        <v>0</v>
      </c>
      <c r="K100" s="534">
        <f>Sales!K133</f>
        <v>0</v>
      </c>
      <c r="L100" s="535">
        <f>Sales!L133</f>
        <v>0</v>
      </c>
      <c r="M100" s="534">
        <f>Sales!M133</f>
        <v>0</v>
      </c>
      <c r="N100" s="534">
        <f>Sales!N133</f>
        <v>0</v>
      </c>
      <c r="O100" s="534">
        <f>Sales!O133</f>
        <v>0</v>
      </c>
      <c r="P100" s="534">
        <f>Sales!P133</f>
        <v>0</v>
      </c>
      <c r="Q100" s="535">
        <f>Sales!Q133</f>
        <v>0</v>
      </c>
      <c r="R100" s="533">
        <f>Sales!R133</f>
        <v>0</v>
      </c>
      <c r="S100" s="533">
        <f>Sales!S133</f>
        <v>0</v>
      </c>
      <c r="T100" s="533">
        <f>Sales!T133</f>
        <v>0</v>
      </c>
      <c r="U100" s="533">
        <f>Sales!U133</f>
        <v>0</v>
      </c>
      <c r="V100" s="536">
        <f>Sales!V133</f>
        <v>0</v>
      </c>
      <c r="W100" s="537">
        <f>Sales!W133</f>
        <v>0</v>
      </c>
      <c r="X100" s="537">
        <f>Sales!X133</f>
        <v>0</v>
      </c>
      <c r="Y100" s="537">
        <f>Sales!Y133</f>
        <v>0</v>
      </c>
      <c r="Z100" s="537">
        <f>Sales!Z133</f>
        <v>0</v>
      </c>
      <c r="AA100" s="538">
        <f>Sales!AA133</f>
        <v>0</v>
      </c>
      <c r="AB100" s="537">
        <f>Sales!AB133</f>
        <v>0</v>
      </c>
      <c r="AC100" s="537">
        <f>Sales!AC133</f>
        <v>0</v>
      </c>
      <c r="AD100" s="537">
        <f>Sales!AD133</f>
        <v>0</v>
      </c>
      <c r="AE100" s="537">
        <f>Sales!AE133</f>
        <v>0</v>
      </c>
      <c r="AF100" s="538">
        <f>Sales!AF133</f>
        <v>0</v>
      </c>
      <c r="AG100" s="537">
        <f>Sales!AG133</f>
        <v>0</v>
      </c>
      <c r="AH100" s="537">
        <f>Sales!AH133</f>
        <v>0</v>
      </c>
      <c r="AI100" s="537">
        <f>Sales!AI133</f>
        <v>0</v>
      </c>
      <c r="AJ100" s="548">
        <f>Sales!AJ133</f>
        <v>0</v>
      </c>
      <c r="AK100" s="538">
        <f>Sales!AK133</f>
        <v>0</v>
      </c>
      <c r="AL100" s="507">
        <f>Sales!AL133</f>
        <v>14.7</v>
      </c>
      <c r="AM100" s="507">
        <f>Sales!AM133</f>
        <v>20.6</v>
      </c>
      <c r="AN100" s="507">
        <f>Sales!AN133</f>
        <v>19.7</v>
      </c>
      <c r="AO100" s="507">
        <f>Sales!AO133</f>
        <v>17.600000000000001</v>
      </c>
      <c r="AP100" s="41">
        <f>Sales!AP133</f>
        <v>72.599999999999994</v>
      </c>
      <c r="AQ100" s="507">
        <f>Sales!AQ133</f>
        <v>25.335999999999999</v>
      </c>
      <c r="AR100" s="507">
        <f>Sales!AR133</f>
        <v>24.417999999999999</v>
      </c>
      <c r="AS100" s="507">
        <f>Sales!AS133</f>
        <v>83.376999999999995</v>
      </c>
      <c r="AT100" s="507">
        <f>Sales!AT133</f>
        <v>117.21899999999999</v>
      </c>
      <c r="AU100" s="41">
        <f>Sales!AU133</f>
        <v>250.35</v>
      </c>
      <c r="AV100" s="507">
        <f>Sales!AV133</f>
        <v>116</v>
      </c>
      <c r="AW100" s="275">
        <f>Sales!AW133</f>
        <v>136.1</v>
      </c>
      <c r="AX100" s="507">
        <f>Sales!AX133</f>
        <v>143.30000000000001</v>
      </c>
      <c r="AY100" s="507">
        <f>Sales!AY133</f>
        <v>130.9</v>
      </c>
      <c r="AZ100" s="41">
        <f>Sales!AZ133</f>
        <v>526.29999999999995</v>
      </c>
      <c r="BA100" s="540">
        <f>Sales!BA133</f>
        <v>125.4</v>
      </c>
      <c r="BB100" s="275">
        <f>Sales!BB133</f>
        <v>145.6</v>
      </c>
      <c r="BC100" s="275">
        <f>Sales!BC133</f>
        <v>148.80000000000001</v>
      </c>
      <c r="BD100" s="275">
        <f>Sales!BD133</f>
        <v>141.4</v>
      </c>
      <c r="BE100" s="41">
        <f>Sales!BE133</f>
        <v>561.20000000000005</v>
      </c>
      <c r="BF100" s="157">
        <f>Sales!BF133</f>
        <v>129.16200000000001</v>
      </c>
      <c r="BG100" s="157">
        <f>Sales!BG133</f>
        <v>152.88</v>
      </c>
      <c r="BH100" s="157">
        <f>Sales!BH133</f>
        <v>160.70400000000004</v>
      </c>
      <c r="BI100" s="157">
        <f>Sales!BI133</f>
        <v>155.54000000000002</v>
      </c>
      <c r="BJ100" s="41">
        <f>Sales!BJ133</f>
        <v>598.28600000000006</v>
      </c>
      <c r="BK100" s="157">
        <f>Sales!BK133</f>
        <v>0</v>
      </c>
      <c r="BL100" s="157">
        <f>Sales!BL133</f>
        <v>0</v>
      </c>
      <c r="BM100" s="157">
        <f>Sales!BM133</f>
        <v>0</v>
      </c>
      <c r="BN100" s="157">
        <f>Sales!BN133</f>
        <v>0</v>
      </c>
      <c r="BO100" s="41">
        <f>Sales!BO133</f>
        <v>646.14888000000008</v>
      </c>
      <c r="BP100" s="157">
        <f>Sales!BP133</f>
        <v>0</v>
      </c>
      <c r="BQ100" s="157">
        <f>Sales!BQ133</f>
        <v>0</v>
      </c>
      <c r="BR100" s="157">
        <f>Sales!BR133</f>
        <v>0</v>
      </c>
      <c r="BS100" s="157">
        <f>Sales!BS133</f>
        <v>0</v>
      </c>
      <c r="BT100" s="41">
        <f>Sales!BT133</f>
        <v>697.84079040000017</v>
      </c>
      <c r="BU100" s="157">
        <f>Sales!BU133</f>
        <v>0</v>
      </c>
      <c r="BV100" s="157">
        <f>Sales!BV133</f>
        <v>0</v>
      </c>
      <c r="BW100" s="157">
        <f>Sales!BW133</f>
        <v>0</v>
      </c>
      <c r="BX100" s="157">
        <f>Sales!BX133</f>
        <v>0</v>
      </c>
      <c r="BY100" s="41">
        <f>Sales!BY133</f>
        <v>746.68964572800019</v>
      </c>
      <c r="BZ100" s="157">
        <f>Sales!BZ133</f>
        <v>0</v>
      </c>
      <c r="CA100" s="157">
        <f>Sales!CA133</f>
        <v>0</v>
      </c>
      <c r="CB100" s="157">
        <f>Sales!CB133</f>
        <v>0</v>
      </c>
      <c r="CC100" s="157">
        <f>Sales!CC133</f>
        <v>0</v>
      </c>
      <c r="CD100" s="41">
        <f>Sales!CD133</f>
        <v>798.95792092896022</v>
      </c>
      <c r="CE100" s="533"/>
    </row>
    <row r="101" spans="1:83" s="454" customFormat="1" hidden="1" x14ac:dyDescent="0.15">
      <c r="A101" s="157"/>
      <c r="B101" s="511" t="str">
        <f>Sales!B134</f>
        <v>operational growth</v>
      </c>
      <c r="C101" s="456">
        <f>Sales!C134</f>
        <v>0</v>
      </c>
      <c r="D101" s="456">
        <f>Sales!D134</f>
        <v>0</v>
      </c>
      <c r="E101" s="456">
        <f>Sales!E134</f>
        <v>0</v>
      </c>
      <c r="F101" s="456">
        <f>Sales!F134</f>
        <v>0</v>
      </c>
      <c r="G101" s="457">
        <f>Sales!G134</f>
        <v>0</v>
      </c>
      <c r="H101" s="456">
        <f>Sales!H134</f>
        <v>0</v>
      </c>
      <c r="I101" s="456">
        <f>Sales!I134</f>
        <v>0</v>
      </c>
      <c r="J101" s="456">
        <f>Sales!J134</f>
        <v>0</v>
      </c>
      <c r="K101" s="456">
        <f>Sales!K134</f>
        <v>0</v>
      </c>
      <c r="L101" s="457">
        <f>Sales!L134</f>
        <v>0</v>
      </c>
      <c r="M101" s="456">
        <f>Sales!M134</f>
        <v>0</v>
      </c>
      <c r="N101" s="456">
        <f>Sales!N134</f>
        <v>0</v>
      </c>
      <c r="O101" s="456">
        <f>Sales!O134</f>
        <v>0</v>
      </c>
      <c r="P101" s="456">
        <f>Sales!P134</f>
        <v>0</v>
      </c>
      <c r="Q101" s="457">
        <f>Sales!Q134</f>
        <v>0</v>
      </c>
      <c r="R101" s="456">
        <f>Sales!R134</f>
        <v>0</v>
      </c>
      <c r="S101" s="456">
        <f>Sales!S134</f>
        <v>0</v>
      </c>
      <c r="T101" s="456">
        <f>Sales!T134</f>
        <v>0</v>
      </c>
      <c r="U101" s="456">
        <f>Sales!U134</f>
        <v>0</v>
      </c>
      <c r="V101" s="457">
        <f>Sales!V134</f>
        <v>0</v>
      </c>
      <c r="W101" s="458">
        <f>Sales!W134</f>
        <v>0</v>
      </c>
      <c r="X101" s="458">
        <f>Sales!X134</f>
        <v>0</v>
      </c>
      <c r="Y101" s="458">
        <f>Sales!Y134</f>
        <v>0</v>
      </c>
      <c r="Z101" s="458">
        <f>Sales!Z134</f>
        <v>0</v>
      </c>
      <c r="AA101" s="459">
        <f>Sales!AA134</f>
        <v>0</v>
      </c>
      <c r="AB101" s="458">
        <f>Sales!AB134</f>
        <v>0</v>
      </c>
      <c r="AC101" s="458">
        <f>Sales!AC134</f>
        <v>0</v>
      </c>
      <c r="AD101" s="458">
        <f>Sales!AD134</f>
        <v>0</v>
      </c>
      <c r="AE101" s="458">
        <f>Sales!AE134</f>
        <v>0</v>
      </c>
      <c r="AF101" s="459">
        <f>Sales!AF134</f>
        <v>0</v>
      </c>
      <c r="AG101" s="460">
        <f>Sales!AG134</f>
        <v>0</v>
      </c>
      <c r="AH101" s="458">
        <f>Sales!AH134</f>
        <v>0</v>
      </c>
      <c r="AI101" s="458">
        <f>Sales!AI134</f>
        <v>0</v>
      </c>
      <c r="AJ101" s="460">
        <f>Sales!AJ134</f>
        <v>0</v>
      </c>
      <c r="AK101" s="459">
        <f>Sales!AK134</f>
        <v>0</v>
      </c>
      <c r="AL101" s="458">
        <f>Sales!AL134</f>
        <v>0</v>
      </c>
      <c r="AM101" s="460">
        <f>Sales!AM134</f>
        <v>0</v>
      </c>
      <c r="AN101" s="460">
        <f>Sales!AN134</f>
        <v>0</v>
      </c>
      <c r="AO101" s="458">
        <f>Sales!AO134</f>
        <v>0</v>
      </c>
      <c r="AP101" s="459">
        <f>Sales!AP134</f>
        <v>0</v>
      </c>
      <c r="AQ101" s="460">
        <f>Sales!AQ134</f>
        <v>0</v>
      </c>
      <c r="AR101" s="458">
        <f>Sales!AR134</f>
        <v>0</v>
      </c>
      <c r="AS101" s="458">
        <f>Sales!AS134</f>
        <v>0</v>
      </c>
      <c r="AT101" s="458">
        <f>Sales!AT134</f>
        <v>0</v>
      </c>
      <c r="AU101" s="459">
        <f>Sales!AU134</f>
        <v>0</v>
      </c>
      <c r="AV101" s="458">
        <f>Sales!AV134</f>
        <v>0</v>
      </c>
      <c r="AW101" s="458">
        <f>Sales!AW134</f>
        <v>0</v>
      </c>
      <c r="AX101" s="458">
        <f>Sales!AX134</f>
        <v>0</v>
      </c>
      <c r="AY101" s="461">
        <f>Sales!AY134</f>
        <v>0.15</v>
      </c>
      <c r="AZ101" s="459">
        <f>Sales!AZ134</f>
        <v>0</v>
      </c>
      <c r="BA101" s="461">
        <f>Sales!BA134</f>
        <v>0.11120689655172411</v>
      </c>
      <c r="BB101" s="461">
        <f>Sales!BB134</f>
        <v>0.1</v>
      </c>
      <c r="BC101" s="516">
        <f>Sales!BC134</f>
        <v>0.12</v>
      </c>
      <c r="BD101" s="516">
        <f>Sales!BD134</f>
        <v>0.1390374331550801</v>
      </c>
      <c r="BE101" s="463">
        <f>Sales!BE134</f>
        <v>0.11651531633587864</v>
      </c>
      <c r="BF101" s="459">
        <f>Sales!BF134</f>
        <v>0.08</v>
      </c>
      <c r="BG101" s="459">
        <f>Sales!BG134</f>
        <v>0.1</v>
      </c>
      <c r="BH101" s="459">
        <f>Sales!BH134</f>
        <v>0.1</v>
      </c>
      <c r="BI101" s="459">
        <f>Sales!BI134</f>
        <v>0.1</v>
      </c>
      <c r="BJ101" s="459">
        <f>Sales!BJ134</f>
        <v>9.608339272986452E-2</v>
      </c>
      <c r="BK101" s="28">
        <f>Sales!BK134</f>
        <v>0</v>
      </c>
      <c r="BL101" s="28">
        <f>Sales!BL134</f>
        <v>0</v>
      </c>
      <c r="BM101" s="28">
        <f>Sales!BM134</f>
        <v>0</v>
      </c>
      <c r="BN101" s="28">
        <f>Sales!BN134</f>
        <v>0</v>
      </c>
      <c r="BO101" s="459">
        <f>Sales!BO134</f>
        <v>0</v>
      </c>
      <c r="BP101" s="459">
        <f>Sales!BP134</f>
        <v>0</v>
      </c>
      <c r="BQ101" s="459">
        <f>Sales!BQ134</f>
        <v>0</v>
      </c>
      <c r="BR101" s="459">
        <f>Sales!BR134</f>
        <v>0</v>
      </c>
      <c r="BS101" s="459">
        <f>Sales!BS134</f>
        <v>0</v>
      </c>
      <c r="BT101" s="459">
        <f>Sales!BT134</f>
        <v>0</v>
      </c>
      <c r="BU101" s="28">
        <f>Sales!BU134</f>
        <v>0</v>
      </c>
      <c r="BV101" s="28">
        <f>Sales!BV134</f>
        <v>0</v>
      </c>
      <c r="BW101" s="28">
        <f>Sales!BW134</f>
        <v>0</v>
      </c>
      <c r="BX101" s="28">
        <f>Sales!BX134</f>
        <v>0</v>
      </c>
      <c r="BY101" s="459">
        <f>Sales!BY134</f>
        <v>0</v>
      </c>
      <c r="BZ101" s="459">
        <f>Sales!BZ134</f>
        <v>0</v>
      </c>
      <c r="CA101" s="459">
        <f>Sales!CA134</f>
        <v>0</v>
      </c>
      <c r="CB101" s="459">
        <f>Sales!CB134</f>
        <v>0</v>
      </c>
      <c r="CC101" s="459">
        <f>Sales!CC134</f>
        <v>0</v>
      </c>
      <c r="CD101" s="459">
        <f>Sales!CD134</f>
        <v>0</v>
      </c>
      <c r="CE101" s="157"/>
    </row>
    <row r="102" spans="1:83" s="454" customFormat="1" hidden="1" x14ac:dyDescent="0.15">
      <c r="A102" s="157"/>
      <c r="B102" s="511" t="str">
        <f>Sales!B135</f>
        <v>FX impact</v>
      </c>
      <c r="C102" s="456">
        <f>Sales!C135</f>
        <v>0</v>
      </c>
      <c r="D102" s="456">
        <f>Sales!D135</f>
        <v>0</v>
      </c>
      <c r="E102" s="456">
        <f>Sales!E135</f>
        <v>0</v>
      </c>
      <c r="F102" s="456">
        <f>Sales!F135</f>
        <v>0</v>
      </c>
      <c r="G102" s="457">
        <f>Sales!G135</f>
        <v>0</v>
      </c>
      <c r="H102" s="456">
        <f>Sales!H135</f>
        <v>0</v>
      </c>
      <c r="I102" s="456">
        <f>Sales!I135</f>
        <v>0</v>
      </c>
      <c r="J102" s="456">
        <f>Sales!J135</f>
        <v>0</v>
      </c>
      <c r="K102" s="456">
        <f>Sales!K135</f>
        <v>0</v>
      </c>
      <c r="L102" s="457">
        <f>Sales!L135</f>
        <v>0</v>
      </c>
      <c r="M102" s="456">
        <f>Sales!M135</f>
        <v>0</v>
      </c>
      <c r="N102" s="456">
        <f>Sales!N135</f>
        <v>0</v>
      </c>
      <c r="O102" s="456">
        <f>Sales!O135</f>
        <v>0</v>
      </c>
      <c r="P102" s="456">
        <f>Sales!P135</f>
        <v>0</v>
      </c>
      <c r="Q102" s="457">
        <f>Sales!Q135</f>
        <v>0</v>
      </c>
      <c r="R102" s="456">
        <f>Sales!R135</f>
        <v>0</v>
      </c>
      <c r="S102" s="456">
        <f>Sales!S135</f>
        <v>0</v>
      </c>
      <c r="T102" s="456">
        <f>Sales!T135</f>
        <v>0</v>
      </c>
      <c r="U102" s="456">
        <f>Sales!U135</f>
        <v>0</v>
      </c>
      <c r="V102" s="457">
        <f>Sales!V135</f>
        <v>0</v>
      </c>
      <c r="W102" s="458">
        <f>Sales!W135</f>
        <v>0</v>
      </c>
      <c r="X102" s="458">
        <f>Sales!X135</f>
        <v>0</v>
      </c>
      <c r="Y102" s="458">
        <f>Sales!Y135</f>
        <v>0</v>
      </c>
      <c r="Z102" s="458">
        <f>Sales!Z135</f>
        <v>0</v>
      </c>
      <c r="AA102" s="459">
        <f>Sales!AA135</f>
        <v>0</v>
      </c>
      <c r="AB102" s="458">
        <f>Sales!AB135</f>
        <v>0</v>
      </c>
      <c r="AC102" s="458">
        <f>Sales!AC135</f>
        <v>0</v>
      </c>
      <c r="AD102" s="458">
        <f>Sales!AD135</f>
        <v>0</v>
      </c>
      <c r="AE102" s="458">
        <f>Sales!AE135</f>
        <v>0</v>
      </c>
      <c r="AF102" s="459">
        <f>Sales!AF135</f>
        <v>0</v>
      </c>
      <c r="AG102" s="460">
        <f>Sales!AG135</f>
        <v>0</v>
      </c>
      <c r="AH102" s="458">
        <f>Sales!AH135</f>
        <v>0</v>
      </c>
      <c r="AI102" s="458">
        <f>Sales!AI135</f>
        <v>0</v>
      </c>
      <c r="AJ102" s="460">
        <f>Sales!AJ135</f>
        <v>0</v>
      </c>
      <c r="AK102" s="459">
        <f>Sales!AK135</f>
        <v>0</v>
      </c>
      <c r="AL102" s="458">
        <f>Sales!AL135</f>
        <v>0</v>
      </c>
      <c r="AM102" s="460">
        <f>Sales!AM135</f>
        <v>0</v>
      </c>
      <c r="AN102" s="460">
        <f>Sales!AN135</f>
        <v>0</v>
      </c>
      <c r="AO102" s="458">
        <f>Sales!AO135</f>
        <v>0</v>
      </c>
      <c r="AP102" s="459">
        <f>Sales!AP135</f>
        <v>0</v>
      </c>
      <c r="AQ102" s="460">
        <f>Sales!AQ135</f>
        <v>0</v>
      </c>
      <c r="AR102" s="458">
        <f>Sales!AR135</f>
        <v>0</v>
      </c>
      <c r="AS102" s="458">
        <f>Sales!AS135</f>
        <v>0</v>
      </c>
      <c r="AT102" s="458">
        <f>Sales!AT135</f>
        <v>0</v>
      </c>
      <c r="AU102" s="459">
        <f>Sales!AU135</f>
        <v>0</v>
      </c>
      <c r="AV102" s="458">
        <f>Sales!AV135</f>
        <v>0</v>
      </c>
      <c r="AW102" s="458">
        <f>Sales!AW135</f>
        <v>0</v>
      </c>
      <c r="AX102" s="458">
        <f>Sales!AX135</f>
        <v>0</v>
      </c>
      <c r="AY102" s="461">
        <f>Sales!AY135</f>
        <v>-3.328683916429917E-2</v>
      </c>
      <c r="AZ102" s="459">
        <f>Sales!AZ135</f>
        <v>0</v>
      </c>
      <c r="BA102" s="461">
        <f>Sales!BA135</f>
        <v>-3.0172413793103425E-2</v>
      </c>
      <c r="BB102" s="461">
        <f>Sales!BB135</f>
        <v>-3.0198383541513524E-2</v>
      </c>
      <c r="BC102" s="516">
        <f>Sales!BC135</f>
        <v>-8.1618981158408821E-2</v>
      </c>
      <c r="BD102" s="516">
        <f>Sales!BD135</f>
        <v>-5.8823529411764497E-2</v>
      </c>
      <c r="BE102" s="463">
        <f>Sales!BE135</f>
        <v>-5.0203326976197567E-2</v>
      </c>
      <c r="BF102" s="459">
        <f>Sales!BF135</f>
        <v>-0.05</v>
      </c>
      <c r="BG102" s="459">
        <f>Sales!BG135</f>
        <v>-0.05</v>
      </c>
      <c r="BH102" s="459">
        <f>Sales!BH135</f>
        <v>-0.02</v>
      </c>
      <c r="BI102" s="459">
        <f>Sales!BI135</f>
        <v>0</v>
      </c>
      <c r="BJ102" s="459">
        <f>Sales!BJ135</f>
        <v>-3.0000000000000002E-2</v>
      </c>
      <c r="BK102" s="28">
        <f>Sales!BK135</f>
        <v>0</v>
      </c>
      <c r="BL102" s="28">
        <f>Sales!BL135</f>
        <v>0</v>
      </c>
      <c r="BM102" s="28">
        <f>Sales!BM135</f>
        <v>0</v>
      </c>
      <c r="BN102" s="28">
        <f>Sales!BN135</f>
        <v>0</v>
      </c>
      <c r="BO102" s="459">
        <f>Sales!BO135</f>
        <v>0</v>
      </c>
      <c r="BP102" s="459">
        <f>Sales!BP135</f>
        <v>0</v>
      </c>
      <c r="BQ102" s="459">
        <f>Sales!BQ135</f>
        <v>0</v>
      </c>
      <c r="BR102" s="459">
        <f>Sales!BR135</f>
        <v>0</v>
      </c>
      <c r="BS102" s="459">
        <f>Sales!BS135</f>
        <v>0</v>
      </c>
      <c r="BT102" s="459">
        <f>Sales!BT135</f>
        <v>0</v>
      </c>
      <c r="BU102" s="28">
        <f>Sales!BU135</f>
        <v>0</v>
      </c>
      <c r="BV102" s="28">
        <f>Sales!BV135</f>
        <v>0</v>
      </c>
      <c r="BW102" s="28">
        <f>Sales!BW135</f>
        <v>0</v>
      </c>
      <c r="BX102" s="28">
        <f>Sales!BX135</f>
        <v>0</v>
      </c>
      <c r="BY102" s="459">
        <f>Sales!BY135</f>
        <v>0</v>
      </c>
      <c r="BZ102" s="459">
        <f>Sales!BZ135</f>
        <v>0</v>
      </c>
      <c r="CA102" s="459">
        <f>Sales!CA135</f>
        <v>0</v>
      </c>
      <c r="CB102" s="459">
        <f>Sales!CB135</f>
        <v>0</v>
      </c>
      <c r="CC102" s="459">
        <f>Sales!CC135</f>
        <v>0</v>
      </c>
      <c r="CD102" s="459">
        <f>Sales!CD135</f>
        <v>0</v>
      </c>
      <c r="CE102" s="157"/>
    </row>
    <row r="103" spans="1:83" s="529" customFormat="1" hidden="1" x14ac:dyDescent="0.15">
      <c r="A103" s="520"/>
      <c r="B103" s="455" t="str">
        <f>Sales!B136</f>
        <v>growth</v>
      </c>
      <c r="C103" s="529">
        <f>Sales!C136</f>
        <v>0</v>
      </c>
      <c r="D103" s="529">
        <f>Sales!D136</f>
        <v>0</v>
      </c>
      <c r="E103" s="529">
        <f>Sales!E136</f>
        <v>0</v>
      </c>
      <c r="F103" s="529">
        <f>Sales!F136</f>
        <v>0</v>
      </c>
      <c r="G103" s="549">
        <f>Sales!G136</f>
        <v>0</v>
      </c>
      <c r="H103" s="529">
        <f>Sales!H136</f>
        <v>0</v>
      </c>
      <c r="I103" s="529">
        <f>Sales!I136</f>
        <v>0</v>
      </c>
      <c r="J103" s="529">
        <f>Sales!J136</f>
        <v>0</v>
      </c>
      <c r="K103" s="529">
        <f>Sales!K136</f>
        <v>0</v>
      </c>
      <c r="L103" s="549">
        <f>Sales!L136</f>
        <v>0</v>
      </c>
      <c r="M103" s="529">
        <f>Sales!M136</f>
        <v>0</v>
      </c>
      <c r="N103" s="529">
        <f>Sales!N136</f>
        <v>0</v>
      </c>
      <c r="O103" s="529">
        <f>Sales!O136</f>
        <v>0</v>
      </c>
      <c r="P103" s="529">
        <f>Sales!P136</f>
        <v>0</v>
      </c>
      <c r="Q103" s="549">
        <f>Sales!Q136</f>
        <v>0</v>
      </c>
      <c r="R103" s="520">
        <f>Sales!R136</f>
        <v>0</v>
      </c>
      <c r="S103" s="520">
        <f>Sales!S136</f>
        <v>0</v>
      </c>
      <c r="T103" s="520">
        <f>Sales!T136</f>
        <v>0</v>
      </c>
      <c r="U103" s="520">
        <f>Sales!U136</f>
        <v>0</v>
      </c>
      <c r="V103" s="550">
        <f>Sales!V136</f>
        <v>0</v>
      </c>
      <c r="W103" s="324">
        <f>Sales!W136</f>
        <v>0</v>
      </c>
      <c r="X103" s="324">
        <f>Sales!X136</f>
        <v>0</v>
      </c>
      <c r="Y103" s="324">
        <f>Sales!Y136</f>
        <v>0</v>
      </c>
      <c r="Z103" s="324">
        <f>Sales!Z136</f>
        <v>0</v>
      </c>
      <c r="AA103" s="372">
        <f>Sales!AA136</f>
        <v>0</v>
      </c>
      <c r="AB103" s="324">
        <f>Sales!AB136</f>
        <v>0</v>
      </c>
      <c r="AC103" s="324">
        <f>Sales!AC136</f>
        <v>0</v>
      </c>
      <c r="AD103" s="324">
        <f>Sales!AD136</f>
        <v>0</v>
      </c>
      <c r="AE103" s="324">
        <f>Sales!AE136</f>
        <v>0</v>
      </c>
      <c r="AF103" s="372">
        <f>Sales!AF136</f>
        <v>0</v>
      </c>
      <c r="AG103" s="324">
        <f>Sales!AG136</f>
        <v>0</v>
      </c>
      <c r="AH103" s="324">
        <f>Sales!AH136</f>
        <v>0</v>
      </c>
      <c r="AI103" s="324">
        <f>Sales!AI136</f>
        <v>0</v>
      </c>
      <c r="AJ103" s="373">
        <f>Sales!AJ136</f>
        <v>0</v>
      </c>
      <c r="AK103" s="372">
        <f>Sales!AK136</f>
        <v>0</v>
      </c>
      <c r="AL103" s="529">
        <f>Sales!AL136</f>
        <v>0</v>
      </c>
      <c r="AM103" s="324">
        <f>Sales!AM136</f>
        <v>0</v>
      </c>
      <c r="AN103" s="373">
        <f>Sales!AN136</f>
        <v>0</v>
      </c>
      <c r="AO103" s="373">
        <f>Sales!AO136</f>
        <v>0</v>
      </c>
      <c r="AP103" s="372">
        <f>Sales!AP136</f>
        <v>0</v>
      </c>
      <c r="AQ103" s="324">
        <f>Sales!AQ136</f>
        <v>0.72353741496598634</v>
      </c>
      <c r="AR103" s="324">
        <f>Sales!AR136</f>
        <v>0.18533980582524268</v>
      </c>
      <c r="AS103" s="324">
        <f>Sales!AS136</f>
        <v>3.2323350253807108</v>
      </c>
      <c r="AT103" s="324">
        <f>Sales!AT136</f>
        <v>5.6601704545454536</v>
      </c>
      <c r="AU103" s="372">
        <f>Sales!AU136</f>
        <v>2.4483471074380168</v>
      </c>
      <c r="AV103" s="520">
        <f>Sales!AV136</f>
        <v>3.5784654246921379</v>
      </c>
      <c r="AW103" s="520">
        <f>Sales!AW136</f>
        <v>4.5737570644606436</v>
      </c>
      <c r="AX103" s="324">
        <f>Sales!AX136</f>
        <v>0.71869940151360701</v>
      </c>
      <c r="AY103" s="324">
        <f>Sales!AY136</f>
        <v>0.11671316083570082</v>
      </c>
      <c r="AZ103" s="372">
        <f>Sales!AZ136</f>
        <v>1.102256840423407</v>
      </c>
      <c r="BA103" s="520">
        <f>Sales!BA136</f>
        <v>8.1034482758620685E-2</v>
      </c>
      <c r="BB103" s="520">
        <f>Sales!BB136</f>
        <v>6.9801616458486482E-2</v>
      </c>
      <c r="BC103" s="324">
        <f>Sales!BC136</f>
        <v>3.8381018841591175E-2</v>
      </c>
      <c r="BD103" s="324">
        <f>Sales!BD136</f>
        <v>8.0213903743315607E-2</v>
      </c>
      <c r="BE103" s="372">
        <f>Sales!BE136</f>
        <v>6.6311989359681078E-2</v>
      </c>
      <c r="BF103" s="376">
        <f>Sales!BF136</f>
        <v>0.03</v>
      </c>
      <c r="BG103" s="376">
        <f>Sales!BG136</f>
        <v>0.05</v>
      </c>
      <c r="BH103" s="376">
        <f>Sales!BH136</f>
        <v>0.08</v>
      </c>
      <c r="BI103" s="376">
        <f>Sales!BI136</f>
        <v>0.1</v>
      </c>
      <c r="BJ103" s="477">
        <f>Sales!BJ136</f>
        <v>6.6083392729864521E-2</v>
      </c>
      <c r="BK103" s="476">
        <f>Sales!BK136</f>
        <v>0</v>
      </c>
      <c r="BL103" s="476">
        <f>Sales!BL136</f>
        <v>0</v>
      </c>
      <c r="BM103" s="476">
        <f>Sales!BM136</f>
        <v>0</v>
      </c>
      <c r="BN103" s="476">
        <f>Sales!BN136</f>
        <v>0</v>
      </c>
      <c r="BO103" s="477">
        <f>Sales!BO136</f>
        <v>0.08</v>
      </c>
      <c r="BP103" s="476">
        <f>Sales!BP136</f>
        <v>0</v>
      </c>
      <c r="BQ103" s="476">
        <f>Sales!BQ136</f>
        <v>0</v>
      </c>
      <c r="BR103" s="476">
        <f>Sales!BR136</f>
        <v>0</v>
      </c>
      <c r="BS103" s="476">
        <f>Sales!BS136</f>
        <v>0</v>
      </c>
      <c r="BT103" s="477">
        <f>Sales!BT136</f>
        <v>0.08</v>
      </c>
      <c r="BU103" s="476">
        <f>Sales!BU136</f>
        <v>0</v>
      </c>
      <c r="BV103" s="476">
        <f>Sales!BV136</f>
        <v>0</v>
      </c>
      <c r="BW103" s="476">
        <f>Sales!BW136</f>
        <v>0</v>
      </c>
      <c r="BX103" s="476">
        <f>Sales!BX136</f>
        <v>0</v>
      </c>
      <c r="BY103" s="477">
        <f>Sales!BY136</f>
        <v>7.0000000000000007E-2</v>
      </c>
      <c r="BZ103" s="476">
        <f>Sales!BZ136</f>
        <v>0</v>
      </c>
      <c r="CA103" s="476">
        <f>Sales!CA136</f>
        <v>0</v>
      </c>
      <c r="CB103" s="476">
        <f>Sales!CB136</f>
        <v>0</v>
      </c>
      <c r="CC103" s="476">
        <f>Sales!CC136</f>
        <v>0</v>
      </c>
      <c r="CD103" s="477">
        <f>Sales!CD136</f>
        <v>7.0000000000000007E-2</v>
      </c>
      <c r="CE103" s="520"/>
    </row>
    <row r="104" spans="1:83" s="454" customFormat="1" x14ac:dyDescent="0.15">
      <c r="A104" s="157"/>
      <c r="B104" s="553" t="str">
        <f>Sales!B137</f>
        <v>Total Emerging Markets</v>
      </c>
      <c r="C104" s="452" t="e">
        <f>Sales!C137</f>
        <v>#REF!</v>
      </c>
      <c r="D104" s="452" t="e">
        <f>Sales!D137</f>
        <v>#REF!</v>
      </c>
      <c r="E104" s="452" t="e">
        <f>Sales!E137</f>
        <v>#REF!</v>
      </c>
      <c r="F104" s="452" t="e">
        <f>Sales!F137</f>
        <v>#REF!</v>
      </c>
      <c r="G104" s="482" t="e">
        <f>Sales!G137</f>
        <v>#REF!</v>
      </c>
      <c r="H104" s="452" t="e">
        <f>Sales!H137</f>
        <v>#REF!</v>
      </c>
      <c r="I104" s="452" t="e">
        <f>Sales!I137</f>
        <v>#REF!</v>
      </c>
      <c r="J104" s="452" t="e">
        <f>Sales!J137</f>
        <v>#REF!</v>
      </c>
      <c r="K104" s="452" t="e">
        <f>Sales!K137</f>
        <v>#REF!</v>
      </c>
      <c r="L104" s="482" t="e">
        <f>Sales!L137</f>
        <v>#REF!</v>
      </c>
      <c r="M104" s="452" t="e">
        <f>Sales!M137</f>
        <v>#REF!</v>
      </c>
      <c r="N104" s="452" t="e">
        <f>Sales!N137</f>
        <v>#REF!</v>
      </c>
      <c r="O104" s="452" t="e">
        <f>Sales!O137</f>
        <v>#REF!</v>
      </c>
      <c r="P104" s="452" t="e">
        <f>Sales!P137</f>
        <v>#REF!</v>
      </c>
      <c r="Q104" s="482" t="e">
        <f>Sales!Q137</f>
        <v>#REF!</v>
      </c>
      <c r="R104" s="452" t="e">
        <f>Sales!R137</f>
        <v>#REF!</v>
      </c>
      <c r="S104" s="452" t="e">
        <f>Sales!S137</f>
        <v>#REF!</v>
      </c>
      <c r="T104" s="452" t="e">
        <f>Sales!T137</f>
        <v>#REF!</v>
      </c>
      <c r="U104" s="452" t="e">
        <f>Sales!U137</f>
        <v>#REF!</v>
      </c>
      <c r="V104" s="482" t="e">
        <f>Sales!V137</f>
        <v>#REF!</v>
      </c>
      <c r="W104" s="452" t="e">
        <f>Sales!W137</f>
        <v>#REF!</v>
      </c>
      <c r="X104" s="452" t="e">
        <f>Sales!X137</f>
        <v>#REF!</v>
      </c>
      <c r="Y104" s="452" t="e">
        <f>Sales!Y137</f>
        <v>#REF!</v>
      </c>
      <c r="Z104" s="452" t="e">
        <f>Sales!Z137</f>
        <v>#REF!</v>
      </c>
      <c r="AA104" s="482" t="e">
        <f>Sales!AA137</f>
        <v>#REF!</v>
      </c>
      <c r="AB104" s="452">
        <f>Sales!AB137</f>
        <v>83.765000000000001</v>
      </c>
      <c r="AC104" s="452">
        <f>Sales!AC137</f>
        <v>92.556999999999988</v>
      </c>
      <c r="AD104" s="452">
        <f>Sales!AD137</f>
        <v>93.9</v>
      </c>
      <c r="AE104" s="452">
        <f>Sales!AE137</f>
        <v>117.348</v>
      </c>
      <c r="AF104" s="482">
        <f>Sales!AF137</f>
        <v>387.57</v>
      </c>
      <c r="AG104" s="452">
        <f>Sales!AG137</f>
        <v>132.476</v>
      </c>
      <c r="AH104" s="452">
        <f>Sales!AH137</f>
        <v>181.03100000000001</v>
      </c>
      <c r="AI104" s="452">
        <f>Sales!AI137</f>
        <v>202.01</v>
      </c>
      <c r="AJ104" s="452">
        <f>Sales!AJ137</f>
        <v>210.10599999999999</v>
      </c>
      <c r="AK104" s="482">
        <f>Sales!AK137</f>
        <v>725.62300000000005</v>
      </c>
      <c r="AL104" s="452">
        <f>Sales!AL137</f>
        <v>243.60900000000001</v>
      </c>
      <c r="AM104" s="452">
        <f>Sales!AM137</f>
        <v>250.71700000000001</v>
      </c>
      <c r="AN104" s="452">
        <f>Sales!AN137</f>
        <v>249.709</v>
      </c>
      <c r="AO104" s="452">
        <f>Sales!AO137</f>
        <v>306.36</v>
      </c>
      <c r="AP104" s="482">
        <f>Sales!AP137</f>
        <v>1050.395</v>
      </c>
      <c r="AQ104" s="452">
        <f>Sales!AQ137</f>
        <v>297.21100000000001</v>
      </c>
      <c r="AR104" s="452">
        <f>Sales!AR137</f>
        <v>303.93700000000001</v>
      </c>
      <c r="AS104" s="452">
        <f>Sales!AS137</f>
        <v>399.01900000000001</v>
      </c>
      <c r="AT104" s="452">
        <f>Sales!AT137</f>
        <v>493.375</v>
      </c>
      <c r="AU104" s="482">
        <f>Sales!AU137</f>
        <v>1493.5419999999999</v>
      </c>
      <c r="AV104" s="452">
        <f>Sales!AV137</f>
        <v>464.4</v>
      </c>
      <c r="AW104" s="452">
        <f>Sales!AW137</f>
        <v>561.4</v>
      </c>
      <c r="AX104" s="452">
        <f>Sales!AX137</f>
        <v>548.29999999999995</v>
      </c>
      <c r="AY104" s="452">
        <f>Sales!AY137</f>
        <v>522.29999999999995</v>
      </c>
      <c r="AZ104" s="482">
        <f>Sales!AZ137</f>
        <v>2096.4</v>
      </c>
      <c r="BA104" s="452">
        <f>Sales!BA137</f>
        <v>426.5</v>
      </c>
      <c r="BB104" s="452">
        <f>Sales!BB137</f>
        <v>494.79999999999995</v>
      </c>
      <c r="BC104" s="452">
        <f>Sales!BC137</f>
        <v>466.1</v>
      </c>
      <c r="BD104" s="452">
        <f>Sales!BD137</f>
        <v>526.5</v>
      </c>
      <c r="BE104" s="482">
        <f>Sales!BE137</f>
        <v>1913.9</v>
      </c>
      <c r="BF104" s="28">
        <f>Sales!BF137</f>
        <v>449.06799999999998</v>
      </c>
      <c r="BG104" s="28">
        <f>Sales!BG137</f>
        <v>535.32000000000005</v>
      </c>
      <c r="BH104" s="28">
        <f>Sales!BH137</f>
        <v>526.11699999999996</v>
      </c>
      <c r="BI104" s="28">
        <f>Sales!BI137</f>
        <v>579.82400000000007</v>
      </c>
      <c r="BJ104" s="482">
        <f>Sales!BJ137</f>
        <v>2090.3290000000002</v>
      </c>
      <c r="BK104" s="28">
        <f>Sales!BK137</f>
        <v>0</v>
      </c>
      <c r="BL104" s="28">
        <f>Sales!BL137</f>
        <v>0</v>
      </c>
      <c r="BM104" s="28">
        <f>Sales!BM137</f>
        <v>0</v>
      </c>
      <c r="BN104" s="28">
        <f>Sales!BN137</f>
        <v>0</v>
      </c>
      <c r="BO104" s="482">
        <f>Sales!BO137</f>
        <v>2212.79403</v>
      </c>
      <c r="BP104" s="28">
        <f>Sales!BP137</f>
        <v>0</v>
      </c>
      <c r="BQ104" s="28">
        <f>Sales!BQ137</f>
        <v>0</v>
      </c>
      <c r="BR104" s="28">
        <f>Sales!BR137</f>
        <v>0</v>
      </c>
      <c r="BS104" s="28">
        <f>Sales!BS137</f>
        <v>0</v>
      </c>
      <c r="BT104" s="482">
        <f>Sales!BT137</f>
        <v>2342.8181979000001</v>
      </c>
      <c r="BU104" s="28">
        <f>Sales!BU137</f>
        <v>0</v>
      </c>
      <c r="BV104" s="28">
        <f>Sales!BV137</f>
        <v>0</v>
      </c>
      <c r="BW104" s="28">
        <f>Sales!BW137</f>
        <v>0</v>
      </c>
      <c r="BX104" s="28">
        <f>Sales!BX137</f>
        <v>0</v>
      </c>
      <c r="BY104" s="482">
        <f>Sales!BY137</f>
        <v>2473.9159236030005</v>
      </c>
      <c r="BZ104" s="28">
        <f>Sales!BZ137</f>
        <v>0</v>
      </c>
      <c r="CA104" s="28">
        <f>Sales!CA137</f>
        <v>0</v>
      </c>
      <c r="CB104" s="28">
        <f>Sales!CB137</f>
        <v>0</v>
      </c>
      <c r="CC104" s="28">
        <f>Sales!CC137</f>
        <v>0</v>
      </c>
      <c r="CD104" s="482">
        <f>Sales!CD137</f>
        <v>2612.5455126977104</v>
      </c>
      <c r="CE104" s="157"/>
    </row>
    <row r="105" spans="1:83" s="529" customFormat="1" ht="13" x14ac:dyDescent="0.15">
      <c r="A105" s="520"/>
      <c r="B105" s="484" t="str">
        <f>Sales!B138</f>
        <v>growth</v>
      </c>
      <c r="C105" s="485">
        <f>Sales!C138</f>
        <v>0</v>
      </c>
      <c r="D105" s="485">
        <f>Sales!D138</f>
        <v>0</v>
      </c>
      <c r="E105" s="485">
        <f>Sales!E138</f>
        <v>0</v>
      </c>
      <c r="F105" s="485">
        <f>Sales!F138</f>
        <v>0</v>
      </c>
      <c r="G105" s="486">
        <f>Sales!G138</f>
        <v>0</v>
      </c>
      <c r="H105" s="485">
        <f>Sales!H138</f>
        <v>0</v>
      </c>
      <c r="I105" s="485">
        <f>Sales!I138</f>
        <v>0</v>
      </c>
      <c r="J105" s="485">
        <f>Sales!J138</f>
        <v>0</v>
      </c>
      <c r="K105" s="485">
        <f>Sales!K138</f>
        <v>0</v>
      </c>
      <c r="L105" s="486">
        <f>Sales!L138</f>
        <v>0</v>
      </c>
      <c r="M105" s="485">
        <f>Sales!M138</f>
        <v>0</v>
      </c>
      <c r="N105" s="485">
        <f>Sales!N138</f>
        <v>0</v>
      </c>
      <c r="O105" s="485">
        <f>Sales!O138</f>
        <v>0</v>
      </c>
      <c r="P105" s="485">
        <f>Sales!P138</f>
        <v>0</v>
      </c>
      <c r="Q105" s="486">
        <f>Sales!Q138</f>
        <v>0</v>
      </c>
      <c r="R105" s="485">
        <f>Sales!R138</f>
        <v>0</v>
      </c>
      <c r="S105" s="485">
        <f>Sales!S138</f>
        <v>0</v>
      </c>
      <c r="T105" s="485">
        <f>Sales!T138</f>
        <v>0</v>
      </c>
      <c r="U105" s="485">
        <f>Sales!U138</f>
        <v>0</v>
      </c>
      <c r="V105" s="486">
        <f>Sales!V138</f>
        <v>0</v>
      </c>
      <c r="W105" s="487" t="e">
        <f>Sales!W138</f>
        <v>#REF!</v>
      </c>
      <c r="X105" s="485" t="e">
        <f>Sales!X138</f>
        <v>#REF!</v>
      </c>
      <c r="Y105" s="485" t="e">
        <f>Sales!Y138</f>
        <v>#REF!</v>
      </c>
      <c r="Z105" s="485" t="e">
        <f>Sales!Z138</f>
        <v>#REF!</v>
      </c>
      <c r="AA105" s="486" t="e">
        <f>Sales!AA138</f>
        <v>#REF!</v>
      </c>
      <c r="AB105" s="554">
        <f>Sales!AB138</f>
        <v>0</v>
      </c>
      <c r="AC105" s="1">
        <f>Sales!AC138</f>
        <v>0</v>
      </c>
      <c r="AD105" s="1">
        <f>Sales!AD138</f>
        <v>0</v>
      </c>
      <c r="AE105" s="1">
        <f>Sales!AE138</f>
        <v>0</v>
      </c>
      <c r="AF105" s="555">
        <f>Sales!AF138</f>
        <v>0</v>
      </c>
      <c r="AG105" s="487">
        <f>Sales!AG138</f>
        <v>0.58151972780994443</v>
      </c>
      <c r="AH105" s="487">
        <f>Sales!AH138</f>
        <v>0.9558866428255024</v>
      </c>
      <c r="AI105" s="487">
        <f>Sales!AI138</f>
        <v>1.1513312034078806</v>
      </c>
      <c r="AJ105" s="487">
        <f>Sales!AJ138</f>
        <v>0.79045232982240843</v>
      </c>
      <c r="AK105" s="472">
        <f>Sales!AK138</f>
        <v>0.87223727326676492</v>
      </c>
      <c r="AL105" s="487">
        <f>Sales!AL138</f>
        <v>0.83889157281318893</v>
      </c>
      <c r="AM105" s="487">
        <f>Sales!AM138</f>
        <v>0.38493959598079885</v>
      </c>
      <c r="AN105" s="487">
        <f>Sales!AN138</f>
        <v>0.23612197415969516</v>
      </c>
      <c r="AO105" s="487">
        <f>Sales!AO138</f>
        <v>0.45812113885372163</v>
      </c>
      <c r="AP105" s="472">
        <f>Sales!AP138</f>
        <v>0.44757677196009493</v>
      </c>
      <c r="AQ105" s="487">
        <f>Sales!AQ138</f>
        <v>0.2200329216079866</v>
      </c>
      <c r="AR105" s="487">
        <f>Sales!AR138</f>
        <v>0.21227120618067374</v>
      </c>
      <c r="AS105" s="487">
        <f>Sales!AS138</f>
        <v>0.59793599750109117</v>
      </c>
      <c r="AT105" s="487">
        <f>Sales!AT138</f>
        <v>0.6104419637028331</v>
      </c>
      <c r="AU105" s="472">
        <f>Sales!AU138</f>
        <v>0.42188605238981514</v>
      </c>
      <c r="AV105" s="487">
        <f>Sales!AV138</f>
        <v>0.56252628603921107</v>
      </c>
      <c r="AW105" s="487">
        <f>Sales!AW138</f>
        <v>0.84709331210086281</v>
      </c>
      <c r="AX105" s="487">
        <f>Sales!AX138</f>
        <v>0.37412002937203481</v>
      </c>
      <c r="AY105" s="487">
        <f>Sales!AY138</f>
        <v>5.8626805168482399E-2</v>
      </c>
      <c r="AZ105" s="472">
        <f>Sales!AZ138</f>
        <v>0.40364315164889919</v>
      </c>
      <c r="BA105" s="487">
        <f>Sales!BA138</f>
        <v>-8.1610680447889661E-2</v>
      </c>
      <c r="BB105" s="487">
        <f>Sales!BB138</f>
        <v>-0.11863199144994663</v>
      </c>
      <c r="BC105" s="487">
        <f>Sales!BC138</f>
        <v>-0.14991792814152827</v>
      </c>
      <c r="BD105" s="487">
        <f>Sales!BD138</f>
        <v>8.0413555427916172E-3</v>
      </c>
      <c r="BE105" s="472">
        <f>Sales!BE138</f>
        <v>-8.7053997328754074E-2</v>
      </c>
      <c r="BF105" s="376">
        <f>Sales!BF138</f>
        <v>5.2914419695193393E-2</v>
      </c>
      <c r="BG105" s="376">
        <f>Sales!BG138</f>
        <v>8.1891673403395426E-2</v>
      </c>
      <c r="BH105" s="376">
        <f>Sales!BH138</f>
        <v>0.12876421368804958</v>
      </c>
      <c r="BI105" s="376">
        <f>Sales!BI138</f>
        <v>0.10128015194681872</v>
      </c>
      <c r="BJ105" s="472">
        <f>Sales!BJ138</f>
        <v>9.2182977167041269E-2</v>
      </c>
      <c r="BK105" s="376">
        <f>Sales!BK138</f>
        <v>0</v>
      </c>
      <c r="BL105" s="376">
        <f>Sales!BL138</f>
        <v>0</v>
      </c>
      <c r="BM105" s="376">
        <f>Sales!BM138</f>
        <v>0</v>
      </c>
      <c r="BN105" s="376">
        <f>Sales!BN138</f>
        <v>0</v>
      </c>
      <c r="BO105" s="472">
        <f>Sales!BO138</f>
        <v>5.8586485668045585E-2</v>
      </c>
      <c r="BP105" s="376">
        <f>Sales!BP138</f>
        <v>0</v>
      </c>
      <c r="BQ105" s="376">
        <f>Sales!BQ138</f>
        <v>0</v>
      </c>
      <c r="BR105" s="376">
        <f>Sales!BR138</f>
        <v>0</v>
      </c>
      <c r="BS105" s="376">
        <f>Sales!BS138</f>
        <v>0</v>
      </c>
      <c r="BT105" s="472">
        <f>Sales!BT138</f>
        <v>5.8760176562840716E-2</v>
      </c>
      <c r="BU105" s="376">
        <f>Sales!BU138</f>
        <v>0</v>
      </c>
      <c r="BV105" s="376">
        <f>Sales!BV138</f>
        <v>0</v>
      </c>
      <c r="BW105" s="376">
        <f>Sales!BW138</f>
        <v>0</v>
      </c>
      <c r="BX105" s="376">
        <f>Sales!BX138</f>
        <v>0</v>
      </c>
      <c r="BY105" s="472">
        <f>Sales!BY138</f>
        <v>5.5957276505923748E-2</v>
      </c>
      <c r="BZ105" s="376">
        <f>Sales!BZ138</f>
        <v>0</v>
      </c>
      <c r="CA105" s="376">
        <f>Sales!CA138</f>
        <v>0</v>
      </c>
      <c r="CB105" s="376">
        <f>Sales!CB138</f>
        <v>0</v>
      </c>
      <c r="CC105" s="376">
        <f>Sales!CC138</f>
        <v>0</v>
      </c>
      <c r="CD105" s="472">
        <f>Sales!CD138</f>
        <v>5.6036499774337667E-2</v>
      </c>
      <c r="CE105" s="520"/>
    </row>
    <row r="106" spans="1:83" s="529" customFormat="1" x14ac:dyDescent="0.15">
      <c r="A106" s="520"/>
      <c r="B106" s="461"/>
      <c r="C106" s="557"/>
      <c r="D106" s="557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7"/>
      <c r="W106" s="461"/>
      <c r="X106" s="557"/>
      <c r="Y106" s="557"/>
      <c r="Z106" s="557"/>
      <c r="AA106" s="557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559"/>
      <c r="AQ106" s="559"/>
      <c r="AR106" s="559"/>
      <c r="AS106" s="559"/>
      <c r="AT106" s="559"/>
      <c r="AU106" s="559"/>
      <c r="AV106" s="559"/>
      <c r="AW106" s="559"/>
      <c r="AX106" s="559"/>
      <c r="AY106" s="559"/>
      <c r="AZ106" s="559"/>
      <c r="BA106" s="559"/>
      <c r="BB106" s="559"/>
      <c r="BC106" s="559"/>
      <c r="BD106" s="559"/>
      <c r="BE106" s="461"/>
      <c r="BF106" s="376"/>
      <c r="BG106" s="376"/>
      <c r="BH106" s="376"/>
      <c r="BI106" s="376"/>
      <c r="BJ106" s="461"/>
      <c r="BK106" s="376"/>
      <c r="BL106" s="376"/>
      <c r="BM106" s="376"/>
      <c r="BN106" s="376"/>
      <c r="BO106" s="461"/>
      <c r="BP106" s="376"/>
      <c r="BQ106" s="376"/>
      <c r="BR106" s="376"/>
      <c r="BS106" s="376"/>
      <c r="BT106" s="461"/>
      <c r="BU106" s="376"/>
      <c r="BV106" s="376"/>
      <c r="BW106" s="376"/>
      <c r="BX106" s="376"/>
      <c r="BY106" s="461"/>
      <c r="BZ106" s="376"/>
      <c r="CA106" s="376"/>
      <c r="CB106" s="376"/>
      <c r="CC106" s="376"/>
      <c r="CD106" s="461"/>
      <c r="CE106" s="520"/>
    </row>
    <row r="107" spans="1:83" s="529" customFormat="1" x14ac:dyDescent="0.15">
      <c r="A107" s="520"/>
      <c r="B107" s="225" t="str">
        <f>Sales!B141</f>
        <v>Total Valeant Revenues</v>
      </c>
      <c r="C107" s="226">
        <f>Sales!C141</f>
        <v>0</v>
      </c>
      <c r="D107" s="226">
        <f>Sales!D141</f>
        <v>0</v>
      </c>
      <c r="E107" s="226">
        <f>Sales!E141</f>
        <v>0</v>
      </c>
      <c r="F107" s="226">
        <f>Sales!F141</f>
        <v>0</v>
      </c>
      <c r="G107" s="227">
        <f>Sales!G141</f>
        <v>0</v>
      </c>
      <c r="H107" s="226">
        <f>Sales!H141</f>
        <v>0</v>
      </c>
      <c r="I107" s="226">
        <f>Sales!I141</f>
        <v>0</v>
      </c>
      <c r="J107" s="226">
        <f>Sales!J141</f>
        <v>0</v>
      </c>
      <c r="K107" s="226">
        <f>Sales!K141</f>
        <v>0</v>
      </c>
      <c r="L107" s="227">
        <f>Sales!L141</f>
        <v>0</v>
      </c>
      <c r="M107" s="226">
        <f>Sales!M141</f>
        <v>0</v>
      </c>
      <c r="N107" s="226">
        <f>Sales!N141</f>
        <v>0</v>
      </c>
      <c r="O107" s="226">
        <f>Sales!O141</f>
        <v>0</v>
      </c>
      <c r="P107" s="226">
        <f>Sales!P141</f>
        <v>0</v>
      </c>
      <c r="Q107" s="227">
        <f>Sales!Q141</f>
        <v>0</v>
      </c>
      <c r="R107" s="226">
        <f>Sales!R141</f>
        <v>0</v>
      </c>
      <c r="S107" s="226">
        <f>Sales!S141</f>
        <v>0</v>
      </c>
      <c r="T107" s="226">
        <f>Sales!T141</f>
        <v>0</v>
      </c>
      <c r="U107" s="226">
        <f>Sales!U141</f>
        <v>0</v>
      </c>
      <c r="V107" s="227">
        <f>Sales!V141</f>
        <v>0</v>
      </c>
      <c r="W107" s="226">
        <f>Sales!W141</f>
        <v>0</v>
      </c>
      <c r="X107" s="226">
        <f>Sales!X141</f>
        <v>0</v>
      </c>
      <c r="Y107" s="226">
        <f>Sales!Y141</f>
        <v>0</v>
      </c>
      <c r="Z107" s="226">
        <f>Sales!Z141</f>
        <v>0</v>
      </c>
      <c r="AA107" s="227">
        <f>Sales!AA141</f>
        <v>0</v>
      </c>
      <c r="AB107" s="226">
        <f>Sales!AB141</f>
        <v>0</v>
      </c>
      <c r="AC107" s="226">
        <f>Sales!AC141</f>
        <v>0</v>
      </c>
      <c r="AD107" s="226">
        <f>Sales!AD141</f>
        <v>0</v>
      </c>
      <c r="AE107" s="226">
        <f>Sales!AE141</f>
        <v>0</v>
      </c>
      <c r="AF107" s="227">
        <f>Sales!AF141</f>
        <v>0</v>
      </c>
      <c r="AG107" s="226" t="str">
        <f>Sales!AG141</f>
        <v xml:space="preserve"> </v>
      </c>
      <c r="AH107" s="226">
        <f>Sales!AH141</f>
        <v>0</v>
      </c>
      <c r="AI107" s="226">
        <f>Sales!AI141</f>
        <v>0</v>
      </c>
      <c r="AJ107" s="226">
        <f>Sales!AJ141</f>
        <v>0</v>
      </c>
      <c r="AK107" s="227">
        <f>Sales!AK141</f>
        <v>0</v>
      </c>
      <c r="AL107" s="226">
        <f>Sales!AL141</f>
        <v>0</v>
      </c>
      <c r="AM107" s="226">
        <f>Sales!AM141</f>
        <v>0</v>
      </c>
      <c r="AN107" s="226">
        <f>Sales!AN141</f>
        <v>0</v>
      </c>
      <c r="AO107" s="226">
        <f>Sales!AO141</f>
        <v>0</v>
      </c>
      <c r="AP107" s="227">
        <f>Sales!AP141</f>
        <v>0</v>
      </c>
      <c r="AQ107" s="226">
        <f>Sales!AQ141</f>
        <v>0</v>
      </c>
      <c r="AR107" s="226">
        <f>Sales!AR141</f>
        <v>0</v>
      </c>
      <c r="AS107" s="226">
        <f>Sales!AS141</f>
        <v>0</v>
      </c>
      <c r="AT107" s="226">
        <f>Sales!AT141</f>
        <v>0</v>
      </c>
      <c r="AU107" s="227">
        <f>Sales!AU141</f>
        <v>0</v>
      </c>
      <c r="AV107" s="226">
        <f>Sales!AV141</f>
        <v>0</v>
      </c>
      <c r="AW107" s="226">
        <f>Sales!AW141</f>
        <v>0</v>
      </c>
      <c r="AX107" s="226">
        <f>Sales!AX141</f>
        <v>0</v>
      </c>
      <c r="AY107" s="226">
        <f>Sales!AY141</f>
        <v>0</v>
      </c>
      <c r="AZ107" s="227"/>
      <c r="BA107" s="226"/>
      <c r="BB107" s="226"/>
      <c r="BC107" s="226"/>
      <c r="BD107" s="226"/>
      <c r="BE107" s="227"/>
      <c r="BF107" s="228"/>
      <c r="BG107" s="228"/>
      <c r="BH107" s="228"/>
      <c r="BI107" s="228"/>
      <c r="BJ107" s="227"/>
      <c r="BK107" s="228"/>
      <c r="BL107" s="228"/>
      <c r="BM107" s="228"/>
      <c r="BN107" s="228"/>
      <c r="BO107" s="227"/>
      <c r="BP107" s="228"/>
      <c r="BQ107" s="228"/>
      <c r="BR107" s="228"/>
      <c r="BS107" s="228"/>
      <c r="BT107" s="227"/>
      <c r="BU107" s="228"/>
      <c r="BV107" s="228"/>
      <c r="BW107" s="228"/>
      <c r="BX107" s="228"/>
      <c r="BY107" s="227"/>
      <c r="BZ107" s="228"/>
      <c r="CA107" s="228"/>
      <c r="CB107" s="228"/>
      <c r="CC107" s="228"/>
      <c r="CD107" s="227"/>
      <c r="CE107" s="520"/>
    </row>
    <row r="108" spans="1:83" s="390" customFormat="1" x14ac:dyDescent="0.15">
      <c r="A108" s="8"/>
      <c r="B108" s="553" t="str">
        <f>Sales!B142</f>
        <v>Total Valeant Revenues</v>
      </c>
      <c r="C108" s="452" t="e">
        <f>Sales!C142</f>
        <v>#REF!</v>
      </c>
      <c r="D108" s="452" t="e">
        <f>Sales!D142</f>
        <v>#REF!</v>
      </c>
      <c r="E108" s="452" t="e">
        <f>Sales!E142</f>
        <v>#REF!</v>
      </c>
      <c r="F108" s="452" t="e">
        <f>Sales!F142</f>
        <v>#REF!</v>
      </c>
      <c r="G108" s="482" t="e">
        <f>Sales!G142</f>
        <v>#REF!</v>
      </c>
      <c r="H108" s="452" t="e">
        <f>Sales!H142</f>
        <v>#REF!</v>
      </c>
      <c r="I108" s="452" t="e">
        <f>Sales!I142</f>
        <v>#REF!</v>
      </c>
      <c r="J108" s="452" t="e">
        <f>Sales!J142</f>
        <v>#REF!</v>
      </c>
      <c r="K108" s="452" t="e">
        <f>Sales!K142</f>
        <v>#REF!</v>
      </c>
      <c r="L108" s="482" t="e">
        <f>Sales!L142</f>
        <v>#REF!</v>
      </c>
      <c r="M108" s="452" t="e">
        <f>Sales!M142</f>
        <v>#REF!</v>
      </c>
      <c r="N108" s="452" t="e">
        <f>Sales!N142</f>
        <v>#REF!</v>
      </c>
      <c r="O108" s="452" t="e">
        <f>Sales!O142</f>
        <v>#REF!</v>
      </c>
      <c r="P108" s="452" t="e">
        <f>Sales!P142</f>
        <v>#REF!</v>
      </c>
      <c r="Q108" s="482" t="e">
        <f>Sales!Q142</f>
        <v>#REF!</v>
      </c>
      <c r="R108" s="452" t="e">
        <f>Sales!R142</f>
        <v>#REF!</v>
      </c>
      <c r="S108" s="452" t="e">
        <f>Sales!S142</f>
        <v>#REF!</v>
      </c>
      <c r="T108" s="452" t="e">
        <f>Sales!T142</f>
        <v>#REF!</v>
      </c>
      <c r="U108" s="452" t="e">
        <f>Sales!U142</f>
        <v>#REF!</v>
      </c>
      <c r="V108" s="482" t="e">
        <f>Sales!V142</f>
        <v>#REF!</v>
      </c>
      <c r="W108" s="452" t="e">
        <f>Sales!W142</f>
        <v>#REF!</v>
      </c>
      <c r="X108" s="452" t="e">
        <f>Sales!X142</f>
        <v>#REF!</v>
      </c>
      <c r="Y108" s="452" t="e">
        <f>Sales!Y142</f>
        <v>#REF!</v>
      </c>
      <c r="Z108" s="452" t="e">
        <f>Sales!Z142</f>
        <v>#REF!</v>
      </c>
      <c r="AA108" s="482" t="e">
        <f>Sales!AA142</f>
        <v>#REF!</v>
      </c>
      <c r="AB108" s="452">
        <f>Sales!AB142</f>
        <v>0</v>
      </c>
      <c r="AC108" s="452">
        <f>Sales!AC142</f>
        <v>0</v>
      </c>
      <c r="AD108" s="452">
        <f>Sales!AD142</f>
        <v>0</v>
      </c>
      <c r="AE108" s="452">
        <f>Sales!AE142</f>
        <v>0</v>
      </c>
      <c r="AF108" s="482">
        <f>Sales!AF142</f>
        <v>0</v>
      </c>
      <c r="AG108" s="452">
        <f>Sales!AG142</f>
        <v>0</v>
      </c>
      <c r="AH108" s="452">
        <f>Sales!AH142</f>
        <v>0</v>
      </c>
      <c r="AI108" s="452">
        <f>Sales!AI142</f>
        <v>0</v>
      </c>
      <c r="AJ108" s="452">
        <f>Sales!AJ142</f>
        <v>0</v>
      </c>
      <c r="AK108" s="482">
        <f>Sales!AK142</f>
        <v>0</v>
      </c>
      <c r="AL108" s="452">
        <f>Sales!AL142</f>
        <v>0</v>
      </c>
      <c r="AM108" s="452">
        <f>Sales!AM142</f>
        <v>0</v>
      </c>
      <c r="AN108" s="452">
        <f>Sales!AN142</f>
        <v>0</v>
      </c>
      <c r="AO108" s="452">
        <f>Sales!AO142</f>
        <v>0</v>
      </c>
      <c r="AP108" s="482">
        <f>Sales!AP142</f>
        <v>0</v>
      </c>
      <c r="AQ108" s="452">
        <f>Sales!AQ142</f>
        <v>1068.3110000000001</v>
      </c>
      <c r="AR108" s="452">
        <f>Sales!AR142</f>
        <v>1095.7370000000001</v>
      </c>
      <c r="AS108" s="452">
        <f>Sales!AS142</f>
        <v>1541.7080000000001</v>
      </c>
      <c r="AT108" s="452">
        <f>Sales!AT142</f>
        <v>2063.7469999999998</v>
      </c>
      <c r="AU108" s="482">
        <f>Sales!AU142</f>
        <v>5769.5030000000006</v>
      </c>
      <c r="AV108" s="452">
        <f>Sales!AV142</f>
        <v>1886.1999999999998</v>
      </c>
      <c r="AW108" s="452">
        <f>Sales!AW142</f>
        <v>2041.1000000000004</v>
      </c>
      <c r="AX108" s="452">
        <f>Sales!AX142</f>
        <v>2056.1999999999998</v>
      </c>
      <c r="AY108" s="452">
        <f>Sales!AY142</f>
        <v>2280</v>
      </c>
      <c r="AZ108" s="482">
        <f>Sales!AZ142</f>
        <v>8263.5</v>
      </c>
      <c r="BA108" s="452">
        <f>Sales!BA142</f>
        <v>2190.9</v>
      </c>
      <c r="BB108" s="452">
        <f>Sales!BB142</f>
        <v>2732.4000000000005</v>
      </c>
      <c r="BC108" s="452">
        <f>Sales!BC142</f>
        <v>2786.7999999999997</v>
      </c>
      <c r="BD108" s="452">
        <f>Sales!BD142</f>
        <v>2784.5</v>
      </c>
      <c r="BE108" s="482">
        <f>Sales!BE142</f>
        <v>10494.6</v>
      </c>
      <c r="BF108" s="28">
        <f>Sales!BF142</f>
        <v>2379.2960000000003</v>
      </c>
      <c r="BG108" s="28">
        <f>Sales!BG142</f>
        <v>2743.1110000000003</v>
      </c>
      <c r="BH108" s="28">
        <f>Sales!BH142</f>
        <v>2828.2669999999998</v>
      </c>
      <c r="BI108" s="28">
        <f>Sales!BI142</f>
        <v>3016.0770000000002</v>
      </c>
      <c r="BJ108" s="482">
        <f>Sales!BJ142</f>
        <v>10966.751</v>
      </c>
      <c r="BK108" s="28">
        <f>Sales!BK142</f>
        <v>0</v>
      </c>
      <c r="BL108" s="28">
        <f>Sales!BL142</f>
        <v>0</v>
      </c>
      <c r="BM108" s="28">
        <f>Sales!BM142</f>
        <v>0</v>
      </c>
      <c r="BN108" s="28">
        <f>Sales!BN142</f>
        <v>0</v>
      </c>
      <c r="BO108" s="482">
        <f>Sales!BO142</f>
        <v>11740.723020000001</v>
      </c>
      <c r="BP108" s="28">
        <f>Sales!BP142</f>
        <v>0</v>
      </c>
      <c r="BQ108" s="28">
        <f>Sales!BQ142</f>
        <v>0</v>
      </c>
      <c r="BR108" s="28">
        <f>Sales!BR142</f>
        <v>0</v>
      </c>
      <c r="BS108" s="28">
        <f>Sales!BS142</f>
        <v>0</v>
      </c>
      <c r="BT108" s="482">
        <f>Sales!BT142</f>
        <v>12447.6115627</v>
      </c>
      <c r="BU108" s="28">
        <f>Sales!BU142</f>
        <v>0</v>
      </c>
      <c r="BV108" s="28">
        <f>Sales!BV142</f>
        <v>0</v>
      </c>
      <c r="BW108" s="28">
        <f>Sales!BW142</f>
        <v>0</v>
      </c>
      <c r="BX108" s="28">
        <f>Sales!BX142</f>
        <v>0</v>
      </c>
      <c r="BY108" s="482">
        <f>Sales!BY142</f>
        <v>13185.359670699003</v>
      </c>
      <c r="BZ108" s="28">
        <f>Sales!BZ142</f>
        <v>0</v>
      </c>
      <c r="CA108" s="28">
        <f>Sales!CA142</f>
        <v>0</v>
      </c>
      <c r="CB108" s="28">
        <f>Sales!CB142</f>
        <v>0</v>
      </c>
      <c r="CC108" s="28">
        <f>Sales!CC142</f>
        <v>0</v>
      </c>
      <c r="CD108" s="482">
        <f>Sales!CD142</f>
        <v>13762.726328055631</v>
      </c>
      <c r="CE108" s="8"/>
    </row>
    <row r="109" spans="1:83" ht="13" x14ac:dyDescent="0.15">
      <c r="B109" s="484" t="str">
        <f>Sales!B143</f>
        <v>growth</v>
      </c>
      <c r="C109" s="485">
        <f>Sales!C143</f>
        <v>0</v>
      </c>
      <c r="D109" s="485">
        <f>Sales!D143</f>
        <v>0</v>
      </c>
      <c r="E109" s="485">
        <f>Sales!E143</f>
        <v>0</v>
      </c>
      <c r="F109" s="485">
        <f>Sales!F143</f>
        <v>0</v>
      </c>
      <c r="G109" s="486">
        <f>Sales!G143</f>
        <v>0</v>
      </c>
      <c r="H109" s="485">
        <f>Sales!H143</f>
        <v>0</v>
      </c>
      <c r="I109" s="485">
        <f>Sales!I143</f>
        <v>0</v>
      </c>
      <c r="J109" s="485">
        <f>Sales!J143</f>
        <v>0</v>
      </c>
      <c r="K109" s="485">
        <f>Sales!K143</f>
        <v>0</v>
      </c>
      <c r="L109" s="486">
        <f>Sales!L143</f>
        <v>0</v>
      </c>
      <c r="M109" s="485">
        <f>Sales!M143</f>
        <v>0</v>
      </c>
      <c r="N109" s="485">
        <f>Sales!N143</f>
        <v>0</v>
      </c>
      <c r="O109" s="485">
        <f>Sales!O143</f>
        <v>0</v>
      </c>
      <c r="P109" s="485">
        <f>Sales!P143</f>
        <v>0</v>
      </c>
      <c r="Q109" s="486">
        <f>Sales!Q143</f>
        <v>0</v>
      </c>
      <c r="R109" s="485">
        <f>Sales!R143</f>
        <v>0</v>
      </c>
      <c r="S109" s="485">
        <f>Sales!S143</f>
        <v>0</v>
      </c>
      <c r="T109" s="485">
        <f>Sales!T143</f>
        <v>0</v>
      </c>
      <c r="U109" s="485">
        <f>Sales!U143</f>
        <v>0</v>
      </c>
      <c r="V109" s="486">
        <f>Sales!V143</f>
        <v>0</v>
      </c>
      <c r="W109" s="487" t="e">
        <f>Sales!W143</f>
        <v>#REF!</v>
      </c>
      <c r="X109" s="485" t="e">
        <f>Sales!X143</f>
        <v>#REF!</v>
      </c>
      <c r="Y109" s="485" t="e">
        <f>Sales!Y143</f>
        <v>#REF!</v>
      </c>
      <c r="Z109" s="485" t="e">
        <f>Sales!Z143</f>
        <v>#REF!</v>
      </c>
      <c r="AA109" s="486" t="e">
        <f>Sales!AA143</f>
        <v>#REF!</v>
      </c>
      <c r="AB109" s="554">
        <f>Sales!AB143</f>
        <v>0</v>
      </c>
      <c r="AC109" s="1">
        <f>Sales!AC143</f>
        <v>0</v>
      </c>
      <c r="AD109" s="1">
        <f>Sales!AD143</f>
        <v>0</v>
      </c>
      <c r="AE109" s="1">
        <f>Sales!AE143</f>
        <v>0</v>
      </c>
      <c r="AF109" s="555">
        <f>Sales!AF143</f>
        <v>0</v>
      </c>
      <c r="AG109" s="487">
        <f>Sales!AG143</f>
        <v>0</v>
      </c>
      <c r="AH109" s="487">
        <f>Sales!AH143</f>
        <v>0</v>
      </c>
      <c r="AI109" s="487">
        <f>Sales!AI143</f>
        <v>0</v>
      </c>
      <c r="AJ109" s="487">
        <f>Sales!AJ143</f>
        <v>0</v>
      </c>
      <c r="AK109" s="472">
        <f>Sales!AK143</f>
        <v>0</v>
      </c>
      <c r="AL109" s="487">
        <f>Sales!AL143</f>
        <v>0</v>
      </c>
      <c r="AM109" s="487">
        <f>Sales!AM143</f>
        <v>0</v>
      </c>
      <c r="AN109" s="487">
        <f>Sales!AN143</f>
        <v>0</v>
      </c>
      <c r="AO109" s="487">
        <f>Sales!AO143</f>
        <v>0</v>
      </c>
      <c r="AP109" s="472">
        <f>Sales!AP143</f>
        <v>0</v>
      </c>
      <c r="AQ109" s="488">
        <f>Sales!AQ143</f>
        <v>0</v>
      </c>
      <c r="AR109" s="487">
        <f>Sales!AR143</f>
        <v>0</v>
      </c>
      <c r="AS109" s="487">
        <f>Sales!AS143</f>
        <v>0</v>
      </c>
      <c r="AT109" s="487">
        <f>Sales!AT143</f>
        <v>0</v>
      </c>
      <c r="AU109" s="472">
        <f>Sales!AU143</f>
        <v>0</v>
      </c>
      <c r="AV109" s="487">
        <f>Sales!AV143</f>
        <v>0.76559073153791313</v>
      </c>
      <c r="AW109" s="487">
        <f>Sales!AW143</f>
        <v>0.86276451374736851</v>
      </c>
      <c r="AX109" s="487">
        <f>Sales!AX143</f>
        <v>0.33371559335490231</v>
      </c>
      <c r="AY109" s="487">
        <f>Sales!AY143</f>
        <v>0.10478658478970537</v>
      </c>
      <c r="AZ109" s="472">
        <f>Sales!AZ143</f>
        <v>0.43227241583893772</v>
      </c>
      <c r="BA109" s="487">
        <f>Sales!BA143</f>
        <v>0.16154172410136791</v>
      </c>
      <c r="BB109" s="487">
        <f>Sales!BB143</f>
        <v>0.33868992210082793</v>
      </c>
      <c r="BC109" s="487">
        <f>Sales!BC143</f>
        <v>0.35531563077521633</v>
      </c>
      <c r="BD109" s="487">
        <f>Sales!BD143</f>
        <v>0.22127192982456134</v>
      </c>
      <c r="BE109" s="472">
        <f>Sales!BE143</f>
        <v>0.26999455436558373</v>
      </c>
      <c r="BF109" s="376">
        <f>Sales!BF143</f>
        <v>8.5990232324615556E-2</v>
      </c>
      <c r="BG109" s="376">
        <f>Sales!BG143</f>
        <v>3.9199970721708333E-3</v>
      </c>
      <c r="BH109" s="376">
        <f>Sales!BH143</f>
        <v>1.4879790440648799E-2</v>
      </c>
      <c r="BI109" s="376">
        <f>Sales!BI143</f>
        <v>8.3166457173639907E-2</v>
      </c>
      <c r="BJ109" s="472">
        <f>Sales!BJ143</f>
        <v>4.4989899567396519E-2</v>
      </c>
      <c r="BK109" s="376">
        <f>Sales!BK143</f>
        <v>0</v>
      </c>
      <c r="BL109" s="376">
        <f>Sales!BL143</f>
        <v>0</v>
      </c>
      <c r="BM109" s="376">
        <f>Sales!BM143</f>
        <v>0</v>
      </c>
      <c r="BN109" s="376">
        <f>Sales!BN143</f>
        <v>0</v>
      </c>
      <c r="BO109" s="472">
        <f>Sales!BO143</f>
        <v>7.0574413515908319E-2</v>
      </c>
      <c r="BP109" s="376">
        <f>Sales!BP143</f>
        <v>0</v>
      </c>
      <c r="BQ109" s="376">
        <f>Sales!BQ143</f>
        <v>0</v>
      </c>
      <c r="BR109" s="376">
        <f>Sales!BR143</f>
        <v>0</v>
      </c>
      <c r="BS109" s="376">
        <f>Sales!BS143</f>
        <v>0</v>
      </c>
      <c r="BT109" s="472">
        <f>Sales!BT143</f>
        <v>6.0208263281216423E-2</v>
      </c>
      <c r="BU109" s="376">
        <f>Sales!BU143</f>
        <v>0</v>
      </c>
      <c r="BV109" s="376">
        <f>Sales!BV143</f>
        <v>0</v>
      </c>
      <c r="BW109" s="376">
        <f>Sales!BW143</f>
        <v>0</v>
      </c>
      <c r="BX109" s="376">
        <f>Sales!BX143</f>
        <v>0</v>
      </c>
      <c r="BY109" s="472">
        <f>Sales!BY143</f>
        <v>5.9268246304351901E-2</v>
      </c>
      <c r="BZ109" s="376">
        <f>Sales!BZ143</f>
        <v>0</v>
      </c>
      <c r="CA109" s="376">
        <f>Sales!CA143</f>
        <v>0</v>
      </c>
      <c r="CB109" s="376">
        <f>Sales!CB143</f>
        <v>0</v>
      </c>
      <c r="CC109" s="376">
        <f>Sales!CC143</f>
        <v>0</v>
      </c>
      <c r="CD109" s="472">
        <f>Sales!CD143</f>
        <v>4.3788464765179835E-2</v>
      </c>
    </row>
  </sheetData>
  <conditionalFormatting sqref="AY1:CD1 A1:AX10 A101:CE102 A61:AE61 AG54:AJ54 A51:AF54 A55:AJ55 AL54:AO55 AK51:AK55 AQ54:AR55 AP51:AP55 AU51:AU56 AV54:AV56 BA54:BD54 A67:AE67 A56:AR58 BE67:CD67 AU67:AV67 AK59:AK61 C83:BA83 AY7:AZ7 BE7:CD7 AY8:CD10 A13:AE13 AG13:AJ13 AL13:AO13 AZ67 AU19:AX19 AU20:AW20 AU30:AW30 AU38:AX39 AU37:AW37 AU41:AX42 AU40:AW40 AU44:AX45 AU43:AW43 A82:BB82 BC46:BD46 AU12 AZ56 BA28:BB28 AU50:AV50 AZ57:BB57 AU57:AV61 AZ58:AZ61 A18:BI18 AZ19:BI19 AZ20:BB20 BE20:BI20 BK19:BN20 BP19:BS20 BU19:BX20 BZ19:CC20 AZ33:BB33 BE51:CD54 BA55:BB55 BE57:BI57 BF56:BI56 BF58:BI58 BE55:BI55 BE59:CD61 A96:AA97 AB97:AF97 AQ97:CE97 A98:CE98 AP99:BJ99 A83:A91 A105:AA105 AG105:AY105 A104:AY104 BA105:BD105 AZ104:AZ105 A99:AK100 A103:AK103 AL100:BJ100 BK99:CE100 A107:A109 AZ35:BB35 AY4:CD6 BA104:CE104 AF12:AF13 AK12:AK13 AP12:AP13 AU21:AY26 AZ23:BB26 BC25:BD26 AU28:AX28 AU29:AY29 AU31:AY34 A19:AT34 AU35:AX35 AS35:AT45 AU36:AY36 AS48:AY49 BF48:BI50 AZ48:BB50 A35:AR50 AZ51:AZ54 CE1:GI10 A11:GI11 AQ13:GI13 BF46:GI46 AZ21:GI22 BF28:GI28 BE33:GI33 BE35:GI35 CE54:GI58 B84:CE91 A92:CE95 AB96:CE96 AM103:CE103 CE107:CE109 A110:CE65213 AZ34:GI34 AU27:GI27 BE82:CE83 AZ29:GI32 AZ36:GI45 CE18:GI20 BE23:GI26 A14:GI17 CE47:GI50 CE63:CE64 CE66 CF62:GI66 A106:BD106 BE105:CE106 CF82:GI65213 A69:CE79 CF68:GI79">
    <cfRule type="expression" dxfId="462" priority="162" stopIfTrue="1">
      <formula>ISERROR(A1)</formula>
    </cfRule>
  </conditionalFormatting>
  <conditionalFormatting sqref="A59:AE60">
    <cfRule type="expression" dxfId="461" priority="161" stopIfTrue="1">
      <formula>ISERROR(A59)</formula>
    </cfRule>
  </conditionalFormatting>
  <conditionalFormatting sqref="A62:AE64 CE62">
    <cfRule type="expression" dxfId="460" priority="160" stopIfTrue="1">
      <formula>ISERROR(A62)</formula>
    </cfRule>
  </conditionalFormatting>
  <conditionalFormatting sqref="AK67 BC62:CD62 AF62:AR64 AZ63:CD64 AZ62 AU62 AU63:AV64">
    <cfRule type="expression" dxfId="459" priority="159" stopIfTrue="1">
      <formula>ISERROR(AF62)</formula>
    </cfRule>
  </conditionalFormatting>
  <conditionalFormatting sqref="A68:AR68 AK80 AU80 AZ68:CE68 AZ80 AU68:AV68 BE80:BI80 BK80:BN80 BP80:BS80 BU80:BX80 BZ80:CC80">
    <cfRule type="expression" dxfId="458" priority="158" stopIfTrue="1">
      <formula>ISERROR(A68)</formula>
    </cfRule>
  </conditionalFormatting>
  <conditionalFormatting sqref="A80:AE80 A81">
    <cfRule type="expression" dxfId="457" priority="157" stopIfTrue="1">
      <formula>ISERROR(A80)</formula>
    </cfRule>
  </conditionalFormatting>
  <conditionalFormatting sqref="B83">
    <cfRule type="expression" dxfId="456" priority="156" stopIfTrue="1">
      <formula>ISERROR(B83)</formula>
    </cfRule>
  </conditionalFormatting>
  <conditionalFormatting sqref="BA7:BD7">
    <cfRule type="expression" dxfId="455" priority="155" stopIfTrue="1">
      <formula>ISERROR(BA7)</formula>
    </cfRule>
  </conditionalFormatting>
  <conditionalFormatting sqref="BB51">
    <cfRule type="expression" dxfId="454" priority="154" stopIfTrue="1">
      <formula>ISERROR(BB51)</formula>
    </cfRule>
  </conditionalFormatting>
  <conditionalFormatting sqref="BB83">
    <cfRule type="expression" dxfId="453" priority="141" stopIfTrue="1">
      <formula>ISERROR(BB83)</formula>
    </cfRule>
  </conditionalFormatting>
  <conditionalFormatting sqref="BB59">
    <cfRule type="expression" dxfId="452" priority="153" stopIfTrue="1">
      <formula>ISERROR(BB59)</formula>
    </cfRule>
  </conditionalFormatting>
  <conditionalFormatting sqref="BB62">
    <cfRule type="expression" dxfId="451" priority="152" stopIfTrue="1">
      <formula>ISERROR(BB62)</formula>
    </cfRule>
  </conditionalFormatting>
  <conditionalFormatting sqref="BB80">
    <cfRule type="expression" dxfId="450" priority="151" stopIfTrue="1">
      <formula>ISERROR(BB80)</formula>
    </cfRule>
  </conditionalFormatting>
  <conditionalFormatting sqref="AW54:AX56 AW58:AX58">
    <cfRule type="expression" dxfId="449" priority="150" stopIfTrue="1">
      <formula>ISERROR(AW54)</formula>
    </cfRule>
  </conditionalFormatting>
  <conditionalFormatting sqref="AW63:AX64">
    <cfRule type="expression" dxfId="448" priority="149" stopIfTrue="1">
      <formula>ISERROR(AW63)</formula>
    </cfRule>
  </conditionalFormatting>
  <conditionalFormatting sqref="AW68:AX68">
    <cfRule type="expression" dxfId="447" priority="148" stopIfTrue="1">
      <formula>ISERROR(AW68)</formula>
    </cfRule>
  </conditionalFormatting>
  <conditionalFormatting sqref="AW51:AX51">
    <cfRule type="expression" dxfId="446" priority="147" stopIfTrue="1">
      <formula>ISERROR(AW51)</formula>
    </cfRule>
  </conditionalFormatting>
  <conditionalFormatting sqref="AW59:AX59">
    <cfRule type="expression" dxfId="445" priority="146" stopIfTrue="1">
      <formula>ISERROR(AW59)</formula>
    </cfRule>
  </conditionalFormatting>
  <conditionalFormatting sqref="AW62:AX62">
    <cfRule type="expression" dxfId="444" priority="145" stopIfTrue="1">
      <formula>ISERROR(AW62)</formula>
    </cfRule>
  </conditionalFormatting>
  <conditionalFormatting sqref="AW80:AX80">
    <cfRule type="expression" dxfId="443" priority="144" stopIfTrue="1">
      <formula>ISERROR(AW80)</formula>
    </cfRule>
  </conditionalFormatting>
  <conditionalFormatting sqref="BB52">
    <cfRule type="expression" dxfId="442" priority="143" stopIfTrue="1">
      <formula>ISERROR(BB52)</formula>
    </cfRule>
  </conditionalFormatting>
  <conditionalFormatting sqref="BB60">
    <cfRule type="expression" dxfId="441" priority="142" stopIfTrue="1">
      <formula>ISERROR(BB60)</formula>
    </cfRule>
  </conditionalFormatting>
  <conditionalFormatting sqref="B12">
    <cfRule type="expression" dxfId="440" priority="140" stopIfTrue="1">
      <formula>ISERROR(B12)</formula>
    </cfRule>
  </conditionalFormatting>
  <conditionalFormatting sqref="AV12:AY12 BA12:BB12">
    <cfRule type="expression" dxfId="439" priority="139" stopIfTrue="1">
      <formula>ISERROR(AV12)</formula>
    </cfRule>
  </conditionalFormatting>
  <conditionalFormatting sqref="BA51">
    <cfRule type="expression" dxfId="438" priority="138" stopIfTrue="1">
      <formula>ISERROR(BA51)</formula>
    </cfRule>
  </conditionalFormatting>
  <conditionalFormatting sqref="BA59">
    <cfRule type="expression" dxfId="437" priority="137" stopIfTrue="1">
      <formula>ISERROR(BA59)</formula>
    </cfRule>
  </conditionalFormatting>
  <conditionalFormatting sqref="BA62">
    <cfRule type="expression" dxfId="436" priority="136" stopIfTrue="1">
      <formula>ISERROR(BA62)</formula>
    </cfRule>
  </conditionalFormatting>
  <conditionalFormatting sqref="BA80">
    <cfRule type="expression" dxfId="435" priority="135" stopIfTrue="1">
      <formula>ISERROR(BA80)</formula>
    </cfRule>
  </conditionalFormatting>
  <conditionalFormatting sqref="AV51">
    <cfRule type="expression" dxfId="434" priority="134" stopIfTrue="1">
      <formula>ISERROR(AV51)</formula>
    </cfRule>
  </conditionalFormatting>
  <conditionalFormatting sqref="AV62">
    <cfRule type="expression" dxfId="433" priority="133" stopIfTrue="1">
      <formula>ISERROR(AV62)</formula>
    </cfRule>
  </conditionalFormatting>
  <conditionalFormatting sqref="AV80">
    <cfRule type="expression" dxfId="432" priority="132" stopIfTrue="1">
      <formula>ISERROR(AV80)</formula>
    </cfRule>
  </conditionalFormatting>
  <conditionalFormatting sqref="AY19 AY38:AY39 AY41:AY42 AY44:AY45">
    <cfRule type="expression" dxfId="431" priority="131" stopIfTrue="1">
      <formula>ISERROR(AY19)</formula>
    </cfRule>
  </conditionalFormatting>
  <conditionalFormatting sqref="AY54:AY56 AY58">
    <cfRule type="expression" dxfId="430" priority="130" stopIfTrue="1">
      <formula>ISERROR(AY54)</formula>
    </cfRule>
  </conditionalFormatting>
  <conditionalFormatting sqref="AY63:AY64">
    <cfRule type="expression" dxfId="429" priority="129" stopIfTrue="1">
      <formula>ISERROR(AY63)</formula>
    </cfRule>
  </conditionalFormatting>
  <conditionalFormatting sqref="AY68">
    <cfRule type="expression" dxfId="428" priority="128" stopIfTrue="1">
      <formula>ISERROR(AY68)</formula>
    </cfRule>
  </conditionalFormatting>
  <conditionalFormatting sqref="AY51">
    <cfRule type="expression" dxfId="427" priority="127" stopIfTrue="1">
      <formula>ISERROR(AY51)</formula>
    </cfRule>
  </conditionalFormatting>
  <conditionalFormatting sqref="AY59">
    <cfRule type="expression" dxfId="426" priority="126" stopIfTrue="1">
      <formula>ISERROR(AY59)</formula>
    </cfRule>
  </conditionalFormatting>
  <conditionalFormatting sqref="AY62">
    <cfRule type="expression" dxfId="425" priority="125" stopIfTrue="1">
      <formula>ISERROR(AY62)</formula>
    </cfRule>
  </conditionalFormatting>
  <conditionalFormatting sqref="AY80">
    <cfRule type="expression" dxfId="424" priority="124" stopIfTrue="1">
      <formula>ISERROR(AY80)</formula>
    </cfRule>
  </conditionalFormatting>
  <conditionalFormatting sqref="BA52">
    <cfRule type="expression" dxfId="423" priority="123" stopIfTrue="1">
      <formula>ISERROR(BA52)</formula>
    </cfRule>
  </conditionalFormatting>
  <conditionalFormatting sqref="BA60">
    <cfRule type="expression" dxfId="422" priority="122" stopIfTrue="1">
      <formula>ISERROR(BA60)</formula>
    </cfRule>
  </conditionalFormatting>
  <conditionalFormatting sqref="B81:AE81">
    <cfRule type="expression" dxfId="421" priority="121" stopIfTrue="1">
      <formula>ISERROR(B81)</formula>
    </cfRule>
  </conditionalFormatting>
  <conditionalFormatting sqref="AF81:AR81 AU81:AV81 AZ81:CD81">
    <cfRule type="expression" dxfId="420" priority="120" stopIfTrue="1">
      <formula>ISERROR(AF81)</formula>
    </cfRule>
  </conditionalFormatting>
  <conditionalFormatting sqref="AW81:AX81">
    <cfRule type="expression" dxfId="419" priority="119" stopIfTrue="1">
      <formula>ISERROR(AW81)</formula>
    </cfRule>
  </conditionalFormatting>
  <conditionalFormatting sqref="AY81">
    <cfRule type="expression" dxfId="418" priority="118" stopIfTrue="1">
      <formula>ISERROR(AY81)</formula>
    </cfRule>
  </conditionalFormatting>
  <conditionalFormatting sqref="AT54:AT58">
    <cfRule type="expression" dxfId="417" priority="117" stopIfTrue="1">
      <formula>ISERROR(AT54)</formula>
    </cfRule>
  </conditionalFormatting>
  <conditionalFormatting sqref="AT63:AT64">
    <cfRule type="expression" dxfId="416" priority="116" stopIfTrue="1">
      <formula>ISERROR(AT63)</formula>
    </cfRule>
  </conditionalFormatting>
  <conditionalFormatting sqref="AT51">
    <cfRule type="expression" dxfId="415" priority="114" stopIfTrue="1">
      <formula>ISERROR(AT51)</formula>
    </cfRule>
  </conditionalFormatting>
  <conditionalFormatting sqref="AT68">
    <cfRule type="expression" dxfId="414" priority="115" stopIfTrue="1">
      <formula>ISERROR(AT68)</formula>
    </cfRule>
  </conditionalFormatting>
  <conditionalFormatting sqref="AT59">
    <cfRule type="expression" dxfId="413" priority="113" stopIfTrue="1">
      <formula>ISERROR(AT59)</formula>
    </cfRule>
  </conditionalFormatting>
  <conditionalFormatting sqref="AT62">
    <cfRule type="expression" dxfId="412" priority="112" stopIfTrue="1">
      <formula>ISERROR(AT62)</formula>
    </cfRule>
  </conditionalFormatting>
  <conditionalFormatting sqref="AT80">
    <cfRule type="expression" dxfId="411" priority="111" stopIfTrue="1">
      <formula>ISERROR(AT80)</formula>
    </cfRule>
  </conditionalFormatting>
  <conditionalFormatting sqref="AT81">
    <cfRule type="expression" dxfId="410" priority="110" stopIfTrue="1">
      <formula>ISERROR(AT81)</formula>
    </cfRule>
  </conditionalFormatting>
  <conditionalFormatting sqref="AS68">
    <cfRule type="expression" dxfId="409" priority="107" stopIfTrue="1">
      <formula>ISERROR(AS68)</formula>
    </cfRule>
  </conditionalFormatting>
  <conditionalFormatting sqref="AS54:AS58">
    <cfRule type="expression" dxfId="408" priority="109" stopIfTrue="1">
      <formula>ISERROR(AS54)</formula>
    </cfRule>
  </conditionalFormatting>
  <conditionalFormatting sqref="AS63:AS64">
    <cfRule type="expression" dxfId="407" priority="108" stopIfTrue="1">
      <formula>ISERROR(AS63)</formula>
    </cfRule>
  </conditionalFormatting>
  <conditionalFormatting sqref="AS51">
    <cfRule type="expression" dxfId="406" priority="106" stopIfTrue="1">
      <formula>ISERROR(AS51)</formula>
    </cfRule>
  </conditionalFormatting>
  <conditionalFormatting sqref="AS59">
    <cfRule type="expression" dxfId="405" priority="105" stopIfTrue="1">
      <formula>ISERROR(AS59)</formula>
    </cfRule>
  </conditionalFormatting>
  <conditionalFormatting sqref="AS62">
    <cfRule type="expression" dxfId="404" priority="104" stopIfTrue="1">
      <formula>ISERROR(AS62)</formula>
    </cfRule>
  </conditionalFormatting>
  <conditionalFormatting sqref="AS80">
    <cfRule type="expression" dxfId="403" priority="103" stopIfTrue="1">
      <formula>ISERROR(AS80)</formula>
    </cfRule>
  </conditionalFormatting>
  <conditionalFormatting sqref="AS81">
    <cfRule type="expression" dxfId="402" priority="102" stopIfTrue="1">
      <formula>ISERROR(AS81)</formula>
    </cfRule>
  </conditionalFormatting>
  <conditionalFormatting sqref="AX43:AY43">
    <cfRule type="expression" dxfId="401" priority="97" stopIfTrue="1">
      <formula>ISERROR(AX43)</formula>
    </cfRule>
  </conditionalFormatting>
  <conditionalFormatting sqref="AX20:AY20">
    <cfRule type="expression" dxfId="400" priority="101" stopIfTrue="1">
      <formula>ISERROR(AX20)</formula>
    </cfRule>
  </conditionalFormatting>
  <conditionalFormatting sqref="AX30:AY30">
    <cfRule type="expression" dxfId="399" priority="100" stopIfTrue="1">
      <formula>ISERROR(AX30)</formula>
    </cfRule>
  </conditionalFormatting>
  <conditionalFormatting sqref="AX37:AY37">
    <cfRule type="expression" dxfId="398" priority="99" stopIfTrue="1">
      <formula>ISERROR(AX37)</formula>
    </cfRule>
  </conditionalFormatting>
  <conditionalFormatting sqref="AX40:AY40">
    <cfRule type="expression" dxfId="397" priority="98" stopIfTrue="1">
      <formula>ISERROR(AX40)</formula>
    </cfRule>
  </conditionalFormatting>
  <conditionalFormatting sqref="AX52:AY52">
    <cfRule type="expression" dxfId="396" priority="96" stopIfTrue="1">
      <formula>ISERROR(AX52)</formula>
    </cfRule>
  </conditionalFormatting>
  <conditionalFormatting sqref="AX60:AY60">
    <cfRule type="expression" dxfId="395" priority="95" stopIfTrue="1">
      <formula>ISERROR(AX60)</formula>
    </cfRule>
  </conditionalFormatting>
  <conditionalFormatting sqref="BE46">
    <cfRule type="expression" dxfId="394" priority="91" stopIfTrue="1">
      <formula>ISERROR(BE46)</formula>
    </cfRule>
  </conditionalFormatting>
  <conditionalFormatting sqref="BE47">
    <cfRule type="expression" dxfId="393" priority="90" stopIfTrue="1">
      <formula>ISERROR(BE47)</formula>
    </cfRule>
  </conditionalFormatting>
  <conditionalFormatting sqref="AS46:BB46">
    <cfRule type="expression" dxfId="392" priority="94" stopIfTrue="1">
      <formula>ISERROR(AS46)</formula>
    </cfRule>
  </conditionalFormatting>
  <conditionalFormatting sqref="AS47:AY47 BA47:BD47 BF47:CD47">
    <cfRule type="expression" dxfId="391" priority="93" stopIfTrue="1">
      <formula>ISERROR(AS47)</formula>
    </cfRule>
  </conditionalFormatting>
  <conditionalFormatting sqref="AZ47">
    <cfRule type="expression" dxfId="390" priority="92" stopIfTrue="1">
      <formula>ISERROR(AZ47)</formula>
    </cfRule>
  </conditionalFormatting>
  <conditionalFormatting sqref="AZ55">
    <cfRule type="expression" dxfId="389" priority="89" stopIfTrue="1">
      <formula>ISERROR(AZ55)</formula>
    </cfRule>
  </conditionalFormatting>
  <conditionalFormatting sqref="BA56:BB56">
    <cfRule type="expression" dxfId="388" priority="88" stopIfTrue="1">
      <formula>ISERROR(BA56)</formula>
    </cfRule>
  </conditionalFormatting>
  <conditionalFormatting sqref="AZ12">
    <cfRule type="expression" dxfId="387" priority="87" stopIfTrue="1">
      <formula>ISERROR(AZ12)</formula>
    </cfRule>
  </conditionalFormatting>
  <conditionalFormatting sqref="AY28">
    <cfRule type="expression" dxfId="386" priority="86" stopIfTrue="1">
      <formula>ISERROR(AY28)</formula>
    </cfRule>
  </conditionalFormatting>
  <conditionalFormatting sqref="CD80">
    <cfRule type="expression" dxfId="385" priority="26" stopIfTrue="1">
      <formula>ISERROR(CD80)</formula>
    </cfRule>
  </conditionalFormatting>
  <conditionalFormatting sqref="AZ28">
    <cfRule type="expression" dxfId="384" priority="85" stopIfTrue="1">
      <formula>ISERROR(AZ28)</formula>
    </cfRule>
  </conditionalFormatting>
  <conditionalFormatting sqref="AY35">
    <cfRule type="expression" dxfId="383" priority="84" stopIfTrue="1">
      <formula>ISERROR(AY35)</formula>
    </cfRule>
  </conditionalFormatting>
  <conditionalFormatting sqref="AY50">
    <cfRule type="expression" dxfId="382" priority="83" stopIfTrue="1">
      <formula>ISERROR(AY50)</formula>
    </cfRule>
  </conditionalFormatting>
  <conditionalFormatting sqref="AX50">
    <cfRule type="expression" dxfId="381" priority="82" stopIfTrue="1">
      <formula>ISERROR(AX50)</formula>
    </cfRule>
  </conditionalFormatting>
  <conditionalFormatting sqref="AW50">
    <cfRule type="expression" dxfId="380" priority="81" stopIfTrue="1">
      <formula>ISERROR(AW50)</formula>
    </cfRule>
  </conditionalFormatting>
  <conditionalFormatting sqref="AT50">
    <cfRule type="expression" dxfId="379" priority="80" stopIfTrue="1">
      <formula>ISERROR(AT50)</formula>
    </cfRule>
  </conditionalFormatting>
  <conditionalFormatting sqref="AS50">
    <cfRule type="expression" dxfId="378" priority="79" stopIfTrue="1">
      <formula>ISERROR(AS50)</formula>
    </cfRule>
  </conditionalFormatting>
  <conditionalFormatting sqref="AY57">
    <cfRule type="expression" dxfId="377" priority="78" stopIfTrue="1">
      <formula>ISERROR(AY57)</formula>
    </cfRule>
  </conditionalFormatting>
  <conditionalFormatting sqref="AX57">
    <cfRule type="expression" dxfId="376" priority="77" stopIfTrue="1">
      <formula>ISERROR(AX57)</formula>
    </cfRule>
  </conditionalFormatting>
  <conditionalFormatting sqref="AW57">
    <cfRule type="expression" dxfId="375" priority="76" stopIfTrue="1">
      <formula>ISERROR(AW57)</formula>
    </cfRule>
  </conditionalFormatting>
  <conditionalFormatting sqref="BA58:BB58">
    <cfRule type="expression" dxfId="374" priority="75" stopIfTrue="1">
      <formula>ISERROR(BA58)</formula>
    </cfRule>
  </conditionalFormatting>
  <conditionalFormatting sqref="BC12:BD12">
    <cfRule type="expression" dxfId="373" priority="74" stopIfTrue="1">
      <formula>ISERROR(BC12)</formula>
    </cfRule>
  </conditionalFormatting>
  <conditionalFormatting sqref="BE12">
    <cfRule type="expression" dxfId="372" priority="73" stopIfTrue="1">
      <formula>ISERROR(BE12)</formula>
    </cfRule>
  </conditionalFormatting>
  <conditionalFormatting sqref="BJ12:CD12">
    <cfRule type="expression" dxfId="371" priority="72" stopIfTrue="1">
      <formula>ISERROR(BJ12)</formula>
    </cfRule>
  </conditionalFormatting>
  <conditionalFormatting sqref="BJ18:CD18">
    <cfRule type="expression" dxfId="370" priority="71" stopIfTrue="1">
      <formula>ISERROR(BJ18)</formula>
    </cfRule>
  </conditionalFormatting>
  <conditionalFormatting sqref="BC20:BD20">
    <cfRule type="expression" dxfId="369" priority="70" stopIfTrue="1">
      <formula>ISERROR(BC20)</formula>
    </cfRule>
  </conditionalFormatting>
  <conditionalFormatting sqref="BJ19:BJ20">
    <cfRule type="expression" dxfId="368" priority="69" stopIfTrue="1">
      <formula>ISERROR(BJ19)</formula>
    </cfRule>
  </conditionalFormatting>
  <conditionalFormatting sqref="BO20">
    <cfRule type="expression" dxfId="367" priority="68" stopIfTrue="1">
      <formula>ISERROR(BO20)</formula>
    </cfRule>
  </conditionalFormatting>
  <conditionalFormatting sqref="BT20">
    <cfRule type="expression" dxfId="366" priority="67" stopIfTrue="1">
      <formula>ISERROR(BT20)</formula>
    </cfRule>
  </conditionalFormatting>
  <conditionalFormatting sqref="BY20">
    <cfRule type="expression" dxfId="365" priority="66" stopIfTrue="1">
      <formula>ISERROR(BY20)</formula>
    </cfRule>
  </conditionalFormatting>
  <conditionalFormatting sqref="CD20">
    <cfRule type="expression" dxfId="364" priority="65" stopIfTrue="1">
      <formula>ISERROR(CD20)</formula>
    </cfRule>
  </conditionalFormatting>
  <conditionalFormatting sqref="BC23:BD23 BC28:BD28">
    <cfRule type="expression" dxfId="363" priority="64" stopIfTrue="1">
      <formula>ISERROR(BC23)</formula>
    </cfRule>
  </conditionalFormatting>
  <conditionalFormatting sqref="BC24:BD24">
    <cfRule type="expression" dxfId="362" priority="63" stopIfTrue="1">
      <formula>ISERROR(BC24)</formula>
    </cfRule>
  </conditionalFormatting>
  <conditionalFormatting sqref="BE28">
    <cfRule type="expression" dxfId="361" priority="62" stopIfTrue="1">
      <formula>ISERROR(BE28)</formula>
    </cfRule>
  </conditionalFormatting>
  <conditionalFormatting sqref="BC33:BD33">
    <cfRule type="expression" dxfId="360" priority="61" stopIfTrue="1">
      <formula>ISERROR(BC33)</formula>
    </cfRule>
  </conditionalFormatting>
  <conditionalFormatting sqref="BC35:BD35">
    <cfRule type="expression" dxfId="359" priority="60" stopIfTrue="1">
      <formula>ISERROR(BC35)</formula>
    </cfRule>
  </conditionalFormatting>
  <conditionalFormatting sqref="BC48:BD48">
    <cfRule type="expression" dxfId="358" priority="59" stopIfTrue="1">
      <formula>ISERROR(BC48)</formula>
    </cfRule>
  </conditionalFormatting>
  <conditionalFormatting sqref="BC49:BD49">
    <cfRule type="expression" dxfId="357" priority="58" stopIfTrue="1">
      <formula>ISERROR(BC49)</formula>
    </cfRule>
  </conditionalFormatting>
  <conditionalFormatting sqref="BO80">
    <cfRule type="expression" dxfId="356" priority="29" stopIfTrue="1">
      <formula>ISERROR(BO80)</formula>
    </cfRule>
  </conditionalFormatting>
  <conditionalFormatting sqref="BE48">
    <cfRule type="expression" dxfId="355" priority="57" stopIfTrue="1">
      <formula>ISERROR(BE48)</formula>
    </cfRule>
  </conditionalFormatting>
  <conditionalFormatting sqref="BE49">
    <cfRule type="expression" dxfId="354" priority="56" stopIfTrue="1">
      <formula>ISERROR(BE49)</formula>
    </cfRule>
  </conditionalFormatting>
  <conditionalFormatting sqref="BE50">
    <cfRule type="expression" dxfId="353" priority="55" stopIfTrue="1">
      <formula>ISERROR(BE50)</formula>
    </cfRule>
  </conditionalFormatting>
  <conditionalFormatting sqref="BC50:BD50">
    <cfRule type="expression" dxfId="352" priority="54" stopIfTrue="1">
      <formula>ISERROR(BC50)</formula>
    </cfRule>
  </conditionalFormatting>
  <conditionalFormatting sqref="BC51">
    <cfRule type="expression" dxfId="351" priority="53" stopIfTrue="1">
      <formula>ISERROR(BC51)</formula>
    </cfRule>
  </conditionalFormatting>
  <conditionalFormatting sqref="BD51">
    <cfRule type="expression" dxfId="350" priority="52" stopIfTrue="1">
      <formula>ISERROR(BD51)</formula>
    </cfRule>
  </conditionalFormatting>
  <conditionalFormatting sqref="BC52">
    <cfRule type="expression" dxfId="349" priority="51" stopIfTrue="1">
      <formula>ISERROR(BC52)</formula>
    </cfRule>
  </conditionalFormatting>
  <conditionalFormatting sqref="BD52">
    <cfRule type="expression" dxfId="348" priority="50" stopIfTrue="1">
      <formula>ISERROR(BD52)</formula>
    </cfRule>
  </conditionalFormatting>
  <conditionalFormatting sqref="BJ48:CD48">
    <cfRule type="expression" dxfId="347" priority="49" stopIfTrue="1">
      <formula>ISERROR(BJ48)</formula>
    </cfRule>
  </conditionalFormatting>
  <conditionalFormatting sqref="BJ49:CD49">
    <cfRule type="expression" dxfId="346" priority="48" stopIfTrue="1">
      <formula>ISERROR(BJ49)</formula>
    </cfRule>
  </conditionalFormatting>
  <conditionalFormatting sqref="BJ50:CD50">
    <cfRule type="expression" dxfId="345" priority="47" stopIfTrue="1">
      <formula>ISERROR(BJ50)</formula>
    </cfRule>
  </conditionalFormatting>
  <conditionalFormatting sqref="BC55:BD56">
    <cfRule type="expression" dxfId="344" priority="46" stopIfTrue="1">
      <formula>ISERROR(BC55)</formula>
    </cfRule>
  </conditionalFormatting>
  <conditionalFormatting sqref="BC57:BD58">
    <cfRule type="expression" dxfId="343" priority="45" stopIfTrue="1">
      <formula>ISERROR(BC57)</formula>
    </cfRule>
  </conditionalFormatting>
  <conditionalFormatting sqref="BC59">
    <cfRule type="expression" dxfId="342" priority="44" stopIfTrue="1">
      <formula>ISERROR(BC59)</formula>
    </cfRule>
  </conditionalFormatting>
  <conditionalFormatting sqref="BC60">
    <cfRule type="expression" dxfId="341" priority="43" stopIfTrue="1">
      <formula>ISERROR(BC60)</formula>
    </cfRule>
  </conditionalFormatting>
  <conditionalFormatting sqref="BD59">
    <cfRule type="expression" dxfId="340" priority="42" stopIfTrue="1">
      <formula>ISERROR(BD59)</formula>
    </cfRule>
  </conditionalFormatting>
  <conditionalFormatting sqref="BD60">
    <cfRule type="expression" dxfId="339" priority="41" stopIfTrue="1">
      <formula>ISERROR(BD60)</formula>
    </cfRule>
  </conditionalFormatting>
  <conditionalFormatting sqref="BE56">
    <cfRule type="expression" dxfId="338" priority="40" stopIfTrue="1">
      <formula>ISERROR(BE56)</formula>
    </cfRule>
  </conditionalFormatting>
  <conditionalFormatting sqref="BE58">
    <cfRule type="expression" dxfId="337" priority="39" stopIfTrue="1">
      <formula>ISERROR(BE58)</formula>
    </cfRule>
  </conditionalFormatting>
  <conditionalFormatting sqref="BJ55:CD56">
    <cfRule type="expression" dxfId="336" priority="38" stopIfTrue="1">
      <formula>ISERROR(BJ55)</formula>
    </cfRule>
  </conditionalFormatting>
  <conditionalFormatting sqref="BJ57:CD58">
    <cfRule type="expression" dxfId="335" priority="37" stopIfTrue="1">
      <formula>ISERROR(BJ57)</formula>
    </cfRule>
  </conditionalFormatting>
  <conditionalFormatting sqref="BC80">
    <cfRule type="expression" dxfId="334" priority="36" stopIfTrue="1">
      <formula>ISERROR(BC80)</formula>
    </cfRule>
  </conditionalFormatting>
  <conditionalFormatting sqref="BD80">
    <cfRule type="expression" dxfId="333" priority="35" stopIfTrue="1">
      <formula>ISERROR(BD80)</formula>
    </cfRule>
  </conditionalFormatting>
  <conditionalFormatting sqref="BC82">
    <cfRule type="expression" dxfId="332" priority="34" stopIfTrue="1">
      <formula>ISERROR(BC82)</formula>
    </cfRule>
  </conditionalFormatting>
  <conditionalFormatting sqref="BC83">
    <cfRule type="expression" dxfId="331" priority="33" stopIfTrue="1">
      <formula>ISERROR(BC83)</formula>
    </cfRule>
  </conditionalFormatting>
  <conditionalFormatting sqref="BD82">
    <cfRule type="expression" dxfId="330" priority="32" stopIfTrue="1">
      <formula>ISERROR(BD82)</formula>
    </cfRule>
  </conditionalFormatting>
  <conditionalFormatting sqref="BD83">
    <cfRule type="expression" dxfId="329" priority="31" stopIfTrue="1">
      <formula>ISERROR(BD83)</formula>
    </cfRule>
  </conditionalFormatting>
  <conditionalFormatting sqref="BJ80">
    <cfRule type="expression" dxfId="328" priority="30" stopIfTrue="1">
      <formula>ISERROR(BJ80)</formula>
    </cfRule>
  </conditionalFormatting>
  <conditionalFormatting sqref="BT80">
    <cfRule type="expression" dxfId="327" priority="28" stopIfTrue="1">
      <formula>ISERROR(BT80)</formula>
    </cfRule>
  </conditionalFormatting>
  <conditionalFormatting sqref="BY80">
    <cfRule type="expression" dxfId="326" priority="27" stopIfTrue="1">
      <formula>ISERROR(BY80)</formula>
    </cfRule>
  </conditionalFormatting>
  <conditionalFormatting sqref="AL99:AO99">
    <cfRule type="expression" dxfId="325" priority="25" stopIfTrue="1">
      <formula>ISERROR(AL99)</formula>
    </cfRule>
  </conditionalFormatting>
  <conditionalFormatting sqref="AK97">
    <cfRule type="expression" dxfId="324" priority="24" stopIfTrue="1">
      <formula>ISERROR(AK97)</formula>
    </cfRule>
  </conditionalFormatting>
  <conditionalFormatting sqref="AP97">
    <cfRule type="expression" dxfId="323" priority="23" stopIfTrue="1">
      <formula>ISERROR(AP97)</formula>
    </cfRule>
  </conditionalFormatting>
  <conditionalFormatting sqref="B109:AA109 AG109:AP109 AZ108:CD109 B108:AY108 AV109:AY109">
    <cfRule type="expression" dxfId="322" priority="22" stopIfTrue="1">
      <formula>ISERROR(B108)</formula>
    </cfRule>
  </conditionalFormatting>
  <conditionalFormatting sqref="C107:CD107">
    <cfRule type="expression" dxfId="321" priority="21" stopIfTrue="1">
      <formula>ISERROR(C107)</formula>
    </cfRule>
  </conditionalFormatting>
  <conditionalFormatting sqref="AQ109:AU109">
    <cfRule type="expression" dxfId="320" priority="20" stopIfTrue="1">
      <formula>ISERROR(AQ109)</formula>
    </cfRule>
  </conditionalFormatting>
  <conditionalFormatting sqref="B107">
    <cfRule type="expression" dxfId="319" priority="19" stopIfTrue="1">
      <formula>ISERROR(B107)</formula>
    </cfRule>
  </conditionalFormatting>
  <conditionalFormatting sqref="BO19">
    <cfRule type="expression" dxfId="318" priority="18" stopIfTrue="1">
      <formula>ISERROR(BO19)</formula>
    </cfRule>
  </conditionalFormatting>
  <conditionalFormatting sqref="BT19">
    <cfRule type="expression" dxfId="317" priority="17" stopIfTrue="1">
      <formula>ISERROR(BT19)</formula>
    </cfRule>
  </conditionalFormatting>
  <conditionalFormatting sqref="BY19">
    <cfRule type="expression" dxfId="316" priority="16" stopIfTrue="1">
      <formula>ISERROR(BY19)</formula>
    </cfRule>
  </conditionalFormatting>
  <conditionalFormatting sqref="CD19">
    <cfRule type="expression" dxfId="315" priority="15" stopIfTrue="1">
      <formula>ISERROR(CD19)</formula>
    </cfRule>
  </conditionalFormatting>
  <conditionalFormatting sqref="A65:AE66 CE65">
    <cfRule type="expression" dxfId="314" priority="14" stopIfTrue="1">
      <formula>ISERROR(A65)</formula>
    </cfRule>
  </conditionalFormatting>
  <conditionalFormatting sqref="BC65 AF65:AR66 AZ66:CD66 AZ65 AU65 AU66:AV66 BE65:CD65">
    <cfRule type="expression" dxfId="313" priority="13" stopIfTrue="1">
      <formula>ISERROR(AF65)</formula>
    </cfRule>
  </conditionalFormatting>
  <conditionalFormatting sqref="BB65">
    <cfRule type="expression" dxfId="312" priority="12" stopIfTrue="1">
      <formula>ISERROR(BB65)</formula>
    </cfRule>
  </conditionalFormatting>
  <conditionalFormatting sqref="AW66:AX66">
    <cfRule type="expression" dxfId="311" priority="11" stopIfTrue="1">
      <formula>ISERROR(AW66)</formula>
    </cfRule>
  </conditionalFormatting>
  <conditionalFormatting sqref="AW65:AX65">
    <cfRule type="expression" dxfId="310" priority="10" stopIfTrue="1">
      <formula>ISERROR(AW65)</formula>
    </cfRule>
  </conditionalFormatting>
  <conditionalFormatting sqref="BA65">
    <cfRule type="expression" dxfId="309" priority="9" stopIfTrue="1">
      <formula>ISERROR(BA65)</formula>
    </cfRule>
  </conditionalFormatting>
  <conditionalFormatting sqref="AV65">
    <cfRule type="expression" dxfId="308" priority="8" stopIfTrue="1">
      <formula>ISERROR(AV65)</formula>
    </cfRule>
  </conditionalFormatting>
  <conditionalFormatting sqref="AY66">
    <cfRule type="expression" dxfId="307" priority="7" stopIfTrue="1">
      <formula>ISERROR(AY66)</formula>
    </cfRule>
  </conditionalFormatting>
  <conditionalFormatting sqref="AY65">
    <cfRule type="expression" dxfId="306" priority="6" stopIfTrue="1">
      <formula>ISERROR(AY65)</formula>
    </cfRule>
  </conditionalFormatting>
  <conditionalFormatting sqref="AT66">
    <cfRule type="expression" dxfId="305" priority="5" stopIfTrue="1">
      <formula>ISERROR(AT66)</formula>
    </cfRule>
  </conditionalFormatting>
  <conditionalFormatting sqref="AT65">
    <cfRule type="expression" dxfId="304" priority="4" stopIfTrue="1">
      <formula>ISERROR(AT65)</formula>
    </cfRule>
  </conditionalFormatting>
  <conditionalFormatting sqref="AS66">
    <cfRule type="expression" dxfId="303" priority="3" stopIfTrue="1">
      <formula>ISERROR(AS66)</formula>
    </cfRule>
  </conditionalFormatting>
  <conditionalFormatting sqref="AS65">
    <cfRule type="expression" dxfId="302" priority="2" stopIfTrue="1">
      <formula>ISERROR(AS65)</formula>
    </cfRule>
  </conditionalFormatting>
  <conditionalFormatting sqref="BD65">
    <cfRule type="expression" dxfId="301" priority="1" stopIfTrue="1">
      <formula>ISERROR(BD65)</formula>
    </cfRule>
  </conditionalFormatting>
  <dataValidations count="1">
    <dataValidation type="custom" allowBlank="1" showInputMessage="1" showErrorMessage="1" sqref="R6:U8 AG7:AJ8 AB7:AE8 AL7:AO8 AQ7:AT8 AV7:AY8 W7:Z8 BF8:BI8 BP8:BS8 BU8:BX8 BZ8:CC8 BK8:BN8 BA7:BD8">
      <formula1>-1</formula1>
    </dataValidation>
  </dataValidations>
  <pageMargins left="0.75" right="0.75" top="1" bottom="1" header="0.5" footer="0.5"/>
  <pageSetup scale="3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33"/>
  <sheetViews>
    <sheetView showGridLines="0" workbookViewId="0">
      <pane xSplit="2" ySplit="8" topLeftCell="C18" activePane="bottomRight" state="frozen"/>
      <selection activeCell="L4" sqref="L4"/>
      <selection pane="topRight" activeCell="L4" sqref="L4"/>
      <selection pane="bottomLeft" activeCell="L4" sqref="L4"/>
      <selection pane="bottomRight" activeCell="AV42" sqref="AV42"/>
    </sheetView>
  </sheetViews>
  <sheetFormatPr baseColWidth="10" defaultColWidth="9.1640625" defaultRowHeight="12" outlineLevelCol="1" x14ac:dyDescent="0.15"/>
  <cols>
    <col min="1" max="1" width="2.1640625" style="197" customWidth="1"/>
    <col min="2" max="2" width="40.6640625" style="198" customWidth="1"/>
    <col min="3" max="3" width="9.1640625" style="197"/>
    <col min="4" max="7" width="9.1640625" style="197" hidden="1" customWidth="1" outlineLevel="1"/>
    <col min="8" max="8" width="9.1640625" style="197" collapsed="1"/>
    <col min="9" max="9" width="9.6640625" style="197" hidden="1" customWidth="1" outlineLevel="1"/>
    <col min="10" max="12" width="9.1640625" style="197" hidden="1" customWidth="1" outlineLevel="1"/>
    <col min="13" max="13" width="9.1640625" style="197" collapsed="1"/>
    <col min="14" max="14" width="9.6640625" style="197" hidden="1" customWidth="1" outlineLevel="1"/>
    <col min="15" max="15" width="9.1640625" style="197" hidden="1" customWidth="1" outlineLevel="1"/>
    <col min="16" max="16" width="10" style="197" hidden="1" customWidth="1" outlineLevel="1"/>
    <col min="17" max="17" width="9.1640625" style="197" hidden="1" customWidth="1" outlineLevel="1"/>
    <col min="18" max="18" width="9.1640625" style="197" collapsed="1"/>
    <col min="19" max="19" width="9.1640625" style="197" hidden="1" customWidth="1" outlineLevel="1"/>
    <col min="20" max="20" width="8.5" style="197" hidden="1" customWidth="1" outlineLevel="1"/>
    <col min="21" max="22" width="9.1640625" style="197" hidden="1" customWidth="1" outlineLevel="1"/>
    <col min="23" max="23" width="9.1640625" style="197" collapsed="1"/>
    <col min="24" max="24" width="9.1640625" style="197" hidden="1" customWidth="1" outlineLevel="1"/>
    <col min="25" max="25" width="9.33203125" style="197" hidden="1" customWidth="1" outlineLevel="1"/>
    <col min="26" max="27" width="9.1640625" style="197" hidden="1" customWidth="1" outlineLevel="1"/>
    <col min="28" max="28" width="9.1640625" style="197" collapsed="1"/>
    <col min="29" max="30" width="9.1640625" style="197" hidden="1" customWidth="1" outlineLevel="1"/>
    <col min="31" max="31" width="8.5" style="197" hidden="1" customWidth="1" outlineLevel="1"/>
    <col min="32" max="32" width="9.1640625" style="197" hidden="1" customWidth="1" outlineLevel="1"/>
    <col min="33" max="33" width="12.5" style="197" customWidth="1" collapsed="1"/>
    <col min="34" max="34" width="11" style="197" hidden="1" customWidth="1" outlineLevel="1"/>
    <col min="35" max="36" width="9.1640625" style="197" hidden="1" customWidth="1" outlineLevel="1"/>
    <col min="37" max="37" width="2.1640625" style="197" customWidth="1" outlineLevel="1"/>
    <col min="38" max="38" width="10.5" style="197" bestFit="1" customWidth="1"/>
    <col min="39" max="42" width="9.1640625" style="197" hidden="1" customWidth="1" outlineLevel="1"/>
    <col min="43" max="43" width="10.5" style="197" bestFit="1" customWidth="1" collapsed="1"/>
    <col min="44" max="47" width="9.1640625" style="197" hidden="1" customWidth="1" outlineLevel="1"/>
    <col min="48" max="48" width="9.6640625" style="197" bestFit="1" customWidth="1" collapsed="1"/>
    <col min="49" max="52" width="9.1640625" style="197" hidden="1" customWidth="1" outlineLevel="1"/>
    <col min="53" max="53" width="10.5" style="197" bestFit="1" customWidth="1" collapsed="1"/>
    <col min="54" max="57" width="9.1640625" style="197" hidden="1" customWidth="1" outlineLevel="1"/>
    <col min="58" max="58" width="9.6640625" style="197" bestFit="1" customWidth="1" collapsed="1"/>
    <col min="59" max="62" width="9.1640625" style="197" hidden="1" customWidth="1" outlineLevel="1"/>
    <col min="63" max="63" width="10.5" style="197" bestFit="1" customWidth="1" collapsed="1"/>
    <col min="64" max="67" width="9.1640625" style="197" hidden="1" customWidth="1" outlineLevel="1"/>
    <col min="68" max="68" width="9.6640625" style="197" bestFit="1" customWidth="1" collapsed="1"/>
    <col min="69" max="69" width="0.83203125" style="197" customWidth="1"/>
    <col min="70" max="70" width="51.6640625" style="197" customWidth="1"/>
    <col min="71" max="16384" width="9.1640625" style="197"/>
  </cols>
  <sheetData>
    <row r="1" spans="1:70" s="2" customFormat="1" ht="12" customHeight="1" x14ac:dyDescent="0.15">
      <c r="B1" s="12"/>
    </row>
    <row r="2" spans="1:70" s="2" customFormat="1" x14ac:dyDescent="0.15">
      <c r="B2" s="4" t="s">
        <v>1</v>
      </c>
      <c r="AK2" s="376"/>
    </row>
    <row r="3" spans="1:70" s="2" customFormat="1" x14ac:dyDescent="0.15">
      <c r="B3" s="6" t="s">
        <v>262</v>
      </c>
      <c r="AK3" s="376"/>
    </row>
    <row r="4" spans="1:70" s="2" customFormat="1" x14ac:dyDescent="0.15">
      <c r="A4" s="8"/>
      <c r="B4" s="9"/>
      <c r="N4" s="10"/>
      <c r="O4" s="10"/>
      <c r="P4" s="10"/>
      <c r="Q4" s="10"/>
      <c r="R4" s="10"/>
      <c r="S4" s="751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</row>
    <row r="5" spans="1:70" s="2" customFormat="1" x14ac:dyDescent="0.15">
      <c r="A5" s="8"/>
      <c r="B5" s="12"/>
      <c r="K5" s="13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70" s="2" customFormat="1" ht="12" customHeight="1" x14ac:dyDescent="0.15">
      <c r="B6" s="12"/>
      <c r="N6" s="18"/>
      <c r="O6" s="18"/>
      <c r="P6" s="19" t="s">
        <v>3</v>
      </c>
      <c r="Q6" s="20" t="s">
        <v>4</v>
      </c>
      <c r="AE6" s="752"/>
    </row>
    <row r="7" spans="1:70" s="2" customFormat="1" x14ac:dyDescent="0.15">
      <c r="B7" s="22" t="s">
        <v>5</v>
      </c>
      <c r="C7" s="25"/>
      <c r="D7" s="23">
        <v>39508</v>
      </c>
      <c r="E7" s="23">
        <v>39600</v>
      </c>
      <c r="F7" s="23">
        <v>39692</v>
      </c>
      <c r="G7" s="23">
        <v>39783</v>
      </c>
      <c r="H7" s="24"/>
      <c r="I7" s="23">
        <v>39873</v>
      </c>
      <c r="J7" s="23">
        <v>39965</v>
      </c>
      <c r="K7" s="23">
        <v>40057</v>
      </c>
      <c r="L7" s="23">
        <v>40148</v>
      </c>
      <c r="M7" s="24"/>
      <c r="N7" s="23">
        <v>40238</v>
      </c>
      <c r="O7" s="23">
        <v>40330</v>
      </c>
      <c r="P7" s="23">
        <v>40422</v>
      </c>
      <c r="Q7" s="23">
        <v>40513</v>
      </c>
      <c r="R7" s="25"/>
      <c r="S7" s="23">
        <v>40603</v>
      </c>
      <c r="T7" s="23">
        <v>40695</v>
      </c>
      <c r="U7" s="23">
        <v>40787</v>
      </c>
      <c r="V7" s="23">
        <v>40878</v>
      </c>
      <c r="W7" s="25"/>
      <c r="X7" s="23">
        <v>40969</v>
      </c>
      <c r="Y7" s="23">
        <v>41061</v>
      </c>
      <c r="Z7" s="23">
        <v>41153</v>
      </c>
      <c r="AA7" s="23">
        <v>41244</v>
      </c>
      <c r="AB7" s="25"/>
      <c r="AC7" s="23">
        <v>41334</v>
      </c>
      <c r="AD7" s="23">
        <v>41426</v>
      </c>
      <c r="AE7" s="23">
        <v>41518</v>
      </c>
      <c r="AF7" s="23">
        <v>41609</v>
      </c>
      <c r="AG7" s="25"/>
      <c r="AH7" s="23">
        <v>41699</v>
      </c>
      <c r="AI7" s="23">
        <v>41791</v>
      </c>
      <c r="AJ7" s="23">
        <v>41883</v>
      </c>
      <c r="AK7" s="23">
        <v>41974</v>
      </c>
      <c r="AL7" s="25"/>
      <c r="AM7" s="23">
        <v>42064</v>
      </c>
      <c r="AN7" s="23">
        <v>42156</v>
      </c>
      <c r="AO7" s="23">
        <v>42248</v>
      </c>
      <c r="AP7" s="23">
        <v>42339</v>
      </c>
      <c r="AQ7" s="25"/>
      <c r="AR7" s="23">
        <v>42430</v>
      </c>
      <c r="AS7" s="23">
        <v>42522</v>
      </c>
      <c r="AT7" s="23">
        <v>42614</v>
      </c>
      <c r="AU7" s="23">
        <v>42705</v>
      </c>
      <c r="AV7" s="24"/>
      <c r="AW7" s="23">
        <v>42795</v>
      </c>
      <c r="AX7" s="23">
        <v>42887</v>
      </c>
      <c r="AY7" s="23">
        <v>42979</v>
      </c>
      <c r="AZ7" s="23">
        <v>43070</v>
      </c>
      <c r="BA7" s="24"/>
      <c r="BB7" s="23">
        <v>43160</v>
      </c>
      <c r="BC7" s="23">
        <v>43252</v>
      </c>
      <c r="BD7" s="23">
        <v>43344</v>
      </c>
      <c r="BE7" s="23">
        <v>43435</v>
      </c>
      <c r="BF7" s="24"/>
      <c r="BG7" s="23">
        <v>43525</v>
      </c>
      <c r="BH7" s="23">
        <v>43617</v>
      </c>
      <c r="BI7" s="23">
        <v>43709</v>
      </c>
      <c r="BJ7" s="23">
        <v>43800</v>
      </c>
      <c r="BK7" s="24"/>
      <c r="BL7" s="23">
        <v>43891</v>
      </c>
      <c r="BM7" s="23">
        <v>43983</v>
      </c>
      <c r="BN7" s="23">
        <v>44075</v>
      </c>
      <c r="BO7" s="23">
        <v>44166</v>
      </c>
      <c r="BP7" s="24"/>
      <c r="BR7" s="27"/>
    </row>
    <row r="8" spans="1:70" s="28" customFormat="1" x14ac:dyDescent="0.15">
      <c r="B8" s="220" t="s">
        <v>6</v>
      </c>
      <c r="C8" s="32" t="s">
        <v>13</v>
      </c>
      <c r="D8" s="30" t="s">
        <v>7</v>
      </c>
      <c r="E8" s="30" t="s">
        <v>8</v>
      </c>
      <c r="F8" s="30" t="s">
        <v>9</v>
      </c>
      <c r="G8" s="30" t="s">
        <v>10</v>
      </c>
      <c r="H8" s="31" t="s">
        <v>14</v>
      </c>
      <c r="I8" s="30" t="s">
        <v>7</v>
      </c>
      <c r="J8" s="30" t="s">
        <v>8</v>
      </c>
      <c r="K8" s="30" t="s">
        <v>9</v>
      </c>
      <c r="L8" s="30" t="s">
        <v>10</v>
      </c>
      <c r="M8" s="31" t="s">
        <v>15</v>
      </c>
      <c r="N8" s="30" t="s">
        <v>7</v>
      </c>
      <c r="O8" s="30" t="s">
        <v>8</v>
      </c>
      <c r="P8" s="30" t="s">
        <v>9</v>
      </c>
      <c r="Q8" s="30" t="s">
        <v>10</v>
      </c>
      <c r="R8" s="32" t="s">
        <v>16</v>
      </c>
      <c r="S8" s="30" t="s">
        <v>7</v>
      </c>
      <c r="T8" s="30" t="s">
        <v>8</v>
      </c>
      <c r="U8" s="30" t="s">
        <v>9</v>
      </c>
      <c r="V8" s="30" t="s">
        <v>10</v>
      </c>
      <c r="W8" s="32" t="s">
        <v>17</v>
      </c>
      <c r="X8" s="30" t="s">
        <v>7</v>
      </c>
      <c r="Y8" s="30" t="s">
        <v>8</v>
      </c>
      <c r="Z8" s="30" t="s">
        <v>9</v>
      </c>
      <c r="AA8" s="30" t="s">
        <v>10</v>
      </c>
      <c r="AB8" s="32" t="s">
        <v>18</v>
      </c>
      <c r="AC8" s="30" t="s">
        <v>7</v>
      </c>
      <c r="AD8" s="30" t="s">
        <v>8</v>
      </c>
      <c r="AE8" s="30" t="s">
        <v>9</v>
      </c>
      <c r="AF8" s="30" t="s">
        <v>10</v>
      </c>
      <c r="AG8" s="32" t="s">
        <v>19</v>
      </c>
      <c r="AH8" s="30" t="s">
        <v>7</v>
      </c>
      <c r="AI8" s="30" t="s">
        <v>8</v>
      </c>
      <c r="AJ8" s="30" t="s">
        <v>9</v>
      </c>
      <c r="AK8" s="30" t="s">
        <v>10</v>
      </c>
      <c r="AL8" s="32" t="s">
        <v>263</v>
      </c>
      <c r="AM8" s="30" t="s">
        <v>7</v>
      </c>
      <c r="AN8" s="30" t="s">
        <v>8</v>
      </c>
      <c r="AO8" s="30" t="s">
        <v>9</v>
      </c>
      <c r="AP8" s="30" t="s">
        <v>10</v>
      </c>
      <c r="AQ8" s="32" t="s">
        <v>21</v>
      </c>
      <c r="AR8" s="30" t="s">
        <v>22</v>
      </c>
      <c r="AS8" s="30" t="s">
        <v>23</v>
      </c>
      <c r="AT8" s="30" t="s">
        <v>24</v>
      </c>
      <c r="AU8" s="30" t="s">
        <v>25</v>
      </c>
      <c r="AV8" s="31" t="s">
        <v>26</v>
      </c>
      <c r="AW8" s="30" t="s">
        <v>22</v>
      </c>
      <c r="AX8" s="30" t="s">
        <v>23</v>
      </c>
      <c r="AY8" s="30" t="s">
        <v>24</v>
      </c>
      <c r="AZ8" s="30" t="s">
        <v>25</v>
      </c>
      <c r="BA8" s="31" t="s">
        <v>27</v>
      </c>
      <c r="BB8" s="30" t="s">
        <v>22</v>
      </c>
      <c r="BC8" s="30" t="s">
        <v>23</v>
      </c>
      <c r="BD8" s="30" t="s">
        <v>24</v>
      </c>
      <c r="BE8" s="30" t="s">
        <v>25</v>
      </c>
      <c r="BF8" s="31" t="s">
        <v>28</v>
      </c>
      <c r="BG8" s="30" t="s">
        <v>22</v>
      </c>
      <c r="BH8" s="30" t="s">
        <v>23</v>
      </c>
      <c r="BI8" s="30" t="s">
        <v>24</v>
      </c>
      <c r="BJ8" s="30" t="s">
        <v>25</v>
      </c>
      <c r="BK8" s="31" t="s">
        <v>29</v>
      </c>
      <c r="BL8" s="30" t="s">
        <v>22</v>
      </c>
      <c r="BM8" s="30" t="s">
        <v>23</v>
      </c>
      <c r="BN8" s="30" t="s">
        <v>24</v>
      </c>
      <c r="BO8" s="30" t="s">
        <v>25</v>
      </c>
      <c r="BP8" s="31" t="s">
        <v>30</v>
      </c>
      <c r="BR8" s="27" t="s">
        <v>31</v>
      </c>
    </row>
    <row r="9" spans="1:70" s="96" customFormat="1" x14ac:dyDescent="0.15">
      <c r="B9" s="753" t="s">
        <v>264</v>
      </c>
      <c r="C9" s="754"/>
      <c r="D9" s="755"/>
      <c r="E9" s="755"/>
      <c r="F9" s="755"/>
      <c r="G9" s="755"/>
      <c r="H9" s="755"/>
      <c r="I9" s="755"/>
      <c r="J9" s="755"/>
      <c r="K9" s="755"/>
      <c r="L9" s="755"/>
      <c r="M9" s="755"/>
      <c r="N9" s="755"/>
      <c r="O9" s="755"/>
      <c r="P9" s="755"/>
      <c r="Q9" s="755"/>
      <c r="R9" s="755"/>
      <c r="S9" s="755"/>
      <c r="T9" s="755"/>
      <c r="U9" s="755"/>
      <c r="V9" s="755"/>
      <c r="W9" s="755"/>
      <c r="X9" s="755"/>
      <c r="Y9" s="755"/>
      <c r="Z9" s="755"/>
      <c r="AA9" s="755"/>
      <c r="AB9" s="755"/>
      <c r="AC9" s="755"/>
      <c r="AD9" s="755"/>
      <c r="AE9" s="755"/>
      <c r="AF9" s="755"/>
      <c r="AG9" s="755"/>
      <c r="AH9" s="755"/>
      <c r="AI9" s="755"/>
      <c r="AJ9" s="755"/>
      <c r="AK9" s="755"/>
      <c r="AL9" s="755"/>
      <c r="AM9" s="755"/>
      <c r="AN9" s="755"/>
      <c r="AO9" s="755"/>
      <c r="AP9" s="755"/>
      <c r="AQ9" s="755"/>
      <c r="AR9" s="755"/>
      <c r="AS9" s="755"/>
      <c r="AT9" s="755"/>
      <c r="AU9" s="755"/>
      <c r="AV9" s="755"/>
      <c r="AW9" s="755"/>
      <c r="AX9" s="755"/>
      <c r="AY9" s="755"/>
      <c r="AZ9" s="755"/>
      <c r="BA9" s="755"/>
      <c r="BB9" s="755"/>
      <c r="BC9" s="755"/>
      <c r="BD9" s="755"/>
      <c r="BE9" s="755"/>
      <c r="BF9" s="755"/>
      <c r="BG9" s="755"/>
      <c r="BH9" s="755"/>
      <c r="BI9" s="755"/>
      <c r="BJ9" s="755"/>
      <c r="BK9" s="755"/>
      <c r="BL9" s="755"/>
      <c r="BM9" s="755"/>
      <c r="BN9" s="755"/>
      <c r="BO9" s="755"/>
      <c r="BP9" s="755"/>
      <c r="BR9" s="755"/>
    </row>
    <row r="10" spans="1:70" s="145" customFormat="1" x14ac:dyDescent="0.15">
      <c r="B10" s="756" t="s">
        <v>265</v>
      </c>
      <c r="C10" s="756"/>
      <c r="D10" s="757"/>
      <c r="E10" s="757"/>
      <c r="F10" s="757"/>
      <c r="G10" s="757"/>
      <c r="H10" s="756"/>
      <c r="I10" s="757"/>
      <c r="J10" s="757"/>
      <c r="K10" s="757"/>
      <c r="L10" s="757"/>
      <c r="M10" s="756"/>
      <c r="N10" s="757"/>
      <c r="O10" s="757"/>
      <c r="P10" s="757"/>
      <c r="Q10" s="757"/>
      <c r="R10" s="756"/>
      <c r="S10" s="757"/>
      <c r="T10" s="757"/>
      <c r="U10" s="757"/>
      <c r="V10" s="757"/>
      <c r="W10" s="756"/>
      <c r="X10" s="757"/>
      <c r="Y10" s="757"/>
      <c r="Z10" s="757"/>
      <c r="AA10" s="757"/>
      <c r="AB10" s="756"/>
      <c r="AC10" s="757"/>
      <c r="AD10" s="757"/>
      <c r="AE10" s="757"/>
      <c r="AF10" s="757"/>
      <c r="AG10" s="756"/>
      <c r="AH10" s="757"/>
      <c r="AI10" s="757"/>
      <c r="AJ10" s="757"/>
      <c r="AK10" s="757"/>
      <c r="AL10" s="756"/>
      <c r="AM10" s="757"/>
      <c r="AN10" s="757"/>
      <c r="AO10" s="757"/>
      <c r="AP10" s="757"/>
      <c r="AQ10" s="756"/>
      <c r="AR10" s="757"/>
      <c r="AS10" s="757"/>
      <c r="AT10" s="757"/>
      <c r="AU10" s="757"/>
      <c r="AV10" s="756"/>
      <c r="AW10" s="757"/>
      <c r="AX10" s="757"/>
      <c r="AY10" s="757"/>
      <c r="AZ10" s="757"/>
      <c r="BA10" s="756"/>
      <c r="BB10" s="757"/>
      <c r="BC10" s="757"/>
      <c r="BD10" s="757"/>
      <c r="BE10" s="757"/>
      <c r="BF10" s="756"/>
      <c r="BG10" s="757"/>
      <c r="BH10" s="757"/>
      <c r="BI10" s="757"/>
      <c r="BJ10" s="757"/>
      <c r="BK10" s="756"/>
      <c r="BL10" s="757"/>
      <c r="BM10" s="757"/>
      <c r="BN10" s="757"/>
      <c r="BO10" s="757"/>
      <c r="BP10" s="756"/>
      <c r="BR10" s="758"/>
    </row>
    <row r="11" spans="1:70" s="96" customFormat="1" x14ac:dyDescent="0.15">
      <c r="B11" s="759" t="s">
        <v>266</v>
      </c>
      <c r="C11" s="759">
        <v>433.64100000000002</v>
      </c>
      <c r="D11" s="96">
        <v>431.53699999999998</v>
      </c>
      <c r="E11" s="96">
        <v>354.05599999999998</v>
      </c>
      <c r="F11" s="96">
        <v>219.005</v>
      </c>
      <c r="G11" s="96">
        <v>317.54700000000003</v>
      </c>
      <c r="H11" s="759">
        <f>G11</f>
        <v>317.54700000000003</v>
      </c>
      <c r="I11" s="96">
        <v>297.69400000000002</v>
      </c>
      <c r="J11" s="96">
        <v>52.917999999999999</v>
      </c>
      <c r="K11" s="96">
        <v>49.405999999999999</v>
      </c>
      <c r="L11" s="96">
        <v>114.46299999999999</v>
      </c>
      <c r="M11" s="759">
        <f>L11</f>
        <v>114.46299999999999</v>
      </c>
      <c r="N11" s="96">
        <v>102.892</v>
      </c>
      <c r="O11" s="96">
        <v>176.566</v>
      </c>
      <c r="P11" s="96">
        <v>592.654</v>
      </c>
      <c r="Q11" s="96">
        <v>394.26900000000001</v>
      </c>
      <c r="R11" s="759">
        <f>Q11</f>
        <v>394.26900000000001</v>
      </c>
      <c r="S11" s="96">
        <v>401.75200000000001</v>
      </c>
      <c r="T11" s="96">
        <v>238.94499999999999</v>
      </c>
      <c r="U11" s="96">
        <v>254.559</v>
      </c>
      <c r="V11" s="96">
        <v>164.11099999999999</v>
      </c>
      <c r="W11" s="759">
        <f t="shared" ref="W11:W17" si="0">V11</f>
        <v>164.11099999999999</v>
      </c>
      <c r="X11" s="96">
        <v>330.47899999999998</v>
      </c>
      <c r="Y11" s="96">
        <v>395.26600000000002</v>
      </c>
      <c r="Z11" s="96">
        <v>257.73</v>
      </c>
      <c r="AA11" s="96">
        <v>916.09100000000001</v>
      </c>
      <c r="AB11" s="759">
        <f t="shared" ref="AB11:AB17" si="1">AA11</f>
        <v>916.09100000000001</v>
      </c>
      <c r="AC11" s="96">
        <v>413.73599999999999</v>
      </c>
      <c r="AD11" s="96">
        <v>2539.39</v>
      </c>
      <c r="AE11" s="96">
        <v>596.34699999999998</v>
      </c>
      <c r="AF11" s="96">
        <v>600.34</v>
      </c>
      <c r="AG11" s="759">
        <v>600.29999999999995</v>
      </c>
      <c r="AH11" s="96">
        <v>576.29999999999995</v>
      </c>
      <c r="AI11" s="96">
        <f>531.2</f>
        <v>531.20000000000005</v>
      </c>
      <c r="AJ11" s="96">
        <f>808.8</f>
        <v>808.8</v>
      </c>
      <c r="AK11" s="96">
        <v>322.60000000000002</v>
      </c>
      <c r="AL11" s="759">
        <f t="shared" ref="AL11:AL17" si="2">AK11</f>
        <v>322.60000000000002</v>
      </c>
      <c r="AM11" s="96">
        <f>1864.4+10354.9</f>
        <v>12219.3</v>
      </c>
      <c r="AN11" s="96">
        <v>958</v>
      </c>
      <c r="AO11" s="96">
        <v>1420</v>
      </c>
      <c r="AP11" s="96">
        <f>AP79</f>
        <v>1241.2811111111146</v>
      </c>
      <c r="AQ11" s="759">
        <f t="shared" ref="AQ11:AU17" si="3">AP11</f>
        <v>1241.2811111111146</v>
      </c>
      <c r="AR11" s="96">
        <f t="shared" ref="AR11:AU11" si="4">AR79</f>
        <v>686.50168411110906</v>
      </c>
      <c r="AS11" s="96">
        <f t="shared" si="4"/>
        <v>944.46490956110927</v>
      </c>
      <c r="AT11" s="96">
        <f t="shared" si="4"/>
        <v>1217.264438833332</v>
      </c>
      <c r="AU11" s="96">
        <f t="shared" si="4"/>
        <v>1271.2895898444428</v>
      </c>
      <c r="AV11" s="759">
        <f t="shared" ref="AV11:AV17" si="5">AU11</f>
        <v>1271.2895898444428</v>
      </c>
      <c r="BA11" s="759">
        <f>BA79</f>
        <v>2205.2843244647238</v>
      </c>
      <c r="BF11" s="759">
        <f>BF79</f>
        <v>2866.2760125698974</v>
      </c>
      <c r="BK11" s="759">
        <f>BK79</f>
        <v>3688.6373196537365</v>
      </c>
      <c r="BP11" s="759">
        <f>BP79</f>
        <v>4627.6904603160547</v>
      </c>
      <c r="BR11" s="758"/>
    </row>
    <row r="12" spans="1:70" s="96" customFormat="1" x14ac:dyDescent="0.15">
      <c r="B12" s="759" t="s">
        <v>267</v>
      </c>
      <c r="C12" s="759">
        <v>3.895</v>
      </c>
      <c r="D12" s="96">
        <v>1.502</v>
      </c>
      <c r="E12" s="96">
        <v>0</v>
      </c>
      <c r="F12" s="96">
        <v>0</v>
      </c>
      <c r="G12" s="96">
        <v>0.71899999999999997</v>
      </c>
      <c r="H12" s="759">
        <f t="shared" ref="H12:H24" si="6">G12</f>
        <v>0.71899999999999997</v>
      </c>
      <c r="I12" s="96">
        <v>3.286</v>
      </c>
      <c r="J12" s="96">
        <v>5.69</v>
      </c>
      <c r="K12" s="96">
        <v>6.7690000000000001</v>
      </c>
      <c r="L12" s="96">
        <v>9.5660000000000007</v>
      </c>
      <c r="M12" s="759">
        <f t="shared" ref="M12:M24" si="7">L12</f>
        <v>9.5660000000000007</v>
      </c>
      <c r="N12" s="96">
        <v>8.2309999999999999</v>
      </c>
      <c r="O12" s="96">
        <v>6.2380000000000004</v>
      </c>
      <c r="P12" s="96">
        <v>5.5910000000000002</v>
      </c>
      <c r="Q12" s="96">
        <v>6.0830000000000002</v>
      </c>
      <c r="R12" s="759">
        <f t="shared" ref="R12:R24" si="8">Q12</f>
        <v>6.0830000000000002</v>
      </c>
      <c r="S12" s="96">
        <v>4.3010000000000002</v>
      </c>
      <c r="T12" s="96">
        <v>2.9540000000000002</v>
      </c>
      <c r="U12" s="96">
        <v>2.9670000000000001</v>
      </c>
      <c r="V12" s="96">
        <v>6.3380000000000001</v>
      </c>
      <c r="W12" s="759">
        <f t="shared" si="0"/>
        <v>6.3380000000000001</v>
      </c>
      <c r="X12" s="96">
        <v>1.0489999999999999</v>
      </c>
      <c r="Y12" s="96">
        <v>0</v>
      </c>
      <c r="Z12" s="96">
        <v>0</v>
      </c>
      <c r="AA12" s="96">
        <v>4.41</v>
      </c>
      <c r="AB12" s="759">
        <f t="shared" si="1"/>
        <v>4.41</v>
      </c>
      <c r="AC12" s="96">
        <v>0</v>
      </c>
      <c r="AD12" s="96">
        <v>0</v>
      </c>
      <c r="AE12" s="96">
        <v>0</v>
      </c>
      <c r="AF12" s="96">
        <v>0</v>
      </c>
      <c r="AG12" s="759">
        <f t="shared" ref="AG12:AG17" si="9">AF12</f>
        <v>0</v>
      </c>
      <c r="AH12" s="96">
        <v>0</v>
      </c>
      <c r="AI12" s="96">
        <f>0</f>
        <v>0</v>
      </c>
      <c r="AJ12" s="96">
        <f>0</f>
        <v>0</v>
      </c>
      <c r="AK12" s="96">
        <v>0</v>
      </c>
      <c r="AL12" s="759">
        <f t="shared" si="2"/>
        <v>0</v>
      </c>
      <c r="AM12" s="96">
        <f>AK12</f>
        <v>0</v>
      </c>
      <c r="AN12" s="96">
        <f>AM12</f>
        <v>0</v>
      </c>
      <c r="AO12" s="96">
        <v>0</v>
      </c>
      <c r="AP12" s="96">
        <f>AO12</f>
        <v>0</v>
      </c>
      <c r="AQ12" s="759">
        <f t="shared" si="3"/>
        <v>0</v>
      </c>
      <c r="AR12" s="96">
        <f t="shared" si="3"/>
        <v>0</v>
      </c>
      <c r="AS12" s="96">
        <f t="shared" si="3"/>
        <v>0</v>
      </c>
      <c r="AT12" s="96">
        <f t="shared" si="3"/>
        <v>0</v>
      </c>
      <c r="AU12" s="96">
        <f t="shared" si="3"/>
        <v>0</v>
      </c>
      <c r="AV12" s="759">
        <f t="shared" si="5"/>
        <v>0</v>
      </c>
      <c r="BA12" s="759">
        <f>AV12</f>
        <v>0</v>
      </c>
      <c r="BF12" s="759">
        <f>BA12</f>
        <v>0</v>
      </c>
      <c r="BK12" s="759">
        <f>BF12</f>
        <v>0</v>
      </c>
      <c r="BP12" s="759">
        <f>BK12</f>
        <v>0</v>
      </c>
      <c r="BR12" s="758"/>
    </row>
    <row r="13" spans="1:70" s="96" customFormat="1" x14ac:dyDescent="0.15">
      <c r="B13" s="759" t="s">
        <v>268</v>
      </c>
      <c r="C13" s="759">
        <v>111.114</v>
      </c>
      <c r="D13" s="96">
        <v>82.385999999999996</v>
      </c>
      <c r="E13" s="96">
        <v>93.100999999999999</v>
      </c>
      <c r="F13" s="96">
        <v>99.796000000000006</v>
      </c>
      <c r="G13" s="96">
        <v>90.051000000000002</v>
      </c>
      <c r="H13" s="759">
        <f t="shared" si="6"/>
        <v>90.051000000000002</v>
      </c>
      <c r="I13" s="96">
        <v>82.787999999999997</v>
      </c>
      <c r="J13" s="96">
        <v>97.302000000000007</v>
      </c>
      <c r="K13" s="96">
        <v>99.283000000000001</v>
      </c>
      <c r="L13" s="96">
        <v>119.919</v>
      </c>
      <c r="M13" s="759">
        <f t="shared" si="7"/>
        <v>119.919</v>
      </c>
      <c r="N13" s="96">
        <v>105.02500000000001</v>
      </c>
      <c r="O13" s="96">
        <v>114.40900000000001</v>
      </c>
      <c r="P13" s="96">
        <v>291.11799999999999</v>
      </c>
      <c r="Q13" s="96">
        <v>274.81900000000002</v>
      </c>
      <c r="R13" s="759">
        <f t="shared" si="8"/>
        <v>274.81900000000002</v>
      </c>
      <c r="S13" s="96">
        <v>471.101</v>
      </c>
      <c r="T13" s="96">
        <v>411.54700000000003</v>
      </c>
      <c r="U13" s="96">
        <v>450.37900000000002</v>
      </c>
      <c r="V13" s="96">
        <v>569.26800000000003</v>
      </c>
      <c r="W13" s="759">
        <f t="shared" si="0"/>
        <v>569.26800000000003</v>
      </c>
      <c r="X13" s="96">
        <v>613.56399999999996</v>
      </c>
      <c r="Y13" s="96">
        <v>611.20399999999995</v>
      </c>
      <c r="Z13" s="96">
        <v>805.01</v>
      </c>
      <c r="AA13" s="96">
        <v>913.83500000000004</v>
      </c>
      <c r="AB13" s="759">
        <f t="shared" si="1"/>
        <v>913.83500000000004</v>
      </c>
      <c r="AC13" s="96">
        <v>1054.1610000000001</v>
      </c>
      <c r="AD13" s="96">
        <v>1127.0060000000001</v>
      </c>
      <c r="AE13" s="96">
        <v>1643.1479999999999</v>
      </c>
      <c r="AF13" s="96">
        <v>1814.769</v>
      </c>
      <c r="AG13" s="759">
        <f t="shared" si="9"/>
        <v>1814.769</v>
      </c>
      <c r="AH13" s="96">
        <v>1706.2</v>
      </c>
      <c r="AI13" s="96">
        <f>1770.7</f>
        <v>1770.7</v>
      </c>
      <c r="AJ13" s="96">
        <f>1880.2</f>
        <v>1880.2</v>
      </c>
      <c r="AK13" s="96">
        <v>2075.8000000000002</v>
      </c>
      <c r="AL13" s="759">
        <f t="shared" si="2"/>
        <v>2075.8000000000002</v>
      </c>
      <c r="AM13" s="96">
        <v>2108.8000000000002</v>
      </c>
      <c r="AN13" s="96">
        <v>2371</v>
      </c>
      <c r="AO13" s="96">
        <v>2696.3</v>
      </c>
      <c r="AP13" s="96">
        <f t="shared" ref="AP13:AU14" si="10">AP95*AP101/90</f>
        <v>2845.9688888888886</v>
      </c>
      <c r="AQ13" s="759">
        <f t="shared" si="3"/>
        <v>2845.9688888888886</v>
      </c>
      <c r="AR13" s="96">
        <f t="shared" si="10"/>
        <v>2960.9016888888891</v>
      </c>
      <c r="AS13" s="96">
        <f t="shared" si="10"/>
        <v>2956.4640777777781</v>
      </c>
      <c r="AT13" s="96">
        <f t="shared" si="10"/>
        <v>3048.2433222222221</v>
      </c>
      <c r="AU13" s="96">
        <f t="shared" si="10"/>
        <v>2915.5411000000004</v>
      </c>
      <c r="AV13" s="759">
        <f t="shared" si="5"/>
        <v>2915.5411000000004</v>
      </c>
      <c r="BA13" s="759">
        <f>BA95*BA101/360</f>
        <v>3130.8594720000001</v>
      </c>
      <c r="BF13" s="759">
        <f>BF95*BF101/360</f>
        <v>3319.3630833866669</v>
      </c>
      <c r="BK13" s="759">
        <f>BK95*BK101/360</f>
        <v>3516.0959121864003</v>
      </c>
      <c r="BP13" s="759">
        <f>BP95*BP101/360</f>
        <v>3670.0603541481682</v>
      </c>
      <c r="BR13" s="758"/>
    </row>
    <row r="14" spans="1:70" s="96" customFormat="1" x14ac:dyDescent="0.15">
      <c r="B14" s="759" t="s">
        <v>269</v>
      </c>
      <c r="C14" s="759">
        <v>80.745000000000005</v>
      </c>
      <c r="D14" s="96">
        <v>67.427000000000007</v>
      </c>
      <c r="E14" s="96">
        <v>69.837000000000003</v>
      </c>
      <c r="F14" s="96">
        <v>70.150999999999996</v>
      </c>
      <c r="G14" s="96">
        <v>59.561</v>
      </c>
      <c r="H14" s="759">
        <f t="shared" si="6"/>
        <v>59.561</v>
      </c>
      <c r="I14" s="96">
        <v>60.174999999999997</v>
      </c>
      <c r="J14" s="96">
        <v>70.084999999999994</v>
      </c>
      <c r="K14" s="96">
        <v>73.772999999999996</v>
      </c>
      <c r="L14" s="96">
        <v>82.772999999999996</v>
      </c>
      <c r="M14" s="759">
        <f t="shared" si="7"/>
        <v>82.772999999999996</v>
      </c>
      <c r="N14" s="96">
        <v>97.522999999999996</v>
      </c>
      <c r="O14" s="96">
        <v>88.134</v>
      </c>
      <c r="P14" s="96">
        <v>295.279</v>
      </c>
      <c r="Q14" s="96">
        <v>229.58199999999999</v>
      </c>
      <c r="R14" s="759">
        <f t="shared" si="8"/>
        <v>229.58199999999999</v>
      </c>
      <c r="S14" s="96">
        <v>266.13299999999998</v>
      </c>
      <c r="T14" s="96">
        <v>259.78300000000002</v>
      </c>
      <c r="U14" s="96">
        <v>259.64800000000002</v>
      </c>
      <c r="V14" s="96">
        <v>355.21199999999999</v>
      </c>
      <c r="W14" s="759">
        <f t="shared" si="0"/>
        <v>355.21199999999999</v>
      </c>
      <c r="X14" s="96">
        <v>373.529</v>
      </c>
      <c r="Y14" s="96">
        <v>388.72899999999998</v>
      </c>
      <c r="Z14" s="96">
        <v>418.25200000000001</v>
      </c>
      <c r="AA14" s="96">
        <v>531.25599999999997</v>
      </c>
      <c r="AB14" s="759">
        <f t="shared" si="1"/>
        <v>531.25599999999997</v>
      </c>
      <c r="AC14" s="96">
        <v>509.67599999999999</v>
      </c>
      <c r="AD14" s="96">
        <v>497.05900000000003</v>
      </c>
      <c r="AE14" s="96">
        <v>1076.088</v>
      </c>
      <c r="AF14" s="96">
        <v>882.96600000000001</v>
      </c>
      <c r="AG14" s="759">
        <f t="shared" si="9"/>
        <v>882.96600000000001</v>
      </c>
      <c r="AH14" s="96">
        <v>953.4</v>
      </c>
      <c r="AI14" s="96">
        <f>942.5</f>
        <v>942.5</v>
      </c>
      <c r="AJ14" s="96">
        <f>932.7</f>
        <v>932.7</v>
      </c>
      <c r="AK14" s="96">
        <v>950.6</v>
      </c>
      <c r="AL14" s="759">
        <f t="shared" si="2"/>
        <v>950.6</v>
      </c>
      <c r="AM14" s="96">
        <v>998.9</v>
      </c>
      <c r="AN14" s="96">
        <v>1229.5</v>
      </c>
      <c r="AO14" s="96">
        <v>1199.2</v>
      </c>
      <c r="AP14" s="96">
        <f t="shared" si="10"/>
        <v>1323.5833333333335</v>
      </c>
      <c r="AQ14" s="759">
        <f t="shared" si="3"/>
        <v>1323.5833333333335</v>
      </c>
      <c r="AR14" s="96">
        <f t="shared" si="10"/>
        <v>1165.6278666666665</v>
      </c>
      <c r="AS14" s="96">
        <f t="shared" si="10"/>
        <v>1265.7629703333332</v>
      </c>
      <c r="AT14" s="96">
        <f t="shared" si="10"/>
        <v>1283.4351223333333</v>
      </c>
      <c r="AU14" s="96">
        <f t="shared" si="10"/>
        <v>1422.40139</v>
      </c>
      <c r="AV14" s="759">
        <f t="shared" si="5"/>
        <v>1422.40139</v>
      </c>
      <c r="BA14" s="759">
        <f>BA96*BA102/360</f>
        <v>1533.8532359722219</v>
      </c>
      <c r="BF14" s="759">
        <f>BF96*BF102/360</f>
        <v>1596.4499091627774</v>
      </c>
      <c r="BK14" s="759">
        <f>BK96*BK102/360</f>
        <v>1652.2637354443978</v>
      </c>
      <c r="BP14" s="759">
        <f>BP96*BP102/360</f>
        <v>1688.7776897719757</v>
      </c>
      <c r="BR14" s="758"/>
    </row>
    <row r="15" spans="1:70" s="96" customFormat="1" x14ac:dyDescent="0.15">
      <c r="B15" s="759" t="s">
        <v>270</v>
      </c>
      <c r="C15" s="759">
        <f>14.68+62.942</f>
        <v>77.622</v>
      </c>
      <c r="D15" s="96">
        <f>10.741+79.725+61.898</f>
        <v>152.364</v>
      </c>
      <c r="E15" s="96">
        <f>7.157+83.048+56.857</f>
        <v>147.06200000000001</v>
      </c>
      <c r="F15" s="96">
        <f>10.678+7.578+1.86</f>
        <v>20.116</v>
      </c>
      <c r="G15" s="96">
        <f>14.582+0.812+0.278</f>
        <v>15.672000000000001</v>
      </c>
      <c r="H15" s="759">
        <f t="shared" si="6"/>
        <v>15.672000000000001</v>
      </c>
      <c r="I15" s="96">
        <f>11.371+5.25+0.379+0.042</f>
        <v>17.042000000000005</v>
      </c>
      <c r="J15" s="96">
        <f>8.601+0.042+5.25</f>
        <v>13.893000000000001</v>
      </c>
      <c r="K15" s="96">
        <f>14.686+0.042+5.25</f>
        <v>19.978000000000002</v>
      </c>
      <c r="L15" s="96">
        <v>15.377000000000001</v>
      </c>
      <c r="M15" s="759">
        <f t="shared" si="7"/>
        <v>15.377000000000001</v>
      </c>
      <c r="N15" s="96">
        <v>13.103</v>
      </c>
      <c r="O15" s="96">
        <v>9.5760000000000005</v>
      </c>
      <c r="P15" s="96">
        <v>41.167000000000002</v>
      </c>
      <c r="Q15" s="96">
        <f>26.088+8.243</f>
        <v>34.331000000000003</v>
      </c>
      <c r="R15" s="759">
        <f t="shared" si="8"/>
        <v>34.331000000000003</v>
      </c>
      <c r="S15" s="96">
        <f>33.834+11.756</f>
        <v>45.59</v>
      </c>
      <c r="T15" s="96">
        <f>24.964+23.738</f>
        <v>48.701999999999998</v>
      </c>
      <c r="U15" s="96">
        <f>32.855+17.528</f>
        <v>50.382999999999996</v>
      </c>
      <c r="V15" s="96">
        <v>33.651000000000003</v>
      </c>
      <c r="W15" s="759">
        <f t="shared" si="0"/>
        <v>33.651000000000003</v>
      </c>
      <c r="X15" s="96">
        <v>52.488999999999997</v>
      </c>
      <c r="Y15" s="96">
        <v>56.47</v>
      </c>
      <c r="Z15" s="96">
        <v>72.213999999999999</v>
      </c>
      <c r="AA15" s="96">
        <v>125.869</v>
      </c>
      <c r="AB15" s="759">
        <f t="shared" si="1"/>
        <v>125.869</v>
      </c>
      <c r="AC15" s="96">
        <v>136.74700000000001</v>
      </c>
      <c r="AD15" s="96">
        <v>115.497</v>
      </c>
      <c r="AE15" s="96">
        <v>257.38900000000001</v>
      </c>
      <c r="AF15" s="96">
        <v>204.958</v>
      </c>
      <c r="AG15" s="759">
        <f t="shared" si="9"/>
        <v>204.958</v>
      </c>
      <c r="AH15" s="96">
        <v>369.9</v>
      </c>
      <c r="AI15" s="96">
        <f>452.6</f>
        <v>452.6</v>
      </c>
      <c r="AJ15" s="96">
        <f>465.6</f>
        <v>465.6</v>
      </c>
      <c r="AK15" s="96">
        <v>641.9</v>
      </c>
      <c r="AL15" s="759">
        <f t="shared" si="2"/>
        <v>641.9</v>
      </c>
      <c r="AM15" s="96">
        <f>660.9</f>
        <v>660.9</v>
      </c>
      <c r="AN15" s="96">
        <v>1075.3</v>
      </c>
      <c r="AO15" s="96">
        <v>953</v>
      </c>
      <c r="AP15" s="96">
        <f t="shared" ref="AP15:AP17" si="11">AO15</f>
        <v>953</v>
      </c>
      <c r="AQ15" s="759">
        <f t="shared" si="3"/>
        <v>953</v>
      </c>
      <c r="AR15" s="96">
        <f t="shared" si="3"/>
        <v>953</v>
      </c>
      <c r="AS15" s="96">
        <f t="shared" si="3"/>
        <v>953</v>
      </c>
      <c r="AT15" s="96">
        <f t="shared" si="3"/>
        <v>953</v>
      </c>
      <c r="AU15" s="96">
        <f t="shared" si="3"/>
        <v>953</v>
      </c>
      <c r="AV15" s="759">
        <f t="shared" si="5"/>
        <v>953</v>
      </c>
      <c r="BA15" s="759">
        <f>AV15</f>
        <v>953</v>
      </c>
      <c r="BF15" s="759">
        <f>BA15</f>
        <v>953</v>
      </c>
      <c r="BK15" s="759">
        <f>BF15</f>
        <v>953</v>
      </c>
      <c r="BP15" s="759">
        <f>BK15</f>
        <v>953</v>
      </c>
      <c r="BR15" s="758"/>
    </row>
    <row r="16" spans="1:70" s="96" customFormat="1" x14ac:dyDescent="0.15">
      <c r="B16" s="759" t="s">
        <v>271</v>
      </c>
      <c r="C16" s="759">
        <v>0</v>
      </c>
      <c r="D16" s="96">
        <v>0</v>
      </c>
      <c r="E16" s="96">
        <v>0</v>
      </c>
      <c r="F16" s="96">
        <v>0</v>
      </c>
      <c r="G16" s="96">
        <v>0</v>
      </c>
      <c r="H16" s="759">
        <f t="shared" si="6"/>
        <v>0</v>
      </c>
      <c r="I16" s="96">
        <v>0</v>
      </c>
      <c r="J16" s="96">
        <v>0</v>
      </c>
      <c r="K16" s="96">
        <v>0</v>
      </c>
      <c r="L16" s="96">
        <v>0</v>
      </c>
      <c r="M16" s="759">
        <f t="shared" si="7"/>
        <v>0</v>
      </c>
      <c r="N16" s="96">
        <v>12.4</v>
      </c>
      <c r="O16" s="96">
        <v>12.4</v>
      </c>
      <c r="P16" s="96">
        <v>70.596999999999994</v>
      </c>
      <c r="Q16" s="96">
        <v>77.067999999999998</v>
      </c>
      <c r="R16" s="759">
        <f t="shared" si="8"/>
        <v>77.067999999999998</v>
      </c>
      <c r="S16" s="96">
        <v>81.600999999999999</v>
      </c>
      <c r="T16" s="96">
        <v>79.42</v>
      </c>
      <c r="U16" s="96">
        <v>77.528999999999996</v>
      </c>
      <c r="V16" s="96">
        <v>148.45400000000001</v>
      </c>
      <c r="W16" s="759">
        <f t="shared" si="0"/>
        <v>148.45400000000001</v>
      </c>
      <c r="X16" s="96">
        <v>157.38800000000001</v>
      </c>
      <c r="Y16" s="96">
        <v>150.36199999999999</v>
      </c>
      <c r="Z16" s="96">
        <v>150.53899999999999</v>
      </c>
      <c r="AA16" s="96">
        <v>195.00700000000001</v>
      </c>
      <c r="AB16" s="759">
        <f t="shared" si="1"/>
        <v>195.00700000000001</v>
      </c>
      <c r="AC16" s="96">
        <v>198.87899999999999</v>
      </c>
      <c r="AD16" s="96">
        <v>198.67400000000001</v>
      </c>
      <c r="AE16" s="96">
        <v>221.934</v>
      </c>
      <c r="AF16" s="96">
        <v>366.91399999999999</v>
      </c>
      <c r="AG16" s="759">
        <f t="shared" si="9"/>
        <v>366.91399999999999</v>
      </c>
      <c r="AH16" s="96">
        <v>315.3</v>
      </c>
      <c r="AI16" s="96">
        <f>309.8</f>
        <v>309.8</v>
      </c>
      <c r="AJ16" s="96">
        <f>316.4+10</f>
        <v>326.39999999999998</v>
      </c>
      <c r="AK16" s="96">
        <v>193.3</v>
      </c>
      <c r="AL16" s="759">
        <f t="shared" si="2"/>
        <v>193.3</v>
      </c>
      <c r="AM16" s="96">
        <v>196.5</v>
      </c>
      <c r="AN16" s="96">
        <v>711.4</v>
      </c>
      <c r="AO16" s="96">
        <v>727.2</v>
      </c>
      <c r="AP16" s="96">
        <f t="shared" si="11"/>
        <v>727.2</v>
      </c>
      <c r="AQ16" s="759">
        <f t="shared" si="3"/>
        <v>727.2</v>
      </c>
      <c r="AR16" s="96">
        <f t="shared" si="3"/>
        <v>727.2</v>
      </c>
      <c r="AS16" s="96">
        <f t="shared" si="3"/>
        <v>727.2</v>
      </c>
      <c r="AT16" s="96">
        <f t="shared" si="3"/>
        <v>727.2</v>
      </c>
      <c r="AU16" s="96">
        <f t="shared" si="3"/>
        <v>727.2</v>
      </c>
      <c r="AV16" s="759">
        <f t="shared" si="5"/>
        <v>727.2</v>
      </c>
      <c r="BA16" s="759">
        <f>AV16</f>
        <v>727.2</v>
      </c>
      <c r="BF16" s="759">
        <f>BA16</f>
        <v>727.2</v>
      </c>
      <c r="BK16" s="759">
        <f>BF16</f>
        <v>727.2</v>
      </c>
      <c r="BP16" s="759">
        <f>BK16</f>
        <v>727.2</v>
      </c>
      <c r="BR16" s="758"/>
    </row>
    <row r="17" spans="2:70" s="761" customFormat="1" ht="15" x14ac:dyDescent="0.3">
      <c r="B17" s="760" t="s">
        <v>272</v>
      </c>
      <c r="C17" s="760">
        <v>0</v>
      </c>
      <c r="D17" s="761">
        <v>0</v>
      </c>
      <c r="E17" s="761">
        <v>0</v>
      </c>
      <c r="F17" s="761">
        <v>7.0030000000000001</v>
      </c>
      <c r="G17" s="761">
        <v>6.8140000000000001</v>
      </c>
      <c r="H17" s="760">
        <f t="shared" si="6"/>
        <v>6.8140000000000001</v>
      </c>
      <c r="I17" s="761">
        <v>6.7809999999999997</v>
      </c>
      <c r="J17" s="761">
        <v>6.1509999999999998</v>
      </c>
      <c r="K17" s="761">
        <v>1.0449999999999999</v>
      </c>
      <c r="L17" s="761">
        <v>8.5419999999999998</v>
      </c>
      <c r="M17" s="760">
        <f t="shared" si="7"/>
        <v>8.5419999999999998</v>
      </c>
      <c r="N17" s="761">
        <v>0</v>
      </c>
      <c r="O17" s="761">
        <v>7.117</v>
      </c>
      <c r="P17" s="761">
        <v>4.0419999999999998</v>
      </c>
      <c r="Q17" s="761">
        <v>4.0140000000000002</v>
      </c>
      <c r="R17" s="760">
        <f t="shared" si="8"/>
        <v>4.0140000000000002</v>
      </c>
      <c r="S17" s="761">
        <v>4.1829999999999998</v>
      </c>
      <c r="T17" s="761">
        <v>4.3360000000000003</v>
      </c>
      <c r="U17" s="761">
        <v>3.6440000000000001</v>
      </c>
      <c r="V17" s="761">
        <f>8.233+72.239</f>
        <v>80.472000000000008</v>
      </c>
      <c r="W17" s="760">
        <f t="shared" si="0"/>
        <v>80.472000000000008</v>
      </c>
      <c r="X17" s="761">
        <v>3.4329999999999998</v>
      </c>
      <c r="Y17" s="761">
        <v>28.202999999999999</v>
      </c>
      <c r="Z17" s="761">
        <v>9.9250000000000007</v>
      </c>
      <c r="AA17" s="761">
        <v>90.983000000000004</v>
      </c>
      <c r="AB17" s="760">
        <f t="shared" si="1"/>
        <v>90.983000000000004</v>
      </c>
      <c r="AC17" s="761">
        <v>56.93</v>
      </c>
      <c r="AD17" s="761">
        <v>54.4</v>
      </c>
      <c r="AE17" s="761">
        <v>53.457000000000001</v>
      </c>
      <c r="AF17" s="761">
        <v>15.942</v>
      </c>
      <c r="AG17" s="760">
        <f t="shared" si="9"/>
        <v>15.942</v>
      </c>
      <c r="AH17" s="761">
        <v>29</v>
      </c>
      <c r="AI17" s="761">
        <f>1156.9</f>
        <v>1156.9000000000001</v>
      </c>
      <c r="AJ17" s="761">
        <v>0</v>
      </c>
      <c r="AK17" s="761">
        <v>8.9</v>
      </c>
      <c r="AL17" s="760">
        <f t="shared" si="2"/>
        <v>8.9</v>
      </c>
      <c r="AM17" s="761">
        <v>7.8</v>
      </c>
      <c r="AN17" s="761">
        <v>0</v>
      </c>
      <c r="AO17" s="761">
        <v>0</v>
      </c>
      <c r="AP17" s="761">
        <f t="shared" si="11"/>
        <v>0</v>
      </c>
      <c r="AQ17" s="760">
        <f t="shared" si="3"/>
        <v>0</v>
      </c>
      <c r="AR17" s="761">
        <f t="shared" si="3"/>
        <v>0</v>
      </c>
      <c r="AS17" s="761">
        <f t="shared" si="3"/>
        <v>0</v>
      </c>
      <c r="AT17" s="761">
        <f t="shared" si="3"/>
        <v>0</v>
      </c>
      <c r="AU17" s="761">
        <f t="shared" si="3"/>
        <v>0</v>
      </c>
      <c r="AV17" s="760">
        <f t="shared" si="5"/>
        <v>0</v>
      </c>
      <c r="BA17" s="760">
        <f>AV17</f>
        <v>0</v>
      </c>
      <c r="BF17" s="760">
        <f>BA17</f>
        <v>0</v>
      </c>
      <c r="BK17" s="760">
        <f>BF17</f>
        <v>0</v>
      </c>
      <c r="BP17" s="760">
        <f>BK17</f>
        <v>0</v>
      </c>
      <c r="BR17" s="758"/>
    </row>
    <row r="18" spans="2:70" s="96" customFormat="1" x14ac:dyDescent="0.15">
      <c r="B18" s="762" t="s">
        <v>273</v>
      </c>
      <c r="C18" s="762">
        <f t="shared" ref="C18:R18" si="12">SUM(C11:C17)</f>
        <v>707.01699999999994</v>
      </c>
      <c r="D18" s="763">
        <f t="shared" si="12"/>
        <v>735.21600000000001</v>
      </c>
      <c r="E18" s="763">
        <f t="shared" si="12"/>
        <v>664.05600000000004</v>
      </c>
      <c r="F18" s="763">
        <f t="shared" si="12"/>
        <v>416.07099999999997</v>
      </c>
      <c r="G18" s="763">
        <f t="shared" si="12"/>
        <v>490.36400000000003</v>
      </c>
      <c r="H18" s="762">
        <f t="shared" si="12"/>
        <v>490.36400000000003</v>
      </c>
      <c r="I18" s="763">
        <f t="shared" si="12"/>
        <v>467.76600000000008</v>
      </c>
      <c r="J18" s="763">
        <f t="shared" si="12"/>
        <v>246.03900000000002</v>
      </c>
      <c r="K18" s="763">
        <f t="shared" si="12"/>
        <v>250.25399999999999</v>
      </c>
      <c r="L18" s="763">
        <f t="shared" si="12"/>
        <v>350.64</v>
      </c>
      <c r="M18" s="762">
        <f t="shared" si="12"/>
        <v>350.64</v>
      </c>
      <c r="N18" s="763">
        <f t="shared" si="12"/>
        <v>339.17399999999998</v>
      </c>
      <c r="O18" s="763">
        <f t="shared" si="12"/>
        <v>414.44000000000005</v>
      </c>
      <c r="P18" s="763">
        <f t="shared" si="12"/>
        <v>1300.4479999999999</v>
      </c>
      <c r="Q18" s="763">
        <f>SUM(Q11:Q17)</f>
        <v>1020.1660000000001</v>
      </c>
      <c r="R18" s="762">
        <f t="shared" si="12"/>
        <v>1020.1660000000001</v>
      </c>
      <c r="S18" s="763">
        <f>SUM(S11:S17)</f>
        <v>1274.6610000000001</v>
      </c>
      <c r="T18" s="763">
        <f>SUM(T11:T17)</f>
        <v>1045.6870000000001</v>
      </c>
      <c r="U18" s="763">
        <f>SUM(U11:U17)</f>
        <v>1099.1090000000002</v>
      </c>
      <c r="V18" s="763">
        <f>SUM(V11:V17)</f>
        <v>1357.5060000000001</v>
      </c>
      <c r="W18" s="762">
        <f>SUM(W11:W17)</f>
        <v>1357.5060000000001</v>
      </c>
      <c r="X18" s="763">
        <f t="shared" ref="X18:AV18" si="13">SUM(X11:X17)</f>
        <v>1531.9309999999998</v>
      </c>
      <c r="Y18" s="763">
        <f t="shared" si="13"/>
        <v>1630.2340000000002</v>
      </c>
      <c r="Z18" s="763">
        <f t="shared" si="13"/>
        <v>1713.6699999999998</v>
      </c>
      <c r="AA18" s="763">
        <f t="shared" si="13"/>
        <v>2777.4510000000005</v>
      </c>
      <c r="AB18" s="762">
        <f>SUM(AB11:AB17)</f>
        <v>2777.4510000000005</v>
      </c>
      <c r="AC18" s="763">
        <f t="shared" si="13"/>
        <v>2370.1289999999995</v>
      </c>
      <c r="AD18" s="763">
        <f t="shared" si="13"/>
        <v>4532.0259999999998</v>
      </c>
      <c r="AE18" s="763">
        <f t="shared" si="13"/>
        <v>3848.3629999999998</v>
      </c>
      <c r="AF18" s="763">
        <f t="shared" si="13"/>
        <v>3885.8890000000001</v>
      </c>
      <c r="AG18" s="762">
        <f t="shared" si="13"/>
        <v>3885.8490000000002</v>
      </c>
      <c r="AH18" s="763">
        <f t="shared" si="13"/>
        <v>3950.1000000000004</v>
      </c>
      <c r="AI18" s="763">
        <f t="shared" si="13"/>
        <v>5163.7000000000007</v>
      </c>
      <c r="AJ18" s="763">
        <f t="shared" si="13"/>
        <v>4413.7</v>
      </c>
      <c r="AK18" s="763">
        <f t="shared" si="13"/>
        <v>4193.0999999999995</v>
      </c>
      <c r="AL18" s="762">
        <f t="shared" si="13"/>
        <v>4193.0999999999995</v>
      </c>
      <c r="AM18" s="763">
        <f t="shared" si="13"/>
        <v>16192.199999999997</v>
      </c>
      <c r="AN18" s="763">
        <f t="shared" si="13"/>
        <v>6345.2</v>
      </c>
      <c r="AO18" s="763">
        <f t="shared" si="13"/>
        <v>6995.7</v>
      </c>
      <c r="AP18" s="763">
        <f t="shared" si="13"/>
        <v>7091.0333333333365</v>
      </c>
      <c r="AQ18" s="762">
        <f t="shared" si="13"/>
        <v>7091.0333333333365</v>
      </c>
      <c r="AR18" s="763">
        <f t="shared" si="13"/>
        <v>6493.2312396666648</v>
      </c>
      <c r="AS18" s="763">
        <f t="shared" si="13"/>
        <v>6846.891957672221</v>
      </c>
      <c r="AT18" s="763">
        <f t="shared" si="13"/>
        <v>7229.1428833888876</v>
      </c>
      <c r="AU18" s="763">
        <f t="shared" si="13"/>
        <v>7289.4320798444433</v>
      </c>
      <c r="AV18" s="762">
        <f t="shared" si="13"/>
        <v>7289.4320798444433</v>
      </c>
      <c r="BA18" s="762">
        <f>SUM(BA11:BA17)</f>
        <v>8550.1970324369468</v>
      </c>
      <c r="BF18" s="762">
        <f>SUM(BF11:BF17)</f>
        <v>9462.2890051193426</v>
      </c>
      <c r="BK18" s="762">
        <f>SUM(BK11:BK17)</f>
        <v>10537.196967284535</v>
      </c>
      <c r="BP18" s="762">
        <f>SUM(BP11:BP17)</f>
        <v>11666.7285042362</v>
      </c>
      <c r="BR18" s="758"/>
    </row>
    <row r="19" spans="2:70" s="96" customFormat="1" x14ac:dyDescent="0.15">
      <c r="B19" s="759" t="s">
        <v>274</v>
      </c>
      <c r="C19" s="759">
        <v>24.417000000000002</v>
      </c>
      <c r="D19" s="96">
        <v>23.757999999999999</v>
      </c>
      <c r="E19" s="96">
        <v>23.065000000000001</v>
      </c>
      <c r="F19" s="96">
        <v>23.140999999999998</v>
      </c>
      <c r="G19" s="96">
        <v>21.916</v>
      </c>
      <c r="H19" s="759">
        <f t="shared" si="6"/>
        <v>21.916</v>
      </c>
      <c r="I19" s="96">
        <v>17.43</v>
      </c>
      <c r="J19" s="96">
        <v>14.938000000000001</v>
      </c>
      <c r="K19" s="96">
        <v>14.855</v>
      </c>
      <c r="L19" s="96">
        <v>11.516</v>
      </c>
      <c r="M19" s="759">
        <f t="shared" si="7"/>
        <v>11.516</v>
      </c>
      <c r="N19" s="96">
        <v>11.542999999999999</v>
      </c>
      <c r="O19" s="96">
        <v>9.66</v>
      </c>
      <c r="P19" s="96">
        <v>3.645</v>
      </c>
      <c r="Q19" s="96">
        <v>2.0830000000000002</v>
      </c>
      <c r="R19" s="759">
        <f t="shared" si="8"/>
        <v>2.0830000000000002</v>
      </c>
      <c r="S19" s="96">
        <v>79.950999999999993</v>
      </c>
      <c r="T19" s="96">
        <v>9.17</v>
      </c>
      <c r="U19" s="96">
        <v>0</v>
      </c>
      <c r="V19" s="96">
        <v>0</v>
      </c>
      <c r="W19" s="759">
        <f t="shared" ref="W19:W24" si="14">V19</f>
        <v>0</v>
      </c>
      <c r="X19" s="96">
        <v>0</v>
      </c>
      <c r="Y19" s="96">
        <v>0</v>
      </c>
      <c r="Z19" s="96">
        <v>8.2309999999999999</v>
      </c>
      <c r="AA19" s="96">
        <v>7.1669999999999998</v>
      </c>
      <c r="AB19" s="759">
        <f t="shared" ref="AB19:AB24" si="15">AA19</f>
        <v>7.1669999999999998</v>
      </c>
      <c r="AC19" s="96">
        <v>0</v>
      </c>
      <c r="AD19" s="96">
        <v>0</v>
      </c>
      <c r="AE19" s="96">
        <v>0</v>
      </c>
      <c r="AF19" s="96">
        <v>0</v>
      </c>
      <c r="AG19" s="759">
        <f t="shared" ref="AG19:AG24" si="16">AF19</f>
        <v>0</v>
      </c>
      <c r="AH19" s="96">
        <v>0</v>
      </c>
      <c r="AI19" s="96">
        <v>0</v>
      </c>
      <c r="AJ19" s="96">
        <v>0</v>
      </c>
      <c r="AK19" s="96">
        <f>AJ19</f>
        <v>0</v>
      </c>
      <c r="AL19" s="759">
        <f t="shared" ref="AL19:AL24" si="17">AK19</f>
        <v>0</v>
      </c>
      <c r="AM19" s="96">
        <f>AK19</f>
        <v>0</v>
      </c>
      <c r="AN19" s="96">
        <f>AM19</f>
        <v>0</v>
      </c>
      <c r="AO19" s="96">
        <f>AN19</f>
        <v>0</v>
      </c>
      <c r="AP19" s="96">
        <f>AO19</f>
        <v>0</v>
      </c>
      <c r="AQ19" s="759">
        <f>AP19</f>
        <v>0</v>
      </c>
      <c r="AR19" s="96">
        <f t="shared" ref="AR19:AV24" si="18">AQ19</f>
        <v>0</v>
      </c>
      <c r="AS19" s="96">
        <f t="shared" si="18"/>
        <v>0</v>
      </c>
      <c r="AT19" s="96">
        <f t="shared" si="18"/>
        <v>0</v>
      </c>
      <c r="AU19" s="96">
        <f t="shared" si="18"/>
        <v>0</v>
      </c>
      <c r="AV19" s="759">
        <f t="shared" si="18"/>
        <v>0</v>
      </c>
      <c r="BA19" s="759">
        <f>AV19</f>
        <v>0</v>
      </c>
      <c r="BF19" s="759">
        <f>BA19</f>
        <v>0</v>
      </c>
      <c r="BK19" s="759">
        <f>BF19</f>
        <v>0</v>
      </c>
      <c r="BP19" s="759">
        <f>BK19</f>
        <v>0</v>
      </c>
      <c r="BR19" s="758"/>
    </row>
    <row r="20" spans="2:70" s="96" customFormat="1" x14ac:dyDescent="0.15">
      <c r="B20" s="759" t="s">
        <v>275</v>
      </c>
      <c r="C20" s="759">
        <v>238.45699999999999</v>
      </c>
      <c r="D20" s="96">
        <v>233.79900000000001</v>
      </c>
      <c r="E20" s="96">
        <v>182.298</v>
      </c>
      <c r="F20" s="96">
        <v>167.50700000000001</v>
      </c>
      <c r="G20" s="96">
        <v>148.26900000000001</v>
      </c>
      <c r="H20" s="759">
        <f t="shared" si="6"/>
        <v>148.26900000000001</v>
      </c>
      <c r="I20" s="96">
        <v>140.75700000000001</v>
      </c>
      <c r="J20" s="96">
        <v>133.411</v>
      </c>
      <c r="K20" s="96">
        <v>138.11199999999999</v>
      </c>
      <c r="L20" s="96">
        <v>103.848</v>
      </c>
      <c r="M20" s="759">
        <f t="shared" si="7"/>
        <v>103.848</v>
      </c>
      <c r="N20" s="96">
        <v>106.896</v>
      </c>
      <c r="O20" s="96">
        <v>96.48</v>
      </c>
      <c r="P20" s="96">
        <v>280.161</v>
      </c>
      <c r="Q20" s="96">
        <v>281.75200000000001</v>
      </c>
      <c r="R20" s="759">
        <f t="shared" si="8"/>
        <v>281.75200000000001</v>
      </c>
      <c r="S20" s="96">
        <v>307.69600000000003</v>
      </c>
      <c r="T20" s="96">
        <v>318.851</v>
      </c>
      <c r="U20" s="96">
        <v>355.66300000000001</v>
      </c>
      <c r="V20" s="96">
        <v>414.24200000000002</v>
      </c>
      <c r="W20" s="759">
        <f t="shared" si="14"/>
        <v>414.24200000000002</v>
      </c>
      <c r="X20" s="96">
        <v>426.51</v>
      </c>
      <c r="Y20" s="96">
        <v>409.399</v>
      </c>
      <c r="Z20" s="96">
        <v>450.327</v>
      </c>
      <c r="AA20" s="96">
        <v>462.72399999999999</v>
      </c>
      <c r="AB20" s="759">
        <f t="shared" si="15"/>
        <v>462.72399999999999</v>
      </c>
      <c r="AC20" s="96">
        <v>452.96899999999999</v>
      </c>
      <c r="AD20" s="96">
        <v>440.99799999999999</v>
      </c>
      <c r="AE20" s="96">
        <v>1221.606</v>
      </c>
      <c r="AF20" s="96">
        <v>1234.2360000000001</v>
      </c>
      <c r="AG20" s="759">
        <f t="shared" si="16"/>
        <v>1234.2360000000001</v>
      </c>
      <c r="AH20" s="96">
        <v>1215</v>
      </c>
      <c r="AI20" s="96">
        <f>1319.6</f>
        <v>1319.6</v>
      </c>
      <c r="AJ20" s="96">
        <f>1300.4</f>
        <v>1300.4000000000001</v>
      </c>
      <c r="AK20" s="96">
        <v>1310.5</v>
      </c>
      <c r="AL20" s="759">
        <f t="shared" si="17"/>
        <v>1310.5</v>
      </c>
      <c r="AM20" s="96">
        <v>1334.8</v>
      </c>
      <c r="AN20" s="96">
        <v>1359.9</v>
      </c>
      <c r="AO20" s="96">
        <v>1351.4</v>
      </c>
      <c r="AP20" s="96">
        <f>AO20-AP105-AP67</f>
        <v>1376.4</v>
      </c>
      <c r="AQ20" s="759">
        <f>AP20</f>
        <v>1376.4</v>
      </c>
      <c r="AR20" s="96">
        <f t="shared" ref="AR20:AU20" si="19">AQ20-AR105-AR67</f>
        <v>1413.9</v>
      </c>
      <c r="AS20" s="96">
        <f t="shared" si="19"/>
        <v>1451.4</v>
      </c>
      <c r="AT20" s="96">
        <f t="shared" si="19"/>
        <v>1488.9</v>
      </c>
      <c r="AU20" s="96">
        <f t="shared" si="19"/>
        <v>1526.4</v>
      </c>
      <c r="AV20" s="759">
        <f t="shared" si="18"/>
        <v>1526.4</v>
      </c>
      <c r="BA20" s="759">
        <f>AV20-BA105-BA67</f>
        <v>1676.4</v>
      </c>
      <c r="BF20" s="759">
        <f>BA20-BF105-BF67</f>
        <v>1826.4</v>
      </c>
      <c r="BK20" s="759">
        <f>BF20-BK105-BK67</f>
        <v>1976.4</v>
      </c>
      <c r="BP20" s="759">
        <f>BK20-BP105-BP67</f>
        <v>2126.4</v>
      </c>
      <c r="BR20" s="758"/>
    </row>
    <row r="21" spans="2:70" s="96" customFormat="1" x14ac:dyDescent="0.15">
      <c r="B21" s="759" t="s">
        <v>276</v>
      </c>
      <c r="C21" s="759">
        <v>630.51400000000001</v>
      </c>
      <c r="D21" s="96">
        <v>616.52599999999995</v>
      </c>
      <c r="E21" s="96">
        <v>602.54200000000003</v>
      </c>
      <c r="F21" s="96">
        <v>745.822</v>
      </c>
      <c r="G21" s="96">
        <v>720.37199999999996</v>
      </c>
      <c r="H21" s="759">
        <f t="shared" si="6"/>
        <v>720.37199999999996</v>
      </c>
      <c r="I21" s="96">
        <v>702.44200000000001</v>
      </c>
      <c r="J21" s="96">
        <v>1414.8530000000001</v>
      </c>
      <c r="K21" s="96">
        <v>1379.768</v>
      </c>
      <c r="L21" s="96">
        <v>1335.222</v>
      </c>
      <c r="M21" s="759">
        <f t="shared" si="7"/>
        <v>1335.222</v>
      </c>
      <c r="N21" s="96">
        <v>1299.768</v>
      </c>
      <c r="O21" s="96">
        <v>1263.9929999999999</v>
      </c>
      <c r="P21" s="96">
        <v>6470.5959999999995</v>
      </c>
      <c r="Q21" s="96">
        <v>6372.78</v>
      </c>
      <c r="R21" s="759">
        <f t="shared" si="8"/>
        <v>6372.78</v>
      </c>
      <c r="S21" s="96">
        <v>6563.3159999999998</v>
      </c>
      <c r="T21" s="96">
        <v>6959.9070000000002</v>
      </c>
      <c r="U21" s="96">
        <v>6832.6980000000003</v>
      </c>
      <c r="V21" s="96">
        <v>7657.7979999999998</v>
      </c>
      <c r="W21" s="759">
        <f t="shared" si="14"/>
        <v>7657.7979999999998</v>
      </c>
      <c r="X21" s="96">
        <v>7808.8140000000003</v>
      </c>
      <c r="Y21" s="96">
        <v>8121.5559999999996</v>
      </c>
      <c r="Z21" s="96">
        <v>8035.7169999999996</v>
      </c>
      <c r="AA21" s="96">
        <v>9308.6689999999999</v>
      </c>
      <c r="AB21" s="759">
        <f t="shared" si="15"/>
        <v>9308.6689999999999</v>
      </c>
      <c r="AC21" s="96">
        <v>9227.3209999999999</v>
      </c>
      <c r="AD21" s="96">
        <v>9289.6689999999999</v>
      </c>
      <c r="AE21" s="96">
        <v>13090.339</v>
      </c>
      <c r="AF21" s="96">
        <v>12848.16</v>
      </c>
      <c r="AG21" s="759">
        <f t="shared" si="16"/>
        <v>12848.16</v>
      </c>
      <c r="AH21" s="96">
        <v>12701.7</v>
      </c>
      <c r="AI21" s="96">
        <f>11751.4</f>
        <v>11751.4</v>
      </c>
      <c r="AJ21" s="96">
        <f>11620.4</f>
        <v>11620.4</v>
      </c>
      <c r="AK21" s="96">
        <v>11255.9</v>
      </c>
      <c r="AL21" s="759">
        <f t="shared" si="17"/>
        <v>11255.9</v>
      </c>
      <c r="AM21" s="96">
        <v>11554.6</v>
      </c>
      <c r="AN21" s="96">
        <v>23149.7</v>
      </c>
      <c r="AO21" s="96">
        <v>22382.1</v>
      </c>
      <c r="AP21" s="96">
        <f>AO21-AP104+-AP68</f>
        <v>23365.5</v>
      </c>
      <c r="AQ21" s="759">
        <f>AP21</f>
        <v>23365.5</v>
      </c>
      <c r="AR21" s="96">
        <f t="shared" ref="AR21:AU21" si="20">AQ21-AR104+-AR68</f>
        <v>23228.95</v>
      </c>
      <c r="AS21" s="96">
        <f t="shared" si="20"/>
        <v>22592.400000000001</v>
      </c>
      <c r="AT21" s="96">
        <f t="shared" si="20"/>
        <v>21955.850000000002</v>
      </c>
      <c r="AU21" s="96">
        <f t="shared" si="20"/>
        <v>21794.300000000003</v>
      </c>
      <c r="AV21" s="759">
        <f t="shared" si="18"/>
        <v>21794.300000000003</v>
      </c>
      <c r="BA21" s="759">
        <f>AV21-BA104+-BA68</f>
        <v>19315.300000000003</v>
      </c>
      <c r="BB21" s="764"/>
      <c r="BC21" s="764"/>
      <c r="BD21" s="764"/>
      <c r="BE21" s="764"/>
      <c r="BF21" s="759">
        <f>BA21-BF104+-BF68</f>
        <v>16967.000000000004</v>
      </c>
      <c r="BK21" s="759">
        <f>BF21-BK104+-BK68</f>
        <v>14754.400000000003</v>
      </c>
      <c r="BL21" s="764"/>
      <c r="BM21" s="764"/>
      <c r="BN21" s="764"/>
      <c r="BO21" s="764"/>
      <c r="BP21" s="759">
        <f>BK21-BP104+-BP68</f>
        <v>12541.800000000003</v>
      </c>
      <c r="BR21" s="758"/>
    </row>
    <row r="22" spans="2:70" s="96" customFormat="1" x14ac:dyDescent="0.15">
      <c r="B22" s="759" t="s">
        <v>277</v>
      </c>
      <c r="C22" s="759">
        <v>100.294</v>
      </c>
      <c r="D22" s="96">
        <v>100.294</v>
      </c>
      <c r="E22" s="96">
        <v>100.294</v>
      </c>
      <c r="F22" s="96">
        <v>100.294</v>
      </c>
      <c r="G22" s="96">
        <v>100.294</v>
      </c>
      <c r="H22" s="759">
        <f t="shared" si="6"/>
        <v>100.294</v>
      </c>
      <c r="I22" s="96">
        <v>100.294</v>
      </c>
      <c r="J22" s="96">
        <v>100.294</v>
      </c>
      <c r="K22" s="96">
        <v>100.294</v>
      </c>
      <c r="L22" s="96">
        <v>100.294</v>
      </c>
      <c r="M22" s="759">
        <f t="shared" si="7"/>
        <v>100.294</v>
      </c>
      <c r="N22" s="96">
        <v>100.294</v>
      </c>
      <c r="O22" s="96">
        <v>100.294</v>
      </c>
      <c r="P22" s="96">
        <v>2963.9470000000001</v>
      </c>
      <c r="Q22" s="96">
        <v>3001.3760000000002</v>
      </c>
      <c r="R22" s="759">
        <f t="shared" si="8"/>
        <v>3001.3760000000002</v>
      </c>
      <c r="S22" s="96">
        <v>3322.0940000000001</v>
      </c>
      <c r="T22" s="96">
        <v>3358.9169999999999</v>
      </c>
      <c r="U22" s="96">
        <v>3379.1370000000002</v>
      </c>
      <c r="V22" s="96">
        <v>3598.7860000000001</v>
      </c>
      <c r="W22" s="759">
        <f t="shared" si="14"/>
        <v>3598.7860000000001</v>
      </c>
      <c r="X22" s="96">
        <v>3730.279</v>
      </c>
      <c r="Y22" s="96">
        <v>3724.3409999999999</v>
      </c>
      <c r="Z22" s="96">
        <v>3799.6129999999998</v>
      </c>
      <c r="AA22" s="96">
        <v>5141.366</v>
      </c>
      <c r="AB22" s="759">
        <f t="shared" si="15"/>
        <v>5141.366</v>
      </c>
      <c r="AC22" s="96">
        <v>5165.2470000000003</v>
      </c>
      <c r="AD22" s="96">
        <v>5277.7979999999998</v>
      </c>
      <c r="AE22" s="96">
        <v>9742.0030000000006</v>
      </c>
      <c r="AF22" s="96">
        <v>9752.1</v>
      </c>
      <c r="AG22" s="759">
        <f t="shared" si="16"/>
        <v>9752.1</v>
      </c>
      <c r="AH22" s="96">
        <v>9915.9</v>
      </c>
      <c r="AI22" s="96">
        <f>9436.3</f>
        <v>9436.2999999999993</v>
      </c>
      <c r="AJ22" s="96">
        <f>9467.8</f>
        <v>9467.7999999999993</v>
      </c>
      <c r="AK22" s="96">
        <v>9346.4</v>
      </c>
      <c r="AL22" s="759">
        <f t="shared" si="17"/>
        <v>9346.4</v>
      </c>
      <c r="AM22" s="96">
        <v>9161.4</v>
      </c>
      <c r="AN22" s="96">
        <v>17233.099999999999</v>
      </c>
      <c r="AO22" s="96">
        <v>17374.7</v>
      </c>
      <c r="AP22" s="96">
        <f t="shared" ref="AP22:AP23" si="21">AO22</f>
        <v>17374.7</v>
      </c>
      <c r="AQ22" s="759">
        <f>AP22</f>
        <v>17374.7</v>
      </c>
      <c r="AR22" s="96">
        <f t="shared" ref="AR22:AU24" si="22">AQ22</f>
        <v>17374.7</v>
      </c>
      <c r="AS22" s="96">
        <f t="shared" si="22"/>
        <v>17374.7</v>
      </c>
      <c r="AT22" s="96">
        <f t="shared" si="22"/>
        <v>17374.7</v>
      </c>
      <c r="AU22" s="96">
        <f t="shared" si="22"/>
        <v>17374.7</v>
      </c>
      <c r="AV22" s="759">
        <f t="shared" si="18"/>
        <v>17374.7</v>
      </c>
      <c r="BA22" s="759">
        <f>AV22</f>
        <v>17374.7</v>
      </c>
      <c r="BF22" s="759">
        <f>BA22</f>
        <v>17374.7</v>
      </c>
      <c r="BK22" s="759">
        <f>BF22</f>
        <v>17374.7</v>
      </c>
      <c r="BP22" s="759">
        <f>BK22</f>
        <v>17374.7</v>
      </c>
      <c r="BR22" s="758"/>
    </row>
    <row r="23" spans="2:70" s="96" customFormat="1" x14ac:dyDescent="0.15">
      <c r="B23" s="759" t="s">
        <v>271</v>
      </c>
      <c r="C23" s="759">
        <v>20.7</v>
      </c>
      <c r="D23" s="96">
        <v>18</v>
      </c>
      <c r="E23" s="96">
        <v>18.2</v>
      </c>
      <c r="F23" s="96">
        <v>18.2</v>
      </c>
      <c r="G23" s="96">
        <v>116.8</v>
      </c>
      <c r="H23" s="759">
        <f t="shared" si="6"/>
        <v>116.8</v>
      </c>
      <c r="I23" s="96">
        <v>109</v>
      </c>
      <c r="J23" s="96">
        <v>108.6</v>
      </c>
      <c r="K23" s="96">
        <v>104.8</v>
      </c>
      <c r="L23" s="96">
        <v>132.80000000000001</v>
      </c>
      <c r="M23" s="759">
        <f t="shared" si="7"/>
        <v>132.80000000000001</v>
      </c>
      <c r="N23" s="96">
        <v>116.1</v>
      </c>
      <c r="O23" s="96">
        <v>115.4</v>
      </c>
      <c r="P23" s="96">
        <v>88.646000000000001</v>
      </c>
      <c r="Q23" s="96">
        <v>80.084999999999994</v>
      </c>
      <c r="R23" s="759">
        <f t="shared" si="8"/>
        <v>80.084999999999994</v>
      </c>
      <c r="S23" s="96">
        <v>83.894000000000005</v>
      </c>
      <c r="T23" s="96">
        <v>81.721999999999994</v>
      </c>
      <c r="U23" s="96">
        <v>93.637</v>
      </c>
      <c r="V23" s="96">
        <v>54.680999999999997</v>
      </c>
      <c r="W23" s="759">
        <f t="shared" si="14"/>
        <v>54.680999999999997</v>
      </c>
      <c r="X23" s="96">
        <v>34.796999999999997</v>
      </c>
      <c r="Y23" s="96">
        <v>36.180999999999997</v>
      </c>
      <c r="Z23" s="96">
        <v>41.180999999999997</v>
      </c>
      <c r="AA23" s="96">
        <v>76.421999999999997</v>
      </c>
      <c r="AB23" s="759">
        <f t="shared" si="15"/>
        <v>76.421999999999997</v>
      </c>
      <c r="AC23" s="96">
        <v>90.391000000000005</v>
      </c>
      <c r="AD23" s="96">
        <v>42.331000000000003</v>
      </c>
      <c r="AE23" s="96">
        <v>60.121000000000002</v>
      </c>
      <c r="AF23" s="96">
        <v>54.942</v>
      </c>
      <c r="AG23" s="759">
        <f t="shared" si="16"/>
        <v>54.942</v>
      </c>
      <c r="AH23" s="96">
        <v>20.399999999999999</v>
      </c>
      <c r="AI23" s="96">
        <f>18.3</f>
        <v>18.3</v>
      </c>
      <c r="AJ23" s="96">
        <f>23.9</f>
        <v>23.9</v>
      </c>
      <c r="AK23" s="96">
        <v>54</v>
      </c>
      <c r="AL23" s="759">
        <f t="shared" si="17"/>
        <v>54</v>
      </c>
      <c r="AM23" s="96">
        <v>151.69999999999999</v>
      </c>
      <c r="AN23" s="96">
        <v>88.3</v>
      </c>
      <c r="AO23" s="96">
        <v>114.6</v>
      </c>
      <c r="AP23" s="96">
        <f t="shared" si="21"/>
        <v>114.6</v>
      </c>
      <c r="AQ23" s="759">
        <f>AP23</f>
        <v>114.6</v>
      </c>
      <c r="AR23" s="96">
        <f t="shared" si="22"/>
        <v>114.6</v>
      </c>
      <c r="AS23" s="96">
        <f t="shared" si="22"/>
        <v>114.6</v>
      </c>
      <c r="AT23" s="96">
        <f t="shared" si="22"/>
        <v>114.6</v>
      </c>
      <c r="AU23" s="96">
        <f t="shared" si="22"/>
        <v>114.6</v>
      </c>
      <c r="AV23" s="759">
        <f t="shared" si="18"/>
        <v>114.6</v>
      </c>
      <c r="BA23" s="759">
        <f>AV23</f>
        <v>114.6</v>
      </c>
      <c r="BF23" s="759">
        <f>BA23</f>
        <v>114.6</v>
      </c>
      <c r="BK23" s="759">
        <f>BF23</f>
        <v>114.6</v>
      </c>
      <c r="BP23" s="759">
        <f>BK23</f>
        <v>114.6</v>
      </c>
      <c r="BR23" s="758"/>
    </row>
    <row r="24" spans="2:70" s="761" customFormat="1" ht="15" x14ac:dyDescent="0.3">
      <c r="B24" s="760" t="s">
        <v>278</v>
      </c>
      <c r="C24" s="760">
        <f>24.834+35.882</f>
        <v>60.715999999999994</v>
      </c>
      <c r="D24" s="761">
        <f>38.506+23.637</f>
        <v>62.143000000000001</v>
      </c>
      <c r="E24" s="761">
        <f>34.541+14.609</f>
        <v>49.15</v>
      </c>
      <c r="F24" s="761">
        <f>29.734+0.192</f>
        <v>29.926000000000002</v>
      </c>
      <c r="G24" s="761">
        <f>25.448+0.102</f>
        <v>25.55</v>
      </c>
      <c r="H24" s="760">
        <f t="shared" si="6"/>
        <v>25.55</v>
      </c>
      <c r="I24" s="761">
        <f>19.021+0.171</f>
        <v>19.192</v>
      </c>
      <c r="J24" s="761">
        <f>39.51+0.725</f>
        <v>40.234999999999999</v>
      </c>
      <c r="K24" s="761">
        <v>34.216000000000001</v>
      </c>
      <c r="L24" s="761">
        <v>32.723999999999997</v>
      </c>
      <c r="M24" s="760">
        <f t="shared" si="7"/>
        <v>32.723999999999997</v>
      </c>
      <c r="N24" s="761">
        <v>31.260999999999999</v>
      </c>
      <c r="O24" s="761">
        <v>29.456</v>
      </c>
      <c r="P24" s="761">
        <v>28.46</v>
      </c>
      <c r="Q24" s="761">
        <v>36.875</v>
      </c>
      <c r="R24" s="760">
        <f t="shared" si="8"/>
        <v>36.875</v>
      </c>
      <c r="S24" s="761">
        <v>56.396999999999998</v>
      </c>
      <c r="T24" s="761">
        <v>53.619</v>
      </c>
      <c r="U24" s="761">
        <v>58.116999999999997</v>
      </c>
      <c r="V24" s="761">
        <v>58.7</v>
      </c>
      <c r="W24" s="760">
        <f t="shared" si="14"/>
        <v>58.7</v>
      </c>
      <c r="X24" s="761">
        <v>87.403000000000006</v>
      </c>
      <c r="Y24" s="761">
        <f>8.598+89.511</f>
        <v>98.108999999999995</v>
      </c>
      <c r="Z24" s="761">
        <v>97.468999999999994</v>
      </c>
      <c r="AA24" s="761">
        <v>176.58</v>
      </c>
      <c r="AB24" s="760">
        <f t="shared" si="15"/>
        <v>176.58</v>
      </c>
      <c r="AC24" s="761">
        <v>180.41</v>
      </c>
      <c r="AD24" s="761">
        <v>199.43600000000001</v>
      </c>
      <c r="AE24" s="761">
        <v>241.952</v>
      </c>
      <c r="AF24" s="761">
        <v>195.47</v>
      </c>
      <c r="AG24" s="760">
        <f t="shared" si="16"/>
        <v>195.47</v>
      </c>
      <c r="AH24" s="761">
        <v>185.9</v>
      </c>
      <c r="AI24" s="761">
        <f>206.3</f>
        <v>206.3</v>
      </c>
      <c r="AJ24" s="761">
        <f>233.4</f>
        <v>233.4</v>
      </c>
      <c r="AK24" s="761">
        <v>193.1</v>
      </c>
      <c r="AL24" s="760">
        <f t="shared" si="17"/>
        <v>193.1</v>
      </c>
      <c r="AM24" s="761">
        <v>171.2</v>
      </c>
      <c r="AN24" s="761">
        <v>167</v>
      </c>
      <c r="AO24" s="761">
        <v>236.1</v>
      </c>
      <c r="AP24" s="761">
        <f>AO24</f>
        <v>236.1</v>
      </c>
      <c r="AQ24" s="760">
        <f>AP24</f>
        <v>236.1</v>
      </c>
      <c r="AR24" s="761">
        <f t="shared" si="22"/>
        <v>236.1</v>
      </c>
      <c r="AS24" s="761">
        <f t="shared" si="22"/>
        <v>236.1</v>
      </c>
      <c r="AT24" s="761">
        <f t="shared" si="22"/>
        <v>236.1</v>
      </c>
      <c r="AU24" s="761">
        <f t="shared" si="22"/>
        <v>236.1</v>
      </c>
      <c r="AV24" s="760">
        <f t="shared" si="18"/>
        <v>236.1</v>
      </c>
      <c r="BA24" s="760">
        <f>AV24</f>
        <v>236.1</v>
      </c>
      <c r="BF24" s="760">
        <f>BA24</f>
        <v>236.1</v>
      </c>
      <c r="BK24" s="760">
        <f>BF24</f>
        <v>236.1</v>
      </c>
      <c r="BP24" s="760">
        <f>BK24</f>
        <v>236.1</v>
      </c>
      <c r="BR24" s="758"/>
    </row>
    <row r="25" spans="2:70" s="96" customFormat="1" x14ac:dyDescent="0.15">
      <c r="B25" s="762" t="s">
        <v>279</v>
      </c>
      <c r="C25" s="762">
        <f t="shared" ref="C25:R25" si="23">SUM(C19:C24)</f>
        <v>1075.098</v>
      </c>
      <c r="D25" s="763">
        <f t="shared" si="23"/>
        <v>1054.52</v>
      </c>
      <c r="E25" s="763">
        <f t="shared" si="23"/>
        <v>975.54899999999998</v>
      </c>
      <c r="F25" s="763">
        <f t="shared" si="23"/>
        <v>1084.8900000000001</v>
      </c>
      <c r="G25" s="763">
        <f t="shared" si="23"/>
        <v>1133.201</v>
      </c>
      <c r="H25" s="762">
        <f t="shared" si="23"/>
        <v>1133.201</v>
      </c>
      <c r="I25" s="763">
        <f t="shared" si="23"/>
        <v>1089.115</v>
      </c>
      <c r="J25" s="763">
        <f t="shared" si="23"/>
        <v>1812.3309999999999</v>
      </c>
      <c r="K25" s="763">
        <f t="shared" si="23"/>
        <v>1772.0450000000001</v>
      </c>
      <c r="L25" s="763">
        <f t="shared" si="23"/>
        <v>1716.404</v>
      </c>
      <c r="M25" s="762">
        <f t="shared" si="23"/>
        <v>1716.404</v>
      </c>
      <c r="N25" s="763">
        <f t="shared" si="23"/>
        <v>1665.8620000000001</v>
      </c>
      <c r="O25" s="763">
        <f t="shared" si="23"/>
        <v>1615.2830000000001</v>
      </c>
      <c r="P25" s="763">
        <f t="shared" si="23"/>
        <v>9835.4549999999981</v>
      </c>
      <c r="Q25" s="763">
        <f t="shared" si="23"/>
        <v>9774.9509999999991</v>
      </c>
      <c r="R25" s="762">
        <f t="shared" si="23"/>
        <v>9774.9509999999991</v>
      </c>
      <c r="S25" s="763">
        <f t="shared" ref="S25:AU25" si="24">SUM(S19:S24)</f>
        <v>10413.348000000002</v>
      </c>
      <c r="T25" s="763">
        <f t="shared" si="24"/>
        <v>10782.186</v>
      </c>
      <c r="U25" s="763">
        <f t="shared" si="24"/>
        <v>10719.252000000002</v>
      </c>
      <c r="V25" s="763">
        <f t="shared" si="24"/>
        <v>11784.207000000002</v>
      </c>
      <c r="W25" s="762">
        <f t="shared" si="24"/>
        <v>11784.207000000002</v>
      </c>
      <c r="X25" s="763">
        <f t="shared" si="24"/>
        <v>12087.803000000002</v>
      </c>
      <c r="Y25" s="763">
        <f t="shared" si="24"/>
        <v>12389.586000000001</v>
      </c>
      <c r="Z25" s="763">
        <f t="shared" si="24"/>
        <v>12432.537999999999</v>
      </c>
      <c r="AA25" s="763">
        <f t="shared" si="24"/>
        <v>15172.928</v>
      </c>
      <c r="AB25" s="762">
        <f t="shared" si="24"/>
        <v>15172.928</v>
      </c>
      <c r="AC25" s="763">
        <f t="shared" si="24"/>
        <v>15116.338</v>
      </c>
      <c r="AD25" s="763">
        <f t="shared" si="24"/>
        <v>15250.232</v>
      </c>
      <c r="AE25" s="763">
        <f t="shared" si="24"/>
        <v>24356.021000000001</v>
      </c>
      <c r="AF25" s="763">
        <f t="shared" si="24"/>
        <v>24084.907999999999</v>
      </c>
      <c r="AG25" s="762">
        <f t="shared" si="24"/>
        <v>24084.907999999999</v>
      </c>
      <c r="AH25" s="763">
        <f t="shared" si="24"/>
        <v>24038.9</v>
      </c>
      <c r="AI25" s="763">
        <f>SUM(AI19:AI24)</f>
        <v>22731.899999999998</v>
      </c>
      <c r="AJ25" s="763">
        <f t="shared" si="24"/>
        <v>22645.9</v>
      </c>
      <c r="AK25" s="763">
        <f t="shared" si="24"/>
        <v>22159.899999999998</v>
      </c>
      <c r="AL25" s="762">
        <f t="shared" si="24"/>
        <v>22159.899999999998</v>
      </c>
      <c r="AM25" s="763">
        <f t="shared" si="24"/>
        <v>22373.7</v>
      </c>
      <c r="AN25" s="763">
        <f t="shared" si="24"/>
        <v>41998</v>
      </c>
      <c r="AO25" s="763">
        <f t="shared" si="24"/>
        <v>41458.899999999994</v>
      </c>
      <c r="AP25" s="763">
        <f t="shared" si="24"/>
        <v>42467.3</v>
      </c>
      <c r="AQ25" s="762">
        <f t="shared" si="24"/>
        <v>42467.3</v>
      </c>
      <c r="AR25" s="763">
        <f t="shared" si="24"/>
        <v>42368.25</v>
      </c>
      <c r="AS25" s="763">
        <f t="shared" si="24"/>
        <v>41769.199999999997</v>
      </c>
      <c r="AT25" s="763">
        <f t="shared" si="24"/>
        <v>41170.15</v>
      </c>
      <c r="AU25" s="763">
        <f t="shared" si="24"/>
        <v>41046.100000000006</v>
      </c>
      <c r="AV25" s="762">
        <f>SUM(AV19:AV24)</f>
        <v>41046.100000000006</v>
      </c>
      <c r="BA25" s="762">
        <f>SUM(BA19:BA24)</f>
        <v>38717.100000000006</v>
      </c>
      <c r="BF25" s="762">
        <f>SUM(BF19:BF24)</f>
        <v>36518.800000000003</v>
      </c>
      <c r="BK25" s="762">
        <f>SUM(BK19:BK24)</f>
        <v>34456.199999999997</v>
      </c>
      <c r="BP25" s="762">
        <f>SUM(BP19:BP24)</f>
        <v>32393.599999999999</v>
      </c>
      <c r="BR25" s="758"/>
    </row>
    <row r="26" spans="2:70" s="96" customFormat="1" x14ac:dyDescent="0.15">
      <c r="B26" s="765" t="s">
        <v>280</v>
      </c>
      <c r="C26" s="765">
        <f t="shared" ref="C26:AU26" si="25">C25+C18</f>
        <v>1782.1149999999998</v>
      </c>
      <c r="D26" s="766">
        <f t="shared" si="25"/>
        <v>1789.7359999999999</v>
      </c>
      <c r="E26" s="766">
        <f t="shared" si="25"/>
        <v>1639.605</v>
      </c>
      <c r="F26" s="766">
        <f t="shared" si="25"/>
        <v>1500.961</v>
      </c>
      <c r="G26" s="766">
        <f t="shared" si="25"/>
        <v>1623.5650000000001</v>
      </c>
      <c r="H26" s="765">
        <f t="shared" si="25"/>
        <v>1623.5650000000001</v>
      </c>
      <c r="I26" s="766">
        <f t="shared" si="25"/>
        <v>1556.8810000000001</v>
      </c>
      <c r="J26" s="766">
        <f t="shared" si="25"/>
        <v>2058.37</v>
      </c>
      <c r="K26" s="766">
        <f t="shared" si="25"/>
        <v>2022.299</v>
      </c>
      <c r="L26" s="766">
        <f t="shared" si="25"/>
        <v>2067.0439999999999</v>
      </c>
      <c r="M26" s="765">
        <f t="shared" si="25"/>
        <v>2067.0439999999999</v>
      </c>
      <c r="N26" s="766">
        <f t="shared" si="25"/>
        <v>2005.0360000000001</v>
      </c>
      <c r="O26" s="766">
        <f t="shared" si="25"/>
        <v>2029.7230000000002</v>
      </c>
      <c r="P26" s="766">
        <f t="shared" si="25"/>
        <v>11135.902999999998</v>
      </c>
      <c r="Q26" s="766">
        <f t="shared" si="25"/>
        <v>10795.116999999998</v>
      </c>
      <c r="R26" s="765">
        <f t="shared" si="25"/>
        <v>10795.116999999998</v>
      </c>
      <c r="S26" s="766">
        <f t="shared" si="25"/>
        <v>11688.009000000002</v>
      </c>
      <c r="T26" s="766">
        <f t="shared" si="25"/>
        <v>11827.873</v>
      </c>
      <c r="U26" s="766">
        <f t="shared" si="25"/>
        <v>11818.361000000003</v>
      </c>
      <c r="V26" s="766">
        <f t="shared" si="25"/>
        <v>13141.713000000002</v>
      </c>
      <c r="W26" s="765">
        <f t="shared" si="25"/>
        <v>13141.713000000002</v>
      </c>
      <c r="X26" s="766">
        <f t="shared" si="25"/>
        <v>13619.734000000002</v>
      </c>
      <c r="Y26" s="766">
        <f t="shared" si="25"/>
        <v>14019.820000000002</v>
      </c>
      <c r="Z26" s="766">
        <f t="shared" si="25"/>
        <v>14146.207999999999</v>
      </c>
      <c r="AA26" s="766">
        <f t="shared" si="25"/>
        <v>17950.379000000001</v>
      </c>
      <c r="AB26" s="765">
        <f t="shared" si="25"/>
        <v>17950.379000000001</v>
      </c>
      <c r="AC26" s="766">
        <f t="shared" si="25"/>
        <v>17486.467000000001</v>
      </c>
      <c r="AD26" s="766">
        <f t="shared" si="25"/>
        <v>19782.258000000002</v>
      </c>
      <c r="AE26" s="766">
        <f t="shared" si="25"/>
        <v>28204.384000000002</v>
      </c>
      <c r="AF26" s="766">
        <f t="shared" si="25"/>
        <v>27970.796999999999</v>
      </c>
      <c r="AG26" s="765">
        <f t="shared" si="25"/>
        <v>27970.756999999998</v>
      </c>
      <c r="AH26" s="767">
        <f t="shared" si="25"/>
        <v>27989</v>
      </c>
      <c r="AI26" s="766">
        <f>AI25+AI18</f>
        <v>27895.599999999999</v>
      </c>
      <c r="AJ26" s="766">
        <f t="shared" si="25"/>
        <v>27059.600000000002</v>
      </c>
      <c r="AK26" s="766">
        <f t="shared" si="25"/>
        <v>26352.999999999996</v>
      </c>
      <c r="AL26" s="765">
        <f t="shared" si="25"/>
        <v>26352.999999999996</v>
      </c>
      <c r="AM26" s="766">
        <f t="shared" si="25"/>
        <v>38565.899999999994</v>
      </c>
      <c r="AN26" s="766">
        <f t="shared" si="25"/>
        <v>48343.199999999997</v>
      </c>
      <c r="AO26" s="766">
        <f t="shared" si="25"/>
        <v>48454.599999999991</v>
      </c>
      <c r="AP26" s="766">
        <f t="shared" si="25"/>
        <v>49558.333333333343</v>
      </c>
      <c r="AQ26" s="765">
        <f t="shared" si="25"/>
        <v>49558.333333333343</v>
      </c>
      <c r="AR26" s="766">
        <f t="shared" si="25"/>
        <v>48861.481239666668</v>
      </c>
      <c r="AS26" s="766">
        <f t="shared" si="25"/>
        <v>48616.091957672215</v>
      </c>
      <c r="AT26" s="766">
        <f t="shared" si="25"/>
        <v>48399.292883388887</v>
      </c>
      <c r="AU26" s="766">
        <f t="shared" si="25"/>
        <v>48335.532079844452</v>
      </c>
      <c r="AV26" s="765">
        <f>AV25+AV18</f>
        <v>48335.532079844452</v>
      </c>
      <c r="BA26" s="765">
        <f>BA25+BA18</f>
        <v>47267.297032436953</v>
      </c>
      <c r="BF26" s="765">
        <f>BF25+BF18</f>
        <v>45981.089005119342</v>
      </c>
      <c r="BK26" s="765">
        <f>BK25+BK18</f>
        <v>44993.396967284534</v>
      </c>
      <c r="BP26" s="765">
        <f>BP25+BP18</f>
        <v>44060.328504236197</v>
      </c>
      <c r="BR26" s="758"/>
    </row>
    <row r="27" spans="2:70" s="145" customFormat="1" x14ac:dyDescent="0.15">
      <c r="B27" s="756" t="s">
        <v>281</v>
      </c>
      <c r="C27" s="756"/>
      <c r="D27" s="757"/>
      <c r="E27" s="757"/>
      <c r="F27" s="757"/>
      <c r="G27" s="757"/>
      <c r="H27" s="756"/>
      <c r="I27" s="757"/>
      <c r="J27" s="757"/>
      <c r="K27" s="757"/>
      <c r="L27" s="757"/>
      <c r="M27" s="756"/>
      <c r="N27" s="757"/>
      <c r="O27" s="757"/>
      <c r="P27" s="757" t="s">
        <v>39</v>
      </c>
      <c r="Q27" s="757"/>
      <c r="R27" s="756"/>
      <c r="S27" s="757"/>
      <c r="T27" s="757"/>
      <c r="U27" s="757"/>
      <c r="V27" s="757"/>
      <c r="W27" s="756"/>
      <c r="X27" s="757"/>
      <c r="Y27" s="757"/>
      <c r="Z27" s="757"/>
      <c r="AA27" s="757"/>
      <c r="AB27" s="756"/>
      <c r="AC27" s="757"/>
      <c r="AD27" s="757"/>
      <c r="AE27" s="757"/>
      <c r="AF27" s="757"/>
      <c r="AG27" s="756"/>
      <c r="AH27" s="757"/>
      <c r="AI27" s="757"/>
      <c r="AJ27" s="757"/>
      <c r="AK27" s="757"/>
      <c r="AL27" s="756"/>
      <c r="AM27" s="757"/>
      <c r="AN27" s="757"/>
      <c r="AO27" s="757"/>
      <c r="AP27" s="757"/>
      <c r="AQ27" s="756"/>
      <c r="AR27" s="757"/>
      <c r="AS27" s="757"/>
      <c r="AT27" s="757"/>
      <c r="AU27" s="757"/>
      <c r="AV27" s="756"/>
      <c r="AW27" s="757"/>
      <c r="AX27" s="757"/>
      <c r="AY27" s="757"/>
      <c r="AZ27" s="757"/>
      <c r="BA27" s="756"/>
      <c r="BB27" s="757"/>
      <c r="BC27" s="757"/>
      <c r="BD27" s="757"/>
      <c r="BE27" s="757"/>
      <c r="BF27" s="756"/>
      <c r="BG27" s="757"/>
      <c r="BH27" s="757"/>
      <c r="BI27" s="757"/>
      <c r="BJ27" s="757"/>
      <c r="BK27" s="756"/>
      <c r="BL27" s="757"/>
      <c r="BM27" s="757"/>
      <c r="BN27" s="757"/>
      <c r="BO27" s="757"/>
      <c r="BP27" s="756"/>
      <c r="BR27" s="758"/>
    </row>
    <row r="28" spans="2:70" s="96" customFormat="1" x14ac:dyDescent="0.15">
      <c r="B28" s="759" t="s">
        <v>282</v>
      </c>
      <c r="C28" s="759">
        <v>50.414999999999999</v>
      </c>
      <c r="D28" s="96">
        <v>39.332000000000001</v>
      </c>
      <c r="E28" s="96">
        <v>34.457000000000001</v>
      </c>
      <c r="F28" s="96">
        <v>30.975999999999999</v>
      </c>
      <c r="G28" s="96">
        <v>41.07</v>
      </c>
      <c r="H28" s="759">
        <f t="shared" ref="H28:H44" si="26">G28</f>
        <v>41.07</v>
      </c>
      <c r="I28" s="96">
        <v>25.626000000000001</v>
      </c>
      <c r="J28" s="96">
        <v>31.105</v>
      </c>
      <c r="K28" s="96">
        <v>37.744999999999997</v>
      </c>
      <c r="L28" s="96">
        <v>72.022000000000006</v>
      </c>
      <c r="M28" s="759">
        <f t="shared" ref="M28:M44" si="27">L28</f>
        <v>72.022000000000006</v>
      </c>
      <c r="N28" s="96">
        <v>42.48</v>
      </c>
      <c r="O28" s="96">
        <v>41.88</v>
      </c>
      <c r="P28" s="96">
        <v>175.99299999999999</v>
      </c>
      <c r="Q28" s="96">
        <v>101.324</v>
      </c>
      <c r="R28" s="759">
        <f t="shared" ref="R28:R38" si="28">Q28</f>
        <v>101.324</v>
      </c>
      <c r="S28" s="96">
        <v>116.122</v>
      </c>
      <c r="T28" s="96">
        <v>126.709</v>
      </c>
      <c r="U28" s="96">
        <v>148.77699999999999</v>
      </c>
      <c r="V28" s="96">
        <v>157.62</v>
      </c>
      <c r="W28" s="759">
        <f t="shared" ref="W28:W40" si="29">V28</f>
        <v>157.62</v>
      </c>
      <c r="X28" s="96">
        <v>156.27699999999999</v>
      </c>
      <c r="Y28" s="96">
        <v>156.178</v>
      </c>
      <c r="Z28" s="96">
        <v>166.68799999999999</v>
      </c>
      <c r="AA28" s="96">
        <v>227.38399999999999</v>
      </c>
      <c r="AB28" s="759">
        <f t="shared" ref="AB28:AB38" si="30">AA28</f>
        <v>227.38399999999999</v>
      </c>
      <c r="AC28" s="96">
        <v>183.02099999999999</v>
      </c>
      <c r="AD28" s="96">
        <v>284.54399999999998</v>
      </c>
      <c r="AE28" s="96">
        <v>412.94299999999998</v>
      </c>
      <c r="AF28" s="96">
        <v>326.97000000000003</v>
      </c>
      <c r="AG28" s="759">
        <f t="shared" ref="AG28:AG38" si="31">AF28</f>
        <v>326.97000000000003</v>
      </c>
      <c r="AH28" s="96">
        <v>392.3</v>
      </c>
      <c r="AI28" s="96">
        <f>327.7</f>
        <v>327.7</v>
      </c>
      <c r="AJ28" s="96">
        <f>323.3</f>
        <v>323.3</v>
      </c>
      <c r="AK28" s="96">
        <v>398</v>
      </c>
      <c r="AL28" s="759">
        <f t="shared" ref="AL28:AL38" si="32">AK28</f>
        <v>398</v>
      </c>
      <c r="AM28" s="96">
        <v>352.5</v>
      </c>
      <c r="AN28" s="96">
        <v>415.8</v>
      </c>
      <c r="AO28" s="96">
        <v>476.8</v>
      </c>
      <c r="AP28" s="96">
        <f>AP103*AP96/90</f>
        <v>529.43333333333328</v>
      </c>
      <c r="AQ28" s="759">
        <f t="shared" ref="AQ28:AU38" si="33">AP28</f>
        <v>529.43333333333328</v>
      </c>
      <c r="AR28" s="96">
        <f t="shared" ref="AR28:AU28" si="34">AR103*AR96/90</f>
        <v>426.28676266666662</v>
      </c>
      <c r="AS28" s="96">
        <f t="shared" si="34"/>
        <v>457.67700622222213</v>
      </c>
      <c r="AT28" s="96">
        <f t="shared" si="34"/>
        <v>464.06693688888885</v>
      </c>
      <c r="AU28" s="96">
        <f t="shared" si="34"/>
        <v>505.74271644444445</v>
      </c>
      <c r="AV28" s="759">
        <f t="shared" ref="AV28:AV38" si="35">AU28</f>
        <v>505.74271644444445</v>
      </c>
      <c r="BA28" s="759">
        <f>BA103*BA96/360</f>
        <v>582.86422966944428</v>
      </c>
      <c r="BF28" s="759">
        <f>BF103*BF96/360</f>
        <v>606.65096548185545</v>
      </c>
      <c r="BK28" s="759">
        <f>BK103*BK96/360</f>
        <v>627.86021946887126</v>
      </c>
      <c r="BP28" s="759">
        <f>BP103*BP96/360</f>
        <v>641.73552211335073</v>
      </c>
      <c r="BR28" s="758"/>
    </row>
    <row r="29" spans="2:70" s="96" customFormat="1" x14ac:dyDescent="0.15">
      <c r="B29" s="759" t="s">
        <v>283</v>
      </c>
      <c r="C29" s="759">
        <v>0</v>
      </c>
      <c r="D29" s="96">
        <v>60.384</v>
      </c>
      <c r="E29" s="96">
        <v>0</v>
      </c>
      <c r="F29" s="96">
        <v>0</v>
      </c>
      <c r="G29" s="96">
        <v>59.331000000000003</v>
      </c>
      <c r="H29" s="759">
        <f t="shared" si="26"/>
        <v>59.331000000000003</v>
      </c>
      <c r="I29" s="96">
        <v>59.331000000000003</v>
      </c>
      <c r="J29" s="96">
        <v>14.24</v>
      </c>
      <c r="K29" s="96">
        <v>14.241</v>
      </c>
      <c r="L29" s="96">
        <v>14.246</v>
      </c>
      <c r="M29" s="759">
        <f t="shared" si="27"/>
        <v>14.246</v>
      </c>
      <c r="N29" s="96">
        <v>14.255000000000001</v>
      </c>
      <c r="O29" s="96">
        <v>15.064</v>
      </c>
      <c r="P29" s="145">
        <v>15.077999999999999</v>
      </c>
      <c r="Q29" s="96">
        <v>0</v>
      </c>
      <c r="R29" s="759">
        <f t="shared" si="28"/>
        <v>0</v>
      </c>
      <c r="S29" s="96">
        <v>0</v>
      </c>
      <c r="T29" s="96">
        <v>0</v>
      </c>
      <c r="U29" s="96">
        <v>0</v>
      </c>
      <c r="V29" s="96">
        <v>0</v>
      </c>
      <c r="W29" s="759">
        <f t="shared" si="29"/>
        <v>0</v>
      </c>
      <c r="X29" s="96">
        <v>0</v>
      </c>
      <c r="Y29" s="96">
        <v>0</v>
      </c>
      <c r="Z29" s="96">
        <v>0</v>
      </c>
      <c r="AA29" s="96">
        <v>0</v>
      </c>
      <c r="AB29" s="759">
        <f t="shared" si="30"/>
        <v>0</v>
      </c>
      <c r="AC29" s="96">
        <v>0</v>
      </c>
      <c r="AD29" s="96">
        <v>0</v>
      </c>
      <c r="AE29" s="96">
        <v>0</v>
      </c>
      <c r="AF29" s="96">
        <v>0</v>
      </c>
      <c r="AG29" s="759">
        <f t="shared" si="31"/>
        <v>0</v>
      </c>
      <c r="AH29" s="96">
        <v>0</v>
      </c>
      <c r="AI29" s="96">
        <v>0</v>
      </c>
      <c r="AJ29" s="96">
        <f>0</f>
        <v>0</v>
      </c>
      <c r="AK29" s="96">
        <v>0</v>
      </c>
      <c r="AL29" s="759">
        <f t="shared" si="32"/>
        <v>0</v>
      </c>
      <c r="AM29" s="96">
        <f t="shared" ref="AM29:AM38" si="36">AK29</f>
        <v>0</v>
      </c>
      <c r="AN29" s="96">
        <f t="shared" ref="AN29:AP38" si="37">AM29</f>
        <v>0</v>
      </c>
      <c r="AO29" s="96">
        <v>0</v>
      </c>
      <c r="AP29" s="96">
        <f t="shared" si="37"/>
        <v>0</v>
      </c>
      <c r="AQ29" s="759">
        <f t="shared" si="33"/>
        <v>0</v>
      </c>
      <c r="AR29" s="96">
        <f t="shared" si="33"/>
        <v>0</v>
      </c>
      <c r="AS29" s="96">
        <f t="shared" si="33"/>
        <v>0</v>
      </c>
      <c r="AT29" s="96">
        <f t="shared" si="33"/>
        <v>0</v>
      </c>
      <c r="AU29" s="96">
        <f t="shared" si="33"/>
        <v>0</v>
      </c>
      <c r="AV29" s="759">
        <f t="shared" si="35"/>
        <v>0</v>
      </c>
      <c r="BA29" s="759">
        <v>0</v>
      </c>
      <c r="BF29" s="759">
        <v>0</v>
      </c>
      <c r="BK29" s="759">
        <v>0</v>
      </c>
      <c r="BP29" s="759">
        <v>0</v>
      </c>
      <c r="BR29" s="758"/>
    </row>
    <row r="30" spans="2:70" s="96" customFormat="1" x14ac:dyDescent="0.15">
      <c r="B30" s="759" t="s">
        <v>284</v>
      </c>
      <c r="C30" s="759">
        <v>74.363</v>
      </c>
      <c r="D30" s="96">
        <v>71.694999999999993</v>
      </c>
      <c r="E30" s="96">
        <v>70.852000000000004</v>
      </c>
      <c r="F30" s="96">
        <v>83.16</v>
      </c>
      <c r="G30" s="96">
        <v>85.168999999999997</v>
      </c>
      <c r="H30" s="759">
        <f t="shared" si="26"/>
        <v>85.168999999999997</v>
      </c>
      <c r="I30" s="96">
        <v>76.869</v>
      </c>
      <c r="J30" s="96">
        <v>97.084000000000003</v>
      </c>
      <c r="K30" s="96">
        <v>115.807</v>
      </c>
      <c r="L30" s="96">
        <v>121.898</v>
      </c>
      <c r="M30" s="759">
        <f t="shared" si="27"/>
        <v>121.898</v>
      </c>
      <c r="N30" s="96">
        <v>107.94</v>
      </c>
      <c r="O30" s="96">
        <v>125.471</v>
      </c>
      <c r="P30" s="96">
        <v>448.48899999999998</v>
      </c>
      <c r="Q30" s="96">
        <v>442.11399999999998</v>
      </c>
      <c r="R30" s="759">
        <f t="shared" si="28"/>
        <v>442.11399999999998</v>
      </c>
      <c r="S30" s="96">
        <v>493.96199999999999</v>
      </c>
      <c r="T30" s="96">
        <v>415.65100000000001</v>
      </c>
      <c r="U30" s="96">
        <v>468.24099999999999</v>
      </c>
      <c r="V30" s="96">
        <v>526.93700000000001</v>
      </c>
      <c r="W30" s="759">
        <f t="shared" si="29"/>
        <v>526.93700000000001</v>
      </c>
      <c r="X30" s="96">
        <v>543.30999999999995</v>
      </c>
      <c r="Y30" s="96">
        <v>600.65700000000004</v>
      </c>
      <c r="Z30" s="96">
        <v>634.72199999999998</v>
      </c>
      <c r="AA30" s="96">
        <v>981.28200000000004</v>
      </c>
      <c r="AB30" s="759">
        <f t="shared" si="30"/>
        <v>981.28200000000004</v>
      </c>
      <c r="AC30" s="96">
        <v>1071.623</v>
      </c>
      <c r="AD30" s="96">
        <v>1035.0070000000001</v>
      </c>
      <c r="AE30" s="96">
        <v>1889.46</v>
      </c>
      <c r="AF30" s="96">
        <v>1800.193</v>
      </c>
      <c r="AG30" s="759">
        <f t="shared" si="31"/>
        <v>1800.193</v>
      </c>
      <c r="AH30" s="96">
        <v>1801.5</v>
      </c>
      <c r="AI30" s="96">
        <f>1774.9</f>
        <v>1774.9</v>
      </c>
      <c r="AJ30" s="96">
        <f>1993.9</f>
        <v>1993.9</v>
      </c>
      <c r="AK30" s="96">
        <v>2179.4</v>
      </c>
      <c r="AL30" s="759">
        <f t="shared" si="32"/>
        <v>2179.4</v>
      </c>
      <c r="AM30" s="96">
        <v>2424.4</v>
      </c>
      <c r="AN30" s="96">
        <v>3054.7</v>
      </c>
      <c r="AO30" s="96">
        <v>3293.5</v>
      </c>
      <c r="AP30" s="96">
        <f t="shared" si="37"/>
        <v>3293.5</v>
      </c>
      <c r="AQ30" s="759">
        <f t="shared" si="33"/>
        <v>3293.5</v>
      </c>
      <c r="AR30" s="96">
        <f t="shared" si="33"/>
        <v>3293.5</v>
      </c>
      <c r="AS30" s="96">
        <f t="shared" si="33"/>
        <v>3293.5</v>
      </c>
      <c r="AT30" s="96">
        <f t="shared" si="33"/>
        <v>3293.5</v>
      </c>
      <c r="AU30" s="96">
        <f t="shared" si="33"/>
        <v>3293.5</v>
      </c>
      <c r="AV30" s="759">
        <f t="shared" si="35"/>
        <v>3293.5</v>
      </c>
      <c r="BA30" s="759">
        <f t="shared" ref="BA30:BA36" si="38">AV30</f>
        <v>3293.5</v>
      </c>
      <c r="BF30" s="759">
        <f t="shared" ref="BF30:BF36" si="39">BA30</f>
        <v>3293.5</v>
      </c>
      <c r="BK30" s="759">
        <f t="shared" ref="BK30:BK36" si="40">BF30</f>
        <v>3293.5</v>
      </c>
      <c r="BP30" s="759">
        <f t="shared" ref="BP30:BP36" si="41">BK30</f>
        <v>3293.5</v>
      </c>
      <c r="BR30" s="758"/>
    </row>
    <row r="31" spans="2:70" s="96" customFormat="1" x14ac:dyDescent="0.15">
      <c r="B31" s="759" t="s">
        <v>285</v>
      </c>
      <c r="C31" s="759">
        <f>148+45.065</f>
        <v>193.065</v>
      </c>
      <c r="D31" s="96">
        <f>138+45.065</f>
        <v>183.065</v>
      </c>
      <c r="E31" s="96">
        <f>162.648+45.065</f>
        <v>207.71299999999999</v>
      </c>
      <c r="F31" s="96">
        <v>26.648</v>
      </c>
      <c r="G31" s="96">
        <v>32.564999999999998</v>
      </c>
      <c r="H31" s="759">
        <f t="shared" si="26"/>
        <v>32.564999999999998</v>
      </c>
      <c r="I31" s="96">
        <v>26.648</v>
      </c>
      <c r="J31" s="96">
        <v>26.648</v>
      </c>
      <c r="K31" s="96">
        <v>2</v>
      </c>
      <c r="L31" s="96">
        <v>7.95</v>
      </c>
      <c r="M31" s="759">
        <f t="shared" si="27"/>
        <v>7.95</v>
      </c>
      <c r="N31" s="96">
        <v>2</v>
      </c>
      <c r="O31" s="96">
        <v>2</v>
      </c>
      <c r="P31" s="96">
        <v>40.5</v>
      </c>
      <c r="Q31" s="96">
        <v>0</v>
      </c>
      <c r="R31" s="759">
        <f t="shared" si="28"/>
        <v>0</v>
      </c>
      <c r="S31" s="96">
        <v>0</v>
      </c>
      <c r="T31" s="96">
        <v>0</v>
      </c>
      <c r="U31" s="96">
        <v>0</v>
      </c>
      <c r="V31" s="96">
        <v>0</v>
      </c>
      <c r="W31" s="759">
        <f t="shared" si="29"/>
        <v>0</v>
      </c>
      <c r="X31" s="96">
        <v>0</v>
      </c>
      <c r="Y31" s="96">
        <v>0</v>
      </c>
      <c r="Z31" s="96">
        <v>0</v>
      </c>
      <c r="AA31" s="96">
        <v>0</v>
      </c>
      <c r="AB31" s="759">
        <f t="shared" si="30"/>
        <v>0</v>
      </c>
      <c r="AC31" s="96">
        <v>0</v>
      </c>
      <c r="AD31" s="96">
        <v>0</v>
      </c>
      <c r="AE31" s="96">
        <v>0</v>
      </c>
      <c r="AF31" s="96">
        <v>0</v>
      </c>
      <c r="AG31" s="759">
        <f t="shared" si="31"/>
        <v>0</v>
      </c>
      <c r="AH31" s="96">
        <v>0</v>
      </c>
      <c r="AI31" s="96">
        <v>0</v>
      </c>
      <c r="AJ31" s="96">
        <v>0</v>
      </c>
      <c r="AK31" s="96">
        <f t="shared" ref="AK31:AK38" si="42">AJ31</f>
        <v>0</v>
      </c>
      <c r="AL31" s="759">
        <f t="shared" si="32"/>
        <v>0</v>
      </c>
      <c r="AM31" s="96">
        <f t="shared" si="36"/>
        <v>0</v>
      </c>
      <c r="AN31" s="96">
        <f t="shared" si="37"/>
        <v>0</v>
      </c>
      <c r="AO31" s="96">
        <v>0</v>
      </c>
      <c r="AP31" s="96">
        <f t="shared" si="37"/>
        <v>0</v>
      </c>
      <c r="AQ31" s="759">
        <f t="shared" si="33"/>
        <v>0</v>
      </c>
      <c r="AR31" s="96">
        <f t="shared" si="33"/>
        <v>0</v>
      </c>
      <c r="AS31" s="96">
        <f t="shared" si="33"/>
        <v>0</v>
      </c>
      <c r="AT31" s="96">
        <f t="shared" si="33"/>
        <v>0</v>
      </c>
      <c r="AU31" s="96">
        <f t="shared" si="33"/>
        <v>0</v>
      </c>
      <c r="AV31" s="759">
        <f t="shared" si="35"/>
        <v>0</v>
      </c>
      <c r="BA31" s="759">
        <f t="shared" si="38"/>
        <v>0</v>
      </c>
      <c r="BF31" s="759">
        <f t="shared" si="39"/>
        <v>0</v>
      </c>
      <c r="BK31" s="759">
        <f t="shared" si="40"/>
        <v>0</v>
      </c>
      <c r="BP31" s="759">
        <f t="shared" si="41"/>
        <v>0</v>
      </c>
      <c r="BR31" s="758"/>
    </row>
    <row r="32" spans="2:70" s="96" customFormat="1" x14ac:dyDescent="0.15">
      <c r="B32" s="759" t="s">
        <v>286</v>
      </c>
      <c r="C32" s="759">
        <v>0.64700000000000002</v>
      </c>
      <c r="D32" s="96">
        <v>3.766</v>
      </c>
      <c r="E32" s="96">
        <v>7.5739999999999998</v>
      </c>
      <c r="F32" s="96">
        <v>10.923999999999999</v>
      </c>
      <c r="G32" s="96">
        <v>8.5960000000000001</v>
      </c>
      <c r="H32" s="759">
        <f t="shared" si="26"/>
        <v>8.5960000000000001</v>
      </c>
      <c r="I32" s="96">
        <v>9.6679999999999993</v>
      </c>
      <c r="J32" s="96">
        <v>9.31</v>
      </c>
      <c r="K32" s="96">
        <v>10.199999999999999</v>
      </c>
      <c r="L32" s="96">
        <v>6.8460000000000001</v>
      </c>
      <c r="M32" s="759">
        <f t="shared" si="27"/>
        <v>6.8460000000000001</v>
      </c>
      <c r="N32" s="96">
        <v>8.2319999999999993</v>
      </c>
      <c r="O32" s="96">
        <v>11.323</v>
      </c>
      <c r="P32" s="96">
        <v>15.26</v>
      </c>
      <c r="Q32" s="96">
        <v>9.1530000000000005</v>
      </c>
      <c r="R32" s="759">
        <f t="shared" si="28"/>
        <v>9.1530000000000005</v>
      </c>
      <c r="S32" s="96">
        <v>8.7789999999999999</v>
      </c>
      <c r="T32" s="96">
        <v>67.552000000000007</v>
      </c>
      <c r="U32" s="96">
        <v>41.639000000000003</v>
      </c>
      <c r="V32" s="96">
        <v>10.335000000000001</v>
      </c>
      <c r="W32" s="759">
        <f t="shared" si="29"/>
        <v>10.335000000000001</v>
      </c>
      <c r="X32" s="96">
        <v>8.2449999999999992</v>
      </c>
      <c r="Y32" s="96">
        <v>15.537000000000001</v>
      </c>
      <c r="Z32" s="96">
        <v>10.208</v>
      </c>
      <c r="AA32" s="96">
        <v>19.91</v>
      </c>
      <c r="AB32" s="759">
        <f t="shared" si="30"/>
        <v>19.91</v>
      </c>
      <c r="AC32" s="96">
        <v>0</v>
      </c>
      <c r="AD32" s="96">
        <v>0</v>
      </c>
      <c r="AE32" s="96">
        <v>0</v>
      </c>
      <c r="AF32" s="96">
        <v>0</v>
      </c>
      <c r="AG32" s="759">
        <f t="shared" si="31"/>
        <v>0</v>
      </c>
      <c r="AH32" s="96">
        <v>0</v>
      </c>
      <c r="AI32" s="96">
        <v>0</v>
      </c>
      <c r="AJ32" s="96">
        <v>0</v>
      </c>
      <c r="AK32" s="96">
        <f t="shared" si="42"/>
        <v>0</v>
      </c>
      <c r="AL32" s="759">
        <f t="shared" si="32"/>
        <v>0</v>
      </c>
      <c r="AM32" s="96">
        <f t="shared" si="36"/>
        <v>0</v>
      </c>
      <c r="AN32" s="96">
        <f t="shared" si="37"/>
        <v>0</v>
      </c>
      <c r="AO32" s="96">
        <v>0</v>
      </c>
      <c r="AP32" s="96">
        <f t="shared" si="37"/>
        <v>0</v>
      </c>
      <c r="AQ32" s="759">
        <f t="shared" si="33"/>
        <v>0</v>
      </c>
      <c r="AR32" s="96">
        <f t="shared" si="33"/>
        <v>0</v>
      </c>
      <c r="AS32" s="96">
        <f t="shared" si="33"/>
        <v>0</v>
      </c>
      <c r="AT32" s="96">
        <f t="shared" si="33"/>
        <v>0</v>
      </c>
      <c r="AU32" s="96">
        <f t="shared" si="33"/>
        <v>0</v>
      </c>
      <c r="AV32" s="759">
        <f t="shared" si="35"/>
        <v>0</v>
      </c>
      <c r="BA32" s="759">
        <f t="shared" si="38"/>
        <v>0</v>
      </c>
      <c r="BF32" s="759">
        <f t="shared" si="39"/>
        <v>0</v>
      </c>
      <c r="BK32" s="759">
        <f t="shared" si="40"/>
        <v>0</v>
      </c>
      <c r="BP32" s="759">
        <f t="shared" si="41"/>
        <v>0</v>
      </c>
      <c r="BR32" s="758"/>
    </row>
    <row r="33" spans="2:70" s="96" customFormat="1" x14ac:dyDescent="0.15">
      <c r="B33" s="759" t="s">
        <v>287</v>
      </c>
      <c r="C33" s="759">
        <v>49.088000000000001</v>
      </c>
      <c r="D33" s="96">
        <v>31.983000000000001</v>
      </c>
      <c r="E33" s="96">
        <v>30.379000000000001</v>
      </c>
      <c r="F33" s="96">
        <v>36.582000000000001</v>
      </c>
      <c r="G33" s="96">
        <v>40.435000000000002</v>
      </c>
      <c r="H33" s="759">
        <f t="shared" si="26"/>
        <v>40.435000000000002</v>
      </c>
      <c r="I33" s="96">
        <v>32.082999999999998</v>
      </c>
      <c r="J33" s="96">
        <v>26.914000000000001</v>
      </c>
      <c r="K33" s="96">
        <v>27.486999999999998</v>
      </c>
      <c r="L33" s="96">
        <v>21.834</v>
      </c>
      <c r="M33" s="759">
        <f t="shared" si="27"/>
        <v>21.834</v>
      </c>
      <c r="N33" s="96">
        <v>20.489000000000001</v>
      </c>
      <c r="O33" s="96">
        <v>21.131</v>
      </c>
      <c r="P33" s="96">
        <v>23.326000000000001</v>
      </c>
      <c r="Q33" s="96">
        <v>21.52</v>
      </c>
      <c r="R33" s="759">
        <f t="shared" si="28"/>
        <v>21.52</v>
      </c>
      <c r="S33" s="96">
        <v>22.844999999999999</v>
      </c>
      <c r="T33" s="96">
        <v>19.062000000000001</v>
      </c>
      <c r="U33" s="96">
        <v>14.747</v>
      </c>
      <c r="V33" s="96">
        <v>12.782999999999999</v>
      </c>
      <c r="W33" s="759">
        <f t="shared" si="29"/>
        <v>12.782999999999999</v>
      </c>
      <c r="X33" s="96">
        <v>8.7309999999999999</v>
      </c>
      <c r="Y33" s="96">
        <v>7.0309999999999997</v>
      </c>
      <c r="Z33" s="96">
        <v>18.141999999999999</v>
      </c>
      <c r="AA33" s="96">
        <v>7.032</v>
      </c>
      <c r="AB33" s="759">
        <f t="shared" si="30"/>
        <v>7.032</v>
      </c>
      <c r="AC33" s="96">
        <v>0</v>
      </c>
      <c r="AD33" s="96">
        <v>0</v>
      </c>
      <c r="AE33" s="96">
        <v>0</v>
      </c>
      <c r="AF33" s="96">
        <v>0</v>
      </c>
      <c r="AG33" s="759">
        <f t="shared" si="31"/>
        <v>0</v>
      </c>
      <c r="AH33" s="96">
        <v>0</v>
      </c>
      <c r="AI33" s="96">
        <v>0</v>
      </c>
      <c r="AJ33" s="96">
        <v>0</v>
      </c>
      <c r="AK33" s="96">
        <f t="shared" si="42"/>
        <v>0</v>
      </c>
      <c r="AL33" s="759">
        <f t="shared" si="32"/>
        <v>0</v>
      </c>
      <c r="AM33" s="96">
        <f t="shared" si="36"/>
        <v>0</v>
      </c>
      <c r="AN33" s="96">
        <f t="shared" si="37"/>
        <v>0</v>
      </c>
      <c r="AO33" s="96">
        <v>0</v>
      </c>
      <c r="AP33" s="96">
        <f t="shared" si="37"/>
        <v>0</v>
      </c>
      <c r="AQ33" s="759">
        <f t="shared" si="33"/>
        <v>0</v>
      </c>
      <c r="AR33" s="96">
        <f t="shared" si="33"/>
        <v>0</v>
      </c>
      <c r="AS33" s="96">
        <f t="shared" si="33"/>
        <v>0</v>
      </c>
      <c r="AT33" s="96">
        <f t="shared" si="33"/>
        <v>0</v>
      </c>
      <c r="AU33" s="96">
        <f t="shared" si="33"/>
        <v>0</v>
      </c>
      <c r="AV33" s="759">
        <f t="shared" si="35"/>
        <v>0</v>
      </c>
      <c r="BA33" s="759">
        <f t="shared" si="38"/>
        <v>0</v>
      </c>
      <c r="BF33" s="759">
        <f t="shared" si="39"/>
        <v>0</v>
      </c>
      <c r="BK33" s="759">
        <f t="shared" si="40"/>
        <v>0</v>
      </c>
      <c r="BP33" s="759">
        <f t="shared" si="41"/>
        <v>0</v>
      </c>
      <c r="BR33" s="758"/>
    </row>
    <row r="34" spans="2:70" s="96" customFormat="1" x14ac:dyDescent="0.15">
      <c r="B34" s="759" t="s">
        <v>288</v>
      </c>
      <c r="C34" s="759"/>
      <c r="H34" s="759"/>
      <c r="M34" s="759"/>
      <c r="P34" s="96">
        <v>5.6859999999999999</v>
      </c>
      <c r="Q34" s="96">
        <f>0.799+0.646</f>
        <v>1.4450000000000001</v>
      </c>
      <c r="R34" s="759">
        <f t="shared" si="28"/>
        <v>1.4450000000000001</v>
      </c>
      <c r="S34" s="96">
        <f>1.888+0.646</f>
        <v>2.5339999999999998</v>
      </c>
      <c r="T34" s="96">
        <v>3.7669999999999999</v>
      </c>
      <c r="U34" s="96">
        <v>4.0629999999999997</v>
      </c>
      <c r="V34" s="96">
        <v>4.4379999999999997</v>
      </c>
      <c r="W34" s="759">
        <f t="shared" si="29"/>
        <v>4.4379999999999997</v>
      </c>
      <c r="X34" s="96">
        <v>3.9569999999999999</v>
      </c>
      <c r="Y34" s="96">
        <v>7.5250000000000004</v>
      </c>
      <c r="Z34" s="96">
        <v>8.7859999999999996</v>
      </c>
      <c r="AA34" s="96">
        <v>4.4029999999999996</v>
      </c>
      <c r="AB34" s="759">
        <f t="shared" si="30"/>
        <v>4.4029999999999996</v>
      </c>
      <c r="AC34" s="96">
        <v>4.2910000000000004</v>
      </c>
      <c r="AD34" s="96">
        <v>4.3630000000000004</v>
      </c>
      <c r="AE34" s="96">
        <v>64.191000000000003</v>
      </c>
      <c r="AF34" s="96">
        <v>66.016999999999996</v>
      </c>
      <c r="AG34" s="759">
        <f t="shared" si="31"/>
        <v>66.016999999999996</v>
      </c>
      <c r="AH34" s="96">
        <v>10.8</v>
      </c>
      <c r="AI34" s="96">
        <f>11</f>
        <v>11</v>
      </c>
      <c r="AJ34" s="96">
        <f>19</f>
        <v>19</v>
      </c>
      <c r="AK34" s="96">
        <v>10.7</v>
      </c>
      <c r="AL34" s="759">
        <f t="shared" si="32"/>
        <v>10.7</v>
      </c>
      <c r="AM34" s="96">
        <v>11.1</v>
      </c>
      <c r="AN34" s="96">
        <v>38.200000000000003</v>
      </c>
      <c r="AO34" s="96">
        <v>11.6</v>
      </c>
      <c r="AP34" s="96">
        <f t="shared" si="37"/>
        <v>11.6</v>
      </c>
      <c r="AQ34" s="759">
        <f t="shared" si="33"/>
        <v>11.6</v>
      </c>
      <c r="AR34" s="96">
        <f t="shared" si="33"/>
        <v>11.6</v>
      </c>
      <c r="AS34" s="96">
        <f t="shared" si="33"/>
        <v>11.6</v>
      </c>
      <c r="AT34" s="96">
        <f t="shared" si="33"/>
        <v>11.6</v>
      </c>
      <c r="AU34" s="96">
        <f t="shared" si="33"/>
        <v>11.6</v>
      </c>
      <c r="AV34" s="759">
        <f t="shared" si="35"/>
        <v>11.6</v>
      </c>
      <c r="BA34" s="759">
        <f t="shared" si="38"/>
        <v>11.6</v>
      </c>
      <c r="BF34" s="759">
        <f t="shared" si="39"/>
        <v>11.6</v>
      </c>
      <c r="BK34" s="759">
        <f t="shared" si="40"/>
        <v>11.6</v>
      </c>
      <c r="BP34" s="759">
        <f t="shared" si="41"/>
        <v>11.6</v>
      </c>
      <c r="BR34" s="758"/>
    </row>
    <row r="35" spans="2:70" s="96" customFormat="1" x14ac:dyDescent="0.15">
      <c r="B35" s="759" t="s">
        <v>289</v>
      </c>
      <c r="C35" s="759">
        <v>0</v>
      </c>
      <c r="D35" s="96">
        <v>0</v>
      </c>
      <c r="E35" s="96">
        <v>0</v>
      </c>
      <c r="F35" s="96">
        <v>0</v>
      </c>
      <c r="G35" s="96">
        <v>0</v>
      </c>
      <c r="H35" s="759">
        <f t="shared" si="26"/>
        <v>0</v>
      </c>
      <c r="I35" s="96">
        <v>0</v>
      </c>
      <c r="J35" s="96">
        <v>11.708</v>
      </c>
      <c r="K35" s="96">
        <v>11.907</v>
      </c>
      <c r="L35" s="96">
        <v>12.11</v>
      </c>
      <c r="M35" s="759">
        <f t="shared" si="27"/>
        <v>12.11</v>
      </c>
      <c r="N35" s="96">
        <v>12.316000000000001</v>
      </c>
      <c r="O35" s="96">
        <v>16.283999999999999</v>
      </c>
      <c r="P35" s="96">
        <v>121.59</v>
      </c>
      <c r="Q35" s="96">
        <v>116.9</v>
      </c>
      <c r="R35" s="759">
        <f t="shared" si="28"/>
        <v>116.9</v>
      </c>
      <c r="S35" s="96">
        <v>17.224</v>
      </c>
      <c r="T35" s="96">
        <v>17.5</v>
      </c>
      <c r="U35" s="96">
        <v>38.942999999999998</v>
      </c>
      <c r="V35" s="96">
        <v>111.25</v>
      </c>
      <c r="W35" s="759">
        <f t="shared" si="29"/>
        <v>111.25</v>
      </c>
      <c r="X35" s="96">
        <v>145.06200000000001</v>
      </c>
      <c r="Y35" s="96">
        <v>195.154</v>
      </c>
      <c r="Z35" s="96">
        <v>207.68799999999999</v>
      </c>
      <c r="AA35" s="96">
        <v>480.18200000000002</v>
      </c>
      <c r="AB35" s="759">
        <f t="shared" si="30"/>
        <v>480.18200000000002</v>
      </c>
      <c r="AC35" s="96">
        <v>289.67599999999999</v>
      </c>
      <c r="AD35" s="96">
        <v>346.875</v>
      </c>
      <c r="AE35" s="96">
        <v>360.964</v>
      </c>
      <c r="AF35" s="96">
        <v>204.756</v>
      </c>
      <c r="AG35" s="759">
        <f t="shared" si="31"/>
        <v>204.756</v>
      </c>
      <c r="AH35" s="96">
        <v>238.9</v>
      </c>
      <c r="AI35" s="96">
        <f>266.7</f>
        <v>266.7</v>
      </c>
      <c r="AJ35" s="96">
        <f>690.6</f>
        <v>690.6</v>
      </c>
      <c r="AK35" s="96">
        <v>0.9</v>
      </c>
      <c r="AL35" s="759">
        <f t="shared" si="32"/>
        <v>0.9</v>
      </c>
      <c r="AM35" s="96">
        <v>122.8</v>
      </c>
      <c r="AN35" s="96">
        <v>590.9</v>
      </c>
      <c r="AO35" s="96">
        <v>707</v>
      </c>
      <c r="AP35" s="96">
        <f t="shared" si="37"/>
        <v>707</v>
      </c>
      <c r="AQ35" s="759">
        <f t="shared" si="33"/>
        <v>707</v>
      </c>
      <c r="AR35" s="96">
        <f t="shared" si="33"/>
        <v>707</v>
      </c>
      <c r="AS35" s="96">
        <f t="shared" si="33"/>
        <v>707</v>
      </c>
      <c r="AT35" s="96">
        <f t="shared" si="33"/>
        <v>707</v>
      </c>
      <c r="AU35" s="96">
        <f t="shared" si="33"/>
        <v>707</v>
      </c>
      <c r="AV35" s="759">
        <f t="shared" si="35"/>
        <v>707</v>
      </c>
      <c r="BA35" s="759">
        <f t="shared" si="38"/>
        <v>707</v>
      </c>
      <c r="BF35" s="759">
        <f t="shared" si="39"/>
        <v>707</v>
      </c>
      <c r="BK35" s="759">
        <f t="shared" si="40"/>
        <v>707</v>
      </c>
      <c r="BP35" s="759">
        <f t="shared" si="41"/>
        <v>707</v>
      </c>
      <c r="BR35" s="758"/>
    </row>
    <row r="36" spans="2:70" s="96" customFormat="1" x14ac:dyDescent="0.15">
      <c r="B36" s="759" t="s">
        <v>290</v>
      </c>
      <c r="C36" s="759"/>
      <c r="H36" s="759"/>
      <c r="M36" s="759"/>
      <c r="R36" s="759"/>
      <c r="T36" s="96">
        <v>111.00700000000001</v>
      </c>
      <c r="U36" s="96">
        <v>145.61099999999999</v>
      </c>
      <c r="V36" s="96">
        <v>100.26300000000001</v>
      </c>
      <c r="W36" s="759">
        <f t="shared" si="29"/>
        <v>100.26300000000001</v>
      </c>
      <c r="X36" s="96">
        <v>92.35</v>
      </c>
      <c r="Y36" s="96">
        <v>67.114999999999995</v>
      </c>
      <c r="Z36" s="96">
        <v>112.274</v>
      </c>
      <c r="AA36" s="96">
        <v>102.559</v>
      </c>
      <c r="AB36" s="759">
        <f t="shared" si="30"/>
        <v>102.559</v>
      </c>
      <c r="AC36" s="96">
        <v>97.516999999999996</v>
      </c>
      <c r="AD36" s="96">
        <v>91.028999999999996</v>
      </c>
      <c r="AE36" s="96">
        <v>125.524</v>
      </c>
      <c r="AF36" s="96">
        <v>114.46</v>
      </c>
      <c r="AG36" s="759">
        <f t="shared" si="31"/>
        <v>114.46</v>
      </c>
      <c r="AH36" s="96">
        <v>119.5</v>
      </c>
      <c r="AI36" s="96">
        <f>88.9</f>
        <v>88.9</v>
      </c>
      <c r="AJ36" s="96">
        <f>116.5</f>
        <v>116.5</v>
      </c>
      <c r="AK36" s="96">
        <v>141.80000000000001</v>
      </c>
      <c r="AL36" s="759">
        <f t="shared" si="32"/>
        <v>141.80000000000001</v>
      </c>
      <c r="AM36" s="96">
        <v>186.3</v>
      </c>
      <c r="AN36" s="96">
        <v>191.4</v>
      </c>
      <c r="AO36" s="96">
        <v>161.6</v>
      </c>
      <c r="AP36" s="96">
        <f t="shared" si="37"/>
        <v>161.6</v>
      </c>
      <c r="AQ36" s="759">
        <f t="shared" si="33"/>
        <v>161.6</v>
      </c>
      <c r="AR36" s="96">
        <f t="shared" si="33"/>
        <v>161.6</v>
      </c>
      <c r="AS36" s="96">
        <f t="shared" si="33"/>
        <v>161.6</v>
      </c>
      <c r="AT36" s="96">
        <f t="shared" si="33"/>
        <v>161.6</v>
      </c>
      <c r="AU36" s="96">
        <f t="shared" si="33"/>
        <v>161.6</v>
      </c>
      <c r="AV36" s="759">
        <f t="shared" si="35"/>
        <v>161.6</v>
      </c>
      <c r="BA36" s="759">
        <f t="shared" si="38"/>
        <v>161.6</v>
      </c>
      <c r="BF36" s="759">
        <f t="shared" si="39"/>
        <v>161.6</v>
      </c>
      <c r="BK36" s="759">
        <f t="shared" si="40"/>
        <v>161.6</v>
      </c>
      <c r="BP36" s="759">
        <f t="shared" si="41"/>
        <v>161.6</v>
      </c>
      <c r="BR36" s="758"/>
    </row>
    <row r="37" spans="2:70" s="96" customFormat="1" x14ac:dyDescent="0.15">
      <c r="B37" s="759" t="s">
        <v>291</v>
      </c>
      <c r="C37" s="759"/>
      <c r="H37" s="759"/>
      <c r="M37" s="759"/>
      <c r="R37" s="759"/>
      <c r="T37" s="96">
        <v>0.64600000000000002</v>
      </c>
      <c r="U37" s="96">
        <v>0.64600000000000002</v>
      </c>
      <c r="V37" s="96">
        <v>0.64600000000000002</v>
      </c>
      <c r="W37" s="759">
        <f t="shared" si="29"/>
        <v>0.64600000000000002</v>
      </c>
      <c r="X37" s="96">
        <v>0</v>
      </c>
      <c r="Y37" s="96">
        <v>0</v>
      </c>
      <c r="Z37" s="96">
        <v>0</v>
      </c>
      <c r="AA37" s="96">
        <v>0</v>
      </c>
      <c r="AB37" s="759">
        <f t="shared" si="30"/>
        <v>0</v>
      </c>
      <c r="AC37" s="96">
        <v>0</v>
      </c>
      <c r="AD37" s="96">
        <v>0</v>
      </c>
      <c r="AE37" s="96">
        <v>0</v>
      </c>
      <c r="AF37" s="96">
        <v>0</v>
      </c>
      <c r="AG37" s="759">
        <f t="shared" si="31"/>
        <v>0</v>
      </c>
      <c r="AH37" s="96">
        <v>0</v>
      </c>
      <c r="AI37" s="96">
        <v>0</v>
      </c>
      <c r="AJ37" s="96">
        <v>0</v>
      </c>
      <c r="AK37" s="96">
        <f t="shared" si="42"/>
        <v>0</v>
      </c>
      <c r="AL37" s="759">
        <f t="shared" si="32"/>
        <v>0</v>
      </c>
      <c r="AM37" s="96">
        <f t="shared" si="36"/>
        <v>0</v>
      </c>
      <c r="AN37" s="96">
        <f t="shared" si="37"/>
        <v>0</v>
      </c>
      <c r="AO37" s="96">
        <v>0</v>
      </c>
      <c r="AP37" s="96">
        <f t="shared" si="37"/>
        <v>0</v>
      </c>
      <c r="AQ37" s="759">
        <f t="shared" si="33"/>
        <v>0</v>
      </c>
      <c r="AR37" s="96">
        <f t="shared" si="33"/>
        <v>0</v>
      </c>
      <c r="AS37" s="96">
        <f t="shared" si="33"/>
        <v>0</v>
      </c>
      <c r="AT37" s="96">
        <f t="shared" si="33"/>
        <v>0</v>
      </c>
      <c r="AU37" s="96">
        <f t="shared" si="33"/>
        <v>0</v>
      </c>
      <c r="AV37" s="759">
        <f t="shared" si="35"/>
        <v>0</v>
      </c>
      <c r="BA37" s="759">
        <f>AV37</f>
        <v>0</v>
      </c>
      <c r="BF37" s="759">
        <f>BA37</f>
        <v>0</v>
      </c>
      <c r="BK37" s="759">
        <f>BF37</f>
        <v>0</v>
      </c>
      <c r="BP37" s="759">
        <f>BK37</f>
        <v>0</v>
      </c>
      <c r="BR37" s="758"/>
    </row>
    <row r="38" spans="2:70" s="761" customFormat="1" ht="15" x14ac:dyDescent="0.3">
      <c r="B38" s="760" t="s">
        <v>292</v>
      </c>
      <c r="C38" s="760">
        <v>0</v>
      </c>
      <c r="D38" s="761">
        <v>0</v>
      </c>
      <c r="E38" s="761">
        <v>0</v>
      </c>
      <c r="F38" s="761">
        <v>0</v>
      </c>
      <c r="G38" s="761">
        <v>0</v>
      </c>
      <c r="H38" s="760">
        <f t="shared" si="26"/>
        <v>0</v>
      </c>
      <c r="I38" s="761">
        <v>0</v>
      </c>
      <c r="J38" s="761">
        <v>0</v>
      </c>
      <c r="K38" s="761">
        <v>0</v>
      </c>
      <c r="L38" s="761">
        <v>0</v>
      </c>
      <c r="M38" s="760">
        <f t="shared" si="27"/>
        <v>0</v>
      </c>
      <c r="N38" s="761">
        <v>0</v>
      </c>
      <c r="O38" s="761">
        <v>1.083</v>
      </c>
      <c r="P38" s="761">
        <v>0</v>
      </c>
      <c r="Q38" s="761">
        <v>0</v>
      </c>
      <c r="R38" s="760">
        <f t="shared" si="28"/>
        <v>0</v>
      </c>
      <c r="S38" s="761">
        <v>0</v>
      </c>
      <c r="T38" s="761">
        <f>S38</f>
        <v>0</v>
      </c>
      <c r="U38" s="761">
        <v>0</v>
      </c>
      <c r="V38" s="761">
        <v>0</v>
      </c>
      <c r="W38" s="760">
        <f t="shared" si="29"/>
        <v>0</v>
      </c>
      <c r="X38" s="761">
        <v>0</v>
      </c>
      <c r="Y38" s="761">
        <v>0</v>
      </c>
      <c r="Z38" s="761">
        <v>0</v>
      </c>
      <c r="AA38" s="761">
        <v>0</v>
      </c>
      <c r="AB38" s="760">
        <f t="shared" si="30"/>
        <v>0</v>
      </c>
      <c r="AC38" s="761">
        <v>0</v>
      </c>
      <c r="AD38" s="761">
        <v>0</v>
      </c>
      <c r="AE38" s="761">
        <v>0</v>
      </c>
      <c r="AF38" s="761">
        <v>0</v>
      </c>
      <c r="AG38" s="760">
        <f t="shared" si="31"/>
        <v>0</v>
      </c>
      <c r="AH38" s="761">
        <v>0</v>
      </c>
      <c r="AI38" s="761">
        <f>27.1</f>
        <v>27.1</v>
      </c>
      <c r="AJ38" s="761">
        <v>0</v>
      </c>
      <c r="AK38" s="761">
        <f t="shared" si="42"/>
        <v>0</v>
      </c>
      <c r="AL38" s="760">
        <f t="shared" si="32"/>
        <v>0</v>
      </c>
      <c r="AM38" s="761">
        <f t="shared" si="36"/>
        <v>0</v>
      </c>
      <c r="AN38" s="761">
        <f t="shared" si="37"/>
        <v>0</v>
      </c>
      <c r="AO38" s="761">
        <v>0</v>
      </c>
      <c r="AP38" s="761">
        <f t="shared" si="37"/>
        <v>0</v>
      </c>
      <c r="AQ38" s="760">
        <f t="shared" si="33"/>
        <v>0</v>
      </c>
      <c r="AR38" s="761">
        <f t="shared" si="33"/>
        <v>0</v>
      </c>
      <c r="AS38" s="761">
        <f t="shared" si="33"/>
        <v>0</v>
      </c>
      <c r="AT38" s="761">
        <f t="shared" si="33"/>
        <v>0</v>
      </c>
      <c r="AU38" s="761">
        <f t="shared" si="33"/>
        <v>0</v>
      </c>
      <c r="AV38" s="760">
        <f t="shared" si="35"/>
        <v>0</v>
      </c>
      <c r="BA38" s="760">
        <f>AV38</f>
        <v>0</v>
      </c>
      <c r="BF38" s="760">
        <f>BA38</f>
        <v>0</v>
      </c>
      <c r="BK38" s="760">
        <f>BF38</f>
        <v>0</v>
      </c>
      <c r="BP38" s="760">
        <f>BK38</f>
        <v>0</v>
      </c>
      <c r="BR38" s="758"/>
    </row>
    <row r="39" spans="2:70" s="96" customFormat="1" x14ac:dyDescent="0.15">
      <c r="B39" s="762" t="s">
        <v>293</v>
      </c>
      <c r="C39" s="762">
        <f t="shared" ref="C39:R39" si="43">SUM(C28:C38)</f>
        <v>367.57799999999997</v>
      </c>
      <c r="D39" s="763">
        <f t="shared" si="43"/>
        <v>390.22500000000002</v>
      </c>
      <c r="E39" s="763">
        <f t="shared" si="43"/>
        <v>350.97500000000002</v>
      </c>
      <c r="F39" s="763">
        <f t="shared" si="43"/>
        <v>188.29</v>
      </c>
      <c r="G39" s="763">
        <f t="shared" si="43"/>
        <v>267.166</v>
      </c>
      <c r="H39" s="762">
        <f t="shared" si="43"/>
        <v>267.166</v>
      </c>
      <c r="I39" s="763">
        <f t="shared" si="43"/>
        <v>230.22500000000002</v>
      </c>
      <c r="J39" s="763">
        <f t="shared" si="43"/>
        <v>217.00899999999999</v>
      </c>
      <c r="K39" s="763">
        <f t="shared" si="43"/>
        <v>219.387</v>
      </c>
      <c r="L39" s="763">
        <f t="shared" si="43"/>
        <v>256.90600000000001</v>
      </c>
      <c r="M39" s="762">
        <f t="shared" si="43"/>
        <v>256.90600000000001</v>
      </c>
      <c r="N39" s="763">
        <f t="shared" si="43"/>
        <v>207.71200000000002</v>
      </c>
      <c r="O39" s="763">
        <f t="shared" si="43"/>
        <v>234.23600000000002</v>
      </c>
      <c r="P39" s="763">
        <f t="shared" si="43"/>
        <v>845.92200000000003</v>
      </c>
      <c r="Q39" s="763">
        <f t="shared" si="43"/>
        <v>692.45600000000002</v>
      </c>
      <c r="R39" s="762">
        <f t="shared" si="43"/>
        <v>692.45600000000002</v>
      </c>
      <c r="S39" s="763">
        <f t="shared" ref="S39:AU39" si="44">SUM(S28:S38)</f>
        <v>661.46600000000001</v>
      </c>
      <c r="T39" s="763">
        <f t="shared" si="44"/>
        <v>761.89400000000001</v>
      </c>
      <c r="U39" s="763">
        <f t="shared" si="44"/>
        <v>862.66699999999992</v>
      </c>
      <c r="V39" s="763">
        <f t="shared" si="44"/>
        <v>924.27200000000005</v>
      </c>
      <c r="W39" s="762">
        <f t="shared" si="44"/>
        <v>924.27200000000005</v>
      </c>
      <c r="X39" s="763">
        <f t="shared" si="44"/>
        <v>957.93200000000002</v>
      </c>
      <c r="Y39" s="763">
        <f t="shared" si="44"/>
        <v>1049.1969999999999</v>
      </c>
      <c r="Z39" s="763">
        <f t="shared" si="44"/>
        <v>1158.5079999999998</v>
      </c>
      <c r="AA39" s="763">
        <f t="shared" si="44"/>
        <v>1822.752</v>
      </c>
      <c r="AB39" s="762">
        <f t="shared" si="44"/>
        <v>1822.752</v>
      </c>
      <c r="AC39" s="763">
        <f t="shared" si="44"/>
        <v>1646.1279999999999</v>
      </c>
      <c r="AD39" s="763">
        <f t="shared" si="44"/>
        <v>1761.818</v>
      </c>
      <c r="AE39" s="763">
        <f t="shared" si="44"/>
        <v>2853.0819999999999</v>
      </c>
      <c r="AF39" s="763">
        <f t="shared" si="44"/>
        <v>2512.3959999999997</v>
      </c>
      <c r="AG39" s="762">
        <f t="shared" si="44"/>
        <v>2512.3959999999997</v>
      </c>
      <c r="AH39" s="763">
        <f t="shared" si="44"/>
        <v>2563.0000000000005</v>
      </c>
      <c r="AI39" s="763">
        <f>SUM(AI28:AI38)</f>
        <v>2496.2999999999997</v>
      </c>
      <c r="AJ39" s="763">
        <f t="shared" si="44"/>
        <v>3143.3</v>
      </c>
      <c r="AK39" s="763">
        <f t="shared" si="44"/>
        <v>2730.8</v>
      </c>
      <c r="AL39" s="762">
        <f t="shared" si="44"/>
        <v>2730.8</v>
      </c>
      <c r="AM39" s="763">
        <f t="shared" si="44"/>
        <v>3097.1000000000004</v>
      </c>
      <c r="AN39" s="763">
        <f t="shared" si="44"/>
        <v>4290.9999999999991</v>
      </c>
      <c r="AO39" s="763">
        <f t="shared" si="44"/>
        <v>4650.5</v>
      </c>
      <c r="AP39" s="763">
        <f t="shared" si="44"/>
        <v>4703.1333333333332</v>
      </c>
      <c r="AQ39" s="762">
        <f t="shared" si="44"/>
        <v>4703.1333333333332</v>
      </c>
      <c r="AR39" s="763">
        <f t="shared" si="44"/>
        <v>4599.9867626666673</v>
      </c>
      <c r="AS39" s="763">
        <f t="shared" si="44"/>
        <v>4631.3770062222229</v>
      </c>
      <c r="AT39" s="763">
        <f t="shared" si="44"/>
        <v>4637.7669368888892</v>
      </c>
      <c r="AU39" s="763">
        <f t="shared" si="44"/>
        <v>4679.4427164444442</v>
      </c>
      <c r="AV39" s="762">
        <f>SUM(AV28:AV38)</f>
        <v>4679.4427164444442</v>
      </c>
      <c r="BA39" s="762">
        <f>SUM(BA28:BA38)</f>
        <v>4756.5642296694441</v>
      </c>
      <c r="BF39" s="762">
        <f>SUM(BF28:BF38)</f>
        <v>4780.3509654818554</v>
      </c>
      <c r="BK39" s="762">
        <f>SUM(BK28:BK38)</f>
        <v>4801.5602194688709</v>
      </c>
      <c r="BP39" s="762">
        <f>SUM(BP28:BP38)</f>
        <v>4815.435522113351</v>
      </c>
      <c r="BR39" s="758"/>
    </row>
    <row r="40" spans="2:70" s="96" customFormat="1" x14ac:dyDescent="0.15">
      <c r="B40" s="759" t="s">
        <v>287</v>
      </c>
      <c r="C40" s="759">
        <v>55.652999999999999</v>
      </c>
      <c r="D40" s="96">
        <v>51.185000000000002</v>
      </c>
      <c r="E40" s="96">
        <v>46.718000000000004</v>
      </c>
      <c r="F40" s="96">
        <v>89.251000000000005</v>
      </c>
      <c r="G40" s="96">
        <v>84.953000000000003</v>
      </c>
      <c r="H40" s="759">
        <f t="shared" si="26"/>
        <v>84.953000000000003</v>
      </c>
      <c r="I40" s="96">
        <v>80.177000000000007</v>
      </c>
      <c r="J40" s="96">
        <v>78.027000000000001</v>
      </c>
      <c r="K40" s="96">
        <v>74.927000000000007</v>
      </c>
      <c r="L40" s="96">
        <v>69.247</v>
      </c>
      <c r="M40" s="759">
        <f t="shared" si="27"/>
        <v>69.247</v>
      </c>
      <c r="N40" s="96">
        <v>64.346000000000004</v>
      </c>
      <c r="O40" s="96">
        <v>59.445999999999998</v>
      </c>
      <c r="P40" s="96">
        <v>55.031999999999996</v>
      </c>
      <c r="Q40" s="96">
        <v>50.021000000000001</v>
      </c>
      <c r="R40" s="759">
        <f>Q40</f>
        <v>50.021000000000001</v>
      </c>
      <c r="S40" s="96">
        <v>45.021000000000001</v>
      </c>
      <c r="T40" s="96">
        <v>42.506</v>
      </c>
      <c r="U40" s="96">
        <v>41.408999999999999</v>
      </c>
      <c r="V40" s="96">
        <v>38.152999999999999</v>
      </c>
      <c r="W40" s="759">
        <f t="shared" si="29"/>
        <v>38.152999999999999</v>
      </c>
      <c r="X40" s="96">
        <v>33.973999999999997</v>
      </c>
      <c r="Y40" s="96">
        <v>37.901000000000003</v>
      </c>
      <c r="Z40" s="96">
        <v>36.726999999999997</v>
      </c>
      <c r="AA40" s="96">
        <v>36.127000000000002</v>
      </c>
      <c r="AB40" s="759">
        <f>AA40</f>
        <v>36.127000000000002</v>
      </c>
      <c r="AC40" s="96">
        <v>0</v>
      </c>
      <c r="AD40" s="96">
        <v>0</v>
      </c>
      <c r="AE40" s="96">
        <v>0</v>
      </c>
      <c r="AF40" s="96">
        <v>0</v>
      </c>
      <c r="AG40" s="759">
        <f>AF40</f>
        <v>0</v>
      </c>
      <c r="AH40" s="96">
        <v>0</v>
      </c>
      <c r="AI40" s="96">
        <v>0</v>
      </c>
      <c r="AJ40" s="96">
        <v>0</v>
      </c>
      <c r="AK40" s="96">
        <f>AJ40</f>
        <v>0</v>
      </c>
      <c r="AL40" s="759">
        <f>AK40</f>
        <v>0</v>
      </c>
      <c r="AM40" s="96">
        <f>AK40</f>
        <v>0</v>
      </c>
      <c r="AN40" s="96">
        <f t="shared" ref="AN40:AV41" si="45">AM40</f>
        <v>0</v>
      </c>
      <c r="AO40" s="96">
        <v>0</v>
      </c>
      <c r="AP40" s="96">
        <f t="shared" si="45"/>
        <v>0</v>
      </c>
      <c r="AQ40" s="759">
        <f t="shared" si="45"/>
        <v>0</v>
      </c>
      <c r="AR40" s="96">
        <f t="shared" si="45"/>
        <v>0</v>
      </c>
      <c r="AS40" s="96">
        <f t="shared" si="45"/>
        <v>0</v>
      </c>
      <c r="AT40" s="96">
        <f t="shared" si="45"/>
        <v>0</v>
      </c>
      <c r="AU40" s="96">
        <f t="shared" si="45"/>
        <v>0</v>
      </c>
      <c r="AV40" s="759">
        <f t="shared" si="45"/>
        <v>0</v>
      </c>
      <c r="BA40" s="759">
        <f>AV40</f>
        <v>0</v>
      </c>
      <c r="BF40" s="759">
        <f>BA40</f>
        <v>0</v>
      </c>
      <c r="BK40" s="759">
        <f>BF40</f>
        <v>0</v>
      </c>
      <c r="BP40" s="759">
        <f>BK40</f>
        <v>0</v>
      </c>
      <c r="BR40" s="758"/>
    </row>
    <row r="41" spans="2:70" s="96" customFormat="1" x14ac:dyDescent="0.15">
      <c r="B41" s="759" t="s">
        <v>286</v>
      </c>
      <c r="C41" s="759">
        <v>54.1</v>
      </c>
      <c r="D41" s="96">
        <v>50.8</v>
      </c>
      <c r="E41" s="96">
        <v>52</v>
      </c>
      <c r="F41" s="96">
        <v>53</v>
      </c>
      <c r="G41" s="96">
        <v>63.7</v>
      </c>
      <c r="H41" s="759">
        <f t="shared" si="26"/>
        <v>63.7</v>
      </c>
      <c r="I41" s="96">
        <v>63.7</v>
      </c>
      <c r="J41" s="96">
        <v>63.7</v>
      </c>
      <c r="K41" s="96">
        <v>63.7</v>
      </c>
      <c r="L41" s="96">
        <v>66.2</v>
      </c>
      <c r="M41" s="759">
        <f t="shared" si="27"/>
        <v>66.2</v>
      </c>
      <c r="N41" s="96">
        <v>66.2</v>
      </c>
      <c r="O41" s="96">
        <v>66.900000000000006</v>
      </c>
      <c r="P41" s="96">
        <v>93.655000000000001</v>
      </c>
      <c r="Q41" s="96">
        <v>96.102000000000004</v>
      </c>
      <c r="R41" s="759">
        <f>Q41</f>
        <v>96.102000000000004</v>
      </c>
      <c r="S41" s="96">
        <v>0</v>
      </c>
      <c r="T41" s="96">
        <v>0</v>
      </c>
      <c r="U41" s="96">
        <v>0</v>
      </c>
      <c r="V41" s="96">
        <v>0</v>
      </c>
      <c r="W41" s="759">
        <f>V41</f>
        <v>0</v>
      </c>
      <c r="X41" s="96">
        <v>0</v>
      </c>
      <c r="Y41" s="96">
        <v>0</v>
      </c>
      <c r="Z41" s="96">
        <v>0</v>
      </c>
      <c r="AA41" s="96">
        <v>0</v>
      </c>
      <c r="AB41" s="759">
        <f>AA41</f>
        <v>0</v>
      </c>
      <c r="AC41" s="96">
        <v>0</v>
      </c>
      <c r="AD41" s="96">
        <v>0</v>
      </c>
      <c r="AE41" s="96">
        <v>0</v>
      </c>
      <c r="AF41" s="96">
        <v>0</v>
      </c>
      <c r="AG41" s="759">
        <f>AF41</f>
        <v>0</v>
      </c>
      <c r="AH41" s="96">
        <v>0</v>
      </c>
      <c r="AI41" s="96">
        <v>0</v>
      </c>
      <c r="AJ41" s="96">
        <v>0</v>
      </c>
      <c r="AK41" s="96">
        <f>AJ41</f>
        <v>0</v>
      </c>
      <c r="AL41" s="759">
        <f>AK41</f>
        <v>0</v>
      </c>
      <c r="AM41" s="96">
        <f>AK41</f>
        <v>0</v>
      </c>
      <c r="AN41" s="96">
        <f t="shared" si="45"/>
        <v>0</v>
      </c>
      <c r="AO41" s="96">
        <v>0</v>
      </c>
      <c r="AP41" s="96">
        <f t="shared" si="45"/>
        <v>0</v>
      </c>
      <c r="AQ41" s="759">
        <f t="shared" si="45"/>
        <v>0</v>
      </c>
      <c r="AR41" s="96">
        <f t="shared" si="45"/>
        <v>0</v>
      </c>
      <c r="AS41" s="96">
        <f t="shared" si="45"/>
        <v>0</v>
      </c>
      <c r="AT41" s="96">
        <f t="shared" si="45"/>
        <v>0</v>
      </c>
      <c r="AU41" s="96">
        <f t="shared" si="45"/>
        <v>0</v>
      </c>
      <c r="AV41" s="759">
        <f t="shared" si="45"/>
        <v>0</v>
      </c>
      <c r="BA41" s="759">
        <f>AV41</f>
        <v>0</v>
      </c>
      <c r="BF41" s="759">
        <f>BA41</f>
        <v>0</v>
      </c>
      <c r="BK41" s="759">
        <f>BF41</f>
        <v>0</v>
      </c>
      <c r="BP41" s="759">
        <f>BK41</f>
        <v>0</v>
      </c>
      <c r="BR41" s="758"/>
    </row>
    <row r="42" spans="2:70" s="96" customFormat="1" x14ac:dyDescent="0.15">
      <c r="B42" s="759" t="s">
        <v>294</v>
      </c>
      <c r="C42" s="759">
        <v>0</v>
      </c>
      <c r="D42" s="96">
        <v>0</v>
      </c>
      <c r="E42" s="96">
        <v>0</v>
      </c>
      <c r="F42" s="96">
        <v>0</v>
      </c>
      <c r="G42" s="96">
        <v>0</v>
      </c>
      <c r="H42" s="759">
        <f t="shared" si="26"/>
        <v>0</v>
      </c>
      <c r="I42" s="96">
        <v>0</v>
      </c>
      <c r="J42" s="96">
        <v>438.95499999999998</v>
      </c>
      <c r="K42" s="96">
        <v>366.43799999999999</v>
      </c>
      <c r="L42" s="96">
        <v>313.97500000000002</v>
      </c>
      <c r="M42" s="759">
        <f t="shared" si="27"/>
        <v>313.97500000000002</v>
      </c>
      <c r="N42" s="96">
        <v>316.57</v>
      </c>
      <c r="O42" s="96">
        <v>302.93900000000002</v>
      </c>
      <c r="P42" s="96">
        <v>3113.96</v>
      </c>
      <c r="Q42" s="145">
        <v>3478.377</v>
      </c>
      <c r="R42" s="144">
        <f>Q42</f>
        <v>3478.377</v>
      </c>
      <c r="S42" s="96">
        <v>4699.1469999999999</v>
      </c>
      <c r="T42" s="96">
        <v>4529.2889999999998</v>
      </c>
      <c r="U42" s="145">
        <v>5187.9679999999998</v>
      </c>
      <c r="V42" s="145">
        <v>6539.7610000000004</v>
      </c>
      <c r="W42" s="144">
        <f>V42</f>
        <v>6539.7610000000004</v>
      </c>
      <c r="X42" s="145">
        <v>6851.0129999999999</v>
      </c>
      <c r="Y42" s="145">
        <v>7356.0209999999997</v>
      </c>
      <c r="Z42" s="145">
        <v>7422.558</v>
      </c>
      <c r="AA42" s="145">
        <v>10535.442999999999</v>
      </c>
      <c r="AB42" s="144">
        <f>AA42</f>
        <v>10535.442999999999</v>
      </c>
      <c r="AC42" s="145">
        <v>10327.444</v>
      </c>
      <c r="AD42" s="145">
        <v>10447.23</v>
      </c>
      <c r="AE42" s="145">
        <v>17043.75</v>
      </c>
      <c r="AF42" s="145">
        <v>17162.946</v>
      </c>
      <c r="AG42" s="144">
        <f>AF42</f>
        <v>17162.946</v>
      </c>
      <c r="AH42" s="145">
        <v>17148</v>
      </c>
      <c r="AI42" s="145">
        <f>17058.8</f>
        <v>17058.8</v>
      </c>
      <c r="AJ42" s="145">
        <f>15584.3</f>
        <v>15584.3</v>
      </c>
      <c r="AK42" s="145">
        <v>15253.7</v>
      </c>
      <c r="AL42" s="144">
        <f>AK42</f>
        <v>15253.7</v>
      </c>
      <c r="AM42" s="145">
        <v>25897.9</v>
      </c>
      <c r="AN42" s="145">
        <v>30290.2</v>
      </c>
      <c r="AO42" s="145">
        <v>30176.3</v>
      </c>
      <c r="AP42" s="145">
        <f>AO42+AP71</f>
        <v>31076.3</v>
      </c>
      <c r="AQ42" s="144">
        <f>AP42</f>
        <v>31076.3</v>
      </c>
      <c r="AR42" s="145">
        <f t="shared" ref="AR42:AU42" si="46">AQ42+AR71</f>
        <v>30671.3</v>
      </c>
      <c r="AS42" s="145">
        <f t="shared" si="46"/>
        <v>30271.3</v>
      </c>
      <c r="AT42" s="145">
        <f t="shared" si="46"/>
        <v>29821.3</v>
      </c>
      <c r="AU42" s="145">
        <f t="shared" si="46"/>
        <v>29371.3</v>
      </c>
      <c r="AV42" s="144">
        <f>AU42</f>
        <v>29371.3</v>
      </c>
      <c r="AW42" s="145"/>
      <c r="AX42" s="145"/>
      <c r="AY42" s="145"/>
      <c r="AZ42" s="145"/>
      <c r="BA42" s="144">
        <f>AV42+BA71</f>
        <v>26871.3</v>
      </c>
      <c r="BB42" s="145"/>
      <c r="BC42" s="145"/>
      <c r="BD42" s="145"/>
      <c r="BE42" s="145"/>
      <c r="BF42" s="144">
        <f>BA42+BF71</f>
        <v>24371.3</v>
      </c>
      <c r="BG42" s="145"/>
      <c r="BH42" s="145"/>
      <c r="BI42" s="145"/>
      <c r="BJ42" s="145"/>
      <c r="BK42" s="144">
        <f>BF42+BK71</f>
        <v>21621.3</v>
      </c>
      <c r="BL42" s="145"/>
      <c r="BM42" s="145"/>
      <c r="BN42" s="145"/>
      <c r="BO42" s="145"/>
      <c r="BP42" s="144">
        <f>BK42+BP71</f>
        <v>18621.3</v>
      </c>
      <c r="BR42" s="758"/>
    </row>
    <row r="43" spans="2:70" s="96" customFormat="1" x14ac:dyDescent="0.15">
      <c r="B43" s="759" t="s">
        <v>288</v>
      </c>
      <c r="C43" s="759"/>
      <c r="H43" s="759"/>
      <c r="M43" s="759"/>
      <c r="P43" s="96">
        <v>1549.578</v>
      </c>
      <c r="Q43" s="145">
        <v>1436.7429999999999</v>
      </c>
      <c r="R43" s="144">
        <f>Q43</f>
        <v>1436.7429999999999</v>
      </c>
      <c r="S43" s="96">
        <v>1275.7170000000001</v>
      </c>
      <c r="T43" s="145">
        <v>1251.086</v>
      </c>
      <c r="U43" s="145">
        <v>1177.905</v>
      </c>
      <c r="V43" s="145">
        <v>1144.914</v>
      </c>
      <c r="W43" s="144">
        <f>V43</f>
        <v>1144.914</v>
      </c>
      <c r="X43" s="145">
        <v>1134.3109999999999</v>
      </c>
      <c r="Y43" s="145">
        <v>1229.03</v>
      </c>
      <c r="Z43" s="145">
        <v>1127.2260000000001</v>
      </c>
      <c r="AA43" s="145">
        <v>1248.3119999999999</v>
      </c>
      <c r="AB43" s="144">
        <f>AA43</f>
        <v>1248.3119999999999</v>
      </c>
      <c r="AC43" s="145">
        <v>1259.9000000000001</v>
      </c>
      <c r="AD43" s="145">
        <v>1261.125</v>
      </c>
      <c r="AE43" s="145">
        <v>2436.2190000000001</v>
      </c>
      <c r="AF43" s="145">
        <v>2319.2020000000002</v>
      </c>
      <c r="AG43" s="144">
        <f>AF43</f>
        <v>2319.2020000000002</v>
      </c>
      <c r="AH43" s="145">
        <v>2319.9</v>
      </c>
      <c r="AI43" s="145">
        <f>2238.8</f>
        <v>2238.8000000000002</v>
      </c>
      <c r="AJ43" s="145">
        <f>2407</f>
        <v>2407</v>
      </c>
      <c r="AK43" s="145">
        <v>2227.5</v>
      </c>
      <c r="AL43" s="144">
        <f>AK43</f>
        <v>2227.5</v>
      </c>
      <c r="AM43" s="145">
        <v>2261.5</v>
      </c>
      <c r="AN43" s="145">
        <v>6152.8</v>
      </c>
      <c r="AO43" s="145">
        <v>6022.6</v>
      </c>
      <c r="AP43" s="145">
        <f>AO43+AP61</f>
        <v>6022.6</v>
      </c>
      <c r="AQ43" s="144">
        <f>AP43</f>
        <v>6022.6</v>
      </c>
      <c r="AR43" s="145">
        <f t="shared" ref="AR43:AU43" si="47">AQ43+AR61</f>
        <v>6022.6</v>
      </c>
      <c r="AS43" s="145">
        <f t="shared" si="47"/>
        <v>6022.6</v>
      </c>
      <c r="AT43" s="145">
        <f t="shared" si="47"/>
        <v>6022.6</v>
      </c>
      <c r="AU43" s="145">
        <f t="shared" si="47"/>
        <v>6022.6</v>
      </c>
      <c r="AV43" s="144">
        <f>AU43</f>
        <v>6022.6</v>
      </c>
      <c r="AW43" s="145"/>
      <c r="AX43" s="145"/>
      <c r="AY43" s="145"/>
      <c r="AZ43" s="145"/>
      <c r="BA43" s="144">
        <f>AV43+BA61</f>
        <v>6022.6</v>
      </c>
      <c r="BB43" s="145"/>
      <c r="BC43" s="145"/>
      <c r="BD43" s="145"/>
      <c r="BE43" s="145"/>
      <c r="BF43" s="144">
        <f>BA43+BF61</f>
        <v>6022.6</v>
      </c>
      <c r="BG43" s="145"/>
      <c r="BH43" s="145"/>
      <c r="BI43" s="145"/>
      <c r="BJ43" s="145"/>
      <c r="BK43" s="144">
        <f>BF43+BK61</f>
        <v>6022.6</v>
      </c>
      <c r="BL43" s="145"/>
      <c r="BM43" s="145"/>
      <c r="BN43" s="145"/>
      <c r="BO43" s="145"/>
      <c r="BP43" s="144">
        <f>BK43+BP61</f>
        <v>6022.6</v>
      </c>
      <c r="BR43" s="758"/>
    </row>
    <row r="44" spans="2:70" s="761" customFormat="1" ht="15" x14ac:dyDescent="0.3">
      <c r="B44" s="760" t="s">
        <v>295</v>
      </c>
      <c r="C44" s="760">
        <v>6.9649999999999999</v>
      </c>
      <c r="D44" s="761">
        <v>6.9020000000000001</v>
      </c>
      <c r="E44" s="761">
        <v>6.7569999999999997</v>
      </c>
      <c r="F44" s="761">
        <v>6.5339999999999998</v>
      </c>
      <c r="G44" s="761">
        <v>6.1470000000000002</v>
      </c>
      <c r="H44" s="760">
        <f t="shared" si="26"/>
        <v>6.1470000000000002</v>
      </c>
      <c r="I44" s="761">
        <v>5.9909999999999997</v>
      </c>
      <c r="J44" s="761">
        <v>6.5469999999999997</v>
      </c>
      <c r="K44" s="761">
        <v>6.5990000000000002</v>
      </c>
      <c r="L44" s="761">
        <v>6.3440000000000003</v>
      </c>
      <c r="M44" s="760">
        <f t="shared" si="27"/>
        <v>6.3440000000000003</v>
      </c>
      <c r="N44" s="761">
        <v>5.9050000000000002</v>
      </c>
      <c r="O44" s="761">
        <v>5.5190000000000001</v>
      </c>
      <c r="P44" s="761">
        <v>128.09200000000001</v>
      </c>
      <c r="Q44" s="761">
        <v>130.322</v>
      </c>
      <c r="R44" s="760">
        <f>Q44</f>
        <v>130.322</v>
      </c>
      <c r="S44" s="761">
        <f>198.027+99.956</f>
        <v>297.983</v>
      </c>
      <c r="T44" s="761">
        <f>309.691+101.795+166.194</f>
        <v>577.67999999999995</v>
      </c>
      <c r="U44" s="761">
        <f>152.399+278.706+103.208</f>
        <v>534.31299999999999</v>
      </c>
      <c r="V44" s="761">
        <f>319.821+76.678+91.098</f>
        <v>487.59700000000004</v>
      </c>
      <c r="W44" s="760">
        <f>V44</f>
        <v>487.59700000000004</v>
      </c>
      <c r="X44" s="761">
        <f>135.051+102.035+328.983</f>
        <v>566.06899999999996</v>
      </c>
      <c r="Y44" s="761">
        <f>433.271+95.945+123.024</f>
        <v>652.24</v>
      </c>
      <c r="Z44" s="761">
        <f>123.502+392.961+99.544</f>
        <v>616.00699999999995</v>
      </c>
      <c r="AA44" s="761">
        <f>134.166+352.523+103.658</f>
        <v>590.34699999999998</v>
      </c>
      <c r="AB44" s="760">
        <f>AA44</f>
        <v>590.34699999999998</v>
      </c>
      <c r="AC44" s="761">
        <f>167.079+107.02+391.908</f>
        <v>666.00700000000006</v>
      </c>
      <c r="AD44" s="761">
        <f>161.711+342.079+105.766</f>
        <v>609.55600000000004</v>
      </c>
      <c r="AE44" s="761">
        <f>163.979+255.513+230.978+159.673</f>
        <v>810.14300000000003</v>
      </c>
      <c r="AF44" s="761">
        <f>160.493+172.016+169.117+241.305</f>
        <v>742.93100000000004</v>
      </c>
      <c r="AG44" s="760">
        <f>AF44</f>
        <v>742.93100000000004</v>
      </c>
      <c r="AH44" s="761">
        <f>257+169+98.6+230</f>
        <v>754.6</v>
      </c>
      <c r="AI44" s="761">
        <f>238.1+165.5+115.8+215</f>
        <v>734.4</v>
      </c>
      <c r="AJ44" s="761">
        <f>211.3+157.7+113.8+208.6</f>
        <v>691.4</v>
      </c>
      <c r="AK44" s="761">
        <f>167+239.8+102.6+197.1</f>
        <v>706.5</v>
      </c>
      <c r="AL44" s="760">
        <f>AK44</f>
        <v>706.5</v>
      </c>
      <c r="AM44" s="761">
        <f>198.9+227.7+98.7+208.7</f>
        <v>734</v>
      </c>
      <c r="AN44" s="761">
        <f>514.4+226.4+101.2+208.8</f>
        <v>1050.8</v>
      </c>
      <c r="AO44" s="761">
        <v>1140.5999999999999</v>
      </c>
      <c r="AP44" s="761">
        <f>AO44</f>
        <v>1140.5999999999999</v>
      </c>
      <c r="AQ44" s="760">
        <f>AP44</f>
        <v>1140.5999999999999</v>
      </c>
      <c r="AR44" s="761">
        <f t="shared" ref="AR44:AU44" si="48">AQ44</f>
        <v>1140.5999999999999</v>
      </c>
      <c r="AS44" s="761">
        <f t="shared" si="48"/>
        <v>1140.5999999999999</v>
      </c>
      <c r="AT44" s="761">
        <f t="shared" si="48"/>
        <v>1140.5999999999999</v>
      </c>
      <c r="AU44" s="761">
        <f t="shared" si="48"/>
        <v>1140.5999999999999</v>
      </c>
      <c r="AV44" s="760">
        <f>AU44</f>
        <v>1140.5999999999999</v>
      </c>
      <c r="BA44" s="760">
        <f>AV44</f>
        <v>1140.5999999999999</v>
      </c>
      <c r="BF44" s="760">
        <f>BA44</f>
        <v>1140.5999999999999</v>
      </c>
      <c r="BK44" s="760">
        <f>BF44</f>
        <v>1140.5999999999999</v>
      </c>
      <c r="BP44" s="760">
        <f>BK44</f>
        <v>1140.5999999999999</v>
      </c>
      <c r="BR44" s="758"/>
    </row>
    <row r="45" spans="2:70" s="96" customFormat="1" x14ac:dyDescent="0.15">
      <c r="B45" s="762" t="s">
        <v>296</v>
      </c>
      <c r="C45" s="762">
        <f t="shared" ref="C45:R45" si="49">SUM(C40:C44)</f>
        <v>116.718</v>
      </c>
      <c r="D45" s="763">
        <f t="shared" si="49"/>
        <v>108.887</v>
      </c>
      <c r="E45" s="763">
        <f t="shared" si="49"/>
        <v>105.47500000000001</v>
      </c>
      <c r="F45" s="763">
        <f t="shared" si="49"/>
        <v>148.785</v>
      </c>
      <c r="G45" s="763">
        <f t="shared" si="49"/>
        <v>154.80000000000001</v>
      </c>
      <c r="H45" s="762">
        <f t="shared" si="49"/>
        <v>154.80000000000001</v>
      </c>
      <c r="I45" s="763">
        <f t="shared" si="49"/>
        <v>149.86799999999999</v>
      </c>
      <c r="J45" s="763">
        <f t="shared" si="49"/>
        <v>587.22900000000004</v>
      </c>
      <c r="K45" s="763">
        <f t="shared" si="49"/>
        <v>511.66399999999999</v>
      </c>
      <c r="L45" s="763">
        <f t="shared" si="49"/>
        <v>455.76600000000002</v>
      </c>
      <c r="M45" s="762">
        <f t="shared" si="49"/>
        <v>455.76600000000002</v>
      </c>
      <c r="N45" s="763">
        <f t="shared" si="49"/>
        <v>453.02099999999996</v>
      </c>
      <c r="O45" s="763">
        <f t="shared" si="49"/>
        <v>434.80400000000003</v>
      </c>
      <c r="P45" s="763">
        <f t="shared" si="49"/>
        <v>4940.317</v>
      </c>
      <c r="Q45" s="763">
        <f t="shared" si="49"/>
        <v>5191.5650000000005</v>
      </c>
      <c r="R45" s="762">
        <f t="shared" si="49"/>
        <v>5191.5650000000005</v>
      </c>
      <c r="S45" s="763">
        <f t="shared" ref="S45:AU45" si="50">SUM(S40:S44)</f>
        <v>6317.8680000000004</v>
      </c>
      <c r="T45" s="763">
        <f t="shared" si="50"/>
        <v>6400.5610000000006</v>
      </c>
      <c r="U45" s="763">
        <f t="shared" si="50"/>
        <v>6941.5949999999993</v>
      </c>
      <c r="V45" s="763">
        <f t="shared" si="50"/>
        <v>8210.4250000000011</v>
      </c>
      <c r="W45" s="762">
        <f t="shared" si="50"/>
        <v>8210.4250000000011</v>
      </c>
      <c r="X45" s="763">
        <f t="shared" si="50"/>
        <v>8585.3670000000002</v>
      </c>
      <c r="Y45" s="763">
        <f t="shared" si="50"/>
        <v>9275.1919999999991</v>
      </c>
      <c r="Z45" s="763">
        <f t="shared" si="50"/>
        <v>9202.518</v>
      </c>
      <c r="AA45" s="763">
        <f t="shared" si="50"/>
        <v>12410.228999999999</v>
      </c>
      <c r="AB45" s="762">
        <f t="shared" si="50"/>
        <v>12410.228999999999</v>
      </c>
      <c r="AC45" s="763">
        <f t="shared" si="50"/>
        <v>12253.350999999999</v>
      </c>
      <c r="AD45" s="763">
        <f t="shared" si="50"/>
        <v>12317.911</v>
      </c>
      <c r="AE45" s="763">
        <f t="shared" si="50"/>
        <v>20290.112000000001</v>
      </c>
      <c r="AF45" s="763">
        <f t="shared" si="50"/>
        <v>20225.079000000002</v>
      </c>
      <c r="AG45" s="762">
        <f t="shared" si="50"/>
        <v>20225.079000000002</v>
      </c>
      <c r="AH45" s="763">
        <f t="shared" si="50"/>
        <v>20222.5</v>
      </c>
      <c r="AI45" s="763">
        <f>SUM(AI40:AI44)</f>
        <v>20032</v>
      </c>
      <c r="AJ45" s="763">
        <f t="shared" si="50"/>
        <v>18682.7</v>
      </c>
      <c r="AK45" s="763">
        <f t="shared" si="50"/>
        <v>18187.7</v>
      </c>
      <c r="AL45" s="762">
        <f t="shared" si="50"/>
        <v>18187.7</v>
      </c>
      <c r="AM45" s="763">
        <f t="shared" si="50"/>
        <v>28893.4</v>
      </c>
      <c r="AN45" s="763">
        <f t="shared" si="50"/>
        <v>37493.800000000003</v>
      </c>
      <c r="AO45" s="763">
        <f t="shared" si="50"/>
        <v>37339.5</v>
      </c>
      <c r="AP45" s="763">
        <f t="shared" si="50"/>
        <v>38239.5</v>
      </c>
      <c r="AQ45" s="762">
        <f t="shared" si="50"/>
        <v>38239.5</v>
      </c>
      <c r="AR45" s="763">
        <f t="shared" si="50"/>
        <v>37834.5</v>
      </c>
      <c r="AS45" s="763">
        <f t="shared" si="50"/>
        <v>37434.5</v>
      </c>
      <c r="AT45" s="763">
        <f t="shared" si="50"/>
        <v>36984.5</v>
      </c>
      <c r="AU45" s="763">
        <f t="shared" si="50"/>
        <v>36534.5</v>
      </c>
      <c r="AV45" s="762">
        <f>SUM(AV40:AV44)</f>
        <v>36534.5</v>
      </c>
      <c r="BA45" s="762">
        <f>SUM(BA40:BA44)</f>
        <v>34034.5</v>
      </c>
      <c r="BF45" s="762">
        <f>SUM(BF40:BF44)</f>
        <v>31534.5</v>
      </c>
      <c r="BK45" s="762">
        <f>SUM(BK40:BK44)</f>
        <v>28784.5</v>
      </c>
      <c r="BP45" s="762">
        <f>SUM(BP40:BP44)</f>
        <v>25784.5</v>
      </c>
      <c r="BR45" s="758"/>
    </row>
    <row r="46" spans="2:70" s="96" customFormat="1" x14ac:dyDescent="0.15">
      <c r="B46" s="765" t="s">
        <v>297</v>
      </c>
      <c r="C46" s="765">
        <f t="shared" ref="C46:AU46" si="51">C45+C39</f>
        <v>484.29599999999999</v>
      </c>
      <c r="D46" s="766">
        <f t="shared" si="51"/>
        <v>499.11200000000002</v>
      </c>
      <c r="E46" s="766">
        <f t="shared" si="51"/>
        <v>456.45000000000005</v>
      </c>
      <c r="F46" s="766">
        <f t="shared" si="51"/>
        <v>337.07499999999999</v>
      </c>
      <c r="G46" s="766">
        <f t="shared" si="51"/>
        <v>421.96600000000001</v>
      </c>
      <c r="H46" s="765">
        <f t="shared" si="51"/>
        <v>421.96600000000001</v>
      </c>
      <c r="I46" s="766">
        <f t="shared" si="51"/>
        <v>380.09300000000002</v>
      </c>
      <c r="J46" s="766">
        <f t="shared" si="51"/>
        <v>804.23800000000006</v>
      </c>
      <c r="K46" s="766">
        <f t="shared" si="51"/>
        <v>731.05099999999993</v>
      </c>
      <c r="L46" s="766">
        <f t="shared" si="51"/>
        <v>712.67200000000003</v>
      </c>
      <c r="M46" s="765">
        <f t="shared" si="51"/>
        <v>712.67200000000003</v>
      </c>
      <c r="N46" s="766">
        <f t="shared" si="51"/>
        <v>660.73299999999995</v>
      </c>
      <c r="O46" s="766">
        <f t="shared" si="51"/>
        <v>669.04000000000008</v>
      </c>
      <c r="P46" s="766">
        <f t="shared" si="51"/>
        <v>5786.2389999999996</v>
      </c>
      <c r="Q46" s="766">
        <f t="shared" si="51"/>
        <v>5884.0210000000006</v>
      </c>
      <c r="R46" s="765">
        <f t="shared" si="51"/>
        <v>5884.0210000000006</v>
      </c>
      <c r="S46" s="766">
        <f t="shared" si="51"/>
        <v>6979.3340000000007</v>
      </c>
      <c r="T46" s="766">
        <f t="shared" si="51"/>
        <v>7162.4550000000008</v>
      </c>
      <c r="U46" s="766">
        <f t="shared" si="51"/>
        <v>7804.2619999999988</v>
      </c>
      <c r="V46" s="766">
        <f t="shared" si="51"/>
        <v>9134.6970000000019</v>
      </c>
      <c r="W46" s="765">
        <f t="shared" si="51"/>
        <v>9134.6970000000019</v>
      </c>
      <c r="X46" s="766">
        <f t="shared" si="51"/>
        <v>9543.2990000000009</v>
      </c>
      <c r="Y46" s="766">
        <f t="shared" si="51"/>
        <v>10324.388999999999</v>
      </c>
      <c r="Z46" s="766">
        <f t="shared" si="51"/>
        <v>10361.026</v>
      </c>
      <c r="AA46" s="766">
        <f t="shared" si="51"/>
        <v>14232.981</v>
      </c>
      <c r="AB46" s="765">
        <f t="shared" si="51"/>
        <v>14232.981</v>
      </c>
      <c r="AC46" s="766">
        <f t="shared" si="51"/>
        <v>13899.478999999999</v>
      </c>
      <c r="AD46" s="766">
        <f t="shared" si="51"/>
        <v>14079.728999999999</v>
      </c>
      <c r="AE46" s="766">
        <f t="shared" si="51"/>
        <v>23143.194</v>
      </c>
      <c r="AF46" s="766">
        <f t="shared" si="51"/>
        <v>22737.475000000002</v>
      </c>
      <c r="AG46" s="765">
        <f t="shared" si="51"/>
        <v>22737.475000000002</v>
      </c>
      <c r="AH46" s="766">
        <f t="shared" si="51"/>
        <v>22785.5</v>
      </c>
      <c r="AI46" s="766">
        <f>AI45+AI39</f>
        <v>22528.3</v>
      </c>
      <c r="AJ46" s="766">
        <f t="shared" si="51"/>
        <v>21826</v>
      </c>
      <c r="AK46" s="766">
        <f t="shared" si="51"/>
        <v>20918.5</v>
      </c>
      <c r="AL46" s="765">
        <f t="shared" si="51"/>
        <v>20918.5</v>
      </c>
      <c r="AM46" s="766">
        <f t="shared" si="51"/>
        <v>31990.5</v>
      </c>
      <c r="AN46" s="766">
        <f t="shared" si="51"/>
        <v>41784.800000000003</v>
      </c>
      <c r="AO46" s="766">
        <f>AO45+AO39</f>
        <v>41990</v>
      </c>
      <c r="AP46" s="766">
        <f>AP45+AP39</f>
        <v>42942.633333333331</v>
      </c>
      <c r="AQ46" s="765">
        <f t="shared" si="51"/>
        <v>42942.633333333331</v>
      </c>
      <c r="AR46" s="766">
        <f t="shared" si="51"/>
        <v>42434.486762666667</v>
      </c>
      <c r="AS46" s="766">
        <f t="shared" si="51"/>
        <v>42065.877006222225</v>
      </c>
      <c r="AT46" s="766">
        <f t="shared" si="51"/>
        <v>41622.266936888889</v>
      </c>
      <c r="AU46" s="766">
        <f t="shared" si="51"/>
        <v>41213.942716444442</v>
      </c>
      <c r="AV46" s="765">
        <f>AV45+AV39</f>
        <v>41213.942716444442</v>
      </c>
      <c r="BA46" s="765">
        <f>BA45+BA39</f>
        <v>38791.064229669442</v>
      </c>
      <c r="BF46" s="765">
        <f>BF45+BF39</f>
        <v>36314.850965481855</v>
      </c>
      <c r="BK46" s="765">
        <f>BK45+BK39</f>
        <v>33586.060219468869</v>
      </c>
      <c r="BP46" s="765">
        <f>BP45+BP39</f>
        <v>30599.935522113352</v>
      </c>
      <c r="BR46" s="758"/>
    </row>
    <row r="47" spans="2:70" s="145" customFormat="1" x14ac:dyDescent="0.15">
      <c r="B47" s="756" t="s">
        <v>298</v>
      </c>
      <c r="C47" s="756"/>
      <c r="D47" s="757"/>
      <c r="E47" s="757"/>
      <c r="F47" s="757"/>
      <c r="G47" s="757"/>
      <c r="H47" s="756"/>
      <c r="I47" s="757"/>
      <c r="J47" s="757"/>
      <c r="K47" s="757"/>
      <c r="L47" s="757"/>
      <c r="M47" s="756"/>
      <c r="N47" s="757"/>
      <c r="O47" s="757"/>
      <c r="P47" s="757"/>
      <c r="Q47" s="757"/>
      <c r="R47" s="756"/>
      <c r="S47" s="757"/>
      <c r="T47" s="757"/>
      <c r="U47" s="757"/>
      <c r="V47" s="757"/>
      <c r="W47" s="756"/>
      <c r="X47" s="757"/>
      <c r="Y47" s="757"/>
      <c r="Z47" s="757"/>
      <c r="AA47" s="757"/>
      <c r="AB47" s="756"/>
      <c r="AC47" s="757"/>
      <c r="AD47" s="757"/>
      <c r="AE47" s="757"/>
      <c r="AF47" s="757"/>
      <c r="AG47" s="756"/>
      <c r="AH47" s="757"/>
      <c r="AI47" s="757"/>
      <c r="AJ47" s="757"/>
      <c r="AK47" s="757"/>
      <c r="AL47" s="756"/>
      <c r="AM47" s="757"/>
      <c r="AN47" s="757"/>
      <c r="AO47" s="757"/>
      <c r="AP47" s="757"/>
      <c r="AQ47" s="756"/>
      <c r="AR47" s="757"/>
      <c r="AS47" s="757"/>
      <c r="AT47" s="757"/>
      <c r="AU47" s="757"/>
      <c r="AV47" s="756"/>
      <c r="AW47" s="757"/>
      <c r="AX47" s="757"/>
      <c r="AY47" s="757"/>
      <c r="AZ47" s="757"/>
      <c r="BA47" s="756"/>
      <c r="BB47" s="757"/>
      <c r="BC47" s="757"/>
      <c r="BD47" s="757"/>
      <c r="BE47" s="757"/>
      <c r="BF47" s="756"/>
      <c r="BG47" s="757"/>
      <c r="BH47" s="757"/>
      <c r="BI47" s="757"/>
      <c r="BJ47" s="757"/>
      <c r="BK47" s="756"/>
      <c r="BL47" s="757"/>
      <c r="BM47" s="757"/>
      <c r="BN47" s="757"/>
      <c r="BO47" s="757"/>
      <c r="BP47" s="756"/>
      <c r="BR47" s="758"/>
    </row>
    <row r="48" spans="2:70" s="96" customFormat="1" x14ac:dyDescent="0.15">
      <c r="B48" s="759" t="s">
        <v>299</v>
      </c>
      <c r="C48" s="759">
        <v>1513.732</v>
      </c>
      <c r="D48" s="96">
        <v>1515.289</v>
      </c>
      <c r="E48" s="96">
        <v>1497.8220000000001</v>
      </c>
      <c r="F48" s="96">
        <v>1499.3</v>
      </c>
      <c r="G48" s="96">
        <v>1495.8389999999999</v>
      </c>
      <c r="H48" s="759">
        <f>G48</f>
        <v>1495.8389999999999</v>
      </c>
      <c r="I48" s="96">
        <v>1497.7149999999999</v>
      </c>
      <c r="J48" s="96">
        <v>1553.0630000000001</v>
      </c>
      <c r="K48" s="96">
        <v>1554.454</v>
      </c>
      <c r="L48" s="96">
        <v>1556.7719999999999</v>
      </c>
      <c r="M48" s="759">
        <f>L48</f>
        <v>1556.7719999999999</v>
      </c>
      <c r="N48" s="96">
        <v>1560.059</v>
      </c>
      <c r="O48" s="96">
        <v>1563.3150000000001</v>
      </c>
      <c r="P48" s="96">
        <f>5189.589+580.872</f>
        <v>5770.4610000000002</v>
      </c>
      <c r="Q48" s="96">
        <f>5251.73+495.041</f>
        <v>5746.7709999999997</v>
      </c>
      <c r="R48" s="759">
        <f>Q48</f>
        <v>5746.7709999999997</v>
      </c>
      <c r="S48" s="96">
        <f>5199.277+498.474</f>
        <v>5697.7510000000002</v>
      </c>
      <c r="T48" s="96">
        <f>5872.994+396.838</f>
        <v>6269.8319999999994</v>
      </c>
      <c r="U48" s="96">
        <f>5981.493+275.277</f>
        <v>6256.77</v>
      </c>
      <c r="V48" s="96">
        <f>5963.621+276.117</f>
        <v>6239.7380000000003</v>
      </c>
      <c r="W48" s="759">
        <f>V48</f>
        <v>6239.7380000000003</v>
      </c>
      <c r="X48" s="96">
        <f>5936.775+284.776</f>
        <v>6221.5509999999995</v>
      </c>
      <c r="Y48" s="96">
        <f>5885.225+283.061</f>
        <v>6168.2860000000001</v>
      </c>
      <c r="Z48" s="96">
        <f>5916.671+270.183</f>
        <v>6186.8540000000003</v>
      </c>
      <c r="AA48" s="96">
        <f>5940.652+267.118</f>
        <v>6207.77</v>
      </c>
      <c r="AB48" s="759">
        <f>AA48</f>
        <v>6207.77</v>
      </c>
      <c r="AC48" s="96">
        <f>5942.536+264.982</f>
        <v>6207.518</v>
      </c>
      <c r="AD48" s="96">
        <f>8250.192+225.289</f>
        <v>8475.4809999999998</v>
      </c>
      <c r="AE48" s="96">
        <f>8260.01+251.654</f>
        <v>8511.6640000000007</v>
      </c>
      <c r="AF48" s="96">
        <f>8301.179+228.853</f>
        <v>8530.0319999999992</v>
      </c>
      <c r="AG48" s="759">
        <f>AF48</f>
        <v>8530.0319999999992</v>
      </c>
      <c r="AH48" s="96">
        <f>8316.2+214.5</f>
        <v>8530.7000000000007</v>
      </c>
      <c r="AI48" s="96">
        <f>8325.9+212.2</f>
        <v>8538.1</v>
      </c>
      <c r="AJ48" s="96">
        <f>8334.4+240.2</f>
        <v>8574.6</v>
      </c>
      <c r="AK48" s="96">
        <f>8349.2+243.9</f>
        <v>8593.1</v>
      </c>
      <c r="AL48" s="759">
        <f>AK48</f>
        <v>8593.1</v>
      </c>
      <c r="AM48" s="96">
        <f>9810.3+260.9</f>
        <v>10071.199999999999</v>
      </c>
      <c r="AN48" s="96">
        <f>9880.8+234</f>
        <v>10114.799999999999</v>
      </c>
      <c r="AO48" s="96">
        <f>9899.6+244.6</f>
        <v>10144.200000000001</v>
      </c>
      <c r="AP48" s="96">
        <f>AO48+AP60+AP106+AP72+AP63</f>
        <v>10077.200000000001</v>
      </c>
      <c r="AQ48" s="759">
        <f>AP48</f>
        <v>10077.200000000001</v>
      </c>
      <c r="AR48" s="96">
        <f t="shared" ref="AR48:AU48" si="52">AQ48+AR60+AR106+AR72+AR63</f>
        <v>10127.200000000001</v>
      </c>
      <c r="AS48" s="96">
        <f t="shared" si="52"/>
        <v>10177.200000000001</v>
      </c>
      <c r="AT48" s="96">
        <f t="shared" si="52"/>
        <v>10227.200000000001</v>
      </c>
      <c r="AU48" s="96">
        <f t="shared" si="52"/>
        <v>10277.200000000001</v>
      </c>
      <c r="AV48" s="759">
        <f>AU48</f>
        <v>10277.200000000001</v>
      </c>
      <c r="BA48" s="759">
        <f>AV48+BA60+BA106+BA72</f>
        <v>10477.200000000001</v>
      </c>
      <c r="BF48" s="759">
        <f>BA48+BF60+BF106+BF72</f>
        <v>9818.7013163449301</v>
      </c>
      <c r="BK48" s="759">
        <f>BF48+BK60+BK106+BK72</f>
        <v>9013.8287234048694</v>
      </c>
      <c r="BP48" s="759">
        <f>BK48+BP60+BP106+BP72</f>
        <v>8069.5202483988942</v>
      </c>
      <c r="BR48" s="758"/>
    </row>
    <row r="49" spans="2:70" s="96" customFormat="1" x14ac:dyDescent="0.15">
      <c r="B49" s="759" t="s">
        <v>300</v>
      </c>
      <c r="C49" s="759">
        <v>-278.495</v>
      </c>
      <c r="D49" s="96">
        <v>-280.28800000000001</v>
      </c>
      <c r="E49" s="96">
        <v>-370.28800000000001</v>
      </c>
      <c r="F49" s="96">
        <v>-381.28</v>
      </c>
      <c r="G49" s="96">
        <v>-319.90899999999999</v>
      </c>
      <c r="H49" s="759">
        <f>G49</f>
        <v>-319.90899999999999</v>
      </c>
      <c r="I49" s="96">
        <v>-340.35599999999999</v>
      </c>
      <c r="J49" s="96">
        <v>-330.50900000000001</v>
      </c>
      <c r="K49" s="96">
        <v>-304.62599999999998</v>
      </c>
      <c r="L49" s="96">
        <v>-245.97399999999999</v>
      </c>
      <c r="M49" s="759">
        <f>L49</f>
        <v>-245.97399999999999</v>
      </c>
      <c r="N49" s="96">
        <v>-263.464</v>
      </c>
      <c r="O49" s="96">
        <v>-244.66900000000001</v>
      </c>
      <c r="P49" s="96">
        <v>-467.74400000000003</v>
      </c>
      <c r="Q49" s="96">
        <v>-934.51099999999997</v>
      </c>
      <c r="R49" s="759">
        <f>Q49</f>
        <v>-934.51099999999997</v>
      </c>
      <c r="S49" s="96">
        <v>-1206.692</v>
      </c>
      <c r="T49" s="96">
        <v>-1887.3430000000001</v>
      </c>
      <c r="U49" s="96">
        <v>-2056.402</v>
      </c>
      <c r="V49" s="96">
        <v>-2030.2919999999999</v>
      </c>
      <c r="W49" s="759">
        <f>V49</f>
        <v>-2030.2919999999999</v>
      </c>
      <c r="X49" s="96">
        <v>-2115.5920000000001</v>
      </c>
      <c r="Y49" s="96">
        <v>-2245.886</v>
      </c>
      <c r="Z49" s="96">
        <v>-2281.8339999999998</v>
      </c>
      <c r="AA49" s="96">
        <v>-2370.9760000000001</v>
      </c>
      <c r="AB49" s="759">
        <f>AA49</f>
        <v>-2370.9760000000001</v>
      </c>
      <c r="AC49" s="96">
        <v>-2423.7310000000002</v>
      </c>
      <c r="AD49" s="96">
        <v>-2429.0509999999999</v>
      </c>
      <c r="AE49" s="96">
        <v>-3402.2939999999999</v>
      </c>
      <c r="AF49" s="96">
        <v>-3278.529</v>
      </c>
      <c r="AG49" s="759">
        <f>AF49</f>
        <v>-3278.529</v>
      </c>
      <c r="AH49" s="96">
        <v>-3301.1</v>
      </c>
      <c r="AI49" s="96">
        <f>-3175.3</f>
        <v>-3175.3</v>
      </c>
      <c r="AJ49" s="96">
        <f>-2899.9</f>
        <v>-2899.9</v>
      </c>
      <c r="AK49" s="96">
        <v>-2365</v>
      </c>
      <c r="AL49" s="759">
        <f>AK49</f>
        <v>-2365</v>
      </c>
      <c r="AM49" s="96">
        <v>-2291.3000000000002</v>
      </c>
      <c r="AN49" s="96">
        <v>-2387.9</v>
      </c>
      <c r="AO49" s="96">
        <v>-2338.5</v>
      </c>
      <c r="AP49" s="96">
        <f>AO49+AP58+AP62</f>
        <v>-2120.4000000000005</v>
      </c>
      <c r="AQ49" s="759">
        <f>AP49</f>
        <v>-2120.4000000000005</v>
      </c>
      <c r="AR49" s="96">
        <f t="shared" ref="AR49:AU49" si="53">AQ49+AR58+AR62</f>
        <v>-2359.1055230000002</v>
      </c>
      <c r="AS49" s="96">
        <f t="shared" si="53"/>
        <v>-2285.8850485499997</v>
      </c>
      <c r="AT49" s="96">
        <f t="shared" si="53"/>
        <v>-2109.0740534999995</v>
      </c>
      <c r="AU49" s="96">
        <f t="shared" si="53"/>
        <v>-1814.5106365999991</v>
      </c>
      <c r="AV49" s="759">
        <f>AU49</f>
        <v>-1814.5106365999991</v>
      </c>
      <c r="BA49" s="759">
        <f>AV49+BA58+BA62+BA63</f>
        <v>-659.86719723249644</v>
      </c>
      <c r="BB49" s="96">
        <f t="shared" ref="BB49:BO49" si="54">AW49+BB58+BB62</f>
        <v>0</v>
      </c>
      <c r="BC49" s="96">
        <f t="shared" si="54"/>
        <v>0</v>
      </c>
      <c r="BD49" s="96">
        <f t="shared" si="54"/>
        <v>0</v>
      </c>
      <c r="BE49" s="96">
        <f t="shared" si="54"/>
        <v>0</v>
      </c>
      <c r="BF49" s="759">
        <f>BA49+BF58+BF62+BF63</f>
        <v>1188.6367232925586</v>
      </c>
      <c r="BG49" s="96">
        <f t="shared" si="54"/>
        <v>0</v>
      </c>
      <c r="BH49" s="96">
        <f t="shared" si="54"/>
        <v>0</v>
      </c>
      <c r="BI49" s="96">
        <f t="shared" si="54"/>
        <v>0</v>
      </c>
      <c r="BJ49" s="96">
        <f t="shared" si="54"/>
        <v>0</v>
      </c>
      <c r="BK49" s="759">
        <f>BF49+BK58+BK62+BK63</f>
        <v>3734.6080244107966</v>
      </c>
      <c r="BL49" s="96">
        <f t="shared" si="54"/>
        <v>0</v>
      </c>
      <c r="BM49" s="96">
        <f t="shared" si="54"/>
        <v>0</v>
      </c>
      <c r="BN49" s="96">
        <f t="shared" si="54"/>
        <v>0</v>
      </c>
      <c r="BO49" s="96">
        <f t="shared" si="54"/>
        <v>0</v>
      </c>
      <c r="BP49" s="759">
        <f>BK49+BP58+BP62+BP63</f>
        <v>6731.9727337239565</v>
      </c>
      <c r="BR49" s="758"/>
    </row>
    <row r="50" spans="2:70" s="761" customFormat="1" ht="15" x14ac:dyDescent="0.3">
      <c r="B50" s="760" t="s">
        <v>301</v>
      </c>
      <c r="C50" s="760">
        <v>62.582000000000001</v>
      </c>
      <c r="D50" s="761">
        <v>55.622999999999998</v>
      </c>
      <c r="E50" s="761">
        <v>55.621000000000002</v>
      </c>
      <c r="F50" s="761">
        <v>45.866</v>
      </c>
      <c r="G50" s="761">
        <v>25.669</v>
      </c>
      <c r="H50" s="760">
        <f>G50</f>
        <v>25.669</v>
      </c>
      <c r="I50" s="761">
        <v>19.428999999999998</v>
      </c>
      <c r="J50" s="761">
        <v>31.577999999999999</v>
      </c>
      <c r="K50" s="761">
        <v>41.42</v>
      </c>
      <c r="L50" s="761">
        <v>43.573999999999998</v>
      </c>
      <c r="M50" s="760">
        <f>L50</f>
        <v>43.573999999999998</v>
      </c>
      <c r="N50" s="761">
        <v>47.707999999999998</v>
      </c>
      <c r="O50" s="761">
        <v>42.036999999999999</v>
      </c>
      <c r="P50" s="761">
        <v>46.947000000000003</v>
      </c>
      <c r="Q50" s="761">
        <v>98.835999999999999</v>
      </c>
      <c r="R50" s="760">
        <f>Q50</f>
        <v>98.835999999999999</v>
      </c>
      <c r="S50" s="761">
        <v>217.61600000000001</v>
      </c>
      <c r="T50" s="761">
        <v>282.92899999999997</v>
      </c>
      <c r="U50" s="761">
        <v>-186.26900000000001</v>
      </c>
      <c r="V50" s="761">
        <v>-202.43</v>
      </c>
      <c r="W50" s="760">
        <f>V50</f>
        <v>-202.43</v>
      </c>
      <c r="X50" s="761">
        <v>-29.524000000000001</v>
      </c>
      <c r="Y50" s="761">
        <v>-226.96899999999999</v>
      </c>
      <c r="Z50" s="761">
        <v>-119.83799999999999</v>
      </c>
      <c r="AA50" s="761">
        <v>-119.396</v>
      </c>
      <c r="AB50" s="760">
        <f>AA50</f>
        <v>-119.396</v>
      </c>
      <c r="AC50" s="761">
        <v>-196.79900000000001</v>
      </c>
      <c r="AD50" s="761">
        <v>-343.90100000000001</v>
      </c>
      <c r="AE50" s="761">
        <v>-160.25700000000001</v>
      </c>
      <c r="AF50" s="761">
        <v>-132.78</v>
      </c>
      <c r="AG50" s="760">
        <f>AF50</f>
        <v>-132.78</v>
      </c>
      <c r="AH50" s="761">
        <v>-140</v>
      </c>
      <c r="AI50" s="761">
        <f>-104.7</f>
        <v>-104.7</v>
      </c>
      <c r="AJ50" s="761">
        <f>-552</f>
        <v>-552</v>
      </c>
      <c r="AK50" s="761">
        <v>-915.9</v>
      </c>
      <c r="AL50" s="760">
        <f>AK50</f>
        <v>-915.9</v>
      </c>
      <c r="AM50" s="761">
        <v>-1327.6</v>
      </c>
      <c r="AN50" s="761">
        <v>-1291.5</v>
      </c>
      <c r="AO50" s="761">
        <v>-1463.4</v>
      </c>
      <c r="AP50" s="761">
        <f>AO50</f>
        <v>-1463.4</v>
      </c>
      <c r="AQ50" s="760">
        <f>AP50</f>
        <v>-1463.4</v>
      </c>
      <c r="AR50" s="761">
        <f t="shared" ref="AR50:AU50" si="55">AQ50</f>
        <v>-1463.4</v>
      </c>
      <c r="AS50" s="761">
        <f t="shared" si="55"/>
        <v>-1463.4</v>
      </c>
      <c r="AT50" s="761">
        <f t="shared" si="55"/>
        <v>-1463.4</v>
      </c>
      <c r="AU50" s="761">
        <f t="shared" si="55"/>
        <v>-1463.4</v>
      </c>
      <c r="AV50" s="760">
        <f>AU50</f>
        <v>-1463.4</v>
      </c>
      <c r="BA50" s="760">
        <f>AV50</f>
        <v>-1463.4</v>
      </c>
      <c r="BF50" s="760">
        <f>BA50</f>
        <v>-1463.4</v>
      </c>
      <c r="BK50" s="760">
        <f>BF50</f>
        <v>-1463.4</v>
      </c>
      <c r="BP50" s="760">
        <f>BK50</f>
        <v>-1463.4</v>
      </c>
      <c r="BR50" s="758"/>
    </row>
    <row r="51" spans="2:70" s="96" customFormat="1" x14ac:dyDescent="0.15">
      <c r="B51" s="762" t="s">
        <v>302</v>
      </c>
      <c r="C51" s="762">
        <f t="shared" ref="C51:AA51" si="56">SUM(C48:C50)</f>
        <v>1297.8190000000002</v>
      </c>
      <c r="D51" s="763">
        <f t="shared" si="56"/>
        <v>1290.624</v>
      </c>
      <c r="E51" s="763">
        <f t="shared" si="56"/>
        <v>1183.1550000000002</v>
      </c>
      <c r="F51" s="763">
        <f t="shared" si="56"/>
        <v>1163.886</v>
      </c>
      <c r="G51" s="763">
        <f t="shared" si="56"/>
        <v>1201.5989999999999</v>
      </c>
      <c r="H51" s="762">
        <f t="shared" si="56"/>
        <v>1201.5989999999999</v>
      </c>
      <c r="I51" s="763">
        <f t="shared" si="56"/>
        <v>1176.788</v>
      </c>
      <c r="J51" s="763">
        <f t="shared" si="56"/>
        <v>1254.1320000000001</v>
      </c>
      <c r="K51" s="763">
        <f t="shared" si="56"/>
        <v>1291.248</v>
      </c>
      <c r="L51" s="763">
        <f t="shared" si="56"/>
        <v>1354.3720000000001</v>
      </c>
      <c r="M51" s="762">
        <f t="shared" si="56"/>
        <v>1354.3720000000001</v>
      </c>
      <c r="N51" s="763">
        <f t="shared" si="56"/>
        <v>1344.3030000000001</v>
      </c>
      <c r="O51" s="763">
        <f t="shared" si="56"/>
        <v>1360.683</v>
      </c>
      <c r="P51" s="763">
        <f t="shared" si="56"/>
        <v>5349.6640000000007</v>
      </c>
      <c r="Q51" s="763">
        <f t="shared" si="56"/>
        <v>4911.0960000000005</v>
      </c>
      <c r="R51" s="762">
        <f>Q51</f>
        <v>4911.0960000000005</v>
      </c>
      <c r="S51" s="763">
        <f t="shared" si="56"/>
        <v>4708.6750000000002</v>
      </c>
      <c r="T51" s="763">
        <f t="shared" si="56"/>
        <v>4665.4179999999997</v>
      </c>
      <c r="U51" s="763">
        <f t="shared" si="56"/>
        <v>4014.0990000000002</v>
      </c>
      <c r="V51" s="763">
        <f t="shared" si="56"/>
        <v>4007.0160000000001</v>
      </c>
      <c r="W51" s="762">
        <f>SUM(W48:W50)</f>
        <v>4007.0160000000001</v>
      </c>
      <c r="X51" s="763">
        <f t="shared" si="56"/>
        <v>4076.434999999999</v>
      </c>
      <c r="Y51" s="763">
        <f t="shared" si="56"/>
        <v>3695.431</v>
      </c>
      <c r="Z51" s="763">
        <f t="shared" si="56"/>
        <v>3785.1820000000002</v>
      </c>
      <c r="AA51" s="763">
        <f t="shared" si="56"/>
        <v>3717.3980000000001</v>
      </c>
      <c r="AB51" s="762">
        <f t="shared" ref="AB51:AU51" si="57">SUM(AB48:AB50)</f>
        <v>3717.3980000000001</v>
      </c>
      <c r="AC51" s="763">
        <f t="shared" si="57"/>
        <v>3586.9879999999998</v>
      </c>
      <c r="AD51" s="763">
        <f t="shared" si="57"/>
        <v>5702.5290000000005</v>
      </c>
      <c r="AE51" s="763">
        <f t="shared" si="57"/>
        <v>4949.1130000000012</v>
      </c>
      <c r="AF51" s="763">
        <f t="shared" si="57"/>
        <v>5118.722999999999</v>
      </c>
      <c r="AG51" s="762">
        <f t="shared" si="57"/>
        <v>5118.722999999999</v>
      </c>
      <c r="AH51" s="763">
        <f t="shared" si="57"/>
        <v>5089.6000000000004</v>
      </c>
      <c r="AI51" s="763">
        <f>SUM(AI48:AI50)</f>
        <v>5258.1</v>
      </c>
      <c r="AJ51" s="763">
        <f t="shared" si="57"/>
        <v>5122.7000000000007</v>
      </c>
      <c r="AK51" s="763">
        <f t="shared" si="57"/>
        <v>5312.2000000000007</v>
      </c>
      <c r="AL51" s="762">
        <f t="shared" si="57"/>
        <v>5312.2000000000007</v>
      </c>
      <c r="AM51" s="763">
        <f t="shared" si="57"/>
        <v>6452.2999999999993</v>
      </c>
      <c r="AN51" s="763">
        <f t="shared" si="57"/>
        <v>6435.4</v>
      </c>
      <c r="AO51" s="763">
        <f t="shared" si="57"/>
        <v>6342.3000000000011</v>
      </c>
      <c r="AP51" s="763">
        <f t="shared" si="57"/>
        <v>6493.4</v>
      </c>
      <c r="AQ51" s="762">
        <f t="shared" si="57"/>
        <v>6493.4</v>
      </c>
      <c r="AR51" s="763">
        <f t="shared" si="57"/>
        <v>6304.6944770000009</v>
      </c>
      <c r="AS51" s="763">
        <f t="shared" si="57"/>
        <v>6427.9149514500004</v>
      </c>
      <c r="AT51" s="763">
        <f t="shared" si="57"/>
        <v>6654.7259465000006</v>
      </c>
      <c r="AU51" s="763">
        <f t="shared" si="57"/>
        <v>6999.2893634000011</v>
      </c>
      <c r="AV51" s="762">
        <f>SUM(AV48:AV50)</f>
        <v>6999.2893634000011</v>
      </c>
      <c r="BA51" s="762">
        <f>SUM(BA48:BA50)</f>
        <v>8353.9328027675056</v>
      </c>
      <c r="BF51" s="762">
        <f>SUM(BF48:BF50)</f>
        <v>9543.9380396374891</v>
      </c>
      <c r="BK51" s="762">
        <f>SUM(BK48:BK50)</f>
        <v>11285.036747815666</v>
      </c>
      <c r="BP51" s="762">
        <f>SUM(BP48:BP50)</f>
        <v>13338.092982122851</v>
      </c>
      <c r="BR51" s="758"/>
    </row>
    <row r="52" spans="2:70" s="96" customFormat="1" x14ac:dyDescent="0.15">
      <c r="B52" s="759" t="s">
        <v>303</v>
      </c>
      <c r="C52" s="759"/>
      <c r="H52" s="759"/>
      <c r="M52" s="759"/>
      <c r="P52" s="96">
        <v>0</v>
      </c>
      <c r="Q52" s="96">
        <v>0</v>
      </c>
      <c r="R52" s="759">
        <f>Q52</f>
        <v>0</v>
      </c>
      <c r="S52" s="96">
        <v>0</v>
      </c>
      <c r="T52" s="96">
        <v>0</v>
      </c>
      <c r="U52" s="96">
        <v>0</v>
      </c>
      <c r="V52" s="96">
        <v>0</v>
      </c>
      <c r="W52" s="759">
        <f>V52</f>
        <v>0</v>
      </c>
      <c r="X52" s="96">
        <v>0</v>
      </c>
      <c r="Y52" s="96">
        <v>0</v>
      </c>
      <c r="Z52" s="96">
        <f>Y52</f>
        <v>0</v>
      </c>
      <c r="AA52" s="96">
        <f>Z52</f>
        <v>0</v>
      </c>
      <c r="AB52" s="759">
        <f>AA52</f>
        <v>0</v>
      </c>
      <c r="AC52" s="96">
        <f>AB52</f>
        <v>0</v>
      </c>
      <c r="AD52" s="96">
        <f>AC52</f>
        <v>0</v>
      </c>
      <c r="AE52" s="96">
        <v>112.077</v>
      </c>
      <c r="AF52" s="96">
        <v>114.599</v>
      </c>
      <c r="AG52" s="759">
        <f>AF52</f>
        <v>114.599</v>
      </c>
      <c r="AH52" s="96">
        <v>113.9</v>
      </c>
      <c r="AI52" s="96">
        <f>109.2</f>
        <v>109.2</v>
      </c>
      <c r="AJ52" s="96">
        <f>110.9</f>
        <v>110.9</v>
      </c>
      <c r="AK52" s="96">
        <v>122.3</v>
      </c>
      <c r="AL52" s="759">
        <f>AK52</f>
        <v>122.3</v>
      </c>
      <c r="AM52" s="96">
        <v>122.9</v>
      </c>
      <c r="AN52" s="96">
        <v>123</v>
      </c>
      <c r="AO52" s="96">
        <v>122.4</v>
      </c>
      <c r="AP52" s="96">
        <f>AO52</f>
        <v>122.4</v>
      </c>
      <c r="AQ52" s="759">
        <f>AP52</f>
        <v>122.4</v>
      </c>
      <c r="AR52" s="96">
        <f t="shared" ref="AR52:AU52" si="58">AQ52</f>
        <v>122.4</v>
      </c>
      <c r="AS52" s="96">
        <f t="shared" si="58"/>
        <v>122.4</v>
      </c>
      <c r="AT52" s="96">
        <f t="shared" si="58"/>
        <v>122.4</v>
      </c>
      <c r="AU52" s="96">
        <f t="shared" si="58"/>
        <v>122.4</v>
      </c>
      <c r="AV52" s="759">
        <f>AU52</f>
        <v>122.4</v>
      </c>
      <c r="BA52" s="759">
        <f>AV52</f>
        <v>122.4</v>
      </c>
      <c r="BF52" s="759">
        <f>BA52</f>
        <v>122.4</v>
      </c>
      <c r="BK52" s="759">
        <f>BF52</f>
        <v>122.4</v>
      </c>
      <c r="BP52" s="759">
        <f>BK52</f>
        <v>122.4</v>
      </c>
      <c r="BR52" s="758"/>
    </row>
    <row r="53" spans="2:70" s="96" customFormat="1" x14ac:dyDescent="0.15">
      <c r="B53" s="765" t="s">
        <v>304</v>
      </c>
      <c r="C53" s="765">
        <f t="shared" ref="C53:O53" si="59">C51+C46</f>
        <v>1782.1150000000002</v>
      </c>
      <c r="D53" s="766">
        <f t="shared" si="59"/>
        <v>1789.7360000000001</v>
      </c>
      <c r="E53" s="766">
        <f t="shared" si="59"/>
        <v>1639.6050000000002</v>
      </c>
      <c r="F53" s="766">
        <f t="shared" si="59"/>
        <v>1500.961</v>
      </c>
      <c r="G53" s="766">
        <f t="shared" si="59"/>
        <v>1623.5650000000001</v>
      </c>
      <c r="H53" s="765">
        <f t="shared" si="59"/>
        <v>1623.5650000000001</v>
      </c>
      <c r="I53" s="766">
        <f t="shared" si="59"/>
        <v>1556.8810000000001</v>
      </c>
      <c r="J53" s="766">
        <f t="shared" si="59"/>
        <v>2058.37</v>
      </c>
      <c r="K53" s="766">
        <f t="shared" si="59"/>
        <v>2022.299</v>
      </c>
      <c r="L53" s="766">
        <f t="shared" si="59"/>
        <v>2067.0439999999999</v>
      </c>
      <c r="M53" s="765">
        <f t="shared" si="59"/>
        <v>2067.0439999999999</v>
      </c>
      <c r="N53" s="766">
        <f t="shared" si="59"/>
        <v>2005.0360000000001</v>
      </c>
      <c r="O53" s="766">
        <f t="shared" si="59"/>
        <v>2029.723</v>
      </c>
      <c r="P53" s="766">
        <f t="shared" ref="P53:AU53" si="60">P51+P46+P52</f>
        <v>11135.903</v>
      </c>
      <c r="Q53" s="766">
        <f t="shared" si="60"/>
        <v>10795.117000000002</v>
      </c>
      <c r="R53" s="765">
        <f t="shared" si="60"/>
        <v>10795.117000000002</v>
      </c>
      <c r="S53" s="766">
        <f t="shared" si="60"/>
        <v>11688.009000000002</v>
      </c>
      <c r="T53" s="766">
        <f t="shared" si="60"/>
        <v>11827.873</v>
      </c>
      <c r="U53" s="766">
        <f t="shared" si="60"/>
        <v>11818.360999999999</v>
      </c>
      <c r="V53" s="766">
        <f t="shared" si="60"/>
        <v>13141.713000000002</v>
      </c>
      <c r="W53" s="765">
        <f t="shared" si="60"/>
        <v>13141.713000000002</v>
      </c>
      <c r="X53" s="766">
        <f t="shared" si="60"/>
        <v>13619.734</v>
      </c>
      <c r="Y53" s="766">
        <f t="shared" si="60"/>
        <v>14019.82</v>
      </c>
      <c r="Z53" s="766">
        <f t="shared" si="60"/>
        <v>14146.208000000001</v>
      </c>
      <c r="AA53" s="766">
        <f t="shared" si="60"/>
        <v>17950.379000000001</v>
      </c>
      <c r="AB53" s="765">
        <f t="shared" si="60"/>
        <v>17950.379000000001</v>
      </c>
      <c r="AC53" s="766">
        <f t="shared" si="60"/>
        <v>17486.467000000001</v>
      </c>
      <c r="AD53" s="766">
        <f t="shared" si="60"/>
        <v>19782.258000000002</v>
      </c>
      <c r="AE53" s="766">
        <f t="shared" si="60"/>
        <v>28204.384000000002</v>
      </c>
      <c r="AF53" s="766">
        <f t="shared" si="60"/>
        <v>27970.796999999999</v>
      </c>
      <c r="AG53" s="765">
        <f t="shared" si="60"/>
        <v>27970.796999999999</v>
      </c>
      <c r="AH53" s="767">
        <f t="shared" si="60"/>
        <v>27989</v>
      </c>
      <c r="AI53" s="766">
        <f>AI51+AI46+AI52</f>
        <v>27895.600000000002</v>
      </c>
      <c r="AJ53" s="766">
        <f t="shared" si="60"/>
        <v>27059.600000000002</v>
      </c>
      <c r="AK53" s="766">
        <f t="shared" si="60"/>
        <v>26353</v>
      </c>
      <c r="AL53" s="765">
        <f t="shared" si="60"/>
        <v>26353</v>
      </c>
      <c r="AM53" s="766">
        <f t="shared" si="60"/>
        <v>38565.700000000004</v>
      </c>
      <c r="AN53" s="766">
        <f t="shared" si="60"/>
        <v>48343.200000000004</v>
      </c>
      <c r="AO53" s="766">
        <f t="shared" si="60"/>
        <v>48454.700000000004</v>
      </c>
      <c r="AP53" s="766">
        <f t="shared" si="60"/>
        <v>49558.433333333334</v>
      </c>
      <c r="AQ53" s="765">
        <f t="shared" si="60"/>
        <v>49558.433333333334</v>
      </c>
      <c r="AR53" s="766">
        <f t="shared" si="60"/>
        <v>48861.581239666666</v>
      </c>
      <c r="AS53" s="766">
        <f t="shared" si="60"/>
        <v>48616.191957672228</v>
      </c>
      <c r="AT53" s="766">
        <f t="shared" si="60"/>
        <v>48399.392883388893</v>
      </c>
      <c r="AU53" s="766">
        <f t="shared" si="60"/>
        <v>48335.632079844443</v>
      </c>
      <c r="AV53" s="765">
        <f>AV51+AV46+AV52</f>
        <v>48335.632079844443</v>
      </c>
      <c r="BA53" s="765">
        <f>BA51+BA46+BA52</f>
        <v>47267.397032436951</v>
      </c>
      <c r="BF53" s="765">
        <f>BF51+BF46+BF52</f>
        <v>45981.189005119348</v>
      </c>
      <c r="BK53" s="765">
        <f>BK51+BK46+BK52</f>
        <v>44993.49696728454</v>
      </c>
      <c r="BP53" s="765">
        <f>BP51+BP46+BP52</f>
        <v>44060.428504236203</v>
      </c>
      <c r="BR53" s="758"/>
    </row>
    <row r="54" spans="2:70" s="768" customFormat="1" x14ac:dyDescent="0.15">
      <c r="B54" s="768" t="s">
        <v>305</v>
      </c>
      <c r="C54" s="768">
        <f t="shared" ref="C54:AU54" si="61">C26-C53</f>
        <v>0</v>
      </c>
      <c r="D54" s="768">
        <f t="shared" si="61"/>
        <v>0</v>
      </c>
      <c r="E54" s="768">
        <f t="shared" si="61"/>
        <v>0</v>
      </c>
      <c r="F54" s="768">
        <f t="shared" si="61"/>
        <v>0</v>
      </c>
      <c r="G54" s="768">
        <f t="shared" si="61"/>
        <v>0</v>
      </c>
      <c r="H54" s="768">
        <f t="shared" si="61"/>
        <v>0</v>
      </c>
      <c r="I54" s="768">
        <f t="shared" si="61"/>
        <v>0</v>
      </c>
      <c r="J54" s="768">
        <f t="shared" si="61"/>
        <v>0</v>
      </c>
      <c r="K54" s="768">
        <f t="shared" si="61"/>
        <v>0</v>
      </c>
      <c r="L54" s="768">
        <f t="shared" si="61"/>
        <v>0</v>
      </c>
      <c r="M54" s="768">
        <f t="shared" si="61"/>
        <v>0</v>
      </c>
      <c r="N54" s="768">
        <f t="shared" si="61"/>
        <v>0</v>
      </c>
      <c r="O54" s="768">
        <f t="shared" si="61"/>
        <v>0</v>
      </c>
      <c r="P54" s="768">
        <f t="shared" si="61"/>
        <v>0</v>
      </c>
      <c r="Q54" s="768">
        <f t="shared" si="61"/>
        <v>0</v>
      </c>
      <c r="R54" s="768">
        <f t="shared" si="61"/>
        <v>0</v>
      </c>
      <c r="S54" s="768">
        <f t="shared" si="61"/>
        <v>0</v>
      </c>
      <c r="T54" s="768">
        <f t="shared" si="61"/>
        <v>0</v>
      </c>
      <c r="U54" s="768">
        <f t="shared" si="61"/>
        <v>0</v>
      </c>
      <c r="V54" s="768">
        <f t="shared" si="61"/>
        <v>0</v>
      </c>
      <c r="W54" s="768">
        <f t="shared" si="61"/>
        <v>0</v>
      </c>
      <c r="X54" s="768">
        <f t="shared" si="61"/>
        <v>0</v>
      </c>
      <c r="Y54" s="768">
        <f t="shared" si="61"/>
        <v>0</v>
      </c>
      <c r="Z54" s="768">
        <f t="shared" si="61"/>
        <v>0</v>
      </c>
      <c r="AA54" s="768">
        <f t="shared" si="61"/>
        <v>0</v>
      </c>
      <c r="AB54" s="768">
        <f t="shared" si="61"/>
        <v>0</v>
      </c>
      <c r="AC54" s="768">
        <f t="shared" si="61"/>
        <v>0</v>
      </c>
      <c r="AD54" s="768">
        <f t="shared" si="61"/>
        <v>0</v>
      </c>
      <c r="AE54" s="768">
        <f t="shared" si="61"/>
        <v>0</v>
      </c>
      <c r="AF54" s="768">
        <f t="shared" si="61"/>
        <v>0</v>
      </c>
      <c r="AG54" s="768">
        <f t="shared" si="61"/>
        <v>-4.0000000000873115E-2</v>
      </c>
      <c r="AH54" s="768">
        <f t="shared" si="61"/>
        <v>0</v>
      </c>
      <c r="AI54" s="768">
        <f>AI26-AI53</f>
        <v>0</v>
      </c>
      <c r="AJ54" s="768">
        <f t="shared" si="61"/>
        <v>0</v>
      </c>
      <c r="AK54" s="768">
        <f t="shared" si="61"/>
        <v>0</v>
      </c>
      <c r="AL54" s="768">
        <f t="shared" si="61"/>
        <v>0</v>
      </c>
      <c r="AM54" s="768">
        <f t="shared" si="61"/>
        <v>0.19999999998981366</v>
      </c>
      <c r="AN54" s="768">
        <f t="shared" si="61"/>
        <v>0</v>
      </c>
      <c r="AO54" s="768">
        <f t="shared" si="61"/>
        <v>-0.10000000001309672</v>
      </c>
      <c r="AP54" s="768">
        <f t="shared" si="61"/>
        <v>-9.9999999991268851E-2</v>
      </c>
      <c r="AQ54" s="768">
        <f t="shared" si="61"/>
        <v>-9.9999999991268851E-2</v>
      </c>
      <c r="AR54" s="768">
        <f t="shared" si="61"/>
        <v>-9.9999999998544808E-2</v>
      </c>
      <c r="AS54" s="768">
        <f t="shared" si="61"/>
        <v>-0.10000000001309672</v>
      </c>
      <c r="AT54" s="768">
        <f t="shared" si="61"/>
        <v>-0.10000000000582077</v>
      </c>
      <c r="AU54" s="768">
        <f t="shared" si="61"/>
        <v>-9.9999999991268851E-2</v>
      </c>
      <c r="AV54" s="768">
        <f>AV26-AV53</f>
        <v>-9.9999999991268851E-2</v>
      </c>
      <c r="BA54" s="768">
        <f>BA26-BA53</f>
        <v>-9.9999999998544808E-2</v>
      </c>
      <c r="BF54" s="768">
        <f>BF26-BF53</f>
        <v>-0.10000000000582077</v>
      </c>
      <c r="BK54" s="768">
        <f>BK26-BK53</f>
        <v>-0.10000000000582077</v>
      </c>
      <c r="BP54" s="768">
        <f>BP26-BP53</f>
        <v>-0.10000000000582077</v>
      </c>
    </row>
    <row r="55" spans="2:70" s="96" customFormat="1" x14ac:dyDescent="0.15">
      <c r="T55" s="769"/>
      <c r="U55" s="769"/>
      <c r="V55" s="769"/>
    </row>
    <row r="56" spans="2:70" s="96" customFormat="1" x14ac:dyDescent="0.15">
      <c r="B56" s="753" t="s">
        <v>306</v>
      </c>
      <c r="C56" s="754"/>
      <c r="D56" s="755"/>
      <c r="E56" s="755"/>
      <c r="F56" s="755"/>
      <c r="G56" s="755"/>
      <c r="H56" s="755"/>
      <c r="I56" s="755"/>
      <c r="J56" s="755"/>
      <c r="K56" s="755"/>
      <c r="L56" s="755"/>
      <c r="M56" s="755"/>
      <c r="N56" s="755"/>
      <c r="O56" s="755"/>
      <c r="P56" s="755"/>
      <c r="Q56" s="755"/>
      <c r="R56" s="755"/>
      <c r="S56" s="755"/>
      <c r="T56" s="755"/>
      <c r="U56" s="755"/>
      <c r="V56" s="755"/>
      <c r="W56" s="755"/>
      <c r="X56" s="755"/>
      <c r="Y56" s="755"/>
      <c r="Z56" s="755"/>
      <c r="AA56" s="755"/>
      <c r="AB56" s="755"/>
      <c r="AC56" s="755"/>
      <c r="AD56" s="755"/>
      <c r="AE56" s="755"/>
      <c r="AF56" s="755"/>
      <c r="AG56" s="755"/>
      <c r="AH56" s="755"/>
      <c r="AI56" s="755"/>
      <c r="AJ56" s="755"/>
      <c r="AK56" s="755"/>
      <c r="AL56" s="755"/>
      <c r="AM56" s="755"/>
      <c r="AN56" s="755"/>
      <c r="AO56" s="755"/>
      <c r="AP56" s="755"/>
      <c r="AQ56" s="755"/>
      <c r="AR56" s="755"/>
      <c r="AS56" s="755"/>
      <c r="AT56" s="755"/>
      <c r="AU56" s="755"/>
      <c r="AV56" s="755"/>
      <c r="AW56" s="755"/>
      <c r="AX56" s="755"/>
      <c r="AY56" s="755"/>
      <c r="AZ56" s="755"/>
      <c r="BA56" s="755"/>
      <c r="BB56" s="755"/>
      <c r="BC56" s="755"/>
      <c r="BD56" s="755"/>
      <c r="BE56" s="755"/>
      <c r="BF56" s="755"/>
      <c r="BG56" s="755"/>
      <c r="BH56" s="755"/>
      <c r="BI56" s="755"/>
      <c r="BJ56" s="755"/>
      <c r="BK56" s="755"/>
      <c r="BL56" s="755"/>
      <c r="BM56" s="755"/>
      <c r="BN56" s="755"/>
      <c r="BO56" s="755"/>
      <c r="BP56" s="755"/>
      <c r="BR56" s="755"/>
    </row>
    <row r="57" spans="2:70" s="145" customFormat="1" x14ac:dyDescent="0.15">
      <c r="B57" s="756" t="s">
        <v>307</v>
      </c>
      <c r="C57" s="756"/>
      <c r="D57" s="757"/>
      <c r="E57" s="757"/>
      <c r="F57" s="757"/>
      <c r="G57" s="757"/>
      <c r="H57" s="756"/>
      <c r="I57" s="757"/>
      <c r="J57" s="757"/>
      <c r="K57" s="757"/>
      <c r="L57" s="757"/>
      <c r="M57" s="756"/>
      <c r="N57" s="757"/>
      <c r="O57" s="757"/>
      <c r="P57" s="757"/>
      <c r="Q57" s="757"/>
      <c r="R57" s="756"/>
      <c r="S57" s="757"/>
      <c r="T57" s="757"/>
      <c r="U57" s="757"/>
      <c r="V57" s="757"/>
      <c r="W57" s="756"/>
      <c r="X57" s="757"/>
      <c r="Y57" s="757"/>
      <c r="Z57" s="757"/>
      <c r="AA57" s="757"/>
      <c r="AB57" s="756"/>
      <c r="AC57" s="757"/>
      <c r="AD57" s="757"/>
      <c r="AE57" s="757"/>
      <c r="AF57" s="757"/>
      <c r="AG57" s="756"/>
      <c r="AH57" s="757"/>
      <c r="AI57" s="757"/>
      <c r="AJ57" s="757"/>
      <c r="AK57" s="757"/>
      <c r="AL57" s="756"/>
      <c r="AM57" s="757"/>
      <c r="AN57" s="757"/>
      <c r="AO57" s="757"/>
      <c r="AP57" s="757"/>
      <c r="AQ57" s="756"/>
      <c r="AR57" s="757"/>
      <c r="AS57" s="757"/>
      <c r="AT57" s="757"/>
      <c r="AU57" s="757"/>
      <c r="AV57" s="756"/>
      <c r="AW57" s="757"/>
      <c r="AX57" s="757"/>
      <c r="AY57" s="757"/>
      <c r="AZ57" s="757"/>
      <c r="BA57" s="756"/>
      <c r="BB57" s="757"/>
      <c r="BC57" s="757"/>
      <c r="BD57" s="757"/>
      <c r="BE57" s="757"/>
      <c r="BF57" s="756"/>
      <c r="BG57" s="757"/>
      <c r="BH57" s="757"/>
      <c r="BI57" s="757"/>
      <c r="BJ57" s="757"/>
      <c r="BK57" s="756"/>
      <c r="BL57" s="757"/>
      <c r="BM57" s="757"/>
      <c r="BN57" s="757"/>
      <c r="BO57" s="757"/>
      <c r="BP57" s="756"/>
      <c r="BR57" s="758"/>
    </row>
    <row r="58" spans="2:70" s="96" customFormat="1" x14ac:dyDescent="0.15">
      <c r="B58" s="759" t="s">
        <v>308</v>
      </c>
      <c r="C58" s="759">
        <v>195.53899999999999</v>
      </c>
      <c r="D58" s="96">
        <v>56.375999999999998</v>
      </c>
      <c r="E58" s="96">
        <v>-25.289000000000001</v>
      </c>
      <c r="F58" s="96">
        <v>48.436999999999998</v>
      </c>
      <c r="G58" s="96">
        <f t="shared" ref="G58:G64" si="62">H58-D58-E58-F58</f>
        <v>120.38000000000001</v>
      </c>
      <c r="H58" s="759">
        <v>199.904</v>
      </c>
      <c r="I58" s="96">
        <v>39.003</v>
      </c>
      <c r="J58" s="96">
        <v>24.09</v>
      </c>
      <c r="K58" s="96">
        <v>40.362000000000002</v>
      </c>
      <c r="L58" s="96">
        <f t="shared" ref="L58:L64" si="63">M58-I58-J58-K58</f>
        <v>73</v>
      </c>
      <c r="M58" s="759">
        <v>176.45500000000001</v>
      </c>
      <c r="N58" s="96">
        <v>-3.15</v>
      </c>
      <c r="O58" s="96">
        <v>33.969000000000001</v>
      </c>
      <c r="P58" s="145">
        <v>-207.88200000000001</v>
      </c>
      <c r="Q58" s="96">
        <f t="shared" ref="Q58:Q64" si="64">R58-N58-O58-P58</f>
        <v>-31.129999999999995</v>
      </c>
      <c r="R58" s="759">
        <v>-208.19300000000001</v>
      </c>
      <c r="S58" s="96">
        <v>6.4820000000000002</v>
      </c>
      <c r="T58" s="96">
        <v>56.36</v>
      </c>
      <c r="U58" s="96">
        <v>40.862000000000002</v>
      </c>
      <c r="V58" s="96">
        <f t="shared" ref="V58:V64" si="65">W58-S58-T58-U58</f>
        <v>55.854999999999997</v>
      </c>
      <c r="W58" s="759">
        <v>159.559</v>
      </c>
      <c r="X58" s="96">
        <v>-12.920999999999999</v>
      </c>
      <c r="Y58" s="96">
        <v>-21.606999999999999</v>
      </c>
      <c r="Z58" s="96">
        <v>7.6449999999999996</v>
      </c>
      <c r="AA58" s="96">
        <f t="shared" ref="AA58:AA64" si="66">AB58-X58-Y58-Z58</f>
        <v>-89.14200000000001</v>
      </c>
      <c r="AB58" s="759">
        <v>-116.02500000000001</v>
      </c>
      <c r="AC58" s="96">
        <v>-27.53</v>
      </c>
      <c r="AD58" s="96">
        <f>10.866</f>
        <v>10.866</v>
      </c>
      <c r="AE58" s="96">
        <v>-971.97500000000002</v>
      </c>
      <c r="AF58" s="96">
        <f t="shared" ref="AF58:AF64" si="67">AG58-AC58-AD58-AE58</f>
        <v>124.97000000000003</v>
      </c>
      <c r="AG58" s="759">
        <v>-863.66899999999998</v>
      </c>
      <c r="AH58" s="145">
        <v>-20.3</v>
      </c>
      <c r="AI58" s="96">
        <f>122</f>
        <v>122</v>
      </c>
      <c r="AJ58" s="145">
        <f>276.4</f>
        <v>276.39999999999998</v>
      </c>
      <c r="AK58" s="96">
        <f t="shared" ref="AK58:AK64" si="68">AL58-AH58-AI58-AJ58</f>
        <v>534.1</v>
      </c>
      <c r="AL58" s="759">
        <v>912.2</v>
      </c>
      <c r="AM58" s="145">
        <v>74.5</v>
      </c>
      <c r="AN58" s="145">
        <v>-51.6</v>
      </c>
      <c r="AO58" s="145">
        <v>51.7</v>
      </c>
      <c r="AP58" s="145">
        <f>IS!BD32-AP104</f>
        <v>293.09999999999957</v>
      </c>
      <c r="AQ58" s="759">
        <f t="shared" ref="AQ58:AQ64" si="69">SUM(AM58:AP58)</f>
        <v>367.69999999999959</v>
      </c>
      <c r="AR58" s="145">
        <f>IS!BF32-AR104</f>
        <v>-163.70552299999969</v>
      </c>
      <c r="AS58" s="145">
        <f>IS!BG32-AS104</f>
        <v>123.22047445000055</v>
      </c>
      <c r="AT58" s="145">
        <f>IS!BH32-AT104</f>
        <v>201.8109950500002</v>
      </c>
      <c r="AU58" s="770">
        <f>IS!BI32-AU104</f>
        <v>319.56341690000033</v>
      </c>
      <c r="AV58" s="759">
        <f t="shared" ref="AV58:AV64" si="70">SUM(AR58:AU58)</f>
        <v>480.8893634000014</v>
      </c>
      <c r="BA58" s="771">
        <f>IS!BO32-BA104</f>
        <v>1154.6434393675027</v>
      </c>
      <c r="BF58" s="771">
        <f>IS!BT32-BF104</f>
        <v>1848.503920525055</v>
      </c>
      <c r="BK58" s="771">
        <f>IS!BY32-BK104</f>
        <v>2545.971301118238</v>
      </c>
      <c r="BP58" s="771">
        <f>IS!CD32-BP104</f>
        <v>2997.3647093131599</v>
      </c>
      <c r="BR58" s="758"/>
    </row>
    <row r="59" spans="2:70" s="96" customFormat="1" x14ac:dyDescent="0.15">
      <c r="B59" s="759" t="s">
        <v>309</v>
      </c>
      <c r="C59" s="759">
        <v>94.984999999999999</v>
      </c>
      <c r="D59" s="96">
        <v>25.073</v>
      </c>
      <c r="E59" s="96">
        <v>25.344999999999999</v>
      </c>
      <c r="F59" s="96">
        <v>24.780999999999999</v>
      </c>
      <c r="G59" s="96">
        <f t="shared" si="62"/>
        <v>27.705999999999996</v>
      </c>
      <c r="H59" s="759">
        <v>102.905</v>
      </c>
      <c r="I59" s="96">
        <v>26.690999999999999</v>
      </c>
      <c r="J59" s="96">
        <v>32.088999999999999</v>
      </c>
      <c r="K59" s="96">
        <v>43.292999999999999</v>
      </c>
      <c r="L59" s="96">
        <f t="shared" si="63"/>
        <v>47.186999999999991</v>
      </c>
      <c r="M59" s="759">
        <v>149.26</v>
      </c>
      <c r="N59" s="96">
        <v>40.048000000000002</v>
      </c>
      <c r="O59" s="96">
        <v>40.232999999999997</v>
      </c>
      <c r="P59" s="145">
        <v>42.338000000000001</v>
      </c>
      <c r="Q59" s="96">
        <f t="shared" si="64"/>
        <v>131.88499999999999</v>
      </c>
      <c r="R59" s="759">
        <v>254.50399999999999</v>
      </c>
      <c r="S59" s="96">
        <v>127.002</v>
      </c>
      <c r="T59" s="96">
        <v>122.276</v>
      </c>
      <c r="U59" s="96">
        <v>154.93600000000001</v>
      </c>
      <c r="V59" s="96">
        <f t="shared" si="65"/>
        <v>208.38899999999992</v>
      </c>
      <c r="W59" s="759">
        <v>612.60299999999995</v>
      </c>
      <c r="X59" s="96">
        <v>215.58199999999999</v>
      </c>
      <c r="Y59" s="96">
        <v>221.86600000000001</v>
      </c>
      <c r="Z59" s="96">
        <v>235.31100000000001</v>
      </c>
      <c r="AA59" s="96">
        <f t="shared" si="66"/>
        <v>313.46299999999997</v>
      </c>
      <c r="AB59" s="759">
        <v>986.22199999999998</v>
      </c>
      <c r="AC59" s="96">
        <v>341.44499999999999</v>
      </c>
      <c r="AD59" s="96">
        <f>317.854</f>
        <v>317.85399999999998</v>
      </c>
      <c r="AE59" s="96">
        <v>945.95600000000002</v>
      </c>
      <c r="AF59" s="96">
        <f t="shared" si="67"/>
        <v>410.55100000000004</v>
      </c>
      <c r="AG59" s="759">
        <v>2015.806</v>
      </c>
      <c r="AH59" s="145">
        <v>401.1</v>
      </c>
      <c r="AI59" s="96">
        <f>407.7</f>
        <v>407.7</v>
      </c>
      <c r="AJ59" s="145">
        <f>439.3</f>
        <v>439.3</v>
      </c>
      <c r="AK59" s="96">
        <f t="shared" si="68"/>
        <v>489.49999999999994</v>
      </c>
      <c r="AL59" s="759">
        <v>1737.6</v>
      </c>
      <c r="AM59" s="145">
        <v>407</v>
      </c>
      <c r="AN59" s="145">
        <v>635</v>
      </c>
      <c r="AO59" s="145">
        <f>726.4</f>
        <v>726.4</v>
      </c>
      <c r="AP59" s="145">
        <f>AP105+AP104</f>
        <v>632.59999999999991</v>
      </c>
      <c r="AQ59" s="759">
        <f t="shared" si="69"/>
        <v>2401</v>
      </c>
      <c r="AR59" s="145">
        <f t="shared" ref="AR59:AU59" si="71">AR105+AR104</f>
        <v>686.55</v>
      </c>
      <c r="AS59" s="145">
        <f t="shared" si="71"/>
        <v>686.55</v>
      </c>
      <c r="AT59" s="145">
        <f t="shared" si="71"/>
        <v>686.55</v>
      </c>
      <c r="AU59" s="145">
        <f t="shared" si="71"/>
        <v>686.55</v>
      </c>
      <c r="AV59" s="759">
        <f t="shared" si="70"/>
        <v>2746.2</v>
      </c>
      <c r="BA59" s="759">
        <f>BA105+BA104</f>
        <v>2679</v>
      </c>
      <c r="BF59" s="759">
        <f>BF105+BF104</f>
        <v>2548.3000000000002</v>
      </c>
      <c r="BK59" s="759">
        <f>BK105+BK104</f>
        <v>2412.6</v>
      </c>
      <c r="BP59" s="759">
        <f>BP105+BP104</f>
        <v>2412.6</v>
      </c>
      <c r="BR59" s="758"/>
    </row>
    <row r="60" spans="2:70" s="96" customFormat="1" x14ac:dyDescent="0.15">
      <c r="B60" s="759" t="s">
        <v>310</v>
      </c>
      <c r="C60" s="759">
        <v>10.632999999999999</v>
      </c>
      <c r="D60" s="96">
        <v>1.429</v>
      </c>
      <c r="E60" s="96">
        <v>3.7440000000000002</v>
      </c>
      <c r="F60" s="96">
        <v>1.5669999999999999</v>
      </c>
      <c r="G60" s="96">
        <f t="shared" si="62"/>
        <v>1.1659999999999993</v>
      </c>
      <c r="H60" s="759">
        <v>7.9059999999999997</v>
      </c>
      <c r="I60" s="96">
        <v>1.7569999999999999</v>
      </c>
      <c r="J60" s="96">
        <v>1.3340000000000001</v>
      </c>
      <c r="K60" s="96">
        <v>1.1259999999999999</v>
      </c>
      <c r="L60" s="96">
        <f t="shared" si="63"/>
        <v>1.3960000000000008</v>
      </c>
      <c r="M60" s="759">
        <v>5.6130000000000004</v>
      </c>
      <c r="N60" s="96">
        <v>1.657</v>
      </c>
      <c r="O60" s="96">
        <v>1.895</v>
      </c>
      <c r="P60" s="145">
        <v>68.284000000000006</v>
      </c>
      <c r="Q60" s="96">
        <f t="shared" si="64"/>
        <v>26.197000000000003</v>
      </c>
      <c r="R60" s="759">
        <v>98.033000000000001</v>
      </c>
      <c r="S60" s="145">
        <v>29.893000000000001</v>
      </c>
      <c r="T60" s="96">
        <v>25.558</v>
      </c>
      <c r="U60" s="145">
        <v>17.587</v>
      </c>
      <c r="V60" s="96">
        <f t="shared" si="65"/>
        <v>20.984999999999996</v>
      </c>
      <c r="W60" s="759">
        <v>94.022999999999996</v>
      </c>
      <c r="X60" s="145">
        <v>19.152000000000001</v>
      </c>
      <c r="Y60" s="145">
        <v>15.156000000000001</v>
      </c>
      <c r="Z60" s="145">
        <v>18.547000000000001</v>
      </c>
      <c r="AA60" s="96">
        <f t="shared" si="66"/>
        <v>13.381000000000004</v>
      </c>
      <c r="AB60" s="759">
        <v>66.236000000000004</v>
      </c>
      <c r="AC60" s="145">
        <v>9.0950000000000006</v>
      </c>
      <c r="AD60" s="145">
        <f>7.381</f>
        <v>7.3810000000000002</v>
      </c>
      <c r="AE60" s="145">
        <v>16</v>
      </c>
      <c r="AF60" s="96">
        <f t="shared" si="67"/>
        <v>13.002000000000002</v>
      </c>
      <c r="AG60" s="759">
        <v>45.478000000000002</v>
      </c>
      <c r="AH60" s="145">
        <v>24.8</v>
      </c>
      <c r="AI60" s="145">
        <f>15.6</f>
        <v>15.6</v>
      </c>
      <c r="AJ60" s="145">
        <f>20.2</f>
        <v>20.2</v>
      </c>
      <c r="AK60" s="96">
        <f t="shared" si="68"/>
        <v>17.600000000000005</v>
      </c>
      <c r="AL60" s="759">
        <v>78.2</v>
      </c>
      <c r="AM60" s="145">
        <v>35</v>
      </c>
      <c r="AN60" s="145">
        <v>25.9</v>
      </c>
      <c r="AO60" s="145">
        <v>50.5</v>
      </c>
      <c r="AP60" s="772">
        <v>50</v>
      </c>
      <c r="AQ60" s="759">
        <f t="shared" si="69"/>
        <v>161.4</v>
      </c>
      <c r="AR60" s="772">
        <f>200/4</f>
        <v>50</v>
      </c>
      <c r="AS60" s="772">
        <f t="shared" ref="AS60:AU60" si="72">200/4</f>
        <v>50</v>
      </c>
      <c r="AT60" s="772">
        <f t="shared" si="72"/>
        <v>50</v>
      </c>
      <c r="AU60" s="772">
        <f t="shared" si="72"/>
        <v>50</v>
      </c>
      <c r="AV60" s="759">
        <f t="shared" si="70"/>
        <v>200</v>
      </c>
      <c r="BA60" s="759">
        <f>AV60</f>
        <v>200</v>
      </c>
      <c r="BF60" s="759">
        <f>BA60</f>
        <v>200</v>
      </c>
      <c r="BK60" s="759">
        <f>BF60</f>
        <v>200</v>
      </c>
      <c r="BP60" s="759">
        <f>BK60</f>
        <v>200</v>
      </c>
      <c r="BR60" s="758"/>
    </row>
    <row r="61" spans="2:70" s="96" customFormat="1" x14ac:dyDescent="0.15">
      <c r="B61" s="759" t="s">
        <v>311</v>
      </c>
      <c r="C61" s="759">
        <v>0</v>
      </c>
      <c r="D61" s="96">
        <v>0</v>
      </c>
      <c r="E61" s="96">
        <v>0</v>
      </c>
      <c r="F61" s="96">
        <v>0</v>
      </c>
      <c r="G61" s="96">
        <f t="shared" si="62"/>
        <v>-90</v>
      </c>
      <c r="H61" s="759">
        <v>-90</v>
      </c>
      <c r="I61" s="96">
        <v>7.8</v>
      </c>
      <c r="J61" s="96">
        <v>0.4</v>
      </c>
      <c r="K61" s="96">
        <v>3.8</v>
      </c>
      <c r="L61" s="96">
        <f t="shared" si="63"/>
        <v>-28</v>
      </c>
      <c r="M61" s="759">
        <v>-16</v>
      </c>
      <c r="N61" s="96">
        <v>4.3</v>
      </c>
      <c r="O61" s="96">
        <v>0.7</v>
      </c>
      <c r="P61" s="145">
        <v>59.5</v>
      </c>
      <c r="Q61" s="96">
        <f t="shared" si="64"/>
        <v>-119.90299999999999</v>
      </c>
      <c r="R61" s="759">
        <v>-55.402999999999999</v>
      </c>
      <c r="S61" s="145">
        <v>-19.773</v>
      </c>
      <c r="T61" s="96">
        <v>-18.724</v>
      </c>
      <c r="U61" s="145">
        <v>-38.600999999999999</v>
      </c>
      <c r="V61" s="96">
        <f t="shared" si="65"/>
        <v>-145.86100000000002</v>
      </c>
      <c r="W61" s="759">
        <v>-222.959</v>
      </c>
      <c r="X61" s="145">
        <v>-14.859</v>
      </c>
      <c r="Y61" s="145">
        <v>-5.85</v>
      </c>
      <c r="Z61" s="145">
        <v>-107.093</v>
      </c>
      <c r="AA61" s="96">
        <f t="shared" si="66"/>
        <v>-191.80099999999999</v>
      </c>
      <c r="AB61" s="759">
        <v>-319.60300000000001</v>
      </c>
      <c r="AC61" s="145">
        <v>-37.354999999999997</v>
      </c>
      <c r="AD61" s="145">
        <f>-63.22</f>
        <v>-63.22</v>
      </c>
      <c r="AE61" s="145">
        <v>-185.61099999999999</v>
      </c>
      <c r="AF61" s="96">
        <f t="shared" si="67"/>
        <v>-229.69799999999998</v>
      </c>
      <c r="AG61" s="759">
        <v>-515.88400000000001</v>
      </c>
      <c r="AH61" s="96">
        <v>10</v>
      </c>
      <c r="AI61" s="145">
        <f>-21.4</f>
        <v>-21.4</v>
      </c>
      <c r="AJ61" s="145">
        <f>74.6</f>
        <v>74.599999999999994</v>
      </c>
      <c r="AK61" s="96">
        <f t="shared" si="68"/>
        <v>18.599999999999994</v>
      </c>
      <c r="AL61" s="759">
        <v>81.8</v>
      </c>
      <c r="AM61" s="96">
        <v>62.5</v>
      </c>
      <c r="AN61" s="96">
        <v>-50.1</v>
      </c>
      <c r="AO61" s="96">
        <v>-91.4</v>
      </c>
      <c r="AP61" s="773">
        <v>0</v>
      </c>
      <c r="AQ61" s="759">
        <f t="shared" si="69"/>
        <v>-79</v>
      </c>
      <c r="AR61" s="773">
        <v>0</v>
      </c>
      <c r="AS61" s="773">
        <v>0</v>
      </c>
      <c r="AT61" s="773">
        <v>0</v>
      </c>
      <c r="AU61" s="773">
        <v>0</v>
      </c>
      <c r="AV61" s="759">
        <f t="shared" si="70"/>
        <v>0</v>
      </c>
      <c r="AW61" s="774"/>
      <c r="AX61" s="774"/>
      <c r="AY61" s="774"/>
      <c r="AZ61" s="774"/>
      <c r="BA61" s="759">
        <f>AV61</f>
        <v>0</v>
      </c>
      <c r="BB61" s="774"/>
      <c r="BC61" s="774"/>
      <c r="BD61" s="774"/>
      <c r="BE61" s="774"/>
      <c r="BF61" s="759">
        <f>BA61</f>
        <v>0</v>
      </c>
      <c r="BG61" s="774"/>
      <c r="BH61" s="774"/>
      <c r="BI61" s="774"/>
      <c r="BJ61" s="774"/>
      <c r="BK61" s="759">
        <f>BF61</f>
        <v>0</v>
      </c>
      <c r="BL61" s="774"/>
      <c r="BM61" s="774"/>
      <c r="BN61" s="774"/>
      <c r="BO61" s="774"/>
      <c r="BP61" s="759">
        <f>BK61</f>
        <v>0</v>
      </c>
      <c r="BR61" s="758"/>
    </row>
    <row r="62" spans="2:70" s="96" customFormat="1" x14ac:dyDescent="0.15">
      <c r="B62" s="759" t="s">
        <v>312</v>
      </c>
      <c r="C62" s="759"/>
      <c r="H62" s="759"/>
      <c r="M62" s="759"/>
      <c r="P62" s="145"/>
      <c r="R62" s="759"/>
      <c r="S62" s="145"/>
      <c r="U62" s="145"/>
      <c r="W62" s="759"/>
      <c r="X62" s="145"/>
      <c r="Y62" s="145"/>
      <c r="Z62" s="145"/>
      <c r="AB62" s="759"/>
      <c r="AC62" s="145"/>
      <c r="AD62" s="145"/>
      <c r="AE62" s="145"/>
      <c r="AG62" s="759"/>
      <c r="AI62" s="145"/>
      <c r="AJ62" s="145"/>
      <c r="AL62" s="759"/>
      <c r="AM62" s="775"/>
      <c r="AN62" s="775"/>
      <c r="AO62" s="775"/>
      <c r="AP62" s="776">
        <v>-75</v>
      </c>
      <c r="AQ62" s="777">
        <f t="shared" si="69"/>
        <v>-75</v>
      </c>
      <c r="AR62" s="776">
        <v>-75</v>
      </c>
      <c r="AS62" s="776">
        <v>-50</v>
      </c>
      <c r="AT62" s="776">
        <v>-25</v>
      </c>
      <c r="AU62" s="776">
        <v>-25</v>
      </c>
      <c r="AV62" s="777">
        <f t="shared" si="70"/>
        <v>-175</v>
      </c>
      <c r="AW62" s="778"/>
      <c r="AX62" s="778"/>
      <c r="AY62" s="778"/>
      <c r="AZ62" s="778"/>
      <c r="BA62" s="779">
        <v>0</v>
      </c>
      <c r="BB62" s="779"/>
      <c r="BC62" s="779"/>
      <c r="BD62" s="779"/>
      <c r="BE62" s="779"/>
      <c r="BF62" s="779">
        <v>0</v>
      </c>
      <c r="BG62" s="779"/>
      <c r="BH62" s="779"/>
      <c r="BI62" s="779"/>
      <c r="BJ62" s="779"/>
      <c r="BK62" s="779">
        <v>0</v>
      </c>
      <c r="BL62" s="779"/>
      <c r="BM62" s="779"/>
      <c r="BN62" s="779"/>
      <c r="BO62" s="779"/>
      <c r="BP62" s="779">
        <v>0</v>
      </c>
      <c r="BR62" s="758"/>
    </row>
    <row r="63" spans="2:70" s="96" customFormat="1" x14ac:dyDescent="0.15">
      <c r="B63" s="759" t="s">
        <v>45</v>
      </c>
      <c r="C63" s="759">
        <f>-19.168+0.962+4.821+21.468-24.356-16.462+95.114-8+2.528+7.854+3.843</f>
        <v>68.604000000000013</v>
      </c>
      <c r="D63" s="96">
        <f>-4.492+0.13-10+3.616+1.195+0.568</f>
        <v>-8.9830000000000005</v>
      </c>
      <c r="E63" s="96">
        <f>-4.492+0.13+51.974-3.461+24.648-1.621</f>
        <v>67.177999999999997</v>
      </c>
      <c r="F63" s="96">
        <f>-4.492+0.13+1.465-4.156-83.048+2-45.065+0.429</f>
        <v>-132.73699999999999</v>
      </c>
      <c r="G63" s="96">
        <f t="shared" si="62"/>
        <v>14.595999999999989</v>
      </c>
      <c r="H63" s="759">
        <f>-18.246+0.52+69.056-6.534-93.048+32.565-45.065+1.195-0.389</f>
        <v>-59.946000000000005</v>
      </c>
      <c r="I63" s="96">
        <f>-5.3+0.13-6.158+0.241+2.707+0.006-0.023</f>
        <v>-8.3969999999999985</v>
      </c>
      <c r="J63" s="96">
        <f>-5.301+0.564+0.968+30.414+9.674-0.344+0.192</f>
        <v>36.167000000000002</v>
      </c>
      <c r="K63" s="96">
        <f>-5.3+2.682+1.228+8.126+0.385-0.466-24.648-0.089</f>
        <v>-18.082000000000001</v>
      </c>
      <c r="L63" s="96">
        <f t="shared" si="63"/>
        <v>37.411999999999999</v>
      </c>
      <c r="M63" s="759">
        <f>-21.201+5.986+3.62+59.354+13.969+10.968-0.804-30.806+6.191-0.177</f>
        <v>47.1</v>
      </c>
      <c r="N63" s="96">
        <f>-4.775+2.801+1.312+51.003-5.95+0.155-0.522</f>
        <v>44.024000000000001</v>
      </c>
      <c r="O63" s="96">
        <f>-4.776+2.837+1.332+10.242+0.392-0.154</f>
        <v>9.8730000000000011</v>
      </c>
      <c r="P63" s="145">
        <f>-4.775+2.712+6.854+38.5+5.405-0.346</f>
        <v>48.35</v>
      </c>
      <c r="Q63" s="96">
        <f t="shared" si="64"/>
        <v>93.867000000000075</v>
      </c>
      <c r="R63" s="759">
        <f>-19.101+11.169+10.303+89.245+53.266+6.887+52.61-44.45+11.603-4.934+30.716-1.2</f>
        <v>196.11400000000006</v>
      </c>
      <c r="S63" s="96">
        <f>-4.775+2.642+1.292-24.05+2+0.381+29.576+30.686-16+0.4+8.262-2.289+1.438</f>
        <v>29.562999999999992</v>
      </c>
      <c r="T63" s="145">
        <f>-4.776+1.945+0.469-7.566+2+1.752+2.091+16.262-0.4+14.748-2.712-21.316+6.263</f>
        <v>8.76</v>
      </c>
      <c r="U63" s="145">
        <f>-4.775+1.917+10.768-2.042+6.904+1.74+2.768+10.315-3.362-7.737</f>
        <v>16.495999999999995</v>
      </c>
      <c r="V63" s="96">
        <f t="shared" si="65"/>
        <v>115.54700000000001</v>
      </c>
      <c r="W63" s="759">
        <f>-19.101+8.491+18.612+109.2+59.256-10.986+5.519+30.686+11.841-26.541-26.533-21.316-9.753+36.844+4.147</f>
        <v>170.36599999999999</v>
      </c>
      <c r="X63" s="145">
        <f>-8.568+3.249+2.498+33.098+9.527+9.839+4.383+3.155-0.06-0.593-25.564-0.056+0.133-1.048</f>
        <v>29.993000000000002</v>
      </c>
      <c r="Y63" s="145">
        <f>-0.391+4.568+10.294+1.024+7.729+1.72+53.624-1.752-2.882+3.299-0.898-0.025</f>
        <v>76.31</v>
      </c>
      <c r="Z63" s="145">
        <f>8.979+145.3+6.009+0.229+5.63+6.833-37.739-2.367+0.356-0.552-5.545</f>
        <v>127.13300000000002</v>
      </c>
      <c r="AA63" s="96">
        <f t="shared" si="66"/>
        <v>59.589999999999932</v>
      </c>
      <c r="AB63" s="759">
        <f>36.402+189.901+78.822-5.266+21.779+10.78+56.779-41.8-12.541-23.839-2.322-15.669</f>
        <v>293.02599999999995</v>
      </c>
      <c r="AC63" s="145">
        <f>9.647+43.241-2.185+8.994+4.448-2.82-4.604-1.77-1.859-0.638+21.379+0.965</f>
        <v>74.798000000000002</v>
      </c>
      <c r="AD63" s="145">
        <f>33.279+4.83+26.518+3.669+11.576+1.124-11.728-11.845+10.536-2.234-3.609-3.963</f>
        <v>58.15300000000002</v>
      </c>
      <c r="AE63" s="145">
        <f>27.572+123.981+149.4+0.625-34.995+16.12+149.601-0.15-32.179-5.408+8.161-3.347-4.778</f>
        <v>394.60300000000001</v>
      </c>
      <c r="AF63" s="96">
        <f t="shared" si="67"/>
        <v>210.96299999999979</v>
      </c>
      <c r="AG63" s="759">
        <f>89.461+153.639+372.45-29.259+68.283+10.18+220.495-180.849-24.2+9.783-5.822+65.014-11.124+0.466</f>
        <v>738.51699999999983</v>
      </c>
      <c r="AH63" s="145">
        <f>12.2+5.2+8.9+19.6-48.8-1.2+12.6+93.7-0.7+9.7</f>
        <v>111.2</v>
      </c>
      <c r="AI63" s="145">
        <f>11.3+0.4+4.3+1.9+16+1.5-0.9-5.3-7.5-3.7</f>
        <v>18</v>
      </c>
      <c r="AJ63" s="145">
        <f>34.6+19.9+12.4-254.5+4+12-0.9-0.2-15.9+55.1-1.3+9.7</f>
        <v>-125.10000000000001</v>
      </c>
      <c r="AK63" s="96">
        <f t="shared" si="68"/>
        <v>149.19999999999999</v>
      </c>
      <c r="AL63" s="759">
        <f>70+21+27.3-14.1+81.3-253.5-44.7-3.2-17.1+135.1+129.6-10.7+32.3</f>
        <v>153.29999999999998</v>
      </c>
      <c r="AM63" s="145">
        <f>10.5+24.5+7.1+12.2+1.5-3+75.9+20-2.2-7.2-17.9</f>
        <v>121.4</v>
      </c>
      <c r="AN63" s="145">
        <f>92.7+12.3+46+11.7+14.6+4.8-2.9-7.7-10.3-9.9-2.7</f>
        <v>148.6</v>
      </c>
      <c r="AO63" s="145">
        <f>20.5+95.8+27.2+5.3+3.8+19.6+25.6-26.2+3.9+31-7.7+0.2</f>
        <v>199.00000000000003</v>
      </c>
      <c r="AP63" s="772">
        <v>-117</v>
      </c>
      <c r="AQ63" s="759">
        <f t="shared" si="69"/>
        <v>352</v>
      </c>
      <c r="AR63" s="772"/>
      <c r="AS63" s="772"/>
      <c r="AT63" s="772"/>
      <c r="AU63" s="772"/>
      <c r="AV63" s="759">
        <f t="shared" si="70"/>
        <v>0</v>
      </c>
      <c r="BA63" s="759">
        <f>AV63</f>
        <v>0</v>
      </c>
      <c r="BF63" s="759">
        <f>BA63</f>
        <v>0</v>
      </c>
      <c r="BK63" s="759">
        <f>BF63</f>
        <v>0</v>
      </c>
      <c r="BP63" s="759">
        <f>BK63</f>
        <v>0</v>
      </c>
      <c r="BR63" s="758"/>
    </row>
    <row r="64" spans="2:70" s="96" customFormat="1" x14ac:dyDescent="0.15">
      <c r="B64" s="759" t="s">
        <v>313</v>
      </c>
      <c r="C64" s="759">
        <f>18.052-7.994+3.023+0.376+3.273-26.496-7.514-11.628</f>
        <v>-28.907999999999998</v>
      </c>
      <c r="D64" s="96">
        <f>28.52+1.045+11.764+3.937-9.236-2.687+2.518-17.08</f>
        <v>18.780999999999992</v>
      </c>
      <c r="E64" s="96">
        <f>-10.004+5.041-1.852+3.587-3.327-0.713+4.925-1.579</f>
        <v>-3.9219999999999997</v>
      </c>
      <c r="F64" s="96">
        <f>-5.952+0.044+0.077-3.306-3.896+3.003+2.384+3.228</f>
        <v>-4.418000000000001</v>
      </c>
      <c r="G64" s="96">
        <f t="shared" si="62"/>
        <v>33.115000000000009</v>
      </c>
      <c r="H64" s="759">
        <f>20.441+7.178+20.577+0.318-6.135+3.584+8.7-11.107</f>
        <v>43.555999999999997</v>
      </c>
      <c r="I64" s="96">
        <f>6.839+0.77+1.226+3.21-16.334-8.776+1.01-7.827</f>
        <v>-19.881999999999998</v>
      </c>
      <c r="J64" s="96">
        <f>-14.204-9.96+2.77+6.223+20.512-0.32-2.02</f>
        <v>3.0009999999999972</v>
      </c>
      <c r="K64" s="96">
        <f>-1.938-2.392-6.085+6.773+18.681+0.886+2.773</f>
        <v>18.698</v>
      </c>
      <c r="L64" s="96">
        <f t="shared" si="63"/>
        <v>-3.347999999999999</v>
      </c>
      <c r="M64" s="759">
        <f>-30.14+0.812-26.212-0.796+30.771+36.414+0.726-13.106</f>
        <v>-1.530999999999997</v>
      </c>
      <c r="N64" s="96">
        <f>15.059-14.858+2.275-29.73-14.803+1.401-1.47</f>
        <v>-42.125999999999998</v>
      </c>
      <c r="O64" s="96">
        <f>-11.397+9.036+2.961-0.566+17.803+3.676+0.73</f>
        <v>22.242999999999999</v>
      </c>
      <c r="P64" s="145">
        <f>17.966+1.752-2.164+22.277+63.45-2.929-0.018</f>
        <v>100.334</v>
      </c>
      <c r="Q64" s="96">
        <f t="shared" si="64"/>
        <v>-102.315</v>
      </c>
      <c r="R64" s="759">
        <f>25.187+7.463+7.394-76.1+26.732-9.723-2.817</f>
        <v>-21.863999999999997</v>
      </c>
      <c r="S64" s="96">
        <f>-118.481+13.36-6.87-37.806+62.742-0.863+1.081</f>
        <v>-86.837000000000003</v>
      </c>
      <c r="T64" s="96">
        <f>67.736-8.217+12.497+27.497-51.814-13.73-1.543</f>
        <v>32.426000000000009</v>
      </c>
      <c r="U64" s="96">
        <f>-43.087-5.211-7.813+16.808+21.397+0.92-0.587</f>
        <v>-17.573000000000004</v>
      </c>
      <c r="V64" s="96">
        <f t="shared" si="65"/>
        <v>-65.134999999999962</v>
      </c>
      <c r="W64" s="759">
        <f>-164.581-11.521-3.084-8.98+70.175-15.497-3.631</f>
        <v>-137.11899999999997</v>
      </c>
      <c r="X64" s="96">
        <f>-14.786-35.08-4.266-9.92-7.52+1.575+0.28</f>
        <v>-69.716999999999985</v>
      </c>
      <c r="Y64" s="96">
        <f>8.183-16.433+1.133-9.035-15.121</f>
        <v>-31.273000000000003</v>
      </c>
      <c r="Z64" s="96">
        <f>-182.646-9.787-6.324+84.352-0.311</f>
        <v>-114.71600000000001</v>
      </c>
      <c r="AA64" s="96">
        <f t="shared" si="66"/>
        <v>-37.572000000000031</v>
      </c>
      <c r="AB64" s="759">
        <f>-219.431-80.304+54.827-29.07+20.7</f>
        <v>-253.27800000000002</v>
      </c>
      <c r="AC64" s="96">
        <f>-89.227-24.948-0.122+9.193</f>
        <v>-105.10400000000001</v>
      </c>
      <c r="AD64" s="96">
        <f>-44.775-33.96+5.354+47.375</f>
        <v>-26.006</v>
      </c>
      <c r="AE64" s="145">
        <f>52.961-46.15+49.786-53.858</f>
        <v>2.7390000000000043</v>
      </c>
      <c r="AF64" s="96">
        <f t="shared" si="67"/>
        <v>-249.92000000000002</v>
      </c>
      <c r="AG64" s="759">
        <f>-261.38-122.701+82.338-76.548</f>
        <v>-378.29100000000005</v>
      </c>
      <c r="AH64" s="96">
        <f>-30.1-69.2+4.2+52.6</f>
        <v>-42.500000000000007</v>
      </c>
      <c r="AI64" s="96">
        <f>-53.7-12.1+24.8-124.9</f>
        <v>-165.9</v>
      </c>
      <c r="AJ64" s="96">
        <f>-121.4-41.5+5.5+90.7</f>
        <v>-66.7</v>
      </c>
      <c r="AK64" s="96">
        <f t="shared" si="68"/>
        <v>-393.3</v>
      </c>
      <c r="AL64" s="759">
        <f>-572.4-174.3-110.3+188.6</f>
        <v>-668.4</v>
      </c>
      <c r="AM64" s="96">
        <f>-67-38.5-45.1-58.7</f>
        <v>-209.3</v>
      </c>
      <c r="AN64" s="96">
        <f>-241.8-48.3-118.4+111.2</f>
        <v>-297.3</v>
      </c>
      <c r="AO64" s="96">
        <f>-347.2-45.6-88.5+281.6</f>
        <v>-199.7</v>
      </c>
      <c r="AP64" s="96">
        <f>(AO13-AP13)+(AO14-AP14)+(AP28-AO28)</f>
        <v>-221.4188888888886</v>
      </c>
      <c r="AQ64" s="759">
        <f t="shared" si="69"/>
        <v>-927.71888888888861</v>
      </c>
      <c r="AR64" s="96">
        <f t="shared" ref="AR64:AU64" si="73">(AQ13-AR13)+(AQ14-AR14)+(AR28-AQ28)</f>
        <v>-60.123904000000152</v>
      </c>
      <c r="AS64" s="96">
        <f t="shared" si="73"/>
        <v>-64.30724900000024</v>
      </c>
      <c r="AT64" s="96">
        <f t="shared" si="73"/>
        <v>-103.06146577777736</v>
      </c>
      <c r="AU64" s="96">
        <f t="shared" si="73"/>
        <v>35.411734111110661</v>
      </c>
      <c r="AV64" s="759">
        <f t="shared" si="70"/>
        <v>-192.08088466666709</v>
      </c>
      <c r="BA64" s="759">
        <f>(AV13-BA13)+(AV14-BA14)+(BA28-AV28)</f>
        <v>-249.64870474722181</v>
      </c>
      <c r="BF64" s="759">
        <f>(BA13-BF13)+(BA14-BF14)+(BF28-BA28)</f>
        <v>-227.31354876481112</v>
      </c>
      <c r="BK64" s="759">
        <f>(BF13-BK13)+(BF14-BK14)+(BK28-BF28)</f>
        <v>-231.33740109433791</v>
      </c>
      <c r="BP64" s="759">
        <f>(BK13-BP13)+(BK14-BP14)+(BP28-BK28)</f>
        <v>-176.60309364486648</v>
      </c>
      <c r="BR64" s="758"/>
    </row>
    <row r="65" spans="2:70" s="96" customFormat="1" x14ac:dyDescent="0.15">
      <c r="B65" s="765" t="s">
        <v>314</v>
      </c>
      <c r="C65" s="765">
        <f t="shared" ref="C65:R65" si="74">SUM(C58:C64)</f>
        <v>340.85299999999995</v>
      </c>
      <c r="D65" s="766">
        <f t="shared" si="74"/>
        <v>92.675999999999988</v>
      </c>
      <c r="E65" s="766">
        <f t="shared" si="74"/>
        <v>67.055999999999997</v>
      </c>
      <c r="F65" s="766">
        <f t="shared" si="74"/>
        <v>-62.370000000000012</v>
      </c>
      <c r="G65" s="766">
        <f t="shared" si="74"/>
        <v>106.96300000000001</v>
      </c>
      <c r="H65" s="765">
        <f t="shared" si="74"/>
        <v>204.32499999999999</v>
      </c>
      <c r="I65" s="766">
        <f t="shared" si="74"/>
        <v>46.972000000000016</v>
      </c>
      <c r="J65" s="766">
        <f t="shared" si="74"/>
        <v>97.081000000000003</v>
      </c>
      <c r="K65" s="766">
        <f t="shared" si="74"/>
        <v>89.197000000000003</v>
      </c>
      <c r="L65" s="766">
        <f t="shared" si="74"/>
        <v>127.64699999999998</v>
      </c>
      <c r="M65" s="765">
        <f t="shared" si="74"/>
        <v>360.89700000000005</v>
      </c>
      <c r="N65" s="766">
        <f t="shared" si="74"/>
        <v>44.753000000000007</v>
      </c>
      <c r="O65" s="766">
        <f t="shared" si="74"/>
        <v>108.913</v>
      </c>
      <c r="P65" s="780">
        <f t="shared" si="74"/>
        <v>110.92400000000001</v>
      </c>
      <c r="Q65" s="766">
        <f t="shared" si="74"/>
        <v>-1.3989999999999156</v>
      </c>
      <c r="R65" s="781">
        <f t="shared" si="74"/>
        <v>263.19100000000009</v>
      </c>
      <c r="S65" s="766">
        <f t="shared" ref="S65:AU65" si="75">SUM(S58:S64)</f>
        <v>86.33</v>
      </c>
      <c r="T65" s="766">
        <f t="shared" si="75"/>
        <v>226.65600000000001</v>
      </c>
      <c r="U65" s="766">
        <f t="shared" si="75"/>
        <v>173.70699999999997</v>
      </c>
      <c r="V65" s="766">
        <f t="shared" si="75"/>
        <v>189.77999999999994</v>
      </c>
      <c r="W65" s="765">
        <f t="shared" si="75"/>
        <v>676.47299999999996</v>
      </c>
      <c r="X65" s="766">
        <f t="shared" si="75"/>
        <v>167.23</v>
      </c>
      <c r="Y65" s="766">
        <f t="shared" si="75"/>
        <v>254.602</v>
      </c>
      <c r="Z65" s="766">
        <f t="shared" si="75"/>
        <v>166.82700000000006</v>
      </c>
      <c r="AA65" s="766">
        <f t="shared" si="75"/>
        <v>67.918999999999883</v>
      </c>
      <c r="AB65" s="765">
        <f>SUM(AB58:AB64)</f>
        <v>656.57799999999986</v>
      </c>
      <c r="AC65" s="782">
        <f t="shared" si="75"/>
        <v>255.34899999999996</v>
      </c>
      <c r="AD65" s="782">
        <f t="shared" si="75"/>
        <v>305.02800000000002</v>
      </c>
      <c r="AE65" s="782">
        <f t="shared" si="75"/>
        <v>201.71200000000002</v>
      </c>
      <c r="AF65" s="766">
        <f t="shared" si="75"/>
        <v>279.86799999999977</v>
      </c>
      <c r="AG65" s="765">
        <f t="shared" si="75"/>
        <v>1041.9569999999999</v>
      </c>
      <c r="AH65" s="766">
        <f t="shared" si="75"/>
        <v>484.30000000000007</v>
      </c>
      <c r="AI65" s="766">
        <f t="shared" si="75"/>
        <v>376.00000000000011</v>
      </c>
      <c r="AJ65" s="782">
        <f>SUM(AJ58:AJ64)</f>
        <v>618.70000000000005</v>
      </c>
      <c r="AK65" s="766">
        <f t="shared" si="75"/>
        <v>815.69999999999982</v>
      </c>
      <c r="AL65" s="765">
        <f t="shared" si="75"/>
        <v>2294.7000000000003</v>
      </c>
      <c r="AM65" s="766">
        <f t="shared" si="75"/>
        <v>491.09999999999997</v>
      </c>
      <c r="AN65" s="766">
        <f t="shared" si="75"/>
        <v>410.49999999999994</v>
      </c>
      <c r="AO65" s="766">
        <f t="shared" si="75"/>
        <v>736.5</v>
      </c>
      <c r="AP65" s="766">
        <f t="shared" si="75"/>
        <v>562.28111111111093</v>
      </c>
      <c r="AQ65" s="765">
        <f t="shared" si="75"/>
        <v>2200.3811111111113</v>
      </c>
      <c r="AR65" s="766">
        <f t="shared" si="75"/>
        <v>437.72057300000017</v>
      </c>
      <c r="AS65" s="766">
        <f t="shared" si="75"/>
        <v>745.46322545000021</v>
      </c>
      <c r="AT65" s="766">
        <f t="shared" si="75"/>
        <v>810.2995292722228</v>
      </c>
      <c r="AU65" s="766">
        <f t="shared" si="75"/>
        <v>1066.5251510111109</v>
      </c>
      <c r="AV65" s="765">
        <f>SUM(AV58:AV64)</f>
        <v>3060.0084787333344</v>
      </c>
      <c r="BA65" s="765">
        <f>SUM(BA58:BA64)</f>
        <v>3783.9947346202807</v>
      </c>
      <c r="BF65" s="765">
        <f>SUM(BF58:BF64)</f>
        <v>4369.4903717602438</v>
      </c>
      <c r="BK65" s="765">
        <f>SUM(BK58:BK64)</f>
        <v>4927.2339000238999</v>
      </c>
      <c r="BP65" s="765">
        <f>SUM(BP58:BP64)</f>
        <v>5433.3616156682929</v>
      </c>
      <c r="BR65" s="758"/>
    </row>
    <row r="66" spans="2:70" s="145" customFormat="1" x14ac:dyDescent="0.15">
      <c r="B66" s="756" t="s">
        <v>315</v>
      </c>
      <c r="C66" s="756"/>
      <c r="D66" s="757"/>
      <c r="E66" s="757"/>
      <c r="F66" s="757"/>
      <c r="G66" s="757"/>
      <c r="H66" s="756"/>
      <c r="I66" s="757"/>
      <c r="J66" s="757"/>
      <c r="K66" s="783"/>
      <c r="L66" s="757"/>
      <c r="M66" s="756"/>
      <c r="N66" s="757"/>
      <c r="O66" s="757"/>
      <c r="P66" s="757"/>
      <c r="Q66" s="757"/>
      <c r="R66" s="756"/>
      <c r="S66" s="757"/>
      <c r="T66" s="757"/>
      <c r="U66" s="757"/>
      <c r="V66" s="757"/>
      <c r="W66" s="756"/>
      <c r="X66" s="757"/>
      <c r="Y66" s="757"/>
      <c r="Z66" s="757"/>
      <c r="AA66" s="757"/>
      <c r="AB66" s="756"/>
      <c r="AC66" s="757"/>
      <c r="AD66" s="757"/>
      <c r="AE66" s="757"/>
      <c r="AF66" s="757"/>
      <c r="AG66" s="756"/>
      <c r="AH66" s="757"/>
      <c r="AI66" s="757"/>
      <c r="AJ66" s="757"/>
      <c r="AK66" s="757"/>
      <c r="AL66" s="756"/>
      <c r="AM66" s="757"/>
      <c r="AN66" s="757"/>
      <c r="AO66" s="757"/>
      <c r="AP66" s="757"/>
      <c r="AQ66" s="756"/>
      <c r="AR66" s="757"/>
      <c r="AS66" s="757"/>
      <c r="AT66" s="757"/>
      <c r="AU66" s="757"/>
      <c r="AV66" s="756"/>
      <c r="AW66" s="757"/>
      <c r="AX66" s="757"/>
      <c r="AY66" s="757"/>
      <c r="AZ66" s="757"/>
      <c r="BA66" s="756"/>
      <c r="BB66" s="757"/>
      <c r="BC66" s="757"/>
      <c r="BD66" s="757"/>
      <c r="BE66" s="757"/>
      <c r="BF66" s="756"/>
      <c r="BG66" s="757"/>
      <c r="BH66" s="757"/>
      <c r="BI66" s="757"/>
      <c r="BJ66" s="757"/>
      <c r="BK66" s="756"/>
      <c r="BL66" s="757"/>
      <c r="BM66" s="757"/>
      <c r="BN66" s="757"/>
      <c r="BO66" s="757"/>
      <c r="BP66" s="756"/>
      <c r="BR66" s="758"/>
    </row>
    <row r="67" spans="2:70" s="96" customFormat="1" x14ac:dyDescent="0.15">
      <c r="B67" s="759" t="s">
        <v>316</v>
      </c>
      <c r="C67" s="759">
        <v>-35.085999999999999</v>
      </c>
      <c r="D67" s="96">
        <v>-9.6780000000000008</v>
      </c>
      <c r="E67" s="96">
        <v>-7.7069999999999999</v>
      </c>
      <c r="F67" s="96">
        <v>-3.931</v>
      </c>
      <c r="G67" s="96">
        <f>H67-D67-E67-F67</f>
        <v>-0.68299999999999805</v>
      </c>
      <c r="H67" s="759">
        <v>-21.998999999999999</v>
      </c>
      <c r="I67" s="96">
        <v>-0.78600000000000003</v>
      </c>
      <c r="J67" s="96">
        <v>-0.84199999999999997</v>
      </c>
      <c r="K67" s="96">
        <f>-1.083</f>
        <v>-1.083</v>
      </c>
      <c r="L67" s="96">
        <f>M67-I67-J67-K67</f>
        <v>-4.7120000000000006</v>
      </c>
      <c r="M67" s="759">
        <v>-7.423</v>
      </c>
      <c r="N67" s="96">
        <v>-3.6339999999999999</v>
      </c>
      <c r="O67" s="96">
        <v>-2.86</v>
      </c>
      <c r="P67" s="145">
        <v>-1.0369999999999999</v>
      </c>
      <c r="Q67" s="96">
        <f>R67-N67-O67-P67</f>
        <v>5.7539999999999987</v>
      </c>
      <c r="R67" s="759">
        <f>-16.823+15.046</f>
        <v>-1.777000000000001</v>
      </c>
      <c r="S67" s="96">
        <v>-21.504999999999999</v>
      </c>
      <c r="T67" s="96">
        <v>-12.474</v>
      </c>
      <c r="U67" s="96">
        <v>-9.5839999999999996</v>
      </c>
      <c r="V67" s="96">
        <f>W67-S67-T67-U67</f>
        <v>-14.952000000000005</v>
      </c>
      <c r="W67" s="759">
        <v>-58.515000000000001</v>
      </c>
      <c r="X67" s="96">
        <v>-11.116</v>
      </c>
      <c r="Y67" s="96">
        <v>-13.601000000000001</v>
      </c>
      <c r="Z67" s="96">
        <f>-57.069</f>
        <v>-57.069000000000003</v>
      </c>
      <c r="AA67" s="96">
        <f>AB67-X67-Y67-Z67</f>
        <v>-25.852000000000004</v>
      </c>
      <c r="AB67" s="759">
        <f>-107.638</f>
        <v>-107.63800000000001</v>
      </c>
      <c r="AC67" s="96">
        <v>-14.042</v>
      </c>
      <c r="AD67" s="96">
        <f>-12.761</f>
        <v>-12.760999999999999</v>
      </c>
      <c r="AE67" s="96">
        <v>-24.931999999999999</v>
      </c>
      <c r="AF67" s="96">
        <f>AG67-AC67-AD67-AE67</f>
        <v>-63.584000000000003</v>
      </c>
      <c r="AG67" s="759">
        <v>-115.319</v>
      </c>
      <c r="AH67" s="96">
        <v>-58.1</v>
      </c>
      <c r="AI67" s="96">
        <f>-113.5</f>
        <v>-113.5</v>
      </c>
      <c r="AJ67" s="96">
        <f>-39.6</f>
        <v>-39.6</v>
      </c>
      <c r="AK67" s="96">
        <f>AL67-AH67-AI67-AJ67</f>
        <v>-80.400000000000034</v>
      </c>
      <c r="AL67" s="759">
        <f>-291.6</f>
        <v>-291.60000000000002</v>
      </c>
      <c r="AM67" s="96">
        <v>-65.8</v>
      </c>
      <c r="AN67" s="96">
        <v>-46.8</v>
      </c>
      <c r="AO67" s="96">
        <v>-51.1</v>
      </c>
      <c r="AP67" s="773">
        <v>-75</v>
      </c>
      <c r="AQ67" s="759">
        <f>SUM(AM67:AP67)</f>
        <v>-238.7</v>
      </c>
      <c r="AR67" s="773">
        <f>-350/4</f>
        <v>-87.5</v>
      </c>
      <c r="AS67" s="773">
        <f t="shared" ref="AS67:AU67" si="76">-350/4</f>
        <v>-87.5</v>
      </c>
      <c r="AT67" s="773">
        <f t="shared" si="76"/>
        <v>-87.5</v>
      </c>
      <c r="AU67" s="773">
        <f t="shared" si="76"/>
        <v>-87.5</v>
      </c>
      <c r="AV67" s="759">
        <f>SUM(AR67:AU67)</f>
        <v>-350</v>
      </c>
      <c r="BA67" s="774">
        <f>AV67</f>
        <v>-350</v>
      </c>
      <c r="BF67" s="774">
        <f>BA67</f>
        <v>-350</v>
      </c>
      <c r="BK67" s="774">
        <f>BF67</f>
        <v>-350</v>
      </c>
      <c r="BP67" s="774">
        <f>BK67</f>
        <v>-350</v>
      </c>
      <c r="BR67" s="758"/>
    </row>
    <row r="68" spans="2:70" s="96" customFormat="1" x14ac:dyDescent="0.15">
      <c r="B68" s="759" t="s">
        <v>317</v>
      </c>
      <c r="C68" s="759">
        <f>-34.534+3.282+52.669-1.376</f>
        <v>20.040999999999997</v>
      </c>
      <c r="D68" s="96">
        <f>-2.926+2.95-79.725-4.9</f>
        <v>-84.600999999999999</v>
      </c>
      <c r="E68" s="96">
        <f>-83.048-0.856+1.5+12.187+79.735-0.015</f>
        <v>9.5030000000000001</v>
      </c>
      <c r="F68" s="96">
        <f>-99.63-0.999+8.712+83.048-0.016</f>
        <v>-8.8849999999999856</v>
      </c>
      <c r="G68" s="96">
        <f>H68-D68-E68-F68</f>
        <v>-1.8490000000000233</v>
      </c>
      <c r="H68" s="759">
        <f>-101.92-83.048+83.048-6.29+4.45+25.206+79.735-79.725-7.288</f>
        <v>-85.832000000000008</v>
      </c>
      <c r="I68" s="96">
        <f>0.013-5.25-1.019</f>
        <v>-6.2560000000000002</v>
      </c>
      <c r="J68" s="96">
        <f>-540.889-200+5.3-1.744+0.357+1.065</f>
        <v>-735.91100000000006</v>
      </c>
      <c r="K68" s="96">
        <f>-8.126+5.189-1.06+0.013+0.553</f>
        <v>-3.4309999999999996</v>
      </c>
      <c r="L68" s="96">
        <f>M68-I68-J68-K68</f>
        <v>10.249000000000096</v>
      </c>
      <c r="M68" s="759">
        <f>-561.829-200+23.113-5.25+5.25+5.189-3.823+1.078+0.923</f>
        <v>-735.34899999999993</v>
      </c>
      <c r="N68" s="96">
        <f>-50.003+8.542+1.215</f>
        <v>-40.245999999999995</v>
      </c>
      <c r="O68" s="96">
        <f>-10.242+3.75</f>
        <v>-6.4920000000000009</v>
      </c>
      <c r="P68" s="145">
        <f>308.982-1+6.422+2</f>
        <v>316.40400000000005</v>
      </c>
      <c r="Q68" s="96">
        <f>R68-N68-O68-P68</f>
        <v>-38.949999999999989</v>
      </c>
      <c r="R68" s="759">
        <f>308.982-84.532+7.965-1.699</f>
        <v>230.71600000000004</v>
      </c>
      <c r="S68" s="96">
        <f>-463.702-302.885-40.016+2.774</f>
        <v>-803.82899999999995</v>
      </c>
      <c r="T68" s="96">
        <f>-96.565-8+83.865-29.326</f>
        <v>-50.026000000000003</v>
      </c>
      <c r="U68" s="145">
        <f>-409.056-12.237-11.745</f>
        <v>-433.03800000000001</v>
      </c>
      <c r="V68" s="96">
        <f>W68-S68-T68-U68</f>
        <v>-1499.1</v>
      </c>
      <c r="W68" s="759">
        <f>-2464.108-327.437+86.639-81.087</f>
        <v>-2785.9929999999999</v>
      </c>
      <c r="X68" s="145">
        <f>-272.812-1.865+8.364-7.2+66.25</f>
        <v>-207.26300000000003</v>
      </c>
      <c r="Y68" s="145">
        <f>-454.02-0.695+1.048-8.873</f>
        <v>-462.53999999999996</v>
      </c>
      <c r="Z68" s="145">
        <f>0.628-6.305-245.367+10.717</f>
        <v>-240.32699999999997</v>
      </c>
      <c r="AA68" s="96">
        <f>AB68-X68-Y68-Z68</f>
        <v>-1947.9529999999997</v>
      </c>
      <c r="AB68" s="759">
        <f>-3485.286-73.495+624.774-7.2-8.872+91.996</f>
        <v>-2858.0829999999996</v>
      </c>
      <c r="AC68" s="775">
        <f>-237.603-0.707+9.027+8.429</f>
        <v>-220.85400000000001</v>
      </c>
      <c r="AD68" s="775">
        <f>-513.457-32.509+7.993+19.001</f>
        <v>-518.97199999999998</v>
      </c>
      <c r="AE68" s="145">
        <f>-4439.325-4.852</f>
        <v>-4444.1769999999997</v>
      </c>
      <c r="AF68" s="96">
        <f>AG68-AC68-AD68-AE68</f>
        <v>-81.064000000000306</v>
      </c>
      <c r="AG68" s="759">
        <f>-5253.543-69.636+41.092+17.02</f>
        <v>-5265.067</v>
      </c>
      <c r="AH68" s="145">
        <f>-306.3-21.1+1.4</f>
        <v>-326.00000000000006</v>
      </c>
      <c r="AI68" s="775">
        <f>-68-10.4-75.9+1.4</f>
        <v>-152.9</v>
      </c>
      <c r="AJ68" s="145">
        <f>-606.8-74.3+1477</f>
        <v>795.90000000000009</v>
      </c>
      <c r="AK68" s="96">
        <f>AL68-AH68-AI68-AJ68</f>
        <v>-125.10000000000002</v>
      </c>
      <c r="AL68" s="759">
        <f>-1102.6-179+1492.3+53.2-72-75.9+75.9</f>
        <v>191.90000000000003</v>
      </c>
      <c r="AM68" s="96">
        <f>-795-48.8+17.7+0.5</f>
        <v>-825.59999999999991</v>
      </c>
      <c r="AN68" s="96">
        <f>-13090.9-9.2+184.6-26.3+10343.9-0.5-10354.9</f>
        <v>-12953.3</v>
      </c>
      <c r="AO68" s="96">
        <v>-105.1</v>
      </c>
      <c r="AP68" s="773">
        <f>-800-166-100-500</f>
        <v>-1566</v>
      </c>
      <c r="AQ68" s="759">
        <f>SUM(AM68:AP68)</f>
        <v>-15450</v>
      </c>
      <c r="AR68" s="773">
        <v>-500</v>
      </c>
      <c r="AS68" s="773">
        <v>0</v>
      </c>
      <c r="AT68" s="773">
        <v>0</v>
      </c>
      <c r="AU68" s="776">
        <f>-170-175-130</f>
        <v>-475</v>
      </c>
      <c r="AV68" s="759">
        <f>SUM(AR68:AU68)</f>
        <v>-975</v>
      </c>
      <c r="BA68" s="784"/>
      <c r="BF68" s="759">
        <f>-BF115*BF116</f>
        <v>0</v>
      </c>
      <c r="BK68" s="759">
        <f>-BK115*BK116</f>
        <v>0</v>
      </c>
      <c r="BP68" s="759">
        <f>-BP115*BP116</f>
        <v>0</v>
      </c>
      <c r="BR68" s="758"/>
    </row>
    <row r="69" spans="2:70" s="96" customFormat="1" x14ac:dyDescent="0.15">
      <c r="B69" s="765" t="s">
        <v>318</v>
      </c>
      <c r="C69" s="765">
        <f t="shared" ref="C69:AP69" si="77">SUM(C67:C68)</f>
        <v>-15.045000000000002</v>
      </c>
      <c r="D69" s="766">
        <f t="shared" si="77"/>
        <v>-94.278999999999996</v>
      </c>
      <c r="E69" s="766">
        <f t="shared" si="77"/>
        <v>1.7960000000000003</v>
      </c>
      <c r="F69" s="766">
        <f t="shared" si="77"/>
        <v>-12.815999999999985</v>
      </c>
      <c r="G69" s="766">
        <f t="shared" si="77"/>
        <v>-2.5320000000000213</v>
      </c>
      <c r="H69" s="765">
        <f t="shared" si="77"/>
        <v>-107.831</v>
      </c>
      <c r="I69" s="766">
        <f t="shared" si="77"/>
        <v>-7.0419999999999998</v>
      </c>
      <c r="J69" s="766">
        <f t="shared" si="77"/>
        <v>-736.75300000000004</v>
      </c>
      <c r="K69" s="766">
        <f t="shared" si="77"/>
        <v>-4.5139999999999993</v>
      </c>
      <c r="L69" s="766">
        <f t="shared" si="77"/>
        <v>5.5370000000000958</v>
      </c>
      <c r="M69" s="765">
        <f t="shared" si="77"/>
        <v>-742.77199999999993</v>
      </c>
      <c r="N69" s="766">
        <f t="shared" si="77"/>
        <v>-43.879999999999995</v>
      </c>
      <c r="O69" s="766">
        <f t="shared" si="77"/>
        <v>-9.3520000000000003</v>
      </c>
      <c r="P69" s="766">
        <f t="shared" si="77"/>
        <v>315.36700000000008</v>
      </c>
      <c r="Q69" s="766">
        <f t="shared" si="77"/>
        <v>-33.195999999999991</v>
      </c>
      <c r="R69" s="765">
        <f t="shared" si="77"/>
        <v>228.93900000000002</v>
      </c>
      <c r="S69" s="766">
        <f t="shared" si="77"/>
        <v>-825.33399999999995</v>
      </c>
      <c r="T69" s="766">
        <f t="shared" si="77"/>
        <v>-62.5</v>
      </c>
      <c r="U69" s="766">
        <f t="shared" si="77"/>
        <v>-442.62200000000001</v>
      </c>
      <c r="V69" s="766">
        <f t="shared" si="77"/>
        <v>-1514.0519999999999</v>
      </c>
      <c r="W69" s="765">
        <f t="shared" si="77"/>
        <v>-2844.5079999999998</v>
      </c>
      <c r="X69" s="766">
        <f t="shared" si="77"/>
        <v>-218.37900000000002</v>
      </c>
      <c r="Y69" s="766">
        <f t="shared" si="77"/>
        <v>-476.14099999999996</v>
      </c>
      <c r="Z69" s="766">
        <f t="shared" si="77"/>
        <v>-297.39599999999996</v>
      </c>
      <c r="AA69" s="766">
        <f t="shared" si="77"/>
        <v>-1973.8049999999998</v>
      </c>
      <c r="AB69" s="765">
        <f t="shared" si="77"/>
        <v>-2965.7209999999995</v>
      </c>
      <c r="AC69" s="785">
        <f t="shared" si="77"/>
        <v>-234.89600000000002</v>
      </c>
      <c r="AD69" s="785">
        <f t="shared" si="77"/>
        <v>-531.73299999999995</v>
      </c>
      <c r="AE69" s="766">
        <f t="shared" si="77"/>
        <v>-4469.1089999999995</v>
      </c>
      <c r="AF69" s="766">
        <f t="shared" si="77"/>
        <v>-144.64800000000031</v>
      </c>
      <c r="AG69" s="765">
        <f t="shared" si="77"/>
        <v>-5380.3860000000004</v>
      </c>
      <c r="AH69" s="767">
        <f t="shared" si="77"/>
        <v>-384.10000000000008</v>
      </c>
      <c r="AI69" s="785">
        <f>SUM(AI67:AI68)</f>
        <v>-266.39999999999998</v>
      </c>
      <c r="AJ69" s="766">
        <f t="shared" si="77"/>
        <v>756.30000000000007</v>
      </c>
      <c r="AK69" s="766">
        <f t="shared" si="77"/>
        <v>-205.50000000000006</v>
      </c>
      <c r="AL69" s="765">
        <f>SUM(AL67:AL68)</f>
        <v>-99.699999999999989</v>
      </c>
      <c r="AM69" s="766">
        <f t="shared" si="77"/>
        <v>-891.39999999999986</v>
      </c>
      <c r="AN69" s="766">
        <f t="shared" si="77"/>
        <v>-13000.099999999999</v>
      </c>
      <c r="AO69" s="766">
        <f t="shared" si="77"/>
        <v>-156.19999999999999</v>
      </c>
      <c r="AP69" s="766">
        <f t="shared" si="77"/>
        <v>-1641</v>
      </c>
      <c r="AQ69" s="765">
        <f>SUM(AQ67:AQ68)</f>
        <v>-15688.7</v>
      </c>
      <c r="AR69" s="766">
        <f t="shared" ref="AR69:AU69" si="78">SUM(AR67:AR68)</f>
        <v>-587.5</v>
      </c>
      <c r="AS69" s="766">
        <f t="shared" si="78"/>
        <v>-87.5</v>
      </c>
      <c r="AT69" s="766">
        <f t="shared" si="78"/>
        <v>-87.5</v>
      </c>
      <c r="AU69" s="766">
        <f t="shared" si="78"/>
        <v>-562.5</v>
      </c>
      <c r="AV69" s="765">
        <f>SUM(AV67:AV68)</f>
        <v>-1325</v>
      </c>
      <c r="BA69" s="765">
        <f>SUM(BA67:BA68)</f>
        <v>-350</v>
      </c>
      <c r="BF69" s="765">
        <f>SUM(BF67:BF68)</f>
        <v>-350</v>
      </c>
      <c r="BK69" s="765">
        <f>SUM(BK67:BK68)</f>
        <v>-350</v>
      </c>
      <c r="BP69" s="765">
        <f>SUM(BP67:BP68)</f>
        <v>-350</v>
      </c>
      <c r="BR69" s="758"/>
    </row>
    <row r="70" spans="2:70" s="145" customFormat="1" x14ac:dyDescent="0.15">
      <c r="B70" s="756" t="s">
        <v>319</v>
      </c>
      <c r="C70" s="756"/>
      <c r="D70" s="757"/>
      <c r="E70" s="757"/>
      <c r="F70" s="757"/>
      <c r="G70" s="757"/>
      <c r="H70" s="756"/>
      <c r="I70" s="757"/>
      <c r="J70" s="757"/>
      <c r="K70" s="757"/>
      <c r="L70" s="757"/>
      <c r="M70" s="756"/>
      <c r="N70" s="757"/>
      <c r="O70" s="757"/>
      <c r="P70" s="757"/>
      <c r="Q70" s="757"/>
      <c r="R70" s="756"/>
      <c r="S70" s="757"/>
      <c r="T70" s="757"/>
      <c r="U70" s="757"/>
      <c r="V70" s="757"/>
      <c r="W70" s="756"/>
      <c r="X70" s="757"/>
      <c r="Y70" s="757"/>
      <c r="Z70" s="757"/>
      <c r="AA70" s="757"/>
      <c r="AB70" s="756"/>
      <c r="AC70" s="757"/>
      <c r="AD70" s="757"/>
      <c r="AE70" s="757"/>
      <c r="AF70" s="757"/>
      <c r="AG70" s="756"/>
      <c r="AH70" s="757"/>
      <c r="AI70" s="757"/>
      <c r="AJ70" s="757"/>
      <c r="AK70" s="757"/>
      <c r="AL70" s="756"/>
      <c r="AM70" s="757"/>
      <c r="AN70" s="757"/>
      <c r="AO70" s="757"/>
      <c r="AP70" s="757"/>
      <c r="AQ70" s="756"/>
      <c r="AR70" s="757"/>
      <c r="AS70" s="757"/>
      <c r="AT70" s="757"/>
      <c r="AU70" s="757"/>
      <c r="AV70" s="756"/>
      <c r="AW70" s="757"/>
      <c r="AX70" s="757"/>
      <c r="AY70" s="757"/>
      <c r="AZ70" s="757"/>
      <c r="BA70" s="756"/>
      <c r="BB70" s="757"/>
      <c r="BC70" s="757"/>
      <c r="BD70" s="757"/>
      <c r="BE70" s="757"/>
      <c r="BF70" s="756"/>
      <c r="BG70" s="757"/>
      <c r="BH70" s="757"/>
      <c r="BI70" s="757"/>
      <c r="BJ70" s="757"/>
      <c r="BK70" s="756"/>
      <c r="BL70" s="757"/>
      <c r="BM70" s="757"/>
      <c r="BN70" s="757"/>
      <c r="BO70" s="757"/>
      <c r="BP70" s="756"/>
      <c r="BR70" s="758"/>
    </row>
    <row r="71" spans="2:70" s="96" customFormat="1" x14ac:dyDescent="0.15">
      <c r="B71" s="759" t="s">
        <v>320</v>
      </c>
      <c r="C71" s="759">
        <f>-406.756-11.25</f>
        <v>-418.00599999999997</v>
      </c>
      <c r="D71" s="96">
        <v>0</v>
      </c>
      <c r="E71" s="96">
        <v>0</v>
      </c>
      <c r="F71" s="96">
        <v>0</v>
      </c>
      <c r="G71" s="96">
        <f t="shared" ref="G71:G76" si="79">H71-D71-E71-F71</f>
        <v>0</v>
      </c>
      <c r="H71" s="759">
        <v>0</v>
      </c>
      <c r="I71" s="96">
        <v>0</v>
      </c>
      <c r="J71" s="96">
        <f>350+130</f>
        <v>480</v>
      </c>
      <c r="K71" s="96">
        <v>-75</v>
      </c>
      <c r="L71" s="96">
        <f t="shared" ref="L71:L76" si="80">M71-I71-J71-K71</f>
        <v>-55</v>
      </c>
      <c r="M71" s="759">
        <f>350+130-130</f>
        <v>350</v>
      </c>
      <c r="N71" s="96">
        <v>0</v>
      </c>
      <c r="O71" s="96">
        <f>-12.5</f>
        <v>-12.5</v>
      </c>
      <c r="P71" s="145">
        <f>4.474</f>
        <v>4.4740000000000002</v>
      </c>
      <c r="Q71" s="96">
        <f t="shared" ref="Q71:Q76" si="81">R71-N71-O71-P71</f>
        <v>208.60999999999999</v>
      </c>
      <c r="R71" s="759">
        <f>992.4-537.5-254.316</f>
        <v>200.58399999999997</v>
      </c>
      <c r="S71" s="145">
        <f>2139.688-975-139.225</f>
        <v>1025.4630000000002</v>
      </c>
      <c r="T71" s="96">
        <f>-199.788+100</f>
        <v>-99.788000000000011</v>
      </c>
      <c r="U71" s="145">
        <f>-11.088-202.587+690</f>
        <v>476.32500000000005</v>
      </c>
      <c r="V71" s="96">
        <f t="shared" ref="V71:V76" si="82">W71-S71-T71-U71</f>
        <v>1368.6869999999997</v>
      </c>
      <c r="W71" s="759">
        <f>5388.799-2004.641-613.471</f>
        <v>2770.6869999999999</v>
      </c>
      <c r="X71" s="145">
        <f>645.643-302.812+7.364-3.975</f>
        <v>346.21999999999997</v>
      </c>
      <c r="Y71" s="96">
        <f>640.767-127.181+12.236-21.582</f>
        <v>504.24</v>
      </c>
      <c r="Z71" s="96">
        <f>122.295-31.063+8.93-4.82-62.086</f>
        <v>33.256000000000014</v>
      </c>
      <c r="AA71" s="96">
        <f t="shared" ref="AA71:AA76" si="83">AB71-X71-Y71-Z71</f>
        <v>2586.9610000000007</v>
      </c>
      <c r="AB71" s="144">
        <f>6005.758-1929.118+35.365-31.075-3.975-606.278</f>
        <v>3470.6770000000006</v>
      </c>
      <c r="AC71" s="775">
        <f>-430.036+4.471-1.417</f>
        <v>-426.98199999999997</v>
      </c>
      <c r="AD71" s="775">
        <f>340-174.707+14.171-10.855</f>
        <v>168.60900000000001</v>
      </c>
      <c r="AE71" s="145">
        <f>7165.121-4781.025+4.764-25.258</f>
        <v>2363.6020000000008</v>
      </c>
      <c r="AF71" s="96">
        <f t="shared" ref="AF71:AF76" si="84">AG71-AC71-AD71-AE71</f>
        <v>-37.819000000000869</v>
      </c>
      <c r="AG71" s="759">
        <f>8441.356-6326.219+27.413-75.14</f>
        <v>2067.41</v>
      </c>
      <c r="AH71" s="145">
        <f>360.6-433.9+1.6-5.1</f>
        <v>-76.799999999999955</v>
      </c>
      <c r="AI71" s="775">
        <f>50-120.3+4.8-8.1</f>
        <v>-73.599999999999994</v>
      </c>
      <c r="AJ71" s="775">
        <f>-1629.8+555+6.1-6</f>
        <v>-1074.7</v>
      </c>
      <c r="AK71" s="96">
        <f>AL71-AH71-AI71-AJ71</f>
        <v>-1039.3000000000004</v>
      </c>
      <c r="AL71" s="759">
        <f>1632.6-3888+19.4-28.4</f>
        <v>-2264.4</v>
      </c>
      <c r="AM71" s="145">
        <f>12004.4-1110.3</f>
        <v>10894.1</v>
      </c>
      <c r="AN71" s="145">
        <f>4921.4-247.9-3122.8</f>
        <v>1550.6999999999998</v>
      </c>
      <c r="AO71" s="145">
        <f>-29</f>
        <v>-29</v>
      </c>
      <c r="AP71" s="776">
        <v>900</v>
      </c>
      <c r="AQ71" s="759">
        <f>SUM(AM71:AP71)</f>
        <v>13315.8</v>
      </c>
      <c r="AR71" s="772">
        <f>-405</f>
        <v>-405</v>
      </c>
      <c r="AS71" s="772">
        <v>-400</v>
      </c>
      <c r="AT71" s="772">
        <v>-450</v>
      </c>
      <c r="AU71" s="772">
        <v>-450</v>
      </c>
      <c r="AV71" s="777">
        <f>SUM(AR71:AU71)</f>
        <v>-1705</v>
      </c>
      <c r="AW71" s="764"/>
      <c r="AX71" s="764"/>
      <c r="AY71" s="764"/>
      <c r="AZ71" s="764"/>
      <c r="BA71" s="786">
        <v>-2500</v>
      </c>
      <c r="BB71" s="775"/>
      <c r="BC71" s="775"/>
      <c r="BD71" s="775"/>
      <c r="BE71" s="775"/>
      <c r="BF71" s="786">
        <v>-2500</v>
      </c>
      <c r="BG71" s="775"/>
      <c r="BH71" s="775"/>
      <c r="BI71" s="775"/>
      <c r="BJ71" s="775"/>
      <c r="BK71" s="786">
        <v>-2750</v>
      </c>
      <c r="BL71" s="775"/>
      <c r="BM71" s="775"/>
      <c r="BN71" s="775"/>
      <c r="BO71" s="775"/>
      <c r="BP71" s="786">
        <v>-3000</v>
      </c>
      <c r="BR71" s="758"/>
    </row>
    <row r="72" spans="2:70" s="96" customFormat="1" x14ac:dyDescent="0.15">
      <c r="B72" s="759" t="s">
        <v>321</v>
      </c>
      <c r="C72" s="759">
        <f>11.217</f>
        <v>11.217000000000001</v>
      </c>
      <c r="D72" s="96">
        <v>0</v>
      </c>
      <c r="E72" s="96">
        <v>-25.538</v>
      </c>
      <c r="F72" s="96">
        <v>0</v>
      </c>
      <c r="G72" s="96">
        <f t="shared" si="79"/>
        <v>-4.3039999999999985</v>
      </c>
      <c r="H72" s="759">
        <v>-29.841999999999999</v>
      </c>
      <c r="I72" s="96">
        <v>0</v>
      </c>
      <c r="J72" s="96">
        <f>0.018</f>
        <v>1.7999999999999999E-2</v>
      </c>
      <c r="K72" s="96">
        <v>0</v>
      </c>
      <c r="L72" s="96">
        <f t="shared" si="80"/>
        <v>0.84799999999999998</v>
      </c>
      <c r="M72" s="759">
        <v>0.86599999999999999</v>
      </c>
      <c r="N72" s="96">
        <v>1.544</v>
      </c>
      <c r="O72" s="96">
        <v>1.254</v>
      </c>
      <c r="P72" s="145">
        <v>0</v>
      </c>
      <c r="Q72" s="96">
        <f t="shared" si="81"/>
        <v>-4.5030000000000054</v>
      </c>
      <c r="R72" s="759">
        <f>-60.13+58.425</f>
        <v>-1.7050000000000054</v>
      </c>
      <c r="S72" s="145">
        <f>-274.75+23.229</f>
        <v>-251.52100000000002</v>
      </c>
      <c r="T72" s="96">
        <f>-224.814+6.133</f>
        <v>-218.68099999999998</v>
      </c>
      <c r="U72" s="145">
        <f>-74.556+4.847</f>
        <v>-69.709000000000003</v>
      </c>
      <c r="V72" s="96">
        <f t="shared" si="82"/>
        <v>-57.592999999999904</v>
      </c>
      <c r="W72" s="759">
        <f>-639.242+41.738</f>
        <v>-597.50399999999991</v>
      </c>
      <c r="X72" s="145">
        <f>-108.724+5.108</f>
        <v>-103.616</v>
      </c>
      <c r="Y72" s="145">
        <f>-172+1.911</f>
        <v>-170.089</v>
      </c>
      <c r="Z72" s="145">
        <f>5.209</f>
        <v>5.2089999999999996</v>
      </c>
      <c r="AA72" s="96">
        <f t="shared" si="83"/>
        <v>10.798000000000005</v>
      </c>
      <c r="AB72" s="759">
        <f>-280.724+23.026</f>
        <v>-257.69799999999998</v>
      </c>
      <c r="AC72" s="145">
        <f>-35.005+2.677</f>
        <v>-32.328000000000003</v>
      </c>
      <c r="AD72" s="145">
        <f>2271.25-20.624+1.894</f>
        <v>2252.52</v>
      </c>
      <c r="AE72" s="775">
        <f>-1.37+2.538</f>
        <v>1.1679999999999997</v>
      </c>
      <c r="AF72" s="96">
        <f t="shared" si="84"/>
        <v>40.46200000000011</v>
      </c>
      <c r="AG72" s="759">
        <f>2307.436-55.629+10.015</f>
        <v>2261.8220000000001</v>
      </c>
      <c r="AH72" s="145">
        <v>3.5</v>
      </c>
      <c r="AI72" s="145">
        <f>3.6</f>
        <v>3.6</v>
      </c>
      <c r="AJ72" s="145">
        <f>3.8</f>
        <v>3.8</v>
      </c>
      <c r="AK72" s="96">
        <f>AL72-AH72-AI72-AJ72</f>
        <v>6.3</v>
      </c>
      <c r="AL72" s="759">
        <f>17.2</f>
        <v>17.2</v>
      </c>
      <c r="AM72" s="145">
        <f>1433.7+14.5</f>
        <v>1448.2</v>
      </c>
      <c r="AN72" s="145">
        <f>-50+7.6</f>
        <v>-42.4</v>
      </c>
      <c r="AO72" s="145">
        <f>7</f>
        <v>7</v>
      </c>
      <c r="AP72" s="145">
        <f>AP124-AP123</f>
        <v>0</v>
      </c>
      <c r="AQ72" s="759">
        <f>SUM(AM72:AP72)</f>
        <v>1412.8</v>
      </c>
      <c r="AR72" s="145">
        <f t="shared" ref="AR72:AU72" si="85">AR124-AR123</f>
        <v>0</v>
      </c>
      <c r="AS72" s="145">
        <f t="shared" si="85"/>
        <v>0</v>
      </c>
      <c r="AT72" s="145">
        <f t="shared" si="85"/>
        <v>0</v>
      </c>
      <c r="AU72" s="145">
        <f t="shared" si="85"/>
        <v>0</v>
      </c>
      <c r="AV72" s="759">
        <f>SUM(AR72:AU72)</f>
        <v>0</v>
      </c>
      <c r="BA72" s="759">
        <f>BA124-BA123</f>
        <v>0</v>
      </c>
      <c r="BF72" s="759">
        <f>BF124-BF123</f>
        <v>-858.49868365507018</v>
      </c>
      <c r="BK72" s="759">
        <f>BK124-BK123</f>
        <v>-1004.8725929400609</v>
      </c>
      <c r="BP72" s="759">
        <f>BP124-BP123</f>
        <v>-1144.308475005975</v>
      </c>
      <c r="BR72" s="758"/>
    </row>
    <row r="73" spans="2:70" s="96" customFormat="1" x14ac:dyDescent="0.15">
      <c r="B73" s="759" t="s">
        <v>322</v>
      </c>
      <c r="C73" s="759">
        <v>-321.52300000000002</v>
      </c>
      <c r="D73" s="96">
        <v>0</v>
      </c>
      <c r="E73" s="96">
        <v>-120.768</v>
      </c>
      <c r="F73" s="96">
        <v>-59.518000000000001</v>
      </c>
      <c r="G73" s="96">
        <f t="shared" si="79"/>
        <v>-1.0000000000047748E-3</v>
      </c>
      <c r="H73" s="759">
        <v>-180.28700000000001</v>
      </c>
      <c r="I73" s="96">
        <v>-59.331000000000003</v>
      </c>
      <c r="J73" s="96">
        <v>-59.331000000000003</v>
      </c>
      <c r="K73" s="96">
        <v>-14.24</v>
      </c>
      <c r="L73" s="96">
        <f t="shared" si="80"/>
        <v>-14.24399999999998</v>
      </c>
      <c r="M73" s="759">
        <v>-147.14599999999999</v>
      </c>
      <c r="N73" s="96">
        <v>-14.246</v>
      </c>
      <c r="O73" s="96">
        <v>-14.256</v>
      </c>
      <c r="P73" s="145">
        <v>-15.064</v>
      </c>
      <c r="Q73" s="96">
        <f t="shared" si="81"/>
        <v>-312.72499999999997</v>
      </c>
      <c r="R73" s="759">
        <v>-356.291</v>
      </c>
      <c r="S73" s="96">
        <v>0</v>
      </c>
      <c r="T73" s="96">
        <v>0</v>
      </c>
      <c r="U73" s="96">
        <v>0</v>
      </c>
      <c r="V73" s="96">
        <f t="shared" si="82"/>
        <v>0</v>
      </c>
      <c r="W73" s="759">
        <v>0</v>
      </c>
      <c r="X73" s="145">
        <v>0</v>
      </c>
      <c r="Y73" s="96">
        <v>0</v>
      </c>
      <c r="Z73" s="96">
        <v>0</v>
      </c>
      <c r="AA73" s="96">
        <f t="shared" si="83"/>
        <v>0</v>
      </c>
      <c r="AB73" s="759">
        <v>0</v>
      </c>
      <c r="AC73" s="96">
        <v>0</v>
      </c>
      <c r="AD73" s="96">
        <v>0</v>
      </c>
      <c r="AE73" s="96">
        <v>0</v>
      </c>
      <c r="AF73" s="96">
        <f t="shared" si="84"/>
        <v>0</v>
      </c>
      <c r="AG73" s="759">
        <v>0</v>
      </c>
      <c r="AH73" s="96">
        <v>0</v>
      </c>
      <c r="AI73" s="96">
        <v>0</v>
      </c>
      <c r="AJ73" s="96">
        <v>0</v>
      </c>
      <c r="AK73" s="96">
        <f>AL73-AH73-AI73-AJ73</f>
        <v>0</v>
      </c>
      <c r="AL73" s="759">
        <v>0</v>
      </c>
      <c r="AM73" s="145">
        <v>0</v>
      </c>
      <c r="AN73" s="145">
        <v>0</v>
      </c>
      <c r="AO73" s="145">
        <v>0</v>
      </c>
      <c r="AP73" s="772">
        <v>0</v>
      </c>
      <c r="AQ73" s="759">
        <f>SUM(AM73:AP73)</f>
        <v>0</v>
      </c>
      <c r="AR73" s="772">
        <v>0</v>
      </c>
      <c r="AS73" s="772">
        <v>0</v>
      </c>
      <c r="AT73" s="772">
        <v>0</v>
      </c>
      <c r="AU73" s="772">
        <v>0</v>
      </c>
      <c r="AV73" s="759">
        <f>SUM(AR73:AU73)</f>
        <v>0</v>
      </c>
      <c r="BA73" s="759">
        <v>0</v>
      </c>
      <c r="BF73" s="759">
        <v>0</v>
      </c>
      <c r="BK73" s="759">
        <v>0</v>
      </c>
      <c r="BP73" s="759">
        <v>0</v>
      </c>
      <c r="BR73" s="758"/>
    </row>
    <row r="74" spans="2:70" s="96" customFormat="1" x14ac:dyDescent="0.15">
      <c r="B74" s="759" t="s">
        <v>45</v>
      </c>
      <c r="C74" s="759">
        <f>-0.338</f>
        <v>-0.33800000000000002</v>
      </c>
      <c r="D74" s="96">
        <v>-0.13800000000000001</v>
      </c>
      <c r="E74" s="96">
        <v>-1.4E-2</v>
      </c>
      <c r="F74" s="96">
        <v>-3.1E-2</v>
      </c>
      <c r="G74" s="96">
        <f t="shared" si="79"/>
        <v>1.0000000000000148E-3</v>
      </c>
      <c r="H74" s="759">
        <f>-0.182</f>
        <v>-0.182</v>
      </c>
      <c r="I74" s="96">
        <v>0</v>
      </c>
      <c r="J74" s="96">
        <f>-26.274-0.393</f>
        <v>-26.667000000000002</v>
      </c>
      <c r="K74" s="96">
        <v>2.5999999999999999E-2</v>
      </c>
      <c r="L74" s="96">
        <f t="shared" si="80"/>
        <v>-3.2000000000000223E-2</v>
      </c>
      <c r="M74" s="759">
        <f>-26.274-0.399</f>
        <v>-26.673000000000002</v>
      </c>
      <c r="N74" s="96">
        <v>0</v>
      </c>
      <c r="O74" s="96">
        <v>0</v>
      </c>
      <c r="P74" s="145">
        <v>0</v>
      </c>
      <c r="Q74" s="96">
        <f t="shared" si="81"/>
        <v>-55.871000000000002</v>
      </c>
      <c r="R74" s="759">
        <f>-37.682-14.485-4.565+0.861</f>
        <v>-55.871000000000002</v>
      </c>
      <c r="S74" s="96">
        <f>-39.478+24.05-15.747</f>
        <v>-31.175000000000001</v>
      </c>
      <c r="T74" s="96">
        <f>-15.2+7.566-4.066</f>
        <v>-11.7</v>
      </c>
      <c r="U74" s="96">
        <f>-66.864-28.515-2.477+2.042-11.777</f>
        <v>-107.59100000000001</v>
      </c>
      <c r="V74" s="96">
        <f t="shared" si="82"/>
        <v>-74.552000000000021</v>
      </c>
      <c r="W74" s="759">
        <f>26.533-66.863-52.499-59.718-31.8-40.671</f>
        <v>-225.01800000000003</v>
      </c>
      <c r="X74" s="145">
        <f>0.593-3.824-27.5-1.435</f>
        <v>-32.166000000000004</v>
      </c>
      <c r="Y74" s="96">
        <f>2.882-9.91-33.518-1.107</f>
        <v>-41.652999999999999</v>
      </c>
      <c r="Z74" s="96">
        <f>2.367-7.376-18.826-22.562</f>
        <v>-46.397000000000006</v>
      </c>
      <c r="AA74" s="96">
        <f t="shared" si="83"/>
        <v>-35.394999999999996</v>
      </c>
      <c r="AB74" s="759">
        <f>-31.073-103.926-33.153+12.541</f>
        <v>-155.61099999999999</v>
      </c>
      <c r="AC74" s="96">
        <f>4.604-6.848-21.054-33.311</f>
        <v>-56.608999999999995</v>
      </c>
      <c r="AD74" s="96">
        <f>11.845-14.683-61.885-0.325</f>
        <v>-65.048000000000002</v>
      </c>
      <c r="AE74" s="96">
        <f>32.179-14.387-15.13-2.101-46.853</f>
        <v>-46.292000000000002</v>
      </c>
      <c r="AF74" s="96">
        <f t="shared" si="84"/>
        <v>-133.53100000000003</v>
      </c>
      <c r="AG74" s="759">
        <f>-65.505-130.06-128.014-2.101+24.2</f>
        <v>-301.48</v>
      </c>
      <c r="AH74" s="96">
        <f>1.2-27.7-9.7-3.3-9.9</f>
        <v>-49.4</v>
      </c>
      <c r="AI74" s="96">
        <f>-3.1-8.8-72.5-0.9-1.3</f>
        <v>-86.600000000000009</v>
      </c>
      <c r="AJ74" s="96">
        <f>15.9-2-14.4-10.2-0.5</f>
        <v>-11.2</v>
      </c>
      <c r="AK74" s="96">
        <f>AL74-AH74-AI74-AJ74</f>
        <v>-49.299999999999983</v>
      </c>
      <c r="AL74" s="759">
        <f>17.1-44.1-106.1-55.2-8.2</f>
        <v>-196.5</v>
      </c>
      <c r="AM74" s="145">
        <f>-15.9-12.3-26.6+0.9+17.9</f>
        <v>-36.000000000000007</v>
      </c>
      <c r="AN74" s="145">
        <f>7.7-45.6-68.7-75.1-1.3</f>
        <v>-183</v>
      </c>
      <c r="AO74" s="145">
        <f>-3.9-24.3-48.4-9.9</f>
        <v>-86.5</v>
      </c>
      <c r="AP74" s="772">
        <v>0</v>
      </c>
      <c r="AQ74" s="759">
        <f>SUM(AM74:AP74)</f>
        <v>-305.5</v>
      </c>
      <c r="AR74" s="772">
        <v>0</v>
      </c>
      <c r="AS74" s="772">
        <v>0</v>
      </c>
      <c r="AT74" s="772">
        <v>0</v>
      </c>
      <c r="AU74" s="772">
        <v>0</v>
      </c>
      <c r="AV74" s="759">
        <f>SUM(AR74:AU74)</f>
        <v>0</v>
      </c>
      <c r="BA74" s="759">
        <v>0</v>
      </c>
      <c r="BF74" s="759">
        <v>0</v>
      </c>
      <c r="BK74" s="759">
        <v>0</v>
      </c>
      <c r="BP74" s="759">
        <v>0</v>
      </c>
      <c r="BR74" s="758"/>
    </row>
    <row r="75" spans="2:70" s="96" customFormat="1" x14ac:dyDescent="0.15">
      <c r="B75" s="765" t="s">
        <v>323</v>
      </c>
      <c r="C75" s="765">
        <f t="shared" ref="C75:AH75" si="86">SUM(C71:C74)</f>
        <v>-728.65</v>
      </c>
      <c r="D75" s="766">
        <f t="shared" si="86"/>
        <v>-0.13800000000000001</v>
      </c>
      <c r="E75" s="766">
        <f t="shared" si="86"/>
        <v>-146.32000000000002</v>
      </c>
      <c r="F75" s="766">
        <f t="shared" si="86"/>
        <v>-59.548999999999999</v>
      </c>
      <c r="G75" s="766">
        <f t="shared" si="86"/>
        <v>-4.3040000000000029</v>
      </c>
      <c r="H75" s="765">
        <f t="shared" si="86"/>
        <v>-210.31100000000001</v>
      </c>
      <c r="I75" s="766">
        <f t="shared" si="86"/>
        <v>-59.331000000000003</v>
      </c>
      <c r="J75" s="766">
        <f t="shared" si="86"/>
        <v>394.02</v>
      </c>
      <c r="K75" s="766">
        <f t="shared" si="86"/>
        <v>-89.213999999999999</v>
      </c>
      <c r="L75" s="766">
        <f t="shared" si="86"/>
        <v>-68.427999999999983</v>
      </c>
      <c r="M75" s="765">
        <f t="shared" si="86"/>
        <v>177.047</v>
      </c>
      <c r="N75" s="766">
        <f t="shared" si="86"/>
        <v>-12.702</v>
      </c>
      <c r="O75" s="766">
        <f t="shared" si="86"/>
        <v>-25.502000000000002</v>
      </c>
      <c r="P75" s="766">
        <f t="shared" si="86"/>
        <v>-10.59</v>
      </c>
      <c r="Q75" s="766">
        <f t="shared" si="86"/>
        <v>-164.489</v>
      </c>
      <c r="R75" s="765">
        <f t="shared" si="86"/>
        <v>-213.28300000000004</v>
      </c>
      <c r="S75" s="766">
        <f t="shared" si="86"/>
        <v>742.76700000000028</v>
      </c>
      <c r="T75" s="766">
        <f t="shared" si="86"/>
        <v>-330.16899999999998</v>
      </c>
      <c r="U75" s="766">
        <f t="shared" si="86"/>
        <v>299.02500000000003</v>
      </c>
      <c r="V75" s="766">
        <f t="shared" si="86"/>
        <v>1236.5419999999999</v>
      </c>
      <c r="W75" s="765">
        <f t="shared" si="86"/>
        <v>1948.165</v>
      </c>
      <c r="X75" s="766">
        <f t="shared" si="86"/>
        <v>210.43799999999999</v>
      </c>
      <c r="Y75" s="766">
        <f t="shared" si="86"/>
        <v>292.49799999999999</v>
      </c>
      <c r="Z75" s="766">
        <f t="shared" si="86"/>
        <v>-7.9319999999999879</v>
      </c>
      <c r="AA75" s="766">
        <f t="shared" si="86"/>
        <v>2562.3640000000009</v>
      </c>
      <c r="AB75" s="765">
        <f t="shared" si="86"/>
        <v>3057.3680000000008</v>
      </c>
      <c r="AC75" s="766">
        <f t="shared" si="86"/>
        <v>-515.91899999999998</v>
      </c>
      <c r="AD75" s="766">
        <f>SUM(AD71:AD74)</f>
        <v>2356.0810000000001</v>
      </c>
      <c r="AE75" s="766">
        <f t="shared" si="86"/>
        <v>2318.478000000001</v>
      </c>
      <c r="AF75" s="766">
        <f>SUM(AF71:AF74)</f>
        <v>-130.8880000000008</v>
      </c>
      <c r="AG75" s="765">
        <f>SUM(AG71:AG74)</f>
        <v>4027.752</v>
      </c>
      <c r="AH75" s="767">
        <f t="shared" si="86"/>
        <v>-122.69999999999996</v>
      </c>
      <c r="AI75" s="766">
        <f>SUM(AI71:AI74)</f>
        <v>-156.60000000000002</v>
      </c>
      <c r="AJ75" s="766">
        <f>SUM(AJ71:AJ74)</f>
        <v>-1082.1000000000001</v>
      </c>
      <c r="AK75" s="766">
        <f t="shared" ref="AK75:AP75" si="87">SUM(AK71:AK74)</f>
        <v>-1082.3000000000004</v>
      </c>
      <c r="AL75" s="765">
        <f t="shared" si="87"/>
        <v>-2443.7000000000003</v>
      </c>
      <c r="AM75" s="766">
        <f t="shared" si="87"/>
        <v>12306.300000000001</v>
      </c>
      <c r="AN75" s="766">
        <f t="shared" si="87"/>
        <v>1325.2999999999997</v>
      </c>
      <c r="AO75" s="766">
        <f t="shared" si="87"/>
        <v>-108.5</v>
      </c>
      <c r="AP75" s="766">
        <f t="shared" si="87"/>
        <v>900</v>
      </c>
      <c r="AQ75" s="765">
        <f>SUM(AQ71:AQ74)</f>
        <v>14423.099999999999</v>
      </c>
      <c r="AR75" s="787">
        <f t="shared" ref="AR75:AU75" si="88">SUM(AR71:AR74)</f>
        <v>-405</v>
      </c>
      <c r="AS75" s="787">
        <f t="shared" si="88"/>
        <v>-400</v>
      </c>
      <c r="AT75" s="787">
        <f t="shared" si="88"/>
        <v>-450</v>
      </c>
      <c r="AU75" s="787">
        <f t="shared" si="88"/>
        <v>-450</v>
      </c>
      <c r="AV75" s="765">
        <f>SUM(AV71:AV74)</f>
        <v>-1705</v>
      </c>
      <c r="BA75" s="765">
        <f>SUM(BA71:BA74)</f>
        <v>-2500</v>
      </c>
      <c r="BF75" s="765">
        <f>SUM(BF71:BF74)</f>
        <v>-3358.4986836550702</v>
      </c>
      <c r="BK75" s="765">
        <f>SUM(BK71:BK74)</f>
        <v>-3754.8725929400607</v>
      </c>
      <c r="BP75" s="765">
        <f>SUM(BP71:BP74)</f>
        <v>-4144.3084750059752</v>
      </c>
      <c r="BR75" s="758"/>
    </row>
    <row r="76" spans="2:70" s="96" customFormat="1" x14ac:dyDescent="0.15">
      <c r="B76" s="759" t="s">
        <v>324</v>
      </c>
      <c r="C76" s="759">
        <v>1.9430000000000001</v>
      </c>
      <c r="D76" s="96">
        <v>-0.36299999999999999</v>
      </c>
      <c r="E76" s="96">
        <v>-1.2999999999999999E-2</v>
      </c>
      <c r="F76" s="96">
        <v>-0.316</v>
      </c>
      <c r="G76" s="96">
        <f t="shared" si="79"/>
        <v>-1.5850000000000002</v>
      </c>
      <c r="H76" s="759">
        <v>-2.2770000000000001</v>
      </c>
      <c r="I76" s="96">
        <v>-0.45200000000000001</v>
      </c>
      <c r="J76" s="96">
        <v>0.876</v>
      </c>
      <c r="K76" s="96">
        <v>1.0189999999999999</v>
      </c>
      <c r="L76" s="96">
        <f t="shared" si="80"/>
        <v>0.30100000000000038</v>
      </c>
      <c r="M76" s="759">
        <v>1.744</v>
      </c>
      <c r="N76" s="96">
        <v>0.25800000000000001</v>
      </c>
      <c r="O76" s="96">
        <v>-0.38500000000000001</v>
      </c>
      <c r="P76" s="145">
        <v>0.38700000000000001</v>
      </c>
      <c r="Q76" s="96">
        <f t="shared" si="81"/>
        <v>0.69899999999999984</v>
      </c>
      <c r="R76" s="759">
        <v>0.95899999999999996</v>
      </c>
      <c r="S76" s="96">
        <v>3.72</v>
      </c>
      <c r="T76" s="96">
        <v>3.206</v>
      </c>
      <c r="U76" s="96">
        <v>-14.496</v>
      </c>
      <c r="V76" s="96">
        <f t="shared" si="82"/>
        <v>-2.7180000000000017</v>
      </c>
      <c r="W76" s="759">
        <v>-10.288</v>
      </c>
      <c r="X76" s="96">
        <v>7.0789999999999997</v>
      </c>
      <c r="Y76" s="96">
        <v>-6.1719999999999997</v>
      </c>
      <c r="Z76" s="96">
        <v>0.96499999999999997</v>
      </c>
      <c r="AA76" s="96">
        <f t="shared" si="83"/>
        <v>1.883</v>
      </c>
      <c r="AB76" s="759">
        <v>3.7549999999999999</v>
      </c>
      <c r="AC76" s="96">
        <v>-6.8890000000000002</v>
      </c>
      <c r="AD76" s="96">
        <f>-3.722</f>
        <v>-3.722</v>
      </c>
      <c r="AE76" s="96">
        <v>5.8760000000000003</v>
      </c>
      <c r="AF76" s="96">
        <f t="shared" si="84"/>
        <v>-0.33899999999999952</v>
      </c>
      <c r="AG76" s="759">
        <v>-5.0739999999999998</v>
      </c>
      <c r="AH76" s="96">
        <v>-1.5</v>
      </c>
      <c r="AI76" s="96">
        <f>1.9</f>
        <v>1.9</v>
      </c>
      <c r="AJ76" s="96">
        <f>-15.3</f>
        <v>-15.3</v>
      </c>
      <c r="AK76" s="96">
        <f>AL76-AH76-AI76-AJ76</f>
        <v>-14.099999999999998</v>
      </c>
      <c r="AL76" s="759">
        <v>-29</v>
      </c>
      <c r="AM76" s="788">
        <f>-15.1+5.8</f>
        <v>-9.3000000000000007</v>
      </c>
      <c r="AN76" s="789">
        <v>3</v>
      </c>
      <c r="AO76" s="789">
        <v>-9.8000000000000007</v>
      </c>
      <c r="AP76" s="790">
        <v>0</v>
      </c>
      <c r="AQ76" s="759">
        <f>SUM(AM76:AP76)</f>
        <v>-16.100000000000001</v>
      </c>
      <c r="AR76" s="791">
        <v>0</v>
      </c>
      <c r="AS76" s="792">
        <v>0</v>
      </c>
      <c r="AT76" s="792">
        <v>0</v>
      </c>
      <c r="AU76" s="790">
        <v>0</v>
      </c>
      <c r="AV76" s="759">
        <f>SUM(AR76:AU76)</f>
        <v>0</v>
      </c>
      <c r="BA76" s="759">
        <v>0</v>
      </c>
      <c r="BF76" s="759">
        <v>0</v>
      </c>
      <c r="BK76" s="759">
        <v>0</v>
      </c>
      <c r="BP76" s="759">
        <v>0</v>
      </c>
      <c r="BR76" s="758"/>
    </row>
    <row r="77" spans="2:70" s="96" customFormat="1" x14ac:dyDescent="0.15">
      <c r="B77" s="765" t="s">
        <v>325</v>
      </c>
      <c r="C77" s="765">
        <f t="shared" ref="C77:Q77" si="89">C76+C75+C69+C65</f>
        <v>-400.899</v>
      </c>
      <c r="D77" s="766">
        <f t="shared" si="89"/>
        <v>-2.1040000000000134</v>
      </c>
      <c r="E77" s="793">
        <f t="shared" si="89"/>
        <v>-77.481000000000037</v>
      </c>
      <c r="F77" s="766">
        <f t="shared" si="89"/>
        <v>-135.05099999999999</v>
      </c>
      <c r="G77" s="766">
        <f t="shared" si="89"/>
        <v>98.541999999999987</v>
      </c>
      <c r="H77" s="765">
        <f t="shared" si="89"/>
        <v>-116.09399999999999</v>
      </c>
      <c r="I77" s="766">
        <f t="shared" si="89"/>
        <v>-19.852999999999987</v>
      </c>
      <c r="J77" s="766">
        <f t="shared" si="89"/>
        <v>-244.77600000000007</v>
      </c>
      <c r="K77" s="766">
        <f t="shared" si="89"/>
        <v>-3.5119999999999862</v>
      </c>
      <c r="L77" s="766">
        <f t="shared" si="89"/>
        <v>65.057000000000102</v>
      </c>
      <c r="M77" s="765">
        <f t="shared" si="89"/>
        <v>-203.08399999999995</v>
      </c>
      <c r="N77" s="766">
        <f t="shared" si="89"/>
        <v>-11.570999999999991</v>
      </c>
      <c r="O77" s="766">
        <f t="shared" si="89"/>
        <v>73.673999999999992</v>
      </c>
      <c r="P77" s="780">
        <f t="shared" si="89"/>
        <v>416.08800000000008</v>
      </c>
      <c r="Q77" s="766">
        <f t="shared" si="89"/>
        <v>-198.38499999999991</v>
      </c>
      <c r="R77" s="765">
        <f>SUM(N77:Q77)</f>
        <v>279.80600000000015</v>
      </c>
      <c r="S77" s="766">
        <f t="shared" ref="S77:AP77" si="90">S76+S75+S69+S65</f>
        <v>7.4830000000003594</v>
      </c>
      <c r="T77" s="766">
        <f t="shared" si="90"/>
        <v>-162.80699999999996</v>
      </c>
      <c r="U77" s="766">
        <f t="shared" si="90"/>
        <v>15.614000000000004</v>
      </c>
      <c r="V77" s="766">
        <f t="shared" si="90"/>
        <v>-90.448000000000121</v>
      </c>
      <c r="W77" s="765">
        <f t="shared" si="90"/>
        <v>-230.1579999999999</v>
      </c>
      <c r="X77" s="766">
        <f t="shared" si="90"/>
        <v>166.36799999999997</v>
      </c>
      <c r="Y77" s="766">
        <f t="shared" si="90"/>
        <v>64.787000000000006</v>
      </c>
      <c r="Z77" s="766">
        <f t="shared" si="90"/>
        <v>-137.53599999999989</v>
      </c>
      <c r="AA77" s="766">
        <f t="shared" si="90"/>
        <v>658.36100000000079</v>
      </c>
      <c r="AB77" s="765">
        <f t="shared" si="90"/>
        <v>751.98000000000127</v>
      </c>
      <c r="AC77" s="766">
        <f t="shared" si="90"/>
        <v>-502.35500000000002</v>
      </c>
      <c r="AD77" s="766">
        <f>AD76+AD75+AD69+AD65</f>
        <v>2125.654</v>
      </c>
      <c r="AE77" s="766">
        <f t="shared" si="90"/>
        <v>-1943.0429999999983</v>
      </c>
      <c r="AF77" s="782">
        <f t="shared" si="90"/>
        <v>3.9929999999986308</v>
      </c>
      <c r="AG77" s="765">
        <f>AG76+AG75+AG69+AG65</f>
        <v>-315.75100000000066</v>
      </c>
      <c r="AH77" s="767">
        <f>AH76+AH75+AH69+AH65</f>
        <v>-24</v>
      </c>
      <c r="AI77" s="766">
        <f>AI76+AI75+AI69+AI65</f>
        <v>-45.099999999999909</v>
      </c>
      <c r="AJ77" s="766">
        <f t="shared" si="90"/>
        <v>277.60000000000002</v>
      </c>
      <c r="AK77" s="766">
        <f t="shared" si="90"/>
        <v>-486.2000000000005</v>
      </c>
      <c r="AL77" s="765">
        <f t="shared" si="90"/>
        <v>-277.69999999999982</v>
      </c>
      <c r="AM77" s="766">
        <f t="shared" si="90"/>
        <v>11896.700000000003</v>
      </c>
      <c r="AN77" s="766">
        <f t="shared" si="90"/>
        <v>-11261.3</v>
      </c>
      <c r="AO77" s="766">
        <f t="shared" si="90"/>
        <v>462</v>
      </c>
      <c r="AP77" s="766">
        <f t="shared" si="90"/>
        <v>-178.71888888888907</v>
      </c>
      <c r="AQ77" s="765">
        <f>AQ76+AQ75+AQ69+AQ65</f>
        <v>918.68111111110875</v>
      </c>
      <c r="AR77" s="794">
        <f t="shared" ref="AR77:AU77" si="91">AR76+AR75+AR69+AR65</f>
        <v>-554.77942699999983</v>
      </c>
      <c r="AS77" s="794">
        <f t="shared" si="91"/>
        <v>257.96322545000021</v>
      </c>
      <c r="AT77" s="794">
        <f t="shared" si="91"/>
        <v>272.7995292722228</v>
      </c>
      <c r="AU77" s="794">
        <f t="shared" si="91"/>
        <v>54.025151011110893</v>
      </c>
      <c r="AV77" s="765">
        <f>AV76+AV75+AV69+AV65</f>
        <v>30.008478733334414</v>
      </c>
      <c r="BA77" s="765">
        <f>BA76+BA75+BA69+BA65</f>
        <v>933.99473462028072</v>
      </c>
      <c r="BF77" s="765">
        <f>BF76+BF75+BF69+BF65</f>
        <v>660.99168810517358</v>
      </c>
      <c r="BK77" s="765">
        <f>BK76+BK75+BK69+BK65</f>
        <v>822.36130708383916</v>
      </c>
      <c r="BP77" s="765">
        <f>BP76+BP75+BP69+BP65</f>
        <v>939.05314066231767</v>
      </c>
      <c r="BR77" s="758"/>
    </row>
    <row r="78" spans="2:70" s="96" customFormat="1" x14ac:dyDescent="0.15">
      <c r="B78" s="795" t="s">
        <v>326</v>
      </c>
      <c r="C78" s="796">
        <v>834.54</v>
      </c>
      <c r="D78" s="797">
        <f>C79</f>
        <v>433.64099999999996</v>
      </c>
      <c r="E78" s="798">
        <f>D79</f>
        <v>431.53699999999992</v>
      </c>
      <c r="F78" s="798">
        <f>E79</f>
        <v>354.05599999999987</v>
      </c>
      <c r="G78" s="798">
        <f>F79</f>
        <v>219.00499999999988</v>
      </c>
      <c r="H78" s="795">
        <f>D78</f>
        <v>433.64099999999996</v>
      </c>
      <c r="I78" s="797">
        <f>G79</f>
        <v>317.54699999999985</v>
      </c>
      <c r="J78" s="798">
        <f>I79</f>
        <v>297.69399999999985</v>
      </c>
      <c r="K78" s="798">
        <f>J79</f>
        <v>52.917999999999779</v>
      </c>
      <c r="L78" s="798">
        <f>K79</f>
        <v>49.405999999999793</v>
      </c>
      <c r="M78" s="795">
        <f>I78</f>
        <v>317.54699999999985</v>
      </c>
      <c r="N78" s="797">
        <f>L79</f>
        <v>114.46299999999989</v>
      </c>
      <c r="O78" s="798">
        <f>N79</f>
        <v>102.89199999999991</v>
      </c>
      <c r="P78" s="799">
        <f>O79</f>
        <v>176.56599999999992</v>
      </c>
      <c r="Q78" s="798">
        <f>P79</f>
        <v>592.654</v>
      </c>
      <c r="R78" s="795">
        <f>N78</f>
        <v>114.46299999999989</v>
      </c>
      <c r="S78" s="797">
        <v>394.26900000000001</v>
      </c>
      <c r="T78" s="798">
        <f>S79</f>
        <v>401.75200000000035</v>
      </c>
      <c r="U78" s="798">
        <f>T79</f>
        <v>238.94499999999999</v>
      </c>
      <c r="V78" s="798">
        <f>U79</f>
        <v>254.559</v>
      </c>
      <c r="W78" s="795">
        <f>S78</f>
        <v>394.26900000000001</v>
      </c>
      <c r="X78" s="797">
        <v>164.11099999999999</v>
      </c>
      <c r="Y78" s="798">
        <f>X79</f>
        <v>330.47899999999993</v>
      </c>
      <c r="Z78" s="798">
        <f>Y79</f>
        <v>395.26599999999996</v>
      </c>
      <c r="AA78" s="798">
        <f>Z79</f>
        <v>257.73000000000008</v>
      </c>
      <c r="AB78" s="795">
        <v>164.11099999999999</v>
      </c>
      <c r="AC78" s="797">
        <v>916.09100000000001</v>
      </c>
      <c r="AD78" s="798">
        <f>AC79</f>
        <v>413.73599999999999</v>
      </c>
      <c r="AE78" s="798">
        <f>AD79</f>
        <v>2539.39</v>
      </c>
      <c r="AF78" s="798">
        <f>AE79</f>
        <v>596.34700000000157</v>
      </c>
      <c r="AG78" s="795">
        <f>AC78</f>
        <v>916.09100000000001</v>
      </c>
      <c r="AH78" s="798">
        <f>AG79</f>
        <v>600.29999999999995</v>
      </c>
      <c r="AI78" s="798">
        <f>AH79</f>
        <v>576.29999999999995</v>
      </c>
      <c r="AJ78" s="798">
        <f>AI79</f>
        <v>531.20000000000005</v>
      </c>
      <c r="AK78" s="798">
        <f>AJ79</f>
        <v>808.80000000000007</v>
      </c>
      <c r="AL78" s="795">
        <f>AG79</f>
        <v>600.29999999999995</v>
      </c>
      <c r="AM78" s="798">
        <f>AL79</f>
        <v>322.60000000000014</v>
      </c>
      <c r="AN78" s="798">
        <f>AM79</f>
        <v>12219.300000000003</v>
      </c>
      <c r="AO78" s="798">
        <f>AN79</f>
        <v>958.00000000000364</v>
      </c>
      <c r="AP78" s="798">
        <f>AO79</f>
        <v>1420.0000000000036</v>
      </c>
      <c r="AQ78" s="795">
        <f>AL79</f>
        <v>322.60000000000014</v>
      </c>
      <c r="AR78" s="798">
        <f t="shared" ref="AR78:AU78" si="92">AQ79</f>
        <v>1241.2811111111089</v>
      </c>
      <c r="AS78" s="798">
        <f t="shared" si="92"/>
        <v>686.50168411110906</v>
      </c>
      <c r="AT78" s="798">
        <f t="shared" si="92"/>
        <v>944.46490956110927</v>
      </c>
      <c r="AU78" s="798">
        <f t="shared" si="92"/>
        <v>1217.264438833332</v>
      </c>
      <c r="AV78" s="795">
        <f>AQ79</f>
        <v>1241.2811111111089</v>
      </c>
      <c r="BA78" s="795">
        <f>AV79</f>
        <v>1271.2895898444433</v>
      </c>
      <c r="BF78" s="795">
        <f>BA79</f>
        <v>2205.2843244647238</v>
      </c>
      <c r="BK78" s="795">
        <f>BF79</f>
        <v>2866.2760125698974</v>
      </c>
      <c r="BP78" s="795">
        <f>BK79</f>
        <v>3688.6373196537365</v>
      </c>
      <c r="BR78" s="758"/>
    </row>
    <row r="79" spans="2:70" s="96" customFormat="1" x14ac:dyDescent="0.15">
      <c r="B79" s="800" t="s">
        <v>327</v>
      </c>
      <c r="C79" s="800">
        <f t="shared" ref="C79:R79" si="93">C77+C78</f>
        <v>433.64099999999996</v>
      </c>
      <c r="D79" s="801">
        <f t="shared" si="93"/>
        <v>431.53699999999992</v>
      </c>
      <c r="E79" s="802">
        <f t="shared" si="93"/>
        <v>354.05599999999987</v>
      </c>
      <c r="F79" s="802">
        <f t="shared" si="93"/>
        <v>219.00499999999988</v>
      </c>
      <c r="G79" s="802">
        <f t="shared" si="93"/>
        <v>317.54699999999985</v>
      </c>
      <c r="H79" s="800">
        <f t="shared" si="93"/>
        <v>317.54699999999997</v>
      </c>
      <c r="I79" s="801">
        <f t="shared" si="93"/>
        <v>297.69399999999985</v>
      </c>
      <c r="J79" s="802">
        <f t="shared" si="93"/>
        <v>52.917999999999779</v>
      </c>
      <c r="K79" s="802">
        <f t="shared" si="93"/>
        <v>49.405999999999793</v>
      </c>
      <c r="L79" s="802">
        <f t="shared" si="93"/>
        <v>114.46299999999989</v>
      </c>
      <c r="M79" s="800">
        <f t="shared" si="93"/>
        <v>114.46299999999991</v>
      </c>
      <c r="N79" s="801">
        <f t="shared" si="93"/>
        <v>102.89199999999991</v>
      </c>
      <c r="O79" s="802">
        <f t="shared" si="93"/>
        <v>176.56599999999992</v>
      </c>
      <c r="P79" s="802">
        <f t="shared" si="93"/>
        <v>592.654</v>
      </c>
      <c r="Q79" s="802">
        <f t="shared" si="93"/>
        <v>394.26900000000012</v>
      </c>
      <c r="R79" s="800">
        <f t="shared" si="93"/>
        <v>394.26900000000006</v>
      </c>
      <c r="S79" s="801">
        <f>S77+S78</f>
        <v>401.75200000000035</v>
      </c>
      <c r="T79" s="802">
        <v>238.94499999999999</v>
      </c>
      <c r="U79" s="802">
        <f t="shared" ref="U79:AB79" si="94">U77+U78</f>
        <v>254.559</v>
      </c>
      <c r="V79" s="802">
        <f t="shared" si="94"/>
        <v>164.11099999999988</v>
      </c>
      <c r="W79" s="800">
        <f t="shared" si="94"/>
        <v>164.1110000000001</v>
      </c>
      <c r="X79" s="801">
        <f t="shared" si="94"/>
        <v>330.47899999999993</v>
      </c>
      <c r="Y79" s="802">
        <f t="shared" si="94"/>
        <v>395.26599999999996</v>
      </c>
      <c r="Z79" s="802">
        <f t="shared" si="94"/>
        <v>257.73000000000008</v>
      </c>
      <c r="AA79" s="802">
        <f t="shared" si="94"/>
        <v>916.0910000000008</v>
      </c>
      <c r="AB79" s="800">
        <f t="shared" si="94"/>
        <v>916.09100000000126</v>
      </c>
      <c r="AC79" s="801">
        <f>AC77+AC78</f>
        <v>413.73599999999999</v>
      </c>
      <c r="AD79" s="803">
        <f>AD77+AD78</f>
        <v>2539.39</v>
      </c>
      <c r="AE79" s="802">
        <f>AE77+AE78</f>
        <v>596.34700000000157</v>
      </c>
      <c r="AF79" s="802">
        <f>AF77+AF78</f>
        <v>600.34000000000015</v>
      </c>
      <c r="AG79" s="800">
        <v>600.29999999999995</v>
      </c>
      <c r="AH79" s="802">
        <f t="shared" ref="AH79:AU79" si="95">AH77+AH78</f>
        <v>576.29999999999995</v>
      </c>
      <c r="AI79" s="803">
        <f>AI77+AI78</f>
        <v>531.20000000000005</v>
      </c>
      <c r="AJ79" s="802">
        <f t="shared" si="95"/>
        <v>808.80000000000007</v>
      </c>
      <c r="AK79" s="802">
        <f t="shared" si="95"/>
        <v>322.59999999999957</v>
      </c>
      <c r="AL79" s="800">
        <f t="shared" si="95"/>
        <v>322.60000000000014</v>
      </c>
      <c r="AM79" s="802">
        <f t="shared" si="95"/>
        <v>12219.300000000003</v>
      </c>
      <c r="AN79" s="802">
        <f t="shared" si="95"/>
        <v>958.00000000000364</v>
      </c>
      <c r="AO79" s="802">
        <f t="shared" si="95"/>
        <v>1420.0000000000036</v>
      </c>
      <c r="AP79" s="802">
        <f t="shared" si="95"/>
        <v>1241.2811111111146</v>
      </c>
      <c r="AQ79" s="800">
        <f t="shared" si="95"/>
        <v>1241.2811111111089</v>
      </c>
      <c r="AR79" s="802">
        <f t="shared" si="95"/>
        <v>686.50168411110906</v>
      </c>
      <c r="AS79" s="802">
        <f t="shared" si="95"/>
        <v>944.46490956110927</v>
      </c>
      <c r="AT79" s="802">
        <f t="shared" si="95"/>
        <v>1217.264438833332</v>
      </c>
      <c r="AU79" s="802">
        <f t="shared" si="95"/>
        <v>1271.2895898444428</v>
      </c>
      <c r="AV79" s="800">
        <f>AV77+AV78</f>
        <v>1271.2895898444433</v>
      </c>
      <c r="BA79" s="800">
        <f>BA77+BA78</f>
        <v>2205.2843244647238</v>
      </c>
      <c r="BF79" s="800">
        <f>BF77+BF78</f>
        <v>2866.2760125698974</v>
      </c>
      <c r="BK79" s="800">
        <f>BK77+BK78</f>
        <v>3688.6373196537365</v>
      </c>
      <c r="BP79" s="800">
        <f>BP77+BP78</f>
        <v>4627.6904603160547</v>
      </c>
      <c r="BR79" s="758"/>
    </row>
    <row r="80" spans="2:70" s="768" customFormat="1" x14ac:dyDescent="0.15">
      <c r="B80" s="768" t="s">
        <v>305</v>
      </c>
      <c r="C80" s="768">
        <f t="shared" ref="C80:AU80" si="96">C11-C79</f>
        <v>0</v>
      </c>
      <c r="D80" s="768">
        <f t="shared" si="96"/>
        <v>0</v>
      </c>
      <c r="E80" s="768">
        <f t="shared" si="96"/>
        <v>0</v>
      </c>
      <c r="F80" s="768">
        <f t="shared" si="96"/>
        <v>0</v>
      </c>
      <c r="G80" s="768">
        <f t="shared" si="96"/>
        <v>0</v>
      </c>
      <c r="H80" s="768">
        <f t="shared" si="96"/>
        <v>0</v>
      </c>
      <c r="I80" s="768">
        <f t="shared" si="96"/>
        <v>0</v>
      </c>
      <c r="J80" s="768">
        <f t="shared" si="96"/>
        <v>2.2026824808563106E-13</v>
      </c>
      <c r="K80" s="768">
        <f t="shared" si="96"/>
        <v>2.0605739337042905E-13</v>
      </c>
      <c r="L80" s="768">
        <f t="shared" si="96"/>
        <v>0</v>
      </c>
      <c r="M80" s="768">
        <f t="shared" si="96"/>
        <v>0</v>
      </c>
      <c r="N80" s="768">
        <f t="shared" si="96"/>
        <v>0</v>
      </c>
      <c r="O80" s="768">
        <f t="shared" si="96"/>
        <v>0</v>
      </c>
      <c r="P80" s="768">
        <f t="shared" si="96"/>
        <v>0</v>
      </c>
      <c r="Q80" s="768">
        <f t="shared" si="96"/>
        <v>0</v>
      </c>
      <c r="R80" s="768">
        <f t="shared" si="96"/>
        <v>0</v>
      </c>
      <c r="S80" s="768">
        <f t="shared" si="96"/>
        <v>0</v>
      </c>
      <c r="T80" s="768">
        <f t="shared" si="96"/>
        <v>0</v>
      </c>
      <c r="U80" s="804">
        <f t="shared" si="96"/>
        <v>0</v>
      </c>
      <c r="V80" s="768">
        <f t="shared" si="96"/>
        <v>0</v>
      </c>
      <c r="W80" s="768">
        <f t="shared" si="96"/>
        <v>0</v>
      </c>
      <c r="X80" s="768">
        <f t="shared" si="96"/>
        <v>0</v>
      </c>
      <c r="Y80" s="768">
        <f t="shared" si="96"/>
        <v>0</v>
      </c>
      <c r="Z80" s="805">
        <f t="shared" si="96"/>
        <v>0</v>
      </c>
      <c r="AA80" s="768">
        <f t="shared" si="96"/>
        <v>0</v>
      </c>
      <c r="AB80" s="768">
        <f t="shared" si="96"/>
        <v>-1.2505552149377763E-12</v>
      </c>
      <c r="AC80" s="805">
        <f t="shared" si="96"/>
        <v>0</v>
      </c>
      <c r="AD80" s="768">
        <f t="shared" si="96"/>
        <v>0</v>
      </c>
      <c r="AE80" s="804">
        <f t="shared" si="96"/>
        <v>-1.5916157281026244E-12</v>
      </c>
      <c r="AF80" s="768">
        <f t="shared" si="96"/>
        <v>0</v>
      </c>
      <c r="AG80" s="768">
        <f t="shared" si="96"/>
        <v>0</v>
      </c>
      <c r="AH80" s="806">
        <f t="shared" si="96"/>
        <v>0</v>
      </c>
      <c r="AI80" s="768">
        <f>AI11-AI79</f>
        <v>0</v>
      </c>
      <c r="AJ80" s="804">
        <f t="shared" si="96"/>
        <v>0</v>
      </c>
      <c r="AK80" s="804">
        <f t="shared" si="96"/>
        <v>4.5474735088646412E-13</v>
      </c>
      <c r="AL80" s="768">
        <f t="shared" si="96"/>
        <v>0</v>
      </c>
      <c r="AM80" s="807">
        <f t="shared" si="96"/>
        <v>0</v>
      </c>
      <c r="AN80" s="768">
        <f t="shared" si="96"/>
        <v>-3.637978807091713E-12</v>
      </c>
      <c r="AO80" s="804">
        <f t="shared" si="96"/>
        <v>-3.637978807091713E-12</v>
      </c>
      <c r="AP80" s="804">
        <f t="shared" si="96"/>
        <v>0</v>
      </c>
      <c r="AQ80" s="768">
        <f t="shared" si="96"/>
        <v>5.6843418860808015E-12</v>
      </c>
      <c r="AR80" s="804">
        <f t="shared" si="96"/>
        <v>0</v>
      </c>
      <c r="AS80" s="804">
        <f t="shared" si="96"/>
        <v>0</v>
      </c>
      <c r="AT80" s="804">
        <f t="shared" si="96"/>
        <v>0</v>
      </c>
      <c r="AU80" s="804">
        <f t="shared" si="96"/>
        <v>0</v>
      </c>
      <c r="AV80" s="768">
        <f>AV11-AV79</f>
        <v>0</v>
      </c>
      <c r="BA80" s="768">
        <f>BA11-BA79</f>
        <v>0</v>
      </c>
      <c r="BF80" s="768">
        <f>BF11-BF79</f>
        <v>0</v>
      </c>
      <c r="BK80" s="768">
        <f>BK11-BK79</f>
        <v>0</v>
      </c>
      <c r="BP80" s="768">
        <f>BP11-BP79</f>
        <v>0</v>
      </c>
    </row>
    <row r="81" spans="2:70" s="96" customFormat="1" x14ac:dyDescent="0.15">
      <c r="AN81" s="243"/>
    </row>
    <row r="82" spans="2:70" s="96" customFormat="1" x14ac:dyDescent="0.15">
      <c r="B82" s="808" t="s">
        <v>328</v>
      </c>
      <c r="C82" s="809">
        <f>C11+C12</f>
        <v>437.536</v>
      </c>
      <c r="D82" s="810"/>
      <c r="E82" s="810"/>
      <c r="F82" s="810"/>
      <c r="G82" s="811"/>
      <c r="H82" s="809">
        <f>H11+H12</f>
        <v>318.26600000000002</v>
      </c>
      <c r="I82" s="810"/>
      <c r="J82" s="810"/>
      <c r="K82" s="810"/>
      <c r="L82" s="811"/>
      <c r="M82" s="809">
        <f t="shared" ref="M82:AU82" si="97">M11+M12</f>
        <v>124.029</v>
      </c>
      <c r="N82" s="810">
        <f t="shared" si="97"/>
        <v>111.12299999999999</v>
      </c>
      <c r="O82" s="810">
        <f t="shared" si="97"/>
        <v>182.804</v>
      </c>
      <c r="P82" s="810">
        <f t="shared" si="97"/>
        <v>598.245</v>
      </c>
      <c r="Q82" s="811">
        <f t="shared" si="97"/>
        <v>400.35200000000003</v>
      </c>
      <c r="R82" s="809">
        <f t="shared" si="97"/>
        <v>400.35200000000003</v>
      </c>
      <c r="S82" s="810">
        <f t="shared" si="97"/>
        <v>406.053</v>
      </c>
      <c r="T82" s="810">
        <f t="shared" si="97"/>
        <v>241.899</v>
      </c>
      <c r="U82" s="810">
        <f t="shared" si="97"/>
        <v>257.52600000000001</v>
      </c>
      <c r="V82" s="811">
        <f t="shared" si="97"/>
        <v>170.44899999999998</v>
      </c>
      <c r="W82" s="809">
        <f t="shared" si="97"/>
        <v>170.44899999999998</v>
      </c>
      <c r="X82" s="810">
        <f t="shared" si="97"/>
        <v>331.52799999999996</v>
      </c>
      <c r="Y82" s="810">
        <f t="shared" si="97"/>
        <v>395.26600000000002</v>
      </c>
      <c r="Z82" s="810">
        <f t="shared" si="97"/>
        <v>257.73</v>
      </c>
      <c r="AA82" s="811">
        <f t="shared" si="97"/>
        <v>920.50099999999998</v>
      </c>
      <c r="AB82" s="809">
        <f t="shared" si="97"/>
        <v>920.50099999999998</v>
      </c>
      <c r="AC82" s="810">
        <f t="shared" si="97"/>
        <v>413.73599999999999</v>
      </c>
      <c r="AD82" s="810">
        <f t="shared" si="97"/>
        <v>2539.39</v>
      </c>
      <c r="AE82" s="810">
        <f t="shared" si="97"/>
        <v>596.34699999999998</v>
      </c>
      <c r="AF82" s="811">
        <f t="shared" si="97"/>
        <v>600.34</v>
      </c>
      <c r="AG82" s="809">
        <f t="shared" si="97"/>
        <v>600.29999999999995</v>
      </c>
      <c r="AH82" s="810">
        <f t="shared" si="97"/>
        <v>576.29999999999995</v>
      </c>
      <c r="AI82" s="810">
        <f t="shared" si="97"/>
        <v>531.20000000000005</v>
      </c>
      <c r="AJ82" s="810">
        <f t="shared" si="97"/>
        <v>808.8</v>
      </c>
      <c r="AK82" s="811">
        <f t="shared" si="97"/>
        <v>322.60000000000002</v>
      </c>
      <c r="AL82" s="809">
        <f t="shared" si="97"/>
        <v>322.60000000000002</v>
      </c>
      <c r="AM82" s="810">
        <f t="shared" si="97"/>
        <v>12219.3</v>
      </c>
      <c r="AN82" s="810">
        <f t="shared" si="97"/>
        <v>958</v>
      </c>
      <c r="AO82" s="810">
        <f t="shared" si="97"/>
        <v>1420</v>
      </c>
      <c r="AP82" s="811">
        <f t="shared" si="97"/>
        <v>1241.2811111111146</v>
      </c>
      <c r="AQ82" s="809">
        <f t="shared" si="97"/>
        <v>1241.2811111111146</v>
      </c>
      <c r="AR82" s="811">
        <f t="shared" si="97"/>
        <v>686.50168411110906</v>
      </c>
      <c r="AS82" s="811">
        <f t="shared" si="97"/>
        <v>944.46490956110927</v>
      </c>
      <c r="AT82" s="811">
        <f t="shared" si="97"/>
        <v>1217.264438833332</v>
      </c>
      <c r="AU82" s="811">
        <f t="shared" si="97"/>
        <v>1271.2895898444428</v>
      </c>
      <c r="AV82" s="809">
        <f>AV11+AV12</f>
        <v>1271.2895898444428</v>
      </c>
      <c r="BA82" s="809">
        <f>BA11+BA12</f>
        <v>2205.2843244647238</v>
      </c>
      <c r="BF82" s="809">
        <f>BF11+BF12</f>
        <v>2866.2760125698974</v>
      </c>
      <c r="BK82" s="809">
        <f>BK11+BK12</f>
        <v>3688.6373196537365</v>
      </c>
      <c r="BP82" s="809">
        <f>BP11+BP12</f>
        <v>4627.6904603160547</v>
      </c>
      <c r="BR82" s="758"/>
    </row>
    <row r="83" spans="2:70" s="761" customFormat="1" ht="15" x14ac:dyDescent="0.3">
      <c r="B83" s="812" t="s">
        <v>329</v>
      </c>
      <c r="C83" s="813">
        <f>C35+C42</f>
        <v>0</v>
      </c>
      <c r="D83" s="812"/>
      <c r="E83" s="814"/>
      <c r="F83" s="814"/>
      <c r="G83" s="815"/>
      <c r="H83" s="813">
        <f>H35+H42</f>
        <v>0</v>
      </c>
      <c r="I83" s="812"/>
      <c r="J83" s="814"/>
      <c r="K83" s="814"/>
      <c r="L83" s="815"/>
      <c r="M83" s="813">
        <f t="shared" ref="M83:AU83" si="98">M35+M42</f>
        <v>326.08500000000004</v>
      </c>
      <c r="N83" s="812">
        <f t="shared" si="98"/>
        <v>328.88599999999997</v>
      </c>
      <c r="O83" s="814">
        <f t="shared" si="98"/>
        <v>319.22300000000001</v>
      </c>
      <c r="P83" s="814">
        <f t="shared" si="98"/>
        <v>3235.55</v>
      </c>
      <c r="Q83" s="815">
        <f t="shared" si="98"/>
        <v>3595.277</v>
      </c>
      <c r="R83" s="813">
        <f t="shared" si="98"/>
        <v>3595.277</v>
      </c>
      <c r="S83" s="812">
        <f t="shared" si="98"/>
        <v>4716.3710000000001</v>
      </c>
      <c r="T83" s="814">
        <f t="shared" si="98"/>
        <v>4546.7889999999998</v>
      </c>
      <c r="U83" s="814">
        <f t="shared" si="98"/>
        <v>5226.9110000000001</v>
      </c>
      <c r="V83" s="815">
        <f t="shared" si="98"/>
        <v>6651.0110000000004</v>
      </c>
      <c r="W83" s="813">
        <f t="shared" si="98"/>
        <v>6651.0110000000004</v>
      </c>
      <c r="X83" s="812">
        <f t="shared" si="98"/>
        <v>6996.0749999999998</v>
      </c>
      <c r="Y83" s="814">
        <f t="shared" si="98"/>
        <v>7551.1749999999993</v>
      </c>
      <c r="Z83" s="814">
        <f t="shared" si="98"/>
        <v>7630.2460000000001</v>
      </c>
      <c r="AA83" s="815">
        <f t="shared" si="98"/>
        <v>11015.625</v>
      </c>
      <c r="AB83" s="813">
        <f t="shared" si="98"/>
        <v>11015.625</v>
      </c>
      <c r="AC83" s="812">
        <f t="shared" si="98"/>
        <v>10617.119999999999</v>
      </c>
      <c r="AD83" s="814">
        <f t="shared" si="98"/>
        <v>10794.105</v>
      </c>
      <c r="AE83" s="814">
        <f t="shared" si="98"/>
        <v>17404.714</v>
      </c>
      <c r="AF83" s="815">
        <f t="shared" si="98"/>
        <v>17367.702000000001</v>
      </c>
      <c r="AG83" s="813">
        <f t="shared" si="98"/>
        <v>17367.702000000001</v>
      </c>
      <c r="AH83" s="812">
        <f t="shared" si="98"/>
        <v>17386.900000000001</v>
      </c>
      <c r="AI83" s="814">
        <f t="shared" si="98"/>
        <v>17325.5</v>
      </c>
      <c r="AJ83" s="814">
        <f t="shared" si="98"/>
        <v>16274.9</v>
      </c>
      <c r="AK83" s="815">
        <f t="shared" si="98"/>
        <v>15254.6</v>
      </c>
      <c r="AL83" s="813">
        <f t="shared" si="98"/>
        <v>15254.6</v>
      </c>
      <c r="AM83" s="812">
        <f t="shared" si="98"/>
        <v>26020.7</v>
      </c>
      <c r="AN83" s="814">
        <f t="shared" si="98"/>
        <v>30881.100000000002</v>
      </c>
      <c r="AO83" s="814">
        <f t="shared" si="98"/>
        <v>30883.3</v>
      </c>
      <c r="AP83" s="815">
        <f t="shared" si="98"/>
        <v>31783.3</v>
      </c>
      <c r="AQ83" s="813">
        <f t="shared" si="98"/>
        <v>31783.3</v>
      </c>
      <c r="AR83" s="815">
        <f t="shared" si="98"/>
        <v>31378.3</v>
      </c>
      <c r="AS83" s="815">
        <f t="shared" si="98"/>
        <v>30978.3</v>
      </c>
      <c r="AT83" s="815">
        <f t="shared" si="98"/>
        <v>30528.3</v>
      </c>
      <c r="AU83" s="815">
        <f t="shared" si="98"/>
        <v>30078.3</v>
      </c>
      <c r="AV83" s="813">
        <f>AV35+AV42</f>
        <v>30078.3</v>
      </c>
      <c r="BA83" s="813">
        <f>BA35+BA42</f>
        <v>27578.3</v>
      </c>
      <c r="BF83" s="813">
        <f>BF35+BF42</f>
        <v>25078.3</v>
      </c>
      <c r="BK83" s="813">
        <f>BK35+BK42</f>
        <v>22328.3</v>
      </c>
      <c r="BP83" s="813">
        <f>BP35+BP42</f>
        <v>19328.3</v>
      </c>
      <c r="BR83" s="816"/>
    </row>
    <row r="84" spans="2:70" s="763" customFormat="1" x14ac:dyDescent="0.15">
      <c r="B84" s="817" t="s">
        <v>330</v>
      </c>
      <c r="C84" s="818">
        <f>C83-C82</f>
        <v>-437.536</v>
      </c>
      <c r="D84" s="817"/>
      <c r="E84" s="819"/>
      <c r="F84" s="819"/>
      <c r="G84" s="820"/>
      <c r="H84" s="820">
        <f>H83-H82</f>
        <v>-318.26600000000002</v>
      </c>
      <c r="I84" s="817"/>
      <c r="J84" s="819"/>
      <c r="K84" s="819"/>
      <c r="L84" s="820"/>
      <c r="M84" s="820">
        <f t="shared" ref="M84:AU84" si="99">M83-M82</f>
        <v>202.05600000000004</v>
      </c>
      <c r="N84" s="817">
        <f t="shared" si="99"/>
        <v>217.76299999999998</v>
      </c>
      <c r="O84" s="819">
        <f t="shared" si="99"/>
        <v>136.41900000000001</v>
      </c>
      <c r="P84" s="819">
        <f t="shared" si="99"/>
        <v>2637.3050000000003</v>
      </c>
      <c r="Q84" s="820">
        <f t="shared" si="99"/>
        <v>3194.9250000000002</v>
      </c>
      <c r="R84" s="820">
        <f t="shared" si="99"/>
        <v>3194.9250000000002</v>
      </c>
      <c r="S84" s="817">
        <f t="shared" si="99"/>
        <v>4310.3180000000002</v>
      </c>
      <c r="T84" s="819">
        <f t="shared" si="99"/>
        <v>4304.8899999999994</v>
      </c>
      <c r="U84" s="819">
        <f t="shared" si="99"/>
        <v>4969.3850000000002</v>
      </c>
      <c r="V84" s="820">
        <f t="shared" si="99"/>
        <v>6480.5620000000008</v>
      </c>
      <c r="W84" s="820">
        <f t="shared" si="99"/>
        <v>6480.5620000000008</v>
      </c>
      <c r="X84" s="817">
        <f t="shared" si="99"/>
        <v>6664.5469999999996</v>
      </c>
      <c r="Y84" s="819">
        <f t="shared" si="99"/>
        <v>7155.9089999999997</v>
      </c>
      <c r="Z84" s="819">
        <f t="shared" si="99"/>
        <v>7372.5159999999996</v>
      </c>
      <c r="AA84" s="820">
        <f t="shared" si="99"/>
        <v>10095.124</v>
      </c>
      <c r="AB84" s="820">
        <f t="shared" si="99"/>
        <v>10095.124</v>
      </c>
      <c r="AC84" s="817">
        <f t="shared" si="99"/>
        <v>10203.383999999998</v>
      </c>
      <c r="AD84" s="819">
        <f t="shared" si="99"/>
        <v>8254.7150000000001</v>
      </c>
      <c r="AE84" s="819">
        <f t="shared" si="99"/>
        <v>16808.366999999998</v>
      </c>
      <c r="AF84" s="820">
        <f t="shared" si="99"/>
        <v>16767.362000000001</v>
      </c>
      <c r="AG84" s="820">
        <f t="shared" si="99"/>
        <v>16767.402000000002</v>
      </c>
      <c r="AH84" s="817">
        <f t="shared" si="99"/>
        <v>16810.600000000002</v>
      </c>
      <c r="AI84" s="819">
        <f t="shared" si="99"/>
        <v>16794.3</v>
      </c>
      <c r="AJ84" s="819">
        <f t="shared" si="99"/>
        <v>15466.1</v>
      </c>
      <c r="AK84" s="820">
        <f t="shared" si="99"/>
        <v>14932</v>
      </c>
      <c r="AL84" s="820">
        <f t="shared" si="99"/>
        <v>14932</v>
      </c>
      <c r="AM84" s="817">
        <f t="shared" si="99"/>
        <v>13801.400000000001</v>
      </c>
      <c r="AN84" s="819">
        <f t="shared" si="99"/>
        <v>29923.100000000002</v>
      </c>
      <c r="AO84" s="819">
        <f t="shared" si="99"/>
        <v>29463.3</v>
      </c>
      <c r="AP84" s="820">
        <f t="shared" si="99"/>
        <v>30542.018888888884</v>
      </c>
      <c r="AQ84" s="820">
        <f t="shared" si="99"/>
        <v>30542.018888888884</v>
      </c>
      <c r="AR84" s="820">
        <f t="shared" si="99"/>
        <v>30691.798315888889</v>
      </c>
      <c r="AS84" s="820">
        <f t="shared" si="99"/>
        <v>30033.83509043889</v>
      </c>
      <c r="AT84" s="820">
        <f t="shared" si="99"/>
        <v>29311.035561166667</v>
      </c>
      <c r="AU84" s="820">
        <f t="shared" si="99"/>
        <v>28807.010410155555</v>
      </c>
      <c r="AV84" s="820">
        <f>AV83-AV82</f>
        <v>28807.010410155555</v>
      </c>
      <c r="AW84" s="817"/>
      <c r="AX84" s="819"/>
      <c r="AY84" s="819"/>
      <c r="AZ84" s="820"/>
      <c r="BA84" s="820">
        <f>BA83-BA82</f>
        <v>25373.015675535276</v>
      </c>
      <c r="BB84" s="817"/>
      <c r="BC84" s="819"/>
      <c r="BD84" s="819"/>
      <c r="BE84" s="820"/>
      <c r="BF84" s="820">
        <f>BF83-BF82</f>
        <v>22212.023987430101</v>
      </c>
      <c r="BG84" s="817"/>
      <c r="BH84" s="819"/>
      <c r="BI84" s="819"/>
      <c r="BJ84" s="820"/>
      <c r="BK84" s="820">
        <f>BK83-BK82</f>
        <v>18639.662680346264</v>
      </c>
      <c r="BL84" s="817"/>
      <c r="BM84" s="819"/>
      <c r="BN84" s="819"/>
      <c r="BO84" s="820"/>
      <c r="BP84" s="820">
        <f>BP83-BP82</f>
        <v>14700.609539683945</v>
      </c>
      <c r="BR84" s="821"/>
    </row>
    <row r="85" spans="2:70" s="96" customFormat="1" x14ac:dyDescent="0.15"/>
    <row r="86" spans="2:70" s="824" customFormat="1" hidden="1" x14ac:dyDescent="0.15">
      <c r="B86" s="822" t="s">
        <v>331</v>
      </c>
      <c r="C86" s="798"/>
      <c r="D86" s="798"/>
      <c r="E86" s="798"/>
      <c r="F86" s="798"/>
      <c r="G86" s="798"/>
      <c r="H86" s="757">
        <f>H65+H67</f>
        <v>182.32599999999999</v>
      </c>
      <c r="I86" s="757">
        <f>I65+I67</f>
        <v>46.186000000000014</v>
      </c>
      <c r="J86" s="757">
        <f>J65+J67</f>
        <v>96.239000000000004</v>
      </c>
      <c r="K86" s="757">
        <f>K65+K67</f>
        <v>88.114000000000004</v>
      </c>
      <c r="L86" s="757">
        <f>L65+L67</f>
        <v>122.93499999999997</v>
      </c>
      <c r="M86" s="757">
        <f>SUM(I86:L86)</f>
        <v>353.47399999999999</v>
      </c>
      <c r="N86" s="757">
        <f>N65+N67</f>
        <v>41.119000000000007</v>
      </c>
      <c r="O86" s="757">
        <f>O65+O67</f>
        <v>106.053</v>
      </c>
      <c r="P86" s="757">
        <f>P65+P67</f>
        <v>109.887</v>
      </c>
      <c r="Q86" s="757">
        <f>Q65+Q67</f>
        <v>4.355000000000083</v>
      </c>
      <c r="R86" s="757">
        <f>SUM(N86:Q86)</f>
        <v>261.41400000000004</v>
      </c>
      <c r="S86" s="757">
        <f>S65+S67</f>
        <v>64.825000000000003</v>
      </c>
      <c r="T86" s="757">
        <f>T65+T67</f>
        <v>214.18200000000002</v>
      </c>
      <c r="U86" s="757">
        <f>U65+U67</f>
        <v>164.12299999999996</v>
      </c>
      <c r="V86" s="757">
        <f>V65+V67</f>
        <v>174.82799999999995</v>
      </c>
      <c r="W86" s="757">
        <f>SUM(S86:V86)</f>
        <v>617.95799999999997</v>
      </c>
      <c r="X86" s="757">
        <f>X65+X67</f>
        <v>156.11399999999998</v>
      </c>
      <c r="Y86" s="757">
        <f>Y65+Y67</f>
        <v>241.001</v>
      </c>
      <c r="Z86" s="757">
        <f>Z65+Z67</f>
        <v>109.75800000000005</v>
      </c>
      <c r="AA86" s="757">
        <f>AA65+AA67</f>
        <v>42.066999999999879</v>
      </c>
      <c r="AB86" s="757">
        <f>SUM(X86:AA86)</f>
        <v>548.93999999999994</v>
      </c>
      <c r="AC86" s="757">
        <f>AC65+AC67</f>
        <v>241.30699999999996</v>
      </c>
      <c r="AD86" s="757">
        <f>AD65+AD67</f>
        <v>292.267</v>
      </c>
      <c r="AE86" s="757">
        <f>AE65+AE67</f>
        <v>176.78000000000003</v>
      </c>
      <c r="AF86" s="757">
        <f>AF65+AF67</f>
        <v>216.28399999999976</v>
      </c>
      <c r="AG86" s="757">
        <f>SUM(AC86:AF86)</f>
        <v>926.63799999999981</v>
      </c>
      <c r="AH86" s="757">
        <f>AH65+AH67</f>
        <v>426.20000000000005</v>
      </c>
      <c r="AI86" s="757">
        <f>AI65+AI67</f>
        <v>262.50000000000011</v>
      </c>
      <c r="AJ86" s="757">
        <f>AJ65+AJ67</f>
        <v>579.1</v>
      </c>
      <c r="AK86" s="757">
        <f>AK65+AK67</f>
        <v>735.29999999999973</v>
      </c>
      <c r="AL86" s="757">
        <f>SUM(AH86:AK86)</f>
        <v>2003.1</v>
      </c>
      <c r="AM86" s="757">
        <f>AM65+AM67</f>
        <v>425.29999999999995</v>
      </c>
      <c r="AN86" s="757">
        <f>AN65+AN67</f>
        <v>363.69999999999993</v>
      </c>
      <c r="AO86" s="757">
        <f>AO65+AO67</f>
        <v>685.4</v>
      </c>
      <c r="AP86" s="757">
        <f>AP65+AP67</f>
        <v>487.28111111111093</v>
      </c>
      <c r="AQ86" s="757">
        <f>AQ65+AQ67</f>
        <v>1961.6811111111112</v>
      </c>
      <c r="AR86" s="757">
        <f t="shared" ref="AR86:AU86" si="100">AR65+AR67</f>
        <v>350.22057300000017</v>
      </c>
      <c r="AS86" s="757">
        <f t="shared" si="100"/>
        <v>657.96322545000021</v>
      </c>
      <c r="AT86" s="757">
        <f t="shared" si="100"/>
        <v>722.7995292722228</v>
      </c>
      <c r="AU86" s="757">
        <f t="shared" si="100"/>
        <v>979.02515101111089</v>
      </c>
      <c r="AV86" s="757">
        <f>AV65+AV67</f>
        <v>2710.0084787333344</v>
      </c>
      <c r="AW86" s="798"/>
      <c r="AX86" s="798"/>
      <c r="AY86" s="798"/>
      <c r="AZ86" s="798"/>
      <c r="BA86" s="757">
        <f>BA65+BA67</f>
        <v>3433.9947346202807</v>
      </c>
      <c r="BB86" s="798"/>
      <c r="BC86" s="798"/>
      <c r="BD86" s="798"/>
      <c r="BE86" s="798"/>
      <c r="BF86" s="823">
        <f>BF65+BF67</f>
        <v>4019.4903717602438</v>
      </c>
      <c r="BG86" s="798"/>
      <c r="BH86" s="798"/>
      <c r="BI86" s="798"/>
      <c r="BJ86" s="798"/>
      <c r="BK86" s="757">
        <f>BK65+BK67</f>
        <v>4577.2339000238999</v>
      </c>
      <c r="BL86" s="798"/>
      <c r="BM86" s="798"/>
      <c r="BN86" s="798"/>
      <c r="BO86" s="798"/>
      <c r="BP86" s="823">
        <f>BP65+BP67</f>
        <v>5083.3616156682929</v>
      </c>
      <c r="BR86" s="825"/>
    </row>
    <row r="87" spans="2:70" s="828" customFormat="1" hidden="1" x14ac:dyDescent="0.15">
      <c r="B87" s="826" t="s">
        <v>102</v>
      </c>
      <c r="C87" s="824"/>
      <c r="D87" s="824"/>
      <c r="E87" s="824"/>
      <c r="F87" s="824"/>
      <c r="G87" s="824"/>
      <c r="H87" s="827">
        <f>IS!V96</f>
        <v>299.75099999999998</v>
      </c>
      <c r="I87" s="827">
        <f>IS!W96</f>
        <v>83.294999999999987</v>
      </c>
      <c r="J87" s="827">
        <f>IS!X96</f>
        <v>92.188000000000017</v>
      </c>
      <c r="K87" s="827">
        <f>IS!Y96</f>
        <v>112.40599999999998</v>
      </c>
      <c r="L87" s="827">
        <f>IS!Z96</f>
        <v>136.245</v>
      </c>
      <c r="M87" s="827">
        <f>SUM(I87:L87)</f>
        <v>424.13400000000001</v>
      </c>
      <c r="N87" s="827">
        <f>IS!AB96</f>
        <v>108.33100000000002</v>
      </c>
      <c r="O87" s="827">
        <f>IS!AC96</f>
        <v>109.626</v>
      </c>
      <c r="P87" s="827">
        <f>IS!AD96</f>
        <v>-126.27869999999993</v>
      </c>
      <c r="Q87" s="827">
        <f>IS!AE96</f>
        <v>230.27099999999996</v>
      </c>
      <c r="R87" s="827">
        <f>SUM(N87:Q87)</f>
        <v>321.94930000000005</v>
      </c>
      <c r="S87" s="827">
        <f>IS!AG96</f>
        <v>283.41800000000006</v>
      </c>
      <c r="T87" s="827">
        <f>IS!AH96</f>
        <v>303.18899999999985</v>
      </c>
      <c r="U87" s="827">
        <f>IS!AI96</f>
        <v>299.18899999999996</v>
      </c>
      <c r="V87" s="827">
        <f>IS!AJ96</f>
        <v>370.20099999999996</v>
      </c>
      <c r="W87" s="827">
        <f>SUM(S87:V87)</f>
        <v>1255.9969999999998</v>
      </c>
      <c r="X87" s="827">
        <f>IS!AL96</f>
        <v>443.71499999999992</v>
      </c>
      <c r="Y87" s="827">
        <f>IS!AM96</f>
        <v>428.20200000000006</v>
      </c>
      <c r="Z87" s="827">
        <f>IS!AN96</f>
        <v>475.23699999999997</v>
      </c>
      <c r="AA87" s="827">
        <f>IS!AO96</f>
        <v>522.62500000000011</v>
      </c>
      <c r="AB87" s="827">
        <f>SUM(X87:AA87)</f>
        <v>1869.779</v>
      </c>
      <c r="AC87" s="827">
        <f>IS!AQ96</f>
        <v>571.29700000000003</v>
      </c>
      <c r="AD87" s="827">
        <f>IS!AR96</f>
        <v>587.09799999999984</v>
      </c>
      <c r="AE87" s="827">
        <f>IS!AS96</f>
        <v>760.85899999999981</v>
      </c>
      <c r="AF87" s="827">
        <f>IS!AT96</f>
        <v>1054.8890000000001</v>
      </c>
      <c r="AG87" s="827">
        <f>SUM(AC87:AF87)</f>
        <v>2974.143</v>
      </c>
      <c r="AH87" s="827">
        <f>IS!AV96</f>
        <v>896.3</v>
      </c>
      <c r="AI87" s="827">
        <f>IS!AW96</f>
        <v>937.59999999999968</v>
      </c>
      <c r="AJ87" s="827">
        <f>IS!AX96</f>
        <v>1009.1000000000004</v>
      </c>
      <c r="AK87" s="827">
        <f>IS!AY96</f>
        <v>1190.0999999999999</v>
      </c>
      <c r="AL87" s="827">
        <f>SUM(AH87:AK87)</f>
        <v>4033.1</v>
      </c>
      <c r="AM87" s="827">
        <f>IS!BA96</f>
        <v>1071.7000000000003</v>
      </c>
      <c r="AN87" s="827">
        <f>IS!BB96</f>
        <v>1381</v>
      </c>
      <c r="AO87" s="827">
        <f>IS!BC96</f>
        <v>1447</v>
      </c>
      <c r="AP87" s="827">
        <f>IS!BD96</f>
        <v>1379.9999999999995</v>
      </c>
      <c r="AQ87" s="827">
        <f>IS!BE96</f>
        <v>5279.7000000000007</v>
      </c>
      <c r="AR87" s="827">
        <f>IS!BF96</f>
        <v>1058.9731200000001</v>
      </c>
      <c r="AS87" s="827">
        <f>IS!BG96</f>
        <v>1409.4867420000005</v>
      </c>
      <c r="AT87" s="827">
        <f>IS!BH96</f>
        <v>1495.0711780000001</v>
      </c>
      <c r="AU87" s="827">
        <f>IS!BI96</f>
        <v>1626.7284390000002</v>
      </c>
      <c r="AV87" s="827">
        <f>IS!BJ96</f>
        <v>5590.2594790000003</v>
      </c>
      <c r="BA87" s="827">
        <f>IS!BO96</f>
        <v>6033.6811345500028</v>
      </c>
      <c r="BF87" s="829">
        <f>IS!BT96</f>
        <v>6476.2228770882994</v>
      </c>
      <c r="BK87" s="827">
        <f>IS!BY96</f>
        <v>6972.1256777861618</v>
      </c>
      <c r="BP87" s="829">
        <f>IS!CD96</f>
        <v>7338.176746250776</v>
      </c>
      <c r="BR87" s="827"/>
    </row>
    <row r="88" spans="2:70" s="824" customFormat="1" hidden="1" x14ac:dyDescent="0.15">
      <c r="B88" s="830" t="s">
        <v>332</v>
      </c>
      <c r="I88" s="825">
        <f>I35+I42</f>
        <v>0</v>
      </c>
      <c r="J88" s="825">
        <f>J35+J42</f>
        <v>450.66300000000001</v>
      </c>
      <c r="K88" s="825">
        <f>K35+K42</f>
        <v>378.34499999999997</v>
      </c>
      <c r="L88" s="825">
        <f>L35+L42</f>
        <v>326.08500000000004</v>
      </c>
      <c r="M88" s="825">
        <f>L88</f>
        <v>326.08500000000004</v>
      </c>
      <c r="N88" s="825">
        <f>N35+N42</f>
        <v>328.88599999999997</v>
      </c>
      <c r="O88" s="825">
        <f>O35+O42</f>
        <v>319.22300000000001</v>
      </c>
      <c r="P88" s="825">
        <f>P35+P42</f>
        <v>3235.55</v>
      </c>
      <c r="Q88" s="825">
        <f>Q35+Q42</f>
        <v>3595.277</v>
      </c>
      <c r="R88" s="825">
        <f>Q88</f>
        <v>3595.277</v>
      </c>
      <c r="S88" s="825">
        <f>S35+S42</f>
        <v>4716.3710000000001</v>
      </c>
      <c r="T88" s="825">
        <f>T35+T42</f>
        <v>4546.7889999999998</v>
      </c>
      <c r="U88" s="825">
        <f>U35+U42</f>
        <v>5226.9110000000001</v>
      </c>
      <c r="V88" s="825">
        <f>V35+V42</f>
        <v>6651.0110000000004</v>
      </c>
      <c r="W88" s="825">
        <f>V88</f>
        <v>6651.0110000000004</v>
      </c>
      <c r="X88" s="825">
        <f>X35+X42</f>
        <v>6996.0749999999998</v>
      </c>
      <c r="Y88" s="825">
        <f>Y35+Y42</f>
        <v>7551.1749999999993</v>
      </c>
      <c r="Z88" s="825">
        <f>Z35+Z42</f>
        <v>7630.2460000000001</v>
      </c>
      <c r="AA88" s="825">
        <f>AA35+AA42</f>
        <v>11015.625</v>
      </c>
      <c r="AB88" s="825">
        <f>AA88</f>
        <v>11015.625</v>
      </c>
      <c r="AC88" s="825">
        <f>AC35+AC42</f>
        <v>10617.119999999999</v>
      </c>
      <c r="AD88" s="825">
        <f>AD35+AD42</f>
        <v>10794.105</v>
      </c>
      <c r="AE88" s="825">
        <f>AE35+AE42</f>
        <v>17404.714</v>
      </c>
      <c r="AF88" s="825">
        <f>AF35+AF42</f>
        <v>17367.702000000001</v>
      </c>
      <c r="AG88" s="825">
        <f>AF88</f>
        <v>17367.702000000001</v>
      </c>
      <c r="AH88" s="825">
        <f t="shared" ref="AH88:AU88" si="101">AH35+AH42</f>
        <v>17386.900000000001</v>
      </c>
      <c r="AI88" s="825">
        <f t="shared" si="101"/>
        <v>17325.5</v>
      </c>
      <c r="AJ88" s="825">
        <f t="shared" si="101"/>
        <v>16274.9</v>
      </c>
      <c r="AK88" s="825">
        <f t="shared" si="101"/>
        <v>15254.6</v>
      </c>
      <c r="AL88" s="825">
        <f t="shared" si="101"/>
        <v>15254.6</v>
      </c>
      <c r="AM88" s="825">
        <f t="shared" si="101"/>
        <v>26020.7</v>
      </c>
      <c r="AN88" s="825">
        <f t="shared" si="101"/>
        <v>30881.100000000002</v>
      </c>
      <c r="AO88" s="825">
        <f t="shared" si="101"/>
        <v>30883.3</v>
      </c>
      <c r="AP88" s="825">
        <f t="shared" si="101"/>
        <v>31783.3</v>
      </c>
      <c r="AQ88" s="825">
        <f t="shared" si="101"/>
        <v>31783.3</v>
      </c>
      <c r="AR88" s="825">
        <f t="shared" si="101"/>
        <v>31378.3</v>
      </c>
      <c r="AS88" s="825">
        <f t="shared" si="101"/>
        <v>30978.3</v>
      </c>
      <c r="AT88" s="825">
        <f t="shared" si="101"/>
        <v>30528.3</v>
      </c>
      <c r="AU88" s="825">
        <f t="shared" si="101"/>
        <v>30078.3</v>
      </c>
      <c r="AV88" s="825">
        <f>AV35+AV42</f>
        <v>30078.3</v>
      </c>
      <c r="BA88" s="825">
        <f>BA35+BA42</f>
        <v>27578.3</v>
      </c>
      <c r="BF88" s="831">
        <f>BF35+BF42</f>
        <v>25078.3</v>
      </c>
      <c r="BK88" s="825">
        <f>BK35+BK42</f>
        <v>22328.3</v>
      </c>
      <c r="BP88" s="831">
        <f>BP35+BP42</f>
        <v>19328.3</v>
      </c>
      <c r="BR88" s="825"/>
    </row>
    <row r="89" spans="2:70" s="824" customFormat="1" hidden="1" x14ac:dyDescent="0.15">
      <c r="B89" s="830" t="s">
        <v>333</v>
      </c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>
        <f>S88-S11</f>
        <v>4314.6189999999997</v>
      </c>
      <c r="T89" s="825">
        <f t="shared" ref="T89:BP89" si="102">T88-T11</f>
        <v>4307.8440000000001</v>
      </c>
      <c r="U89" s="825">
        <f t="shared" si="102"/>
        <v>4972.3519999999999</v>
      </c>
      <c r="V89" s="825">
        <f t="shared" si="102"/>
        <v>6486.9000000000005</v>
      </c>
      <c r="W89" s="825">
        <f t="shared" si="102"/>
        <v>6486.9000000000005</v>
      </c>
      <c r="X89" s="825">
        <f>X88-X11</f>
        <v>6665.5959999999995</v>
      </c>
      <c r="Y89" s="825">
        <f>Y88-Y11</f>
        <v>7155.9089999999997</v>
      </c>
      <c r="Z89" s="825">
        <f>Z88-Z11</f>
        <v>7372.5159999999996</v>
      </c>
      <c r="AA89" s="825">
        <f>AA88-AA11</f>
        <v>10099.534</v>
      </c>
      <c r="AB89" s="825">
        <f>AB88-AB11</f>
        <v>10099.534</v>
      </c>
      <c r="AC89" s="825">
        <f t="shared" si="102"/>
        <v>10203.383999999998</v>
      </c>
      <c r="AD89" s="825">
        <f t="shared" si="102"/>
        <v>8254.7150000000001</v>
      </c>
      <c r="AE89" s="825">
        <f t="shared" si="102"/>
        <v>16808.366999999998</v>
      </c>
      <c r="AF89" s="825">
        <f t="shared" si="102"/>
        <v>16767.362000000001</v>
      </c>
      <c r="AG89" s="825">
        <f t="shared" si="102"/>
        <v>16767.402000000002</v>
      </c>
      <c r="AH89" s="825">
        <f t="shared" si="102"/>
        <v>16810.600000000002</v>
      </c>
      <c r="AI89" s="825">
        <f t="shared" si="102"/>
        <v>16794.3</v>
      </c>
      <c r="AJ89" s="825">
        <f t="shared" si="102"/>
        <v>15466.1</v>
      </c>
      <c r="AK89" s="825">
        <f t="shared" si="102"/>
        <v>14932</v>
      </c>
      <c r="AL89" s="825">
        <f t="shared" si="102"/>
        <v>14932</v>
      </c>
      <c r="AM89" s="825">
        <f t="shared" si="102"/>
        <v>13801.400000000001</v>
      </c>
      <c r="AN89" s="825">
        <f t="shared" si="102"/>
        <v>29923.100000000002</v>
      </c>
      <c r="AO89" s="825">
        <f t="shared" si="102"/>
        <v>29463.3</v>
      </c>
      <c r="AP89" s="825">
        <f t="shared" si="102"/>
        <v>30542.018888888884</v>
      </c>
      <c r="AQ89" s="825">
        <f t="shared" si="102"/>
        <v>30542.018888888884</v>
      </c>
      <c r="AR89" s="825">
        <f t="shared" si="102"/>
        <v>30691.798315888889</v>
      </c>
      <c r="AS89" s="825">
        <f t="shared" si="102"/>
        <v>30033.83509043889</v>
      </c>
      <c r="AT89" s="825">
        <f t="shared" si="102"/>
        <v>29311.035561166667</v>
      </c>
      <c r="AU89" s="825">
        <f t="shared" si="102"/>
        <v>28807.010410155555</v>
      </c>
      <c r="AV89" s="825">
        <f t="shared" si="102"/>
        <v>28807.010410155555</v>
      </c>
      <c r="AW89" s="825">
        <f t="shared" si="102"/>
        <v>0</v>
      </c>
      <c r="AX89" s="825">
        <f t="shared" si="102"/>
        <v>0</v>
      </c>
      <c r="AY89" s="825">
        <f t="shared" si="102"/>
        <v>0</v>
      </c>
      <c r="AZ89" s="825">
        <f t="shared" si="102"/>
        <v>0</v>
      </c>
      <c r="BA89" s="825">
        <f t="shared" si="102"/>
        <v>25373.015675535276</v>
      </c>
      <c r="BB89" s="825">
        <f t="shared" si="102"/>
        <v>0</v>
      </c>
      <c r="BC89" s="825">
        <f t="shared" si="102"/>
        <v>0</v>
      </c>
      <c r="BD89" s="825">
        <f t="shared" si="102"/>
        <v>0</v>
      </c>
      <c r="BE89" s="825">
        <f t="shared" si="102"/>
        <v>0</v>
      </c>
      <c r="BF89" s="831">
        <f t="shared" si="102"/>
        <v>22212.023987430101</v>
      </c>
      <c r="BG89" s="825">
        <f t="shared" si="102"/>
        <v>0</v>
      </c>
      <c r="BH89" s="825">
        <f t="shared" si="102"/>
        <v>0</v>
      </c>
      <c r="BI89" s="825">
        <f t="shared" si="102"/>
        <v>0</v>
      </c>
      <c r="BJ89" s="825">
        <f t="shared" si="102"/>
        <v>0</v>
      </c>
      <c r="BK89" s="825">
        <f t="shared" si="102"/>
        <v>18639.662680346264</v>
      </c>
      <c r="BL89" s="825">
        <f t="shared" si="102"/>
        <v>0</v>
      </c>
      <c r="BM89" s="825">
        <f t="shared" si="102"/>
        <v>0</v>
      </c>
      <c r="BN89" s="825">
        <f t="shared" si="102"/>
        <v>0</v>
      </c>
      <c r="BO89" s="825">
        <f t="shared" si="102"/>
        <v>0</v>
      </c>
      <c r="BP89" s="831">
        <f t="shared" si="102"/>
        <v>14700.609539683945</v>
      </c>
      <c r="BR89" s="825"/>
    </row>
    <row r="90" spans="2:70" s="824" customFormat="1" hidden="1" x14ac:dyDescent="0.15">
      <c r="B90" s="830" t="s">
        <v>334</v>
      </c>
      <c r="I90" s="825"/>
      <c r="J90" s="825"/>
      <c r="K90" s="825"/>
      <c r="L90" s="825"/>
      <c r="M90" s="825"/>
      <c r="N90" s="825">
        <f>N87+J87+K87+L87</f>
        <v>449.17</v>
      </c>
      <c r="O90" s="825">
        <f>O87+K87+L87+N87</f>
        <v>466.608</v>
      </c>
      <c r="P90" s="825">
        <f>N87+O87+P87+L87</f>
        <v>227.9233000000001</v>
      </c>
      <c r="Q90" s="825">
        <f>Q87+N87+O87+P87</f>
        <v>321.94929999999999</v>
      </c>
      <c r="R90" s="825">
        <f>Q90</f>
        <v>321.94929999999999</v>
      </c>
      <c r="S90" s="825">
        <f>S87+O87+P87+Q87</f>
        <v>497.0363000000001</v>
      </c>
      <c r="T90" s="825">
        <f>T87+P87+Q87+S87</f>
        <v>690.59929999999986</v>
      </c>
      <c r="U90" s="825">
        <f>S87+T87+U87+Q87</f>
        <v>1116.067</v>
      </c>
      <c r="V90" s="825">
        <f>V87+S87+T87+U87</f>
        <v>1255.9969999999998</v>
      </c>
      <c r="W90" s="825">
        <f>V90</f>
        <v>1255.9969999999998</v>
      </c>
      <c r="X90" s="825">
        <f>X87+T87+U87+V87</f>
        <v>1416.2939999999999</v>
      </c>
      <c r="Y90" s="825">
        <f>Y87+U87+V87+X87</f>
        <v>1541.307</v>
      </c>
      <c r="Z90" s="825">
        <f>X87+Y87+Z87+V87</f>
        <v>1717.355</v>
      </c>
      <c r="AA90" s="825">
        <f>AA87+X87+Y87+Z87</f>
        <v>1869.779</v>
      </c>
      <c r="AB90" s="825">
        <f>AA90</f>
        <v>1869.779</v>
      </c>
      <c r="AC90" s="825">
        <f>AC87+Y87+Z87+AA87</f>
        <v>1997.3609999999999</v>
      </c>
      <c r="AD90" s="825">
        <f>AD87+Z87+AA87+AC87</f>
        <v>2156.2570000000001</v>
      </c>
      <c r="AE90" s="825">
        <f>AC87+AD87+AE87+AA87</f>
        <v>2441.8789999999999</v>
      </c>
      <c r="AF90" s="825">
        <f>AF87+AC87+AD87+AE87</f>
        <v>2974.143</v>
      </c>
      <c r="AG90" s="825">
        <f>AF90</f>
        <v>2974.143</v>
      </c>
      <c r="AH90" s="825">
        <f>AH87+AD87+AE87+AF87</f>
        <v>3299.1459999999997</v>
      </c>
      <c r="AI90" s="825">
        <f>AI87+AE87+AF87+AH87</f>
        <v>3649.6479999999992</v>
      </c>
      <c r="AJ90" s="825">
        <f>AH87+AI87+AJ87+AF87</f>
        <v>3897.8890000000001</v>
      </c>
      <c r="AK90" s="825">
        <f>AK87+AH87+AI87+AJ87</f>
        <v>4033.0999999999995</v>
      </c>
      <c r="AL90" s="825">
        <f>AK90</f>
        <v>4033.0999999999995</v>
      </c>
      <c r="AM90" s="825">
        <f>AI87+AJ87+AK87+AM87</f>
        <v>4208.5</v>
      </c>
      <c r="AN90" s="825">
        <f>AJ87+AK87+AM87+AN87</f>
        <v>4651.9000000000005</v>
      </c>
      <c r="AO90" s="825">
        <f>AK87+AM87+AN87+AO87</f>
        <v>5089.8</v>
      </c>
      <c r="AP90" s="825">
        <f>AM87+AN87+AO87+AP87</f>
        <v>5279.7</v>
      </c>
      <c r="AQ90" s="825">
        <f>AQ87</f>
        <v>5279.7000000000007</v>
      </c>
      <c r="AR90" s="825">
        <f>AN87+AO87+AP87+AR87</f>
        <v>5266.9731200000006</v>
      </c>
      <c r="AS90" s="825">
        <f>AO87+AP87+AR87+AS87</f>
        <v>5295.4598619999997</v>
      </c>
      <c r="AT90" s="825">
        <f>AP87+AR87+AS87+AT87</f>
        <v>5343.5310399999998</v>
      </c>
      <c r="AU90" s="825">
        <f>AR87+AS87+AT87+AU87</f>
        <v>5590.2594790000012</v>
      </c>
      <c r="AV90" s="825">
        <f>AV87</f>
        <v>5590.2594790000003</v>
      </c>
      <c r="BA90" s="825">
        <f>BA87</f>
        <v>6033.6811345500028</v>
      </c>
      <c r="BF90" s="831">
        <f>BF87</f>
        <v>6476.2228770882994</v>
      </c>
      <c r="BK90" s="825">
        <f>BK87</f>
        <v>6972.1256777861618</v>
      </c>
      <c r="BP90" s="831">
        <f>BP87</f>
        <v>7338.176746250776</v>
      </c>
      <c r="BR90" s="825"/>
    </row>
    <row r="91" spans="2:70" s="828" customFormat="1" hidden="1" x14ac:dyDescent="0.15">
      <c r="B91" s="826" t="s">
        <v>335</v>
      </c>
      <c r="I91" s="832"/>
      <c r="J91" s="832"/>
      <c r="K91" s="832"/>
      <c r="L91" s="832"/>
      <c r="M91" s="832"/>
      <c r="N91" s="832"/>
      <c r="O91" s="832"/>
      <c r="P91" s="832"/>
      <c r="Q91" s="832"/>
      <c r="R91" s="832"/>
      <c r="S91" s="832">
        <f>S89/S90</f>
        <v>8.6806919333658303</v>
      </c>
      <c r="T91" s="832">
        <f>T89/T90</f>
        <v>6.2378342984129889</v>
      </c>
      <c r="U91" s="832">
        <f>U89/U90</f>
        <v>4.4552450704124391</v>
      </c>
      <c r="V91" s="832">
        <f t="shared" ref="V91:BP91" si="103">V89/V90</f>
        <v>5.1647416355293849</v>
      </c>
      <c r="W91" s="832">
        <f t="shared" si="103"/>
        <v>5.1647416355293849</v>
      </c>
      <c r="X91" s="832">
        <f t="shared" si="103"/>
        <v>4.7063646389803244</v>
      </c>
      <c r="Y91" s="832">
        <f t="shared" si="103"/>
        <v>4.6427538446266707</v>
      </c>
      <c r="Z91" s="832">
        <f t="shared" si="103"/>
        <v>4.29294816738531</v>
      </c>
      <c r="AA91" s="832">
        <f t="shared" si="103"/>
        <v>5.4014586750626679</v>
      </c>
      <c r="AB91" s="832">
        <f t="shared" si="103"/>
        <v>5.4014586750626679</v>
      </c>
      <c r="AC91" s="832">
        <f>AC89/AC90</f>
        <v>5.1084325767850673</v>
      </c>
      <c r="AD91" s="832">
        <f>AD89/AD90</f>
        <v>3.8282611952100329</v>
      </c>
      <c r="AE91" s="832">
        <f>AE89/AE90</f>
        <v>6.8833742376260245</v>
      </c>
      <c r="AF91" s="832">
        <f>AF89/AF90</f>
        <v>5.637712107319655</v>
      </c>
      <c r="AG91" s="832">
        <f>AG89/AG90</f>
        <v>5.6377255565720956</v>
      </c>
      <c r="AH91" s="832">
        <f t="shared" si="103"/>
        <v>5.0954398501915357</v>
      </c>
      <c r="AI91" s="832">
        <f t="shared" si="103"/>
        <v>4.6016218550391716</v>
      </c>
      <c r="AJ91" s="832">
        <f t="shared" si="103"/>
        <v>3.9678143733697908</v>
      </c>
      <c r="AK91" s="832">
        <f t="shared" si="103"/>
        <v>3.7023629466167471</v>
      </c>
      <c r="AL91" s="832">
        <f t="shared" si="103"/>
        <v>3.7023629466167471</v>
      </c>
      <c r="AM91" s="832">
        <f t="shared" si="103"/>
        <v>3.2794107164072712</v>
      </c>
      <c r="AN91" s="832">
        <f t="shared" si="103"/>
        <v>6.43244695715729</v>
      </c>
      <c r="AO91" s="832">
        <f t="shared" si="103"/>
        <v>5.7886950371330892</v>
      </c>
      <c r="AP91" s="832">
        <f t="shared" si="103"/>
        <v>5.784801956340111</v>
      </c>
      <c r="AQ91" s="832">
        <f t="shared" si="103"/>
        <v>5.7848019563401101</v>
      </c>
      <c r="AR91" s="832">
        <f t="shared" si="103"/>
        <v>5.8272175719569432</v>
      </c>
      <c r="AS91" s="832">
        <f t="shared" si="103"/>
        <v>5.6716198164318916</v>
      </c>
      <c r="AT91" s="832">
        <f t="shared" si="103"/>
        <v>5.4853308311963449</v>
      </c>
      <c r="AU91" s="832">
        <f t="shared" si="103"/>
        <v>5.1530721460014624</v>
      </c>
      <c r="AV91" s="832">
        <f t="shared" si="103"/>
        <v>5.1530721460014632</v>
      </c>
      <c r="AW91" s="832" t="e">
        <f t="shared" si="103"/>
        <v>#DIV/0!</v>
      </c>
      <c r="AX91" s="832" t="e">
        <f t="shared" si="103"/>
        <v>#DIV/0!</v>
      </c>
      <c r="AY91" s="832" t="e">
        <f t="shared" si="103"/>
        <v>#DIV/0!</v>
      </c>
      <c r="AZ91" s="832" t="e">
        <f t="shared" si="103"/>
        <v>#DIV/0!</v>
      </c>
      <c r="BA91" s="832">
        <f t="shared" si="103"/>
        <v>4.2052297941706884</v>
      </c>
      <c r="BB91" s="832" t="e">
        <f t="shared" si="103"/>
        <v>#DIV/0!</v>
      </c>
      <c r="BC91" s="832" t="e">
        <f t="shared" si="103"/>
        <v>#DIV/0!</v>
      </c>
      <c r="BD91" s="832" t="e">
        <f t="shared" si="103"/>
        <v>#DIV/0!</v>
      </c>
      <c r="BE91" s="832" t="e">
        <f t="shared" si="103"/>
        <v>#DIV/0!</v>
      </c>
      <c r="BF91" s="833">
        <f t="shared" si="103"/>
        <v>3.4297806621220848</v>
      </c>
      <c r="BG91" s="832" t="e">
        <f t="shared" si="103"/>
        <v>#DIV/0!</v>
      </c>
      <c r="BH91" s="832" t="e">
        <f t="shared" si="103"/>
        <v>#DIV/0!</v>
      </c>
      <c r="BI91" s="832" t="e">
        <f t="shared" si="103"/>
        <v>#DIV/0!</v>
      </c>
      <c r="BJ91" s="832" t="e">
        <f t="shared" si="103"/>
        <v>#DIV/0!</v>
      </c>
      <c r="BK91" s="832">
        <f t="shared" si="103"/>
        <v>2.6734547743070607</v>
      </c>
      <c r="BL91" s="832" t="e">
        <f t="shared" si="103"/>
        <v>#DIV/0!</v>
      </c>
      <c r="BM91" s="832" t="e">
        <f t="shared" si="103"/>
        <v>#DIV/0!</v>
      </c>
      <c r="BN91" s="832" t="e">
        <f t="shared" si="103"/>
        <v>#DIV/0!</v>
      </c>
      <c r="BO91" s="832" t="e">
        <f t="shared" si="103"/>
        <v>#DIV/0!</v>
      </c>
      <c r="BP91" s="833">
        <f t="shared" si="103"/>
        <v>2.0033054596558721</v>
      </c>
      <c r="BR91" s="825">
        <f>1.6*AV90</f>
        <v>8944.4151664000001</v>
      </c>
    </row>
    <row r="92" spans="2:70" s="828" customFormat="1" hidden="1" x14ac:dyDescent="0.15">
      <c r="B92" s="834" t="s">
        <v>336</v>
      </c>
      <c r="C92" s="835"/>
      <c r="D92" s="835"/>
      <c r="E92" s="835"/>
      <c r="F92" s="835"/>
      <c r="G92" s="835"/>
      <c r="H92" s="835"/>
      <c r="I92" s="836"/>
      <c r="J92" s="836"/>
      <c r="K92" s="836"/>
      <c r="L92" s="836"/>
      <c r="M92" s="836"/>
      <c r="N92" s="836"/>
      <c r="O92" s="836"/>
      <c r="P92" s="836"/>
      <c r="Q92" s="836"/>
      <c r="R92" s="836">
        <f>R88/R90</f>
        <v>11.167214837864224</v>
      </c>
      <c r="S92" s="836">
        <f t="shared" ref="S92:BP92" si="104">S88/S90</f>
        <v>9.4889870216722585</v>
      </c>
      <c r="T92" s="836">
        <f t="shared" si="104"/>
        <v>6.5838308842768889</v>
      </c>
      <c r="U92" s="836">
        <f t="shared" si="104"/>
        <v>4.6833308394567714</v>
      </c>
      <c r="V92" s="836">
        <f t="shared" si="104"/>
        <v>5.2954035718238188</v>
      </c>
      <c r="W92" s="836">
        <f t="shared" si="104"/>
        <v>5.2954035718238188</v>
      </c>
      <c r="X92" s="836">
        <f t="shared" si="104"/>
        <v>4.939705315421798</v>
      </c>
      <c r="Y92" s="836">
        <f t="shared" si="104"/>
        <v>4.8992024301453245</v>
      </c>
      <c r="Z92" s="836">
        <f t="shared" si="104"/>
        <v>4.4430219727429678</v>
      </c>
      <c r="AA92" s="836">
        <f t="shared" si="104"/>
        <v>5.8914048130821879</v>
      </c>
      <c r="AB92" s="836">
        <f t="shared" si="104"/>
        <v>5.8914048130821879</v>
      </c>
      <c r="AC92" s="836">
        <f t="shared" si="104"/>
        <v>5.315573899760734</v>
      </c>
      <c r="AD92" s="836">
        <f t="shared" si="104"/>
        <v>5.0059454879450822</v>
      </c>
      <c r="AE92" s="836">
        <f t="shared" si="104"/>
        <v>7.1275906791450359</v>
      </c>
      <c r="AF92" s="836">
        <f t="shared" si="104"/>
        <v>5.8395652125671162</v>
      </c>
      <c r="AG92" s="836">
        <f t="shared" si="104"/>
        <v>5.8395652125671162</v>
      </c>
      <c r="AH92" s="836">
        <f t="shared" si="104"/>
        <v>5.270121419300632</v>
      </c>
      <c r="AI92" s="836">
        <f t="shared" si="104"/>
        <v>4.7471701380516702</v>
      </c>
      <c r="AJ92" s="836">
        <f t="shared" si="104"/>
        <v>4.1753113031181748</v>
      </c>
      <c r="AK92" s="836">
        <f t="shared" si="104"/>
        <v>3.7823510451017834</v>
      </c>
      <c r="AL92" s="836">
        <f t="shared" si="104"/>
        <v>3.7823510451017834</v>
      </c>
      <c r="AM92" s="836">
        <f t="shared" si="104"/>
        <v>6.1828917666627063</v>
      </c>
      <c r="AN92" s="836">
        <f t="shared" si="104"/>
        <v>6.6383843160859</v>
      </c>
      <c r="AO92" s="836">
        <f t="shared" si="104"/>
        <v>6.0676843883846123</v>
      </c>
      <c r="AP92" s="836">
        <f t="shared" si="104"/>
        <v>6.0199064340776935</v>
      </c>
      <c r="AQ92" s="836">
        <f t="shared" si="104"/>
        <v>6.0199064340776927</v>
      </c>
      <c r="AR92" s="836">
        <f t="shared" si="104"/>
        <v>5.9575584088038775</v>
      </c>
      <c r="AS92" s="836">
        <f t="shared" si="104"/>
        <v>5.8499735258686396</v>
      </c>
      <c r="AT92" s="836">
        <f t="shared" si="104"/>
        <v>5.7131323410446591</v>
      </c>
      <c r="AU92" s="836">
        <f t="shared" si="104"/>
        <v>5.3804836990107798</v>
      </c>
      <c r="AV92" s="836">
        <f t="shared" si="104"/>
        <v>5.3804836990107807</v>
      </c>
      <c r="AW92" s="836" t="e">
        <f t="shared" si="104"/>
        <v>#DIV/0!</v>
      </c>
      <c r="AX92" s="836" t="e">
        <f t="shared" si="104"/>
        <v>#DIV/0!</v>
      </c>
      <c r="AY92" s="836" t="e">
        <f t="shared" si="104"/>
        <v>#DIV/0!</v>
      </c>
      <c r="AZ92" s="836" t="e">
        <f t="shared" si="104"/>
        <v>#DIV/0!</v>
      </c>
      <c r="BA92" s="836">
        <f t="shared" si="104"/>
        <v>4.5707254634457595</v>
      </c>
      <c r="BB92" s="836" t="e">
        <f t="shared" si="104"/>
        <v>#DIV/0!</v>
      </c>
      <c r="BC92" s="836" t="e">
        <f t="shared" si="104"/>
        <v>#DIV/0!</v>
      </c>
      <c r="BD92" s="836" t="e">
        <f t="shared" si="104"/>
        <v>#DIV/0!</v>
      </c>
      <c r="BE92" s="836" t="e">
        <f t="shared" si="104"/>
        <v>#DIV/0!</v>
      </c>
      <c r="BF92" s="837">
        <f t="shared" si="104"/>
        <v>3.8723651850714513</v>
      </c>
      <c r="BG92" s="836" t="e">
        <f t="shared" si="104"/>
        <v>#DIV/0!</v>
      </c>
      <c r="BH92" s="836" t="e">
        <f t="shared" si="104"/>
        <v>#DIV/0!</v>
      </c>
      <c r="BI92" s="836" t="e">
        <f t="shared" si="104"/>
        <v>#DIV/0!</v>
      </c>
      <c r="BJ92" s="836" t="e">
        <f t="shared" si="104"/>
        <v>#DIV/0!</v>
      </c>
      <c r="BK92" s="836">
        <f t="shared" si="104"/>
        <v>3.2025096838314364</v>
      </c>
      <c r="BL92" s="836" t="e">
        <f t="shared" si="104"/>
        <v>#DIV/0!</v>
      </c>
      <c r="BM92" s="836" t="e">
        <f t="shared" si="104"/>
        <v>#DIV/0!</v>
      </c>
      <c r="BN92" s="836" t="e">
        <f t="shared" si="104"/>
        <v>#DIV/0!</v>
      </c>
      <c r="BO92" s="836" t="e">
        <f t="shared" si="104"/>
        <v>#DIV/0!</v>
      </c>
      <c r="BP92" s="837">
        <f t="shared" si="104"/>
        <v>2.6339376480506851</v>
      </c>
      <c r="BR92" s="827"/>
    </row>
    <row r="93" spans="2:70" hidden="1" x14ac:dyDescent="0.15"/>
    <row r="94" spans="2:70" s="96" customFormat="1" hidden="1" x14ac:dyDescent="0.15">
      <c r="B94" s="838" t="s">
        <v>337</v>
      </c>
      <c r="C94" s="809"/>
      <c r="D94" s="808"/>
      <c r="E94" s="810"/>
      <c r="F94" s="810"/>
      <c r="G94" s="811"/>
      <c r="H94" s="809"/>
      <c r="I94" s="808"/>
      <c r="J94" s="810"/>
      <c r="K94" s="810"/>
      <c r="L94" s="811"/>
      <c r="M94" s="809"/>
      <c r="N94" s="808"/>
      <c r="O94" s="810"/>
      <c r="P94" s="810"/>
      <c r="Q94" s="811"/>
      <c r="R94" s="809"/>
      <c r="S94" s="808"/>
      <c r="T94" s="810"/>
      <c r="U94" s="810"/>
      <c r="V94" s="811"/>
      <c r="W94" s="809"/>
      <c r="X94" s="808"/>
      <c r="Y94" s="810"/>
      <c r="Z94" s="810"/>
      <c r="AA94" s="811"/>
      <c r="AB94" s="809"/>
      <c r="AC94" s="808"/>
      <c r="AD94" s="810"/>
      <c r="AE94" s="810"/>
      <c r="AF94" s="811"/>
      <c r="AG94" s="809"/>
      <c r="AH94" s="808"/>
      <c r="AI94" s="810"/>
      <c r="AJ94" s="810"/>
      <c r="AK94" s="811"/>
      <c r="AL94" s="809"/>
      <c r="AM94" s="808"/>
      <c r="AN94" s="810"/>
      <c r="AO94" s="810"/>
      <c r="AP94" s="811"/>
      <c r="AQ94" s="809"/>
      <c r="AR94" s="808"/>
      <c r="AS94" s="810"/>
      <c r="AT94" s="810"/>
      <c r="AU94" s="811"/>
      <c r="AV94" s="809"/>
      <c r="AW94" s="808"/>
      <c r="AX94" s="810"/>
      <c r="AY94" s="810"/>
      <c r="AZ94" s="811"/>
      <c r="BA94" s="809"/>
      <c r="BB94" s="808"/>
      <c r="BC94" s="810"/>
      <c r="BD94" s="810"/>
      <c r="BE94" s="811"/>
      <c r="BF94" s="809"/>
      <c r="BG94" s="808"/>
      <c r="BH94" s="810"/>
      <c r="BI94" s="810"/>
      <c r="BJ94" s="811"/>
      <c r="BK94" s="809"/>
      <c r="BL94" s="808"/>
      <c r="BM94" s="810"/>
      <c r="BN94" s="810"/>
      <c r="BO94" s="811"/>
      <c r="BP94" s="809"/>
      <c r="BR94" s="758"/>
    </row>
    <row r="95" spans="2:70" s="96" customFormat="1" hidden="1" x14ac:dyDescent="0.15">
      <c r="B95" s="839" t="s">
        <v>338</v>
      </c>
      <c r="C95" s="840">
        <f>IS!Q10</f>
        <v>842.81799999999998</v>
      </c>
      <c r="D95" s="839">
        <f>IS!R10</f>
        <v>208.49799999999999</v>
      </c>
      <c r="E95" s="825">
        <f>IS!S10</f>
        <v>186.095</v>
      </c>
      <c r="F95" s="825">
        <f>IS!T10</f>
        <v>181.089</v>
      </c>
      <c r="G95" s="841">
        <f>IS!U10</f>
        <v>181.49599999999998</v>
      </c>
      <c r="H95" s="840">
        <f>SUM(D95:G95)</f>
        <v>757.178</v>
      </c>
      <c r="I95" s="839">
        <f>IS!W10</f>
        <v>173.31899999999999</v>
      </c>
      <c r="J95" s="825">
        <f>IS!X10</f>
        <v>193.535</v>
      </c>
      <c r="K95" s="825">
        <f>IS!Y10</f>
        <v>212.523</v>
      </c>
      <c r="L95" s="841">
        <f>IS!Z10</f>
        <v>241.053</v>
      </c>
      <c r="M95" s="840">
        <f>SUM(I95:L95)</f>
        <v>820.43</v>
      </c>
      <c r="N95" s="839">
        <f>IS!AB10</f>
        <v>219.63499999999999</v>
      </c>
      <c r="O95" s="825">
        <f>IS!AC10</f>
        <v>238.745</v>
      </c>
      <c r="P95" s="825">
        <f>IS!AD10</f>
        <v>208.26700000000002</v>
      </c>
      <c r="Q95" s="841">
        <f>IS!AE10</f>
        <v>514.56399999999996</v>
      </c>
      <c r="R95" s="840">
        <f>SUM(N95:Q95)</f>
        <v>1181.211</v>
      </c>
      <c r="S95" s="839">
        <f>IS!AG10</f>
        <v>565.02600000000007</v>
      </c>
      <c r="T95" s="825">
        <f>IS!AH10</f>
        <v>609.38699999999994</v>
      </c>
      <c r="U95" s="825">
        <f>IS!AI10</f>
        <v>600.85199999999998</v>
      </c>
      <c r="V95" s="841">
        <f>IS!AJ10</f>
        <v>688.45299999999997</v>
      </c>
      <c r="W95" s="840">
        <f>SUM(S95:V95)</f>
        <v>2463.7179999999998</v>
      </c>
      <c r="X95" s="839">
        <f>IS!AL10</f>
        <v>856.10299999999995</v>
      </c>
      <c r="Y95" s="825">
        <f>IS!AM10</f>
        <v>820.09</v>
      </c>
      <c r="Z95" s="825">
        <f>IS!AN10</f>
        <v>884.14</v>
      </c>
      <c r="AA95" s="841">
        <f>IS!AO10</f>
        <v>986.29300000000001</v>
      </c>
      <c r="AB95" s="840">
        <f>SUM(X95:AA95)</f>
        <v>3546.6260000000002</v>
      </c>
      <c r="AC95" s="839">
        <f>IS!AQ10</f>
        <v>1068.355</v>
      </c>
      <c r="AD95" s="825">
        <f>IS!AR10</f>
        <v>1095.7619999999999</v>
      </c>
      <c r="AE95" s="825">
        <f>IS!AS10</f>
        <v>1541.731</v>
      </c>
      <c r="AF95" s="841">
        <f>IS!AT10</f>
        <v>2063.7570000000001</v>
      </c>
      <c r="AG95" s="840">
        <f>SUM(AC95:AF95)</f>
        <v>5769.6049999999996</v>
      </c>
      <c r="AH95" s="839">
        <f>IS!AV10</f>
        <v>1886.1999999999998</v>
      </c>
      <c r="AI95" s="825">
        <f>IS!AW10</f>
        <v>2041.1</v>
      </c>
      <c r="AJ95" s="825">
        <f>IS!AX10</f>
        <v>2056.2000000000003</v>
      </c>
      <c r="AK95" s="841">
        <f>IS!AY10</f>
        <v>2280</v>
      </c>
      <c r="AL95" s="840">
        <f>SUM(AH95:AK95)</f>
        <v>8263.5</v>
      </c>
      <c r="AM95" s="839">
        <f>IS!BA10</f>
        <v>2190.9</v>
      </c>
      <c r="AN95" s="825">
        <f>IS!BB10</f>
        <v>2732.4</v>
      </c>
      <c r="AO95" s="825">
        <f>IS!BC10</f>
        <v>2786.8</v>
      </c>
      <c r="AP95" s="841">
        <f>IS!BD10</f>
        <v>2784.1</v>
      </c>
      <c r="AQ95" s="841">
        <f>IS!BE10</f>
        <v>10494.2</v>
      </c>
      <c r="AR95" s="839">
        <f>IS!BF10</f>
        <v>2379.2960000000003</v>
      </c>
      <c r="AS95" s="825">
        <f>IS!BG10</f>
        <v>2743.1110000000003</v>
      </c>
      <c r="AT95" s="825">
        <f>IS!BH10</f>
        <v>2828.2669999999998</v>
      </c>
      <c r="AU95" s="841">
        <f>IS!BI10</f>
        <v>3016.0770000000002</v>
      </c>
      <c r="AV95" s="841">
        <f>IS!BJ10</f>
        <v>10966.751</v>
      </c>
      <c r="AW95" s="839"/>
      <c r="AX95" s="825"/>
      <c r="AY95" s="825"/>
      <c r="AZ95" s="841"/>
      <c r="BA95" s="841">
        <f>IS!BO10</f>
        <v>11740.723020000001</v>
      </c>
      <c r="BB95" s="839"/>
      <c r="BC95" s="825"/>
      <c r="BD95" s="825"/>
      <c r="BE95" s="841"/>
      <c r="BF95" s="841">
        <f>IS!BT10</f>
        <v>12447.6115627</v>
      </c>
      <c r="BG95" s="839"/>
      <c r="BH95" s="825"/>
      <c r="BI95" s="825"/>
      <c r="BJ95" s="841"/>
      <c r="BK95" s="841">
        <f>IS!BY10</f>
        <v>13185.359670699003</v>
      </c>
      <c r="BL95" s="839"/>
      <c r="BM95" s="825"/>
      <c r="BN95" s="825"/>
      <c r="BO95" s="841"/>
      <c r="BP95" s="841">
        <f>IS!CD10</f>
        <v>13762.726328055631</v>
      </c>
      <c r="BR95" s="758"/>
    </row>
    <row r="96" spans="2:70" s="96" customFormat="1" hidden="1" x14ac:dyDescent="0.15">
      <c r="B96" s="839" t="s">
        <v>339</v>
      </c>
      <c r="C96" s="840">
        <f>IS!Q11</f>
        <v>223.67999999999998</v>
      </c>
      <c r="D96" s="839">
        <f>IS!R11</f>
        <v>53.734999999999999</v>
      </c>
      <c r="E96" s="825">
        <f>IS!S11</f>
        <v>43.877000000000002</v>
      </c>
      <c r="F96" s="825">
        <f>IS!T11</f>
        <v>47.468000000000004</v>
      </c>
      <c r="G96" s="841">
        <f>IS!U11</f>
        <v>52.087000000000003</v>
      </c>
      <c r="H96" s="840">
        <f>SUM(D96:G96)</f>
        <v>197.16699999999997</v>
      </c>
      <c r="I96" s="839">
        <f>IS!W11</f>
        <v>44.84</v>
      </c>
      <c r="J96" s="825">
        <f>IS!X11</f>
        <v>50.057000000000002</v>
      </c>
      <c r="K96" s="825">
        <f>IS!Y11</f>
        <v>50.668999999999997</v>
      </c>
      <c r="L96" s="841">
        <f>IS!Z11</f>
        <v>58.743000000000002</v>
      </c>
      <c r="M96" s="840">
        <f>SUM(I96:L96)</f>
        <v>204.309</v>
      </c>
      <c r="N96" s="839">
        <f>IS!AB11</f>
        <v>58.954999999999998</v>
      </c>
      <c r="O96" s="825">
        <f>IS!AC11</f>
        <v>63.9</v>
      </c>
      <c r="P96" s="825">
        <f>IS!AD11</f>
        <v>62.142000000000003</v>
      </c>
      <c r="Q96" s="841">
        <f>IS!AE11</f>
        <v>160.32599999999999</v>
      </c>
      <c r="R96" s="840">
        <f>SUM(N96:Q96)</f>
        <v>345.32299999999998</v>
      </c>
      <c r="S96" s="839">
        <f>IS!AG11</f>
        <v>151.76900000000003</v>
      </c>
      <c r="T96" s="825">
        <f>IS!AH11</f>
        <v>157.32000000000002</v>
      </c>
      <c r="U96" s="825">
        <f>IS!AI11</f>
        <v>160.32599999999999</v>
      </c>
      <c r="V96" s="841">
        <f>IS!AJ11</f>
        <v>166.374</v>
      </c>
      <c r="W96" s="840">
        <f>SUM(S96:V96)</f>
        <v>635.7890000000001</v>
      </c>
      <c r="X96" s="839">
        <f>IS!AL11</f>
        <v>224.45700000000002</v>
      </c>
      <c r="Y96" s="825">
        <f>IS!AM11</f>
        <v>199.09300000000002</v>
      </c>
      <c r="Z96" s="825">
        <f>IS!AN11</f>
        <v>210.22199999999998</v>
      </c>
      <c r="AA96" s="841">
        <f>IS!AO11</f>
        <v>244.82300000000001</v>
      </c>
      <c r="AB96" s="840">
        <f>SUM(X96:AA96)</f>
        <v>878.59500000000003</v>
      </c>
      <c r="AC96" s="839">
        <f>IS!AQ11</f>
        <v>246.34400000000002</v>
      </c>
      <c r="AD96" s="825">
        <f>IS!AR11</f>
        <v>258.68200000000002</v>
      </c>
      <c r="AE96" s="825">
        <f>IS!AS11</f>
        <v>415.959</v>
      </c>
      <c r="AF96" s="841">
        <f>IS!AT11</f>
        <v>548.04500000000007</v>
      </c>
      <c r="AG96" s="840">
        <f>SUM(AC96:AF96)</f>
        <v>1469.0300000000002</v>
      </c>
      <c r="AH96" s="839">
        <f>IS!AV11</f>
        <v>498.79999999999995</v>
      </c>
      <c r="AI96" s="825">
        <f>IS!AW11</f>
        <v>567.9</v>
      </c>
      <c r="AJ96" s="825">
        <f>IS!AX11</f>
        <v>533.79999999999995</v>
      </c>
      <c r="AK96" s="841">
        <f>IS!AY11</f>
        <v>558.70000000000005</v>
      </c>
      <c r="AL96" s="840">
        <f>SUM(AH96:AK96)</f>
        <v>2159.1999999999998</v>
      </c>
      <c r="AM96" s="839">
        <f>IS!BA11</f>
        <v>540.69999999999993</v>
      </c>
      <c r="AN96" s="825">
        <f>IS!BB11</f>
        <v>630.4</v>
      </c>
      <c r="AO96" s="825">
        <f>IS!BC11</f>
        <v>612</v>
      </c>
      <c r="AP96" s="841">
        <f>IS!BD11</f>
        <v>680.7</v>
      </c>
      <c r="AQ96" s="841">
        <f>IS!BE11</f>
        <v>2463.8000000000002</v>
      </c>
      <c r="AR96" s="839">
        <f>IS!BF11</f>
        <v>599.46575999999993</v>
      </c>
      <c r="AS96" s="825">
        <f>IS!BG11</f>
        <v>643.6082899999999</v>
      </c>
      <c r="AT96" s="825">
        <f>IS!BH11</f>
        <v>652.59412999999995</v>
      </c>
      <c r="AU96" s="841">
        <f>IS!BI11</f>
        <v>711.200695</v>
      </c>
      <c r="AV96" s="841">
        <f>IS!BJ11</f>
        <v>2606.8688749999997</v>
      </c>
      <c r="AW96" s="839"/>
      <c r="AX96" s="825"/>
      <c r="AY96" s="825"/>
      <c r="AZ96" s="841"/>
      <c r="BA96" s="841">
        <f>IS!BO11</f>
        <v>2760.9358247499995</v>
      </c>
      <c r="BB96" s="839"/>
      <c r="BC96" s="825"/>
      <c r="BD96" s="825"/>
      <c r="BE96" s="841"/>
      <c r="BF96" s="841">
        <f>IS!BT11</f>
        <v>2873.6098364929994</v>
      </c>
      <c r="BG96" s="839"/>
      <c r="BH96" s="825"/>
      <c r="BI96" s="825"/>
      <c r="BJ96" s="841"/>
      <c r="BK96" s="841">
        <f>IS!BY11</f>
        <v>2974.0747237999162</v>
      </c>
      <c r="BL96" s="839"/>
      <c r="BM96" s="825"/>
      <c r="BN96" s="825"/>
      <c r="BO96" s="841"/>
      <c r="BP96" s="841">
        <f>IS!CD11</f>
        <v>3039.7998415895563</v>
      </c>
      <c r="BR96" s="758"/>
    </row>
    <row r="97" spans="2:70" s="96" customFormat="1" hidden="1" x14ac:dyDescent="0.15">
      <c r="B97" s="839" t="s">
        <v>340</v>
      </c>
      <c r="C97" s="840">
        <f>IS!Q31</f>
        <v>293.58899999999994</v>
      </c>
      <c r="D97" s="839">
        <f>IS!R31</f>
        <v>69.086999999999975</v>
      </c>
      <c r="E97" s="825">
        <f>IS!S31</f>
        <v>59.612999999999992</v>
      </c>
      <c r="F97" s="825">
        <f>IS!T31</f>
        <v>55.818999999999981</v>
      </c>
      <c r="G97" s="841">
        <f>IS!U31</f>
        <v>54.187999999999988</v>
      </c>
      <c r="H97" s="840">
        <f>SUM(D97:G97)</f>
        <v>238.70699999999994</v>
      </c>
      <c r="I97" s="839">
        <f>IS!W31</f>
        <v>44.698999999999984</v>
      </c>
      <c r="J97" s="825">
        <f>IS!X31</f>
        <v>53.452000000000012</v>
      </c>
      <c r="K97" s="825">
        <f>IS!Y31</f>
        <v>51.04999999999999</v>
      </c>
      <c r="L97" s="841">
        <f>IS!Z31</f>
        <v>69.128936806148573</v>
      </c>
      <c r="M97" s="840">
        <f>SUM(I97:L97)</f>
        <v>218.32993680614857</v>
      </c>
      <c r="N97" s="839">
        <f>IS!AB31</f>
        <v>49.389000000000017</v>
      </c>
      <c r="O97" s="825">
        <f>IS!AC31</f>
        <v>54.942</v>
      </c>
      <c r="P97" s="825">
        <f>IS!AD31</f>
        <v>-207.84869999999992</v>
      </c>
      <c r="Q97" s="841">
        <f>IS!AE32</f>
        <v>167.55999999999997</v>
      </c>
      <c r="R97" s="840">
        <f>SUM(N97:Q97)</f>
        <v>64.042300000000068</v>
      </c>
      <c r="S97" s="839">
        <f>IS!AG32</f>
        <v>205.08700000000005</v>
      </c>
      <c r="T97" s="825">
        <f>IS!AH32</f>
        <v>240.24499999999986</v>
      </c>
      <c r="U97" s="825">
        <f>IS!AI32</f>
        <v>212.09300000000002</v>
      </c>
      <c r="V97" s="841">
        <f>IS!AJ32</f>
        <v>298.77300000000002</v>
      </c>
      <c r="W97" s="840">
        <f>SUM(S97:V97)</f>
        <v>956.19799999999998</v>
      </c>
      <c r="X97" s="839">
        <f>IS!AL32</f>
        <v>360.32199999999989</v>
      </c>
      <c r="Y97" s="825">
        <f>IS!AM32</f>
        <v>314.54200000000003</v>
      </c>
      <c r="Z97" s="825">
        <f>IS!AN32</f>
        <v>357.50599999999997</v>
      </c>
      <c r="AA97" s="841">
        <f>IS!AO32</f>
        <v>379.56700000000012</v>
      </c>
      <c r="AB97" s="840">
        <f>SUM(X97:AA97)</f>
        <v>1411.9369999999999</v>
      </c>
      <c r="AC97" s="839">
        <f>IS!AQ32</f>
        <v>405.16200000000003</v>
      </c>
      <c r="AD97" s="825">
        <f>IS!AR32</f>
        <v>420.55799999999982</v>
      </c>
      <c r="AE97" s="825">
        <f>IS!AS32</f>
        <v>485.80699999999985</v>
      </c>
      <c r="AF97" s="841">
        <f>IS!AT32</f>
        <v>731.53600000000006</v>
      </c>
      <c r="AG97" s="840">
        <f>SUM(AC97:AF97)</f>
        <v>2043.0629999999996</v>
      </c>
      <c r="AH97" s="839">
        <f>IS!AV32</f>
        <v>599.69999999999993</v>
      </c>
      <c r="AI97" s="825">
        <f>IS!AW32</f>
        <v>650.5999999999998</v>
      </c>
      <c r="AJ97" s="825">
        <f>IS!AX32</f>
        <v>718.8000000000003</v>
      </c>
      <c r="AK97" s="841">
        <f>IS!AY32</f>
        <v>880.7</v>
      </c>
      <c r="AL97" s="840">
        <f>SUM(AH97:AK97)</f>
        <v>2849.8</v>
      </c>
      <c r="AM97" s="839">
        <f>IS!BA32</f>
        <v>809.30000000000041</v>
      </c>
      <c r="AN97" s="825">
        <f>IS!BB32</f>
        <v>897.10000000000014</v>
      </c>
      <c r="AO97" s="825">
        <f>IS!BC32</f>
        <v>961.30000000000007</v>
      </c>
      <c r="AP97" s="841">
        <f>IS!BD32</f>
        <v>875.69999999999948</v>
      </c>
      <c r="AQ97" s="841">
        <f>IS!BE32</f>
        <v>3543.4</v>
      </c>
      <c r="AR97" s="839">
        <f>IS!BF32</f>
        <v>472.84447700000027</v>
      </c>
      <c r="AS97" s="825">
        <f>IS!BG32</f>
        <v>759.77047445000051</v>
      </c>
      <c r="AT97" s="825">
        <f>IS!BH32</f>
        <v>838.36099505000016</v>
      </c>
      <c r="AU97" s="841">
        <f>IS!BI32</f>
        <v>956.11341690000029</v>
      </c>
      <c r="AV97" s="841">
        <f>IS!BJ32</f>
        <v>3027.0893634000004</v>
      </c>
      <c r="AW97" s="839"/>
      <c r="AX97" s="825"/>
      <c r="AY97" s="825"/>
      <c r="AZ97" s="841"/>
      <c r="BA97" s="841">
        <f>IS!BO32</f>
        <v>3633.6434393675027</v>
      </c>
      <c r="BB97" s="839"/>
      <c r="BC97" s="825"/>
      <c r="BD97" s="825"/>
      <c r="BE97" s="841"/>
      <c r="BF97" s="841">
        <f>IS!BT32</f>
        <v>4196.8039205250552</v>
      </c>
      <c r="BG97" s="839"/>
      <c r="BH97" s="825"/>
      <c r="BI97" s="825"/>
      <c r="BJ97" s="841"/>
      <c r="BK97" s="841">
        <f>IS!BY32</f>
        <v>4758.5713011182379</v>
      </c>
      <c r="BL97" s="839"/>
      <c r="BM97" s="825"/>
      <c r="BN97" s="825"/>
      <c r="BO97" s="841"/>
      <c r="BP97" s="841">
        <f>IS!CD32</f>
        <v>5209.9647093131598</v>
      </c>
      <c r="BR97" s="758"/>
    </row>
    <row r="98" spans="2:70" s="96" customFormat="1" hidden="1" x14ac:dyDescent="0.15">
      <c r="B98" s="842" t="s">
        <v>341</v>
      </c>
      <c r="C98" s="843">
        <f>IS!Q33</f>
        <v>160.875</v>
      </c>
      <c r="D98" s="842">
        <f>IS!R33</f>
        <v>161.024</v>
      </c>
      <c r="E98" s="844">
        <f>IS!S33</f>
        <v>160.709</v>
      </c>
      <c r="F98" s="844">
        <f>IS!T33</f>
        <v>158.715</v>
      </c>
      <c r="G98" s="845">
        <f>IS!U33</f>
        <v>158.495</v>
      </c>
      <c r="H98" s="845">
        <f>IS!V33</f>
        <v>159.72999999999999</v>
      </c>
      <c r="I98" s="842">
        <f>IS!W33</f>
        <v>158.27000000000001</v>
      </c>
      <c r="J98" s="844">
        <f>IS!X33</f>
        <v>158.33099999999999</v>
      </c>
      <c r="K98" s="844">
        <f>IS!Y33</f>
        <v>158.65199999999999</v>
      </c>
      <c r="L98" s="845">
        <f>IS!Z33</f>
        <v>158.785</v>
      </c>
      <c r="M98" s="845">
        <f>IS!AA33</f>
        <v>158.5095</v>
      </c>
      <c r="N98" s="842">
        <f>IS!AB33</f>
        <v>158.387</v>
      </c>
      <c r="O98" s="844">
        <f>IS!AC33</f>
        <v>161.01900000000001</v>
      </c>
      <c r="P98" s="844">
        <f>IS!AD33</f>
        <v>163.29499999999999</v>
      </c>
      <c r="Q98" s="845">
        <f>IS!AE33</f>
        <v>330.452</v>
      </c>
      <c r="R98" s="845">
        <f>IS!AF33</f>
        <v>203.28825000000001</v>
      </c>
      <c r="S98" s="842">
        <f>IS!AG33</f>
        <v>332.9</v>
      </c>
      <c r="T98" s="844">
        <f>IS!AH33</f>
        <v>331.36900000000003</v>
      </c>
      <c r="U98" s="844">
        <f>IS!AI33</f>
        <v>322.78300000000002</v>
      </c>
      <c r="V98" s="845">
        <f>IS!AJ33</f>
        <v>317.39</v>
      </c>
      <c r="W98" s="845">
        <f>IS!AK33</f>
        <v>326.1105</v>
      </c>
      <c r="X98" s="842">
        <f>IS!AL33</f>
        <v>316.39699999999999</v>
      </c>
      <c r="Y98" s="844">
        <f>IS!AM33</f>
        <v>312.63099999999997</v>
      </c>
      <c r="Z98" s="844">
        <f>IS!AN33</f>
        <v>311.74299999999999</v>
      </c>
      <c r="AA98" s="845">
        <f>IS!AO33</f>
        <v>311.73899999999998</v>
      </c>
      <c r="AB98" s="845">
        <f>IS!AP33</f>
        <v>313.1275</v>
      </c>
      <c r="AC98" s="842">
        <f>IS!AQ33</f>
        <v>312.35000000000002</v>
      </c>
      <c r="AD98" s="844">
        <f>IS!AR33</f>
        <v>314.447</v>
      </c>
      <c r="AE98" s="844">
        <f>IS!AS33</f>
        <v>340.22300000000001</v>
      </c>
      <c r="AF98" s="845">
        <f>IS!AT33</f>
        <v>340.86500000000001</v>
      </c>
      <c r="AG98" s="845">
        <f>IS!AU33</f>
        <v>327.46600000000001</v>
      </c>
      <c r="AH98" s="842">
        <f>IS!AV33</f>
        <v>341.5</v>
      </c>
      <c r="AI98" s="844">
        <f>IS!AW33</f>
        <v>341.3</v>
      </c>
      <c r="AJ98" s="844">
        <f>IS!AX33</f>
        <v>341.3</v>
      </c>
      <c r="AK98" s="845">
        <f>IS!AY33</f>
        <v>341.9</v>
      </c>
      <c r="AL98" s="845">
        <f>IS!AZ33</f>
        <v>341.5</v>
      </c>
      <c r="AM98" s="842">
        <f>IS!BA33</f>
        <v>343.4</v>
      </c>
      <c r="AN98" s="844">
        <f>IS!BB33</f>
        <v>350.9</v>
      </c>
      <c r="AO98" s="844">
        <f>IS!BC33</f>
        <v>351</v>
      </c>
      <c r="AP98" s="845">
        <f>IS!BD33</f>
        <v>349.9</v>
      </c>
      <c r="AQ98" s="845">
        <f>IS!BE33</f>
        <v>348.79999999999995</v>
      </c>
      <c r="AR98" s="842">
        <f>IS!BF33</f>
        <v>349.9</v>
      </c>
      <c r="AS98" s="844">
        <f>IS!BG33</f>
        <v>349.9</v>
      </c>
      <c r="AT98" s="844">
        <f>IS!BH33</f>
        <v>349.9</v>
      </c>
      <c r="AU98" s="845">
        <f>IS!BI33</f>
        <v>349.9</v>
      </c>
      <c r="AV98" s="845">
        <f>IS!BJ33</f>
        <v>349.9</v>
      </c>
      <c r="AW98" s="842"/>
      <c r="AX98" s="844"/>
      <c r="AY98" s="844"/>
      <c r="AZ98" s="845"/>
      <c r="BA98" s="845">
        <f>IS!BO33</f>
        <v>353.399</v>
      </c>
      <c r="BB98" s="842"/>
      <c r="BC98" s="844"/>
      <c r="BD98" s="844"/>
      <c r="BE98" s="845"/>
      <c r="BF98" s="845">
        <f>IS!BT33</f>
        <v>352.64049658172468</v>
      </c>
      <c r="BG98" s="842"/>
      <c r="BH98" s="844"/>
      <c r="BI98" s="844"/>
      <c r="BJ98" s="845"/>
      <c r="BK98" s="845">
        <f>IS!BY33</f>
        <v>352.14741117578171</v>
      </c>
      <c r="BL98" s="842"/>
      <c r="BM98" s="844"/>
      <c r="BN98" s="844"/>
      <c r="BO98" s="845"/>
      <c r="BP98" s="845">
        <f>IS!CD33</f>
        <v>351.85452370418625</v>
      </c>
      <c r="BR98" s="758"/>
    </row>
    <row r="99" spans="2:70" s="96" customFormat="1" x14ac:dyDescent="0.15"/>
    <row r="100" spans="2:70" s="96" customFormat="1" x14ac:dyDescent="0.15">
      <c r="B100" s="846" t="s">
        <v>342</v>
      </c>
      <c r="C100" s="846"/>
      <c r="D100" s="847"/>
      <c r="E100" s="848"/>
      <c r="F100" s="848"/>
      <c r="G100" s="849"/>
      <c r="H100" s="846"/>
      <c r="I100" s="847"/>
      <c r="J100" s="848"/>
      <c r="K100" s="848"/>
      <c r="L100" s="849"/>
      <c r="M100" s="846"/>
      <c r="N100" s="847"/>
      <c r="O100" s="848"/>
      <c r="P100" s="848"/>
      <c r="Q100" s="849"/>
      <c r="R100" s="846"/>
      <c r="S100" s="847"/>
      <c r="T100" s="848"/>
      <c r="U100" s="848"/>
      <c r="V100" s="849"/>
      <c r="W100" s="846"/>
      <c r="X100" s="847"/>
      <c r="Y100" s="848"/>
      <c r="Z100" s="848"/>
      <c r="AA100" s="849"/>
      <c r="AB100" s="846"/>
      <c r="AC100" s="847"/>
      <c r="AD100" s="848"/>
      <c r="AE100" s="848"/>
      <c r="AF100" s="849"/>
      <c r="AG100" s="846"/>
      <c r="AH100" s="847"/>
      <c r="AI100" s="848"/>
      <c r="AJ100" s="848"/>
      <c r="AK100" s="849"/>
      <c r="AL100" s="846"/>
      <c r="AM100" s="847"/>
      <c r="AN100" s="848"/>
      <c r="AO100" s="848"/>
      <c r="AP100" s="849"/>
      <c r="AQ100" s="846"/>
      <c r="AR100" s="850"/>
      <c r="AS100" s="851"/>
      <c r="AT100" s="851"/>
      <c r="AU100" s="852"/>
      <c r="AV100" s="846"/>
      <c r="AW100" s="847"/>
      <c r="AX100" s="848"/>
      <c r="AY100" s="848"/>
      <c r="AZ100" s="849"/>
      <c r="BA100" s="846"/>
      <c r="BB100" s="847"/>
      <c r="BC100" s="848"/>
      <c r="BD100" s="848"/>
      <c r="BE100" s="849"/>
      <c r="BF100" s="846"/>
      <c r="BG100" s="847"/>
      <c r="BH100" s="848"/>
      <c r="BI100" s="848"/>
      <c r="BJ100" s="849"/>
      <c r="BK100" s="846"/>
      <c r="BL100" s="847"/>
      <c r="BM100" s="848"/>
      <c r="BN100" s="848"/>
      <c r="BO100" s="849"/>
      <c r="BP100" s="846"/>
      <c r="BR100" s="758"/>
    </row>
    <row r="101" spans="2:70" s="96" customFormat="1" x14ac:dyDescent="0.15">
      <c r="B101" s="108" t="s">
        <v>343</v>
      </c>
      <c r="C101" s="108">
        <f>(C13/C95)*360</f>
        <v>47.461065140991295</v>
      </c>
      <c r="D101" s="109">
        <f t="shared" ref="D101:G102" si="105">(D13/D95)*90</f>
        <v>35.562643286746159</v>
      </c>
      <c r="E101" s="109">
        <f t="shared" si="105"/>
        <v>45.025873881619603</v>
      </c>
      <c r="F101" s="109">
        <f t="shared" si="105"/>
        <v>49.597932508324639</v>
      </c>
      <c r="G101" s="109">
        <f t="shared" si="105"/>
        <v>44.654372548155337</v>
      </c>
      <c r="H101" s="108">
        <f>(H13/H95)*360</f>
        <v>42.814714637773413</v>
      </c>
      <c r="I101" s="109">
        <f t="shared" ref="I101:L102" si="106">(I13/I95)*90</f>
        <v>42.989631834940198</v>
      </c>
      <c r="J101" s="109">
        <f t="shared" si="106"/>
        <v>45.248559692045369</v>
      </c>
      <c r="K101" s="109">
        <f t="shared" si="106"/>
        <v>42.044719865614546</v>
      </c>
      <c r="L101" s="109">
        <f t="shared" si="106"/>
        <v>44.773182661074536</v>
      </c>
      <c r="M101" s="108">
        <f>(M13/M95)*360</f>
        <v>52.619772558292603</v>
      </c>
      <c r="N101" s="109">
        <f t="shared" ref="N101:Q102" si="107">(N13/N95)*90</f>
        <v>43.036173651740391</v>
      </c>
      <c r="O101" s="109">
        <f t="shared" si="107"/>
        <v>43.128903223104153</v>
      </c>
      <c r="P101" s="109">
        <f t="shared" si="107"/>
        <v>125.80303168528857</v>
      </c>
      <c r="Q101" s="109">
        <f t="shared" si="107"/>
        <v>48.067315241641467</v>
      </c>
      <c r="R101" s="108">
        <f>(R13/R95)*360</f>
        <v>83.75712721943836</v>
      </c>
      <c r="S101" s="109">
        <f t="shared" ref="S101:V102" si="108">(S13/S95)*90</f>
        <v>75.039184037548708</v>
      </c>
      <c r="T101" s="109">
        <f t="shared" si="108"/>
        <v>60.781129233147418</v>
      </c>
      <c r="U101" s="109">
        <f t="shared" si="108"/>
        <v>67.461055301471916</v>
      </c>
      <c r="V101" s="109">
        <f t="shared" si="108"/>
        <v>74.419197824688112</v>
      </c>
      <c r="W101" s="108">
        <f>(W13/W95)*360</f>
        <v>83.181792721407248</v>
      </c>
      <c r="X101" s="109">
        <f t="shared" ref="X101:AA102" si="109">(X13/X95)*90</f>
        <v>64.502472249250374</v>
      </c>
      <c r="Y101" s="109">
        <f t="shared" si="109"/>
        <v>67.076003853235605</v>
      </c>
      <c r="Z101" s="109">
        <f t="shared" si="109"/>
        <v>81.94505395073179</v>
      </c>
      <c r="AA101" s="109">
        <f t="shared" si="109"/>
        <v>83.388151391118058</v>
      </c>
      <c r="AB101" s="108">
        <f>(AB13/AB95)*360</f>
        <v>92.758751557113726</v>
      </c>
      <c r="AC101" s="109">
        <f t="shared" ref="AC101:AF102" si="110">(AC13/AC95)*90</f>
        <v>88.804273860280531</v>
      </c>
      <c r="AD101" s="109">
        <f t="shared" si="110"/>
        <v>92.566214196148437</v>
      </c>
      <c r="AE101" s="109">
        <f t="shared" si="110"/>
        <v>95.920312946940797</v>
      </c>
      <c r="AF101" s="109">
        <f t="shared" si="110"/>
        <v>79.141686739281809</v>
      </c>
      <c r="AG101" s="108">
        <f>(AG13/AG95)*360</f>
        <v>113.23424047226806</v>
      </c>
      <c r="AH101" s="109">
        <f t="shared" ref="AH101:AK102" si="111">(AH13/AH95)*90</f>
        <v>81.411303149188853</v>
      </c>
      <c r="AI101" s="109">
        <f t="shared" si="111"/>
        <v>78.077017294596047</v>
      </c>
      <c r="AJ101" s="109">
        <f t="shared" si="111"/>
        <v>82.296469215056888</v>
      </c>
      <c r="AK101" s="109">
        <f t="shared" si="111"/>
        <v>81.93947368421054</v>
      </c>
      <c r="AL101" s="108">
        <f>(AL13/AL95)*360</f>
        <v>90.432383372662926</v>
      </c>
      <c r="AM101" s="109">
        <f t="shared" ref="AM101:AO102" si="112">(AM13/AM95)*90</f>
        <v>86.627413391756818</v>
      </c>
      <c r="AN101" s="109">
        <f t="shared" si="112"/>
        <v>78.096179183135703</v>
      </c>
      <c r="AO101" s="109">
        <f t="shared" si="112"/>
        <v>87.077292952490311</v>
      </c>
      <c r="AP101" s="853">
        <v>92</v>
      </c>
      <c r="AQ101" s="108">
        <f>(AQ13/AQ95)*360</f>
        <v>97.630005145699513</v>
      </c>
      <c r="AR101" s="855">
        <v>112</v>
      </c>
      <c r="AS101" s="853">
        <v>97</v>
      </c>
      <c r="AT101" s="853">
        <v>97</v>
      </c>
      <c r="AU101" s="856">
        <v>87</v>
      </c>
      <c r="AV101" s="108">
        <f>(AV13/AV95)*360</f>
        <v>95.706996174163166</v>
      </c>
      <c r="AW101" s="854"/>
      <c r="AX101" s="109"/>
      <c r="AY101" s="109"/>
      <c r="AZ101" s="857"/>
      <c r="BA101" s="858">
        <v>96</v>
      </c>
      <c r="BB101" s="854"/>
      <c r="BC101" s="109"/>
      <c r="BD101" s="109"/>
      <c r="BE101" s="857"/>
      <c r="BF101" s="858">
        <v>96</v>
      </c>
      <c r="BG101" s="854"/>
      <c r="BH101" s="109"/>
      <c r="BI101" s="109"/>
      <c r="BJ101" s="857"/>
      <c r="BK101" s="858">
        <v>96</v>
      </c>
      <c r="BL101" s="854"/>
      <c r="BM101" s="109"/>
      <c r="BN101" s="109"/>
      <c r="BO101" s="857"/>
      <c r="BP101" s="858">
        <v>96</v>
      </c>
      <c r="BR101" s="758"/>
    </row>
    <row r="102" spans="2:70" s="96" customFormat="1" x14ac:dyDescent="0.15">
      <c r="B102" s="108" t="s">
        <v>344</v>
      </c>
      <c r="C102" s="108">
        <f>(C14/C96)*360</f>
        <v>129.95439914163092</v>
      </c>
      <c r="D102" s="109">
        <f t="shared" si="105"/>
        <v>112.93253931329676</v>
      </c>
      <c r="E102" s="109">
        <f t="shared" si="105"/>
        <v>143.24885475305967</v>
      </c>
      <c r="F102" s="109">
        <f t="shared" si="105"/>
        <v>133.00728912109207</v>
      </c>
      <c r="G102" s="109">
        <f t="shared" si="105"/>
        <v>102.91416284293585</v>
      </c>
      <c r="H102" s="108">
        <f>(H14/H96)*360</f>
        <v>108.75024725232926</v>
      </c>
      <c r="I102" s="109">
        <f t="shared" si="106"/>
        <v>120.7794380017841</v>
      </c>
      <c r="J102" s="109">
        <f t="shared" si="106"/>
        <v>126.00934934175038</v>
      </c>
      <c r="K102" s="109">
        <f t="shared" si="106"/>
        <v>131.03811008703548</v>
      </c>
      <c r="L102" s="109">
        <f t="shared" si="106"/>
        <v>126.81630151677645</v>
      </c>
      <c r="M102" s="108">
        <f>(M14/M96)*360</f>
        <v>145.84908153825822</v>
      </c>
      <c r="N102" s="109">
        <f t="shared" si="107"/>
        <v>148.8774489017047</v>
      </c>
      <c r="O102" s="109">
        <f t="shared" si="107"/>
        <v>124.13239436619719</v>
      </c>
      <c r="P102" s="109">
        <f t="shared" si="107"/>
        <v>427.65134691512986</v>
      </c>
      <c r="Q102" s="109">
        <f t="shared" si="107"/>
        <v>128.87728752666445</v>
      </c>
      <c r="R102" s="108">
        <f>(R14/R96)*360</f>
        <v>239.33974858321051</v>
      </c>
      <c r="S102" s="109">
        <f t="shared" si="108"/>
        <v>157.81859272974054</v>
      </c>
      <c r="T102" s="109">
        <f t="shared" si="108"/>
        <v>148.61727688787184</v>
      </c>
      <c r="U102" s="109">
        <f t="shared" si="108"/>
        <v>145.75502413831819</v>
      </c>
      <c r="V102" s="109">
        <f t="shared" si="108"/>
        <v>192.15189873417722</v>
      </c>
      <c r="W102" s="108">
        <f>(W14/W96)*360</f>
        <v>201.13012335853557</v>
      </c>
      <c r="X102" s="109">
        <f t="shared" si="109"/>
        <v>149.77305229954956</v>
      </c>
      <c r="Y102" s="109">
        <f t="shared" si="109"/>
        <v>175.72496270587109</v>
      </c>
      <c r="Z102" s="109">
        <f t="shared" si="109"/>
        <v>179.06156349002484</v>
      </c>
      <c r="AA102" s="109">
        <f t="shared" si="109"/>
        <v>195.29635695992616</v>
      </c>
      <c r="AB102" s="108">
        <f>(AB14/AB96)*360</f>
        <v>217.67954518293411</v>
      </c>
      <c r="AC102" s="109">
        <f t="shared" si="110"/>
        <v>186.20644302276489</v>
      </c>
      <c r="AD102" s="109">
        <f t="shared" si="110"/>
        <v>172.93553474922876</v>
      </c>
      <c r="AE102" s="109">
        <f t="shared" si="110"/>
        <v>232.83044723157812</v>
      </c>
      <c r="AF102" s="109">
        <f t="shared" si="110"/>
        <v>145.00075723708818</v>
      </c>
      <c r="AG102" s="108">
        <f>(AG14/AG96)*360</f>
        <v>216.37935236176247</v>
      </c>
      <c r="AH102" s="109">
        <f t="shared" si="111"/>
        <v>172.02485966319168</v>
      </c>
      <c r="AI102" s="109">
        <f t="shared" si="111"/>
        <v>149.36608557844693</v>
      </c>
      <c r="AJ102" s="109">
        <f t="shared" si="111"/>
        <v>157.25552641438745</v>
      </c>
      <c r="AK102" s="109">
        <f t="shared" si="111"/>
        <v>153.13048147485233</v>
      </c>
      <c r="AL102" s="108">
        <f>(AL14/AL96)*360</f>
        <v>158.49203408669879</v>
      </c>
      <c r="AM102" s="109">
        <f t="shared" si="112"/>
        <v>166.26780099870541</v>
      </c>
      <c r="AN102" s="109">
        <f t="shared" si="112"/>
        <v>175.53140862944161</v>
      </c>
      <c r="AO102" s="109">
        <f t="shared" si="112"/>
        <v>176.35294117647061</v>
      </c>
      <c r="AP102" s="853">
        <v>175</v>
      </c>
      <c r="AQ102" s="108">
        <f>(AQ14/AQ96)*360</f>
        <v>193.39637957626434</v>
      </c>
      <c r="AR102" s="855">
        <v>175</v>
      </c>
      <c r="AS102" s="853">
        <v>177</v>
      </c>
      <c r="AT102" s="853">
        <v>177</v>
      </c>
      <c r="AU102" s="856">
        <v>180</v>
      </c>
      <c r="AV102" s="108">
        <f>(AV14/AV96)*360</f>
        <v>196.42894405266168</v>
      </c>
      <c r="AW102" s="854"/>
      <c r="AX102" s="109"/>
      <c r="AY102" s="109"/>
      <c r="AZ102" s="857"/>
      <c r="BA102" s="858">
        <v>200</v>
      </c>
      <c r="BB102" s="854"/>
      <c r="BC102" s="109"/>
      <c r="BD102" s="109"/>
      <c r="BE102" s="857"/>
      <c r="BF102" s="858">
        <v>200</v>
      </c>
      <c r="BG102" s="854"/>
      <c r="BH102" s="109"/>
      <c r="BI102" s="109"/>
      <c r="BJ102" s="857"/>
      <c r="BK102" s="858">
        <v>200</v>
      </c>
      <c r="BL102" s="854"/>
      <c r="BM102" s="109"/>
      <c r="BN102" s="109"/>
      <c r="BO102" s="857"/>
      <c r="BP102" s="858">
        <v>200</v>
      </c>
      <c r="BR102" s="758"/>
    </row>
    <row r="103" spans="2:70" s="96" customFormat="1" x14ac:dyDescent="0.15">
      <c r="B103" s="108" t="s">
        <v>345</v>
      </c>
      <c r="C103" s="108">
        <f>C28/C96*360</f>
        <v>81.140021459227469</v>
      </c>
      <c r="D103" s="109">
        <f>D28/D96*90</f>
        <v>65.876616730250305</v>
      </c>
      <c r="E103" s="109">
        <f>E28/E96*90</f>
        <v>70.677803860792665</v>
      </c>
      <c r="F103" s="109">
        <f>F28/F96*90</f>
        <v>58.730934524311103</v>
      </c>
      <c r="G103" s="109">
        <f>G28/G96*90</f>
        <v>70.963964136924758</v>
      </c>
      <c r="H103" s="108">
        <f>H28/H96*360</f>
        <v>74.988207965836082</v>
      </c>
      <c r="I103" s="109">
        <f>I28/I96*90</f>
        <v>51.434879571810882</v>
      </c>
      <c r="J103" s="109">
        <f>J28/J96*90</f>
        <v>55.925245220448687</v>
      </c>
      <c r="K103" s="109">
        <f>K28/K96*90</f>
        <v>67.04395192326669</v>
      </c>
      <c r="L103" s="109">
        <f>L28/L96*90</f>
        <v>110.3447219243144</v>
      </c>
      <c r="M103" s="108">
        <f>M28/M96*360</f>
        <v>126.90542266860493</v>
      </c>
      <c r="N103" s="109">
        <f>N28/N96*90</f>
        <v>64.849461453651088</v>
      </c>
      <c r="O103" s="109">
        <f>O28/O96*90</f>
        <v>58.985915492957751</v>
      </c>
      <c r="P103" s="109">
        <f>P28/P96*90</f>
        <v>254.88992951626915</v>
      </c>
      <c r="Q103" s="109">
        <f>Q28/Q96*90</f>
        <v>56.878859324127092</v>
      </c>
      <c r="R103" s="108">
        <f>R28/R96*360</f>
        <v>105.63049666544077</v>
      </c>
      <c r="S103" s="109">
        <f>S28/S96*90</f>
        <v>68.86109811621607</v>
      </c>
      <c r="T103" s="109">
        <f>T28/T96*90</f>
        <v>72.487986270022873</v>
      </c>
      <c r="U103" s="109">
        <f>U28/U96*90</f>
        <v>83.516896822723695</v>
      </c>
      <c r="V103" s="109">
        <f>V28/V96*90</f>
        <v>85.264524505030835</v>
      </c>
      <c r="W103" s="108">
        <f>W28/W96*360</f>
        <v>89.248477089097165</v>
      </c>
      <c r="X103" s="109">
        <f>X28/X96*90</f>
        <v>62.662024352103067</v>
      </c>
      <c r="Y103" s="109">
        <f>Y28/Y96*90</f>
        <v>70.600272234583827</v>
      </c>
      <c r="Z103" s="109">
        <f>Z28/Z96*90</f>
        <v>71.36227416730884</v>
      </c>
      <c r="AA103" s="109">
        <f>AA28/AA96*90</f>
        <v>83.589205262577437</v>
      </c>
      <c r="AB103" s="108">
        <f>AB28/AB96*360</f>
        <v>93.169480818807287</v>
      </c>
      <c r="AC103" s="109">
        <f>AC28/AC96*90</f>
        <v>66.865399603806054</v>
      </c>
      <c r="AD103" s="109">
        <f>AD28/AD96*90</f>
        <v>98.997842911373809</v>
      </c>
      <c r="AE103" s="109">
        <f>AE28/AE96*90</f>
        <v>89.347435684767007</v>
      </c>
      <c r="AF103" s="109">
        <f>AF28/AF96*90</f>
        <v>53.695043290240761</v>
      </c>
      <c r="AG103" s="108">
        <f>AG28/AG96*360</f>
        <v>80.127158737398148</v>
      </c>
      <c r="AH103" s="109">
        <f>AH28/AH96*90</f>
        <v>70.783881315156393</v>
      </c>
      <c r="AI103" s="109">
        <f>AI28/AI96*90</f>
        <v>51.933438985736927</v>
      </c>
      <c r="AJ103" s="109">
        <f>AJ28/AJ96*90</f>
        <v>54.509179467965531</v>
      </c>
      <c r="AK103" s="109">
        <f>AK28/AK96*90</f>
        <v>64.113119742258817</v>
      </c>
      <c r="AL103" s="108">
        <f>AL28/AL96*360</f>
        <v>66.357910337161911</v>
      </c>
      <c r="AM103" s="109">
        <f>AM28/AM96*90</f>
        <v>58.67394118734974</v>
      </c>
      <c r="AN103" s="109">
        <f>AN28/AN96*90</f>
        <v>59.362309644670056</v>
      </c>
      <c r="AO103" s="109">
        <f>AO28/AO96*90</f>
        <v>70.117647058823536</v>
      </c>
      <c r="AP103" s="853">
        <v>70</v>
      </c>
      <c r="AQ103" s="108">
        <f>AQ28/AQ96*360</f>
        <v>77.358551830505718</v>
      </c>
      <c r="AR103" s="855">
        <v>64</v>
      </c>
      <c r="AS103" s="853">
        <v>64</v>
      </c>
      <c r="AT103" s="853">
        <v>64</v>
      </c>
      <c r="AU103" s="856">
        <v>64</v>
      </c>
      <c r="AV103" s="108">
        <f>AV28/AV96*360</f>
        <v>69.841402329835262</v>
      </c>
      <c r="AW103" s="859">
        <v>55</v>
      </c>
      <c r="AX103" s="859">
        <v>55</v>
      </c>
      <c r="AY103" s="859">
        <v>55</v>
      </c>
      <c r="AZ103" s="859">
        <v>55</v>
      </c>
      <c r="BA103" s="859">
        <v>76</v>
      </c>
      <c r="BB103" s="859">
        <v>55</v>
      </c>
      <c r="BC103" s="859">
        <v>55</v>
      </c>
      <c r="BD103" s="859">
        <v>55</v>
      </c>
      <c r="BE103" s="859">
        <v>55</v>
      </c>
      <c r="BF103" s="859">
        <v>76</v>
      </c>
      <c r="BG103" s="859">
        <v>55</v>
      </c>
      <c r="BH103" s="859">
        <v>55</v>
      </c>
      <c r="BI103" s="859">
        <v>55</v>
      </c>
      <c r="BJ103" s="859">
        <v>55</v>
      </c>
      <c r="BK103" s="859">
        <v>76</v>
      </c>
      <c r="BL103" s="859">
        <v>55</v>
      </c>
      <c r="BM103" s="859">
        <v>55</v>
      </c>
      <c r="BN103" s="859">
        <v>55</v>
      </c>
      <c r="BO103" s="859">
        <v>55</v>
      </c>
      <c r="BP103" s="859">
        <v>76</v>
      </c>
      <c r="BR103" s="758"/>
    </row>
    <row r="104" spans="2:70" s="96" customFormat="1" x14ac:dyDescent="0.15">
      <c r="B104" s="108" t="s">
        <v>346</v>
      </c>
      <c r="C104" s="108"/>
      <c r="D104" s="854"/>
      <c r="E104" s="109"/>
      <c r="F104" s="109"/>
      <c r="G104" s="857"/>
      <c r="H104" s="108"/>
      <c r="I104" s="854"/>
      <c r="J104" s="109"/>
      <c r="K104" s="109"/>
      <c r="L104" s="857"/>
      <c r="M104" s="108"/>
      <c r="N104" s="854"/>
      <c r="O104" s="109"/>
      <c r="P104" s="109">
        <v>37.792999999999999</v>
      </c>
      <c r="Q104" s="109">
        <f>219.758-108.979-P104</f>
        <v>72.986000000000018</v>
      </c>
      <c r="R104" s="108">
        <f>SUM(N104:Q104)</f>
        <v>110.77900000000002</v>
      </c>
      <c r="S104" s="109">
        <v>114.337</v>
      </c>
      <c r="T104" s="109">
        <v>114.946</v>
      </c>
      <c r="U104" s="109">
        <f>IS!AI16</f>
        <v>138.02699999999999</v>
      </c>
      <c r="V104" s="109">
        <f>IS!AJ16</f>
        <v>192.798</v>
      </c>
      <c r="W104" s="108">
        <f>SUM(S104:V104)</f>
        <v>560.10799999999995</v>
      </c>
      <c r="X104" s="109">
        <f>IS!AL16</f>
        <v>200.643</v>
      </c>
      <c r="Y104" s="109">
        <v>211.101</v>
      </c>
      <c r="Z104" s="109">
        <v>218.18700000000001</v>
      </c>
      <c r="AA104" s="109">
        <f>931.442-X104-Y104-Z104</f>
        <v>301.51099999999997</v>
      </c>
      <c r="AB104" s="108">
        <f>SUM(X104:AA104)</f>
        <v>931.44200000000001</v>
      </c>
      <c r="AC104" s="109">
        <v>326.17500000000001</v>
      </c>
      <c r="AD104" s="109">
        <v>303.59800000000001</v>
      </c>
      <c r="AE104" s="109">
        <v>910.24800000000005</v>
      </c>
      <c r="AF104" s="109">
        <f>1902-AC104-AD104-AE104</f>
        <v>361.97900000000004</v>
      </c>
      <c r="AG104" s="108">
        <f>SUM(AC104:AF104)</f>
        <v>1902.0000000000002</v>
      </c>
      <c r="AH104" s="109">
        <v>355.19999999999993</v>
      </c>
      <c r="AI104" s="109">
        <v>365.6</v>
      </c>
      <c r="AJ104" s="109">
        <v>393</v>
      </c>
      <c r="AK104" s="109">
        <v>436.90000000000009</v>
      </c>
      <c r="AL104" s="108">
        <f>SUM(AH104:AK104)</f>
        <v>1550.7</v>
      </c>
      <c r="AM104" s="109">
        <v>365.20000000000005</v>
      </c>
      <c r="AN104" s="109">
        <v>585.4</v>
      </c>
      <c r="AO104" s="109">
        <v>679.2</v>
      </c>
      <c r="AP104" s="853">
        <f>2212.4-SUM(AM104:AO104)</f>
        <v>582.59999999999991</v>
      </c>
      <c r="AQ104" s="108">
        <f>SUM(AM104:AP104)</f>
        <v>2212.4</v>
      </c>
      <c r="AR104" s="855">
        <f>2546.2/4</f>
        <v>636.54999999999995</v>
      </c>
      <c r="AS104" s="853">
        <f>2546.2/4</f>
        <v>636.54999999999995</v>
      </c>
      <c r="AT104" s="853">
        <f>2546.2/4</f>
        <v>636.54999999999995</v>
      </c>
      <c r="AU104" s="853">
        <f>2546.2/4</f>
        <v>636.54999999999995</v>
      </c>
      <c r="AV104" s="108">
        <f>SUM(AR104:AU104)</f>
        <v>2546.1999999999998</v>
      </c>
      <c r="AW104" s="859"/>
      <c r="AX104" s="859"/>
      <c r="AY104" s="859"/>
      <c r="AZ104" s="859"/>
      <c r="BA104" s="859">
        <v>2479</v>
      </c>
      <c r="BB104" s="859"/>
      <c r="BC104" s="859"/>
      <c r="BD104" s="859"/>
      <c r="BE104" s="859"/>
      <c r="BF104" s="859">
        <v>2348.3000000000002</v>
      </c>
      <c r="BG104" s="859"/>
      <c r="BH104" s="859"/>
      <c r="BI104" s="859"/>
      <c r="BJ104" s="859"/>
      <c r="BK104" s="859">
        <v>2212.6</v>
      </c>
      <c r="BL104" s="859"/>
      <c r="BM104" s="859"/>
      <c r="BN104" s="859"/>
      <c r="BO104" s="859"/>
      <c r="BP104" s="859">
        <v>2212.6</v>
      </c>
      <c r="BR104" s="758" t="s">
        <v>347</v>
      </c>
    </row>
    <row r="105" spans="2:70" s="96" customFormat="1" x14ac:dyDescent="0.15">
      <c r="B105" s="108" t="s">
        <v>348</v>
      </c>
      <c r="C105" s="108"/>
      <c r="D105" s="854"/>
      <c r="E105" s="109"/>
      <c r="F105" s="109"/>
      <c r="G105" s="857"/>
      <c r="H105" s="108"/>
      <c r="I105" s="854"/>
      <c r="J105" s="109"/>
      <c r="K105" s="109"/>
      <c r="L105" s="857"/>
      <c r="M105" s="108"/>
      <c r="N105" s="854"/>
      <c r="O105" s="109"/>
      <c r="P105" s="109">
        <f>P59-P104</f>
        <v>4.5450000000000017</v>
      </c>
      <c r="Q105" s="109">
        <f>Q59-Q104</f>
        <v>58.898999999999972</v>
      </c>
      <c r="R105" s="108">
        <f>SUM(N105:Q105)</f>
        <v>63.443999999999974</v>
      </c>
      <c r="S105" s="109">
        <f>S59-S104</f>
        <v>12.664999999999992</v>
      </c>
      <c r="T105" s="109">
        <f>T59-T104</f>
        <v>7.3299999999999983</v>
      </c>
      <c r="U105" s="109">
        <f>U59-U104</f>
        <v>16.90900000000002</v>
      </c>
      <c r="V105" s="109">
        <f>V59-V104</f>
        <v>15.590999999999923</v>
      </c>
      <c r="W105" s="108">
        <f>SUM(S105:V105)</f>
        <v>52.494999999999933</v>
      </c>
      <c r="X105" s="109">
        <f>X59-X104</f>
        <v>14.938999999999993</v>
      </c>
      <c r="Y105" s="109">
        <f>Y59-Y104</f>
        <v>10.765000000000015</v>
      </c>
      <c r="Z105" s="109">
        <f>Z59-Z104</f>
        <v>17.123999999999995</v>
      </c>
      <c r="AA105" s="109">
        <f>AA59-AA104</f>
        <v>11.951999999999998</v>
      </c>
      <c r="AB105" s="108">
        <f>SUM(X105:AA105)</f>
        <v>54.78</v>
      </c>
      <c r="AC105" s="109">
        <f>AC59-AC104</f>
        <v>15.269999999999982</v>
      </c>
      <c r="AD105" s="109">
        <f>AD59-AD104</f>
        <v>14.255999999999972</v>
      </c>
      <c r="AE105" s="109">
        <f>AE59-AE104</f>
        <v>35.70799999999997</v>
      </c>
      <c r="AF105" s="109">
        <f>AF59-AF104</f>
        <v>48.572000000000003</v>
      </c>
      <c r="AG105" s="108">
        <f>SUM(AC105:AF105)</f>
        <v>113.80599999999993</v>
      </c>
      <c r="AH105" s="109">
        <f>AH59-AH104</f>
        <v>45.900000000000091</v>
      </c>
      <c r="AI105" s="109">
        <f>AI59-AI104</f>
        <v>42.099999999999966</v>
      </c>
      <c r="AJ105" s="109">
        <f>AJ59-AJ104</f>
        <v>46.300000000000011</v>
      </c>
      <c r="AK105" s="109">
        <f>AK59-AK104</f>
        <v>52.599999999999852</v>
      </c>
      <c r="AL105" s="108">
        <f>SUM(AH105:AK105)</f>
        <v>186.89999999999992</v>
      </c>
      <c r="AM105" s="109">
        <f>AM59-AM104</f>
        <v>41.799999999999955</v>
      </c>
      <c r="AN105" s="109">
        <f>AN59-AN104</f>
        <v>49.600000000000023</v>
      </c>
      <c r="AO105" s="109">
        <f>AO59-AO104</f>
        <v>47.199999999999932</v>
      </c>
      <c r="AP105" s="853">
        <v>50</v>
      </c>
      <c r="AQ105" s="108">
        <f>SUM(AM105:AP105)</f>
        <v>188.59999999999991</v>
      </c>
      <c r="AR105" s="855">
        <v>50</v>
      </c>
      <c r="AS105" s="853">
        <v>50</v>
      </c>
      <c r="AT105" s="853">
        <v>50</v>
      </c>
      <c r="AU105" s="853">
        <v>50</v>
      </c>
      <c r="AV105" s="108">
        <f>SUM(AR105:AU105)</f>
        <v>200</v>
      </c>
      <c r="AW105" s="854"/>
      <c r="AX105" s="109"/>
      <c r="AY105" s="109"/>
      <c r="AZ105" s="857"/>
      <c r="BA105" s="108">
        <f>AV105</f>
        <v>200</v>
      </c>
      <c r="BB105" s="854"/>
      <c r="BC105" s="109"/>
      <c r="BD105" s="109"/>
      <c r="BE105" s="857"/>
      <c r="BF105" s="108">
        <f>BA105</f>
        <v>200</v>
      </c>
      <c r="BG105" s="854"/>
      <c r="BH105" s="109"/>
      <c r="BI105" s="109"/>
      <c r="BJ105" s="857"/>
      <c r="BK105" s="108">
        <f>BF105</f>
        <v>200</v>
      </c>
      <c r="BL105" s="854"/>
      <c r="BM105" s="109"/>
      <c r="BN105" s="109"/>
      <c r="BO105" s="857"/>
      <c r="BP105" s="108">
        <f>BK105</f>
        <v>200</v>
      </c>
      <c r="BR105" s="758"/>
    </row>
    <row r="106" spans="2:70" s="96" customFormat="1" x14ac:dyDescent="0.15">
      <c r="B106" s="108" t="s">
        <v>349</v>
      </c>
      <c r="C106" s="108"/>
      <c r="D106" s="854"/>
      <c r="E106" s="109"/>
      <c r="F106" s="109"/>
      <c r="G106" s="857"/>
      <c r="H106" s="108"/>
      <c r="I106" s="854"/>
      <c r="J106" s="109"/>
      <c r="K106" s="109"/>
      <c r="L106" s="857"/>
      <c r="M106" s="108"/>
      <c r="N106" s="854"/>
      <c r="O106" s="109"/>
      <c r="P106" s="860">
        <v>0</v>
      </c>
      <c r="Q106" s="857"/>
      <c r="R106" s="108"/>
      <c r="S106" s="854"/>
      <c r="T106" s="109"/>
      <c r="U106" s="109"/>
      <c r="V106" s="857"/>
      <c r="W106" s="108"/>
      <c r="X106" s="109"/>
      <c r="Y106" s="109"/>
      <c r="Z106" s="109"/>
      <c r="AA106" s="857"/>
      <c r="AB106" s="108">
        <f>SUM(X106:AA106)</f>
        <v>0</v>
      </c>
      <c r="AC106" s="109"/>
      <c r="AD106" s="109">
        <v>0</v>
      </c>
      <c r="AE106" s="109">
        <v>0</v>
      </c>
      <c r="AF106" s="857"/>
      <c r="AG106" s="108">
        <f>SUM(AC106:AF106)</f>
        <v>0</v>
      </c>
      <c r="AH106" s="109"/>
      <c r="AI106" s="109">
        <v>0</v>
      </c>
      <c r="AJ106" s="109">
        <v>0</v>
      </c>
      <c r="AK106" s="857">
        <v>0</v>
      </c>
      <c r="AL106" s="108">
        <f>SUM(AH106:AK106)</f>
        <v>0</v>
      </c>
      <c r="AM106" s="109">
        <v>0</v>
      </c>
      <c r="AN106" s="109">
        <v>0</v>
      </c>
      <c r="AO106" s="109">
        <v>0</v>
      </c>
      <c r="AP106" s="857">
        <v>0</v>
      </c>
      <c r="AQ106" s="108">
        <f>SUM(AM106:AP106)</f>
        <v>0</v>
      </c>
      <c r="AR106" s="861">
        <v>0</v>
      </c>
      <c r="AS106" s="109">
        <v>0</v>
      </c>
      <c r="AT106" s="109">
        <v>0</v>
      </c>
      <c r="AU106" s="862">
        <v>0</v>
      </c>
      <c r="AV106" s="108">
        <v>0</v>
      </c>
      <c r="AW106" s="854"/>
      <c r="AX106" s="109"/>
      <c r="AY106" s="109"/>
      <c r="AZ106" s="857"/>
      <c r="BA106" s="108">
        <v>0</v>
      </c>
      <c r="BB106" s="854"/>
      <c r="BC106" s="109"/>
      <c r="BD106" s="109"/>
      <c r="BE106" s="857"/>
      <c r="BF106" s="108">
        <v>0</v>
      </c>
      <c r="BG106" s="854"/>
      <c r="BH106" s="109"/>
      <c r="BI106" s="109"/>
      <c r="BJ106" s="857"/>
      <c r="BK106" s="108">
        <v>0</v>
      </c>
      <c r="BL106" s="854"/>
      <c r="BM106" s="109"/>
      <c r="BN106" s="109"/>
      <c r="BO106" s="857"/>
      <c r="BP106" s="108">
        <v>0</v>
      </c>
      <c r="BR106" s="758"/>
    </row>
    <row r="107" spans="2:70" s="96" customFormat="1" x14ac:dyDescent="0.15">
      <c r="B107" s="108" t="s">
        <v>350</v>
      </c>
      <c r="C107" s="108"/>
      <c r="D107" s="854"/>
      <c r="E107" s="109"/>
      <c r="F107" s="109"/>
      <c r="G107" s="857"/>
      <c r="H107" s="108"/>
      <c r="I107" s="854"/>
      <c r="J107" s="109"/>
      <c r="K107" s="109"/>
      <c r="L107" s="857"/>
      <c r="M107" s="108"/>
      <c r="N107" s="854"/>
      <c r="O107" s="109"/>
      <c r="P107" s="863">
        <v>5.0000000000000001E-3</v>
      </c>
      <c r="Q107" s="864"/>
      <c r="R107" s="108"/>
      <c r="S107" s="864"/>
      <c r="T107" s="864"/>
      <c r="U107" s="864"/>
      <c r="V107" s="864"/>
      <c r="W107" s="865">
        <f>W108/AVERAGE(S78,V79)</f>
        <v>1.4628031089938752E-2</v>
      </c>
      <c r="X107" s="864"/>
      <c r="Y107" s="864"/>
      <c r="Z107" s="864"/>
      <c r="AA107" s="864"/>
      <c r="AB107" s="865">
        <f>AB108/AVERAGE(X78,AA79)</f>
        <v>1.1083112232712021E-2</v>
      </c>
      <c r="AC107" s="864"/>
      <c r="AD107" s="864"/>
      <c r="AE107" s="864"/>
      <c r="AF107" s="864"/>
      <c r="AG107" s="865">
        <f>AG108/AVERAGE(AC78,AF79)</f>
        <v>7.8948531123407516E-3</v>
      </c>
      <c r="AH107" s="864"/>
      <c r="AI107" s="864"/>
      <c r="AJ107" s="864"/>
      <c r="AK107" s="864"/>
      <c r="AL107" s="865"/>
      <c r="AM107" s="864"/>
      <c r="AN107" s="864"/>
      <c r="AO107" s="864"/>
      <c r="AP107" s="866">
        <v>0.01</v>
      </c>
      <c r="AQ107" s="865">
        <f>AQ108/AVERAGE(AM78,AP79)</f>
        <v>1.8159948219991152E-2</v>
      </c>
      <c r="AR107" s="867">
        <v>0.01</v>
      </c>
      <c r="AS107" s="864">
        <v>0.01</v>
      </c>
      <c r="AT107" s="864">
        <v>0.01</v>
      </c>
      <c r="AU107" s="868">
        <v>0.01</v>
      </c>
      <c r="AV107" s="865">
        <f>AV108/AVERAGE(AR78,AU79)</f>
        <v>3.2552414481800518E-2</v>
      </c>
      <c r="AW107" s="109"/>
      <c r="AX107" s="109"/>
      <c r="AY107" s="109"/>
      <c r="AZ107" s="857"/>
      <c r="BA107" s="869">
        <v>0.01</v>
      </c>
      <c r="BB107" s="109"/>
      <c r="BC107" s="109"/>
      <c r="BD107" s="109"/>
      <c r="BE107" s="857"/>
      <c r="BF107" s="869">
        <v>0.01</v>
      </c>
      <c r="BG107" s="109"/>
      <c r="BH107" s="109"/>
      <c r="BI107" s="109"/>
      <c r="BJ107" s="857"/>
      <c r="BK107" s="869">
        <v>0.01</v>
      </c>
      <c r="BL107" s="109"/>
      <c r="BM107" s="109"/>
      <c r="BN107" s="109"/>
      <c r="BO107" s="857"/>
      <c r="BP107" s="869">
        <v>0.01</v>
      </c>
      <c r="BR107" s="758"/>
    </row>
    <row r="108" spans="2:70" s="96" customFormat="1" x14ac:dyDescent="0.15">
      <c r="B108" s="108" t="s">
        <v>351</v>
      </c>
      <c r="C108" s="108"/>
      <c r="D108" s="854"/>
      <c r="E108" s="109"/>
      <c r="F108" s="109"/>
      <c r="G108" s="857"/>
      <c r="H108" s="108"/>
      <c r="I108" s="854"/>
      <c r="J108" s="109"/>
      <c r="K108" s="109"/>
      <c r="L108" s="857"/>
      <c r="M108" s="108"/>
      <c r="N108" s="854"/>
      <c r="O108" s="109"/>
      <c r="P108" s="860"/>
      <c r="Q108" s="857"/>
      <c r="R108" s="108"/>
      <c r="S108" s="109">
        <v>0.80300000000000005</v>
      </c>
      <c r="T108" s="109">
        <v>0.84699999999999998</v>
      </c>
      <c r="U108" s="109">
        <v>1.052</v>
      </c>
      <c r="V108" s="109">
        <f>4.084-S108-T108-U108</f>
        <v>1.3819999999999997</v>
      </c>
      <c r="W108" s="108">
        <f>SUM(S108:V108)</f>
        <v>4.0839999999999996</v>
      </c>
      <c r="X108" s="109">
        <v>1.123</v>
      </c>
      <c r="Y108" s="109">
        <v>1.02</v>
      </c>
      <c r="Z108" s="109">
        <v>1.1559999999999999</v>
      </c>
      <c r="AA108" s="109">
        <f>5.986-X108-Y108-Z108</f>
        <v>2.6869999999999994</v>
      </c>
      <c r="AB108" s="108">
        <f>SUM(X108:AA108)</f>
        <v>5.9859999999999989</v>
      </c>
      <c r="AC108" s="109">
        <v>1.5960000000000001</v>
      </c>
      <c r="AD108" s="109">
        <v>1.054</v>
      </c>
      <c r="AE108" s="109">
        <v>2.6859999999999999</v>
      </c>
      <c r="AF108" s="109">
        <f>5.986-AC108-AD108-AE108</f>
        <v>0.64999999999999947</v>
      </c>
      <c r="AG108" s="108">
        <f>SUM(AC108:AF108)</f>
        <v>5.9859999999999998</v>
      </c>
      <c r="AH108" s="109"/>
      <c r="AI108" s="109"/>
      <c r="AJ108" s="109"/>
      <c r="AK108" s="109"/>
      <c r="AL108" s="108"/>
      <c r="AM108" s="109"/>
      <c r="AN108" s="109"/>
      <c r="AO108" s="109">
        <f t="shared" ref="AO108:AP108" si="113">AO107*AO78</f>
        <v>0</v>
      </c>
      <c r="AP108" s="857">
        <f t="shared" si="113"/>
        <v>14.200000000000037</v>
      </c>
      <c r="AQ108" s="108">
        <f>SUM(AM108:AP108)</f>
        <v>14.200000000000037</v>
      </c>
      <c r="AR108" s="861">
        <f t="shared" ref="AR108:AU108" si="114">AR107*AR78</f>
        <v>12.41281111111109</v>
      </c>
      <c r="AS108" s="109">
        <f t="shared" si="114"/>
        <v>6.8650168411110908</v>
      </c>
      <c r="AT108" s="109">
        <f t="shared" si="114"/>
        <v>9.4446490956110924</v>
      </c>
      <c r="AU108" s="862">
        <f t="shared" si="114"/>
        <v>12.172644388333319</v>
      </c>
      <c r="AV108" s="108">
        <f>SUM(AR108:AU108)</f>
        <v>40.89512143616659</v>
      </c>
      <c r="AW108" s="854"/>
      <c r="AX108" s="109"/>
      <c r="AY108" s="109"/>
      <c r="AZ108" s="857"/>
      <c r="BA108" s="108">
        <f>BA107*BA78</f>
        <v>12.712895898444433</v>
      </c>
      <c r="BB108" s="854"/>
      <c r="BC108" s="109"/>
      <c r="BD108" s="109"/>
      <c r="BE108" s="857"/>
      <c r="BF108" s="108">
        <f>BF107*BF78</f>
        <v>22.052843244647239</v>
      </c>
      <c r="BG108" s="854"/>
      <c r="BH108" s="109"/>
      <c r="BI108" s="109"/>
      <c r="BJ108" s="857"/>
      <c r="BK108" s="108">
        <f>BK107*BK78</f>
        <v>28.662760125698973</v>
      </c>
      <c r="BL108" s="854"/>
      <c r="BM108" s="109"/>
      <c r="BN108" s="109"/>
      <c r="BO108" s="857"/>
      <c r="BP108" s="108">
        <f>BP107*BP78</f>
        <v>36.886373196537363</v>
      </c>
      <c r="BR108" s="758"/>
    </row>
    <row r="109" spans="2:70" s="96" customFormat="1" x14ac:dyDescent="0.15">
      <c r="B109" s="108" t="s">
        <v>352</v>
      </c>
      <c r="C109" s="108"/>
      <c r="D109" s="854"/>
      <c r="E109" s="109"/>
      <c r="F109" s="109"/>
      <c r="G109" s="857"/>
      <c r="H109" s="108"/>
      <c r="I109" s="854"/>
      <c r="J109" s="109"/>
      <c r="K109" s="109"/>
      <c r="L109" s="857"/>
      <c r="M109" s="108"/>
      <c r="N109" s="854"/>
      <c r="O109" s="109"/>
      <c r="P109" s="863">
        <v>5.5E-2</v>
      </c>
      <c r="Q109" s="864"/>
      <c r="R109" s="108"/>
      <c r="S109" s="864"/>
      <c r="T109" s="870">
        <f>T110/AVERAGE(T83,S83)*4</f>
        <v>6.8096848159807238E-2</v>
      </c>
      <c r="U109" s="870">
        <f>U110/AVERAGE(U83,T83)*4</f>
        <v>6.1240267247818121E-2</v>
      </c>
      <c r="V109" s="870">
        <f>V110/AVERAGE(V83,U83)*4</f>
        <v>7.4246656948917494E-2</v>
      </c>
      <c r="W109" s="108"/>
      <c r="X109" s="870">
        <f>X110/AVERAGE(X83,W83)*4</f>
        <v>5.9807639520993716E-2</v>
      </c>
      <c r="Y109" s="870">
        <f>Y110/AVERAGE(Y83,X83)*4</f>
        <v>5.5330870095722559E-2</v>
      </c>
      <c r="Z109" s="870">
        <f>Z110/AVERAGE(Z83,Y83)*4</f>
        <v>6.1149480012444163E-2</v>
      </c>
      <c r="AA109" s="870">
        <f>AA110/AVERAGE(AA83,Z83)*4</f>
        <v>6.6380379870696282E-2</v>
      </c>
      <c r="AB109" s="865">
        <f>AB110/AVERAGE(AB42+AB35,W35+W42)</f>
        <v>5.3592093027784123E-2</v>
      </c>
      <c r="AC109" s="870">
        <f>AC110/AVERAGE(AC83,AB83)*4</f>
        <v>5.743700117576387E-2</v>
      </c>
      <c r="AD109" s="870">
        <f>AD110/AVERAGE(AD83,AC83)*4</f>
        <v>6.6056192487818896E-2</v>
      </c>
      <c r="AE109" s="870">
        <f>AE110/AVERAGE(AE83,AD83)*4</f>
        <v>7.0728068434355362E-2</v>
      </c>
      <c r="AF109" s="870">
        <f>AF110/AVERAGE(AF83,AE83)*4</f>
        <v>-2.4851422460837925E-2</v>
      </c>
      <c r="AG109" s="865">
        <f>AG110/AVERAGE(AG42+AG35,AB35+AB42)</f>
        <v>3.3357329815493435E-2</v>
      </c>
      <c r="AH109" s="870">
        <f>AH110/AVERAGE(AH83,AG83)*4</f>
        <v>5.6740687175758767E-2</v>
      </c>
      <c r="AI109" s="870">
        <f>AI110/AVERAGE(AI83,AH83)*4</f>
        <v>5.2730436385844827E-2</v>
      </c>
      <c r="AJ109" s="870">
        <f>AJ110/AVERAGE(AJ83,AI83)*4</f>
        <v>5.3070796776228855E-2</v>
      </c>
      <c r="AK109" s="870">
        <f>AK110/AVERAGE(AK83,AJ83)*4</f>
        <v>5.3740148115257146E-2</v>
      </c>
      <c r="AL109" s="865">
        <f>AL110/AVERAGE(AL42+AL35,AG35+AG42)</f>
        <v>5.5790054300889E-2</v>
      </c>
      <c r="AM109" s="870">
        <f>AM110/AVERAGE(AM83,AL83)*4</f>
        <v>4.000455478215785E-2</v>
      </c>
      <c r="AN109" s="870">
        <f>AN110/AVERAGE(AN83,AM83)*4</f>
        <v>5.4985958264940654E-2</v>
      </c>
      <c r="AO109" s="870">
        <f>AO110/AVERAGE(AO83,AN83)*4</f>
        <v>5.0657012777587093E-2</v>
      </c>
      <c r="AP109" s="866">
        <v>5.2499999999999998E-2</v>
      </c>
      <c r="AQ109" s="865">
        <f>AQ110/AVERAGE(AQ42+AQ35,AL35+AL42)</f>
        <v>5.9520070517603892E-2</v>
      </c>
      <c r="AR109" s="867">
        <v>5.2499999999999998E-2</v>
      </c>
      <c r="AS109" s="864">
        <v>5.5E-2</v>
      </c>
      <c r="AT109" s="864">
        <v>5.5E-2</v>
      </c>
      <c r="AU109" s="868">
        <v>5.5E-2</v>
      </c>
      <c r="AV109" s="865">
        <f>AV110/AVERAGE(AV42+AV35,AQ35+AQ42)</f>
        <v>5.4402985858755672E-2</v>
      </c>
      <c r="AW109" s="109"/>
      <c r="AX109" s="109"/>
      <c r="AY109" s="109"/>
      <c r="AZ109" s="857"/>
      <c r="BA109" s="869">
        <v>5.5E-2</v>
      </c>
      <c r="BB109" s="109"/>
      <c r="BC109" s="109"/>
      <c r="BD109" s="109"/>
      <c r="BE109" s="857"/>
      <c r="BF109" s="869">
        <v>5.5E-2</v>
      </c>
      <c r="BG109" s="109"/>
      <c r="BH109" s="109"/>
      <c r="BI109" s="109"/>
      <c r="BJ109" s="857"/>
      <c r="BK109" s="869">
        <v>5.5E-2</v>
      </c>
      <c r="BL109" s="109"/>
      <c r="BM109" s="109"/>
      <c r="BN109" s="109"/>
      <c r="BO109" s="857"/>
      <c r="BP109" s="869">
        <v>5.5E-2</v>
      </c>
      <c r="BR109" s="758"/>
    </row>
    <row r="110" spans="2:70" s="96" customFormat="1" x14ac:dyDescent="0.15">
      <c r="B110" s="115" t="s">
        <v>353</v>
      </c>
      <c r="C110" s="115"/>
      <c r="D110" s="871"/>
      <c r="E110" s="116"/>
      <c r="F110" s="116"/>
      <c r="G110" s="872"/>
      <c r="H110" s="115"/>
      <c r="I110" s="871"/>
      <c r="J110" s="116"/>
      <c r="K110" s="116"/>
      <c r="L110" s="872"/>
      <c r="M110" s="115"/>
      <c r="N110" s="871"/>
      <c r="O110" s="116"/>
      <c r="P110" s="873">
        <f>P109*(P42+P35)/4</f>
        <v>44.488812500000002</v>
      </c>
      <c r="Q110" s="116"/>
      <c r="R110" s="115"/>
      <c r="S110" s="116">
        <v>69.137</v>
      </c>
      <c r="T110" s="116">
        <v>78.849000000000004</v>
      </c>
      <c r="U110" s="116">
        <v>74.817999999999998</v>
      </c>
      <c r="V110" s="116">
        <f>333.041-S110-T110-U110</f>
        <v>110.23700000000001</v>
      </c>
      <c r="W110" s="115">
        <f>SUM(S110:V110)</f>
        <v>333.041</v>
      </c>
      <c r="X110" s="116">
        <v>102.02500000000001</v>
      </c>
      <c r="Y110" s="116">
        <v>100.614</v>
      </c>
      <c r="Z110" s="116">
        <v>116.042</v>
      </c>
      <c r="AA110" s="116">
        <f>473.396-X110-Y110-Z110</f>
        <v>154.71499999999995</v>
      </c>
      <c r="AB110" s="115">
        <f>SUM(X110:AA110)</f>
        <v>473.39599999999996</v>
      </c>
      <c r="AC110" s="116">
        <v>155.315</v>
      </c>
      <c r="AD110" s="116">
        <v>176.79300000000001</v>
      </c>
      <c r="AE110" s="116">
        <v>249.30600000000001</v>
      </c>
      <c r="AF110" s="116">
        <f>473.396-AC110-AD110-AE110</f>
        <v>-108.018</v>
      </c>
      <c r="AG110" s="115">
        <f>SUM(AC110:AF110)</f>
        <v>473.39599999999996</v>
      </c>
      <c r="AH110" s="116">
        <v>246.5</v>
      </c>
      <c r="AI110" s="116">
        <f>-228.8*-1</f>
        <v>228.8</v>
      </c>
      <c r="AJ110" s="116">
        <f>-222.9*-1</f>
        <v>222.9</v>
      </c>
      <c r="AK110" s="116">
        <f>-211.8*-1</f>
        <v>211.8</v>
      </c>
      <c r="AL110" s="115">
        <f>SUM(AH110:AK110)</f>
        <v>910</v>
      </c>
      <c r="AM110" s="116">
        <f>-206.4*-1</f>
        <v>206.4</v>
      </c>
      <c r="AN110" s="116">
        <f>-391.1*-1</f>
        <v>391.1</v>
      </c>
      <c r="AO110" s="116">
        <f>-391.1*-1</f>
        <v>391.1</v>
      </c>
      <c r="AP110" s="116">
        <f>AP109*AVERAGE(AO42+AO35, AP42+AP35)/4</f>
        <v>411.24956249999997</v>
      </c>
      <c r="AQ110" s="115">
        <f>SUM(AM110:AP110)</f>
        <v>1399.8495625</v>
      </c>
      <c r="AR110" s="874">
        <f t="shared" ref="AR110:AU110" si="115">AR109*AVERAGE(AQ42+AQ35, AR42+AR35)/4</f>
        <v>414.49799999999999</v>
      </c>
      <c r="AS110" s="875">
        <f t="shared" si="115"/>
        <v>428.70162499999998</v>
      </c>
      <c r="AT110" s="875">
        <f t="shared" si="115"/>
        <v>422.85787499999998</v>
      </c>
      <c r="AU110" s="876">
        <f t="shared" si="115"/>
        <v>416.67037499999998</v>
      </c>
      <c r="AV110" s="115">
        <f>SUM(AR110:AU110)</f>
        <v>1682.7278749999998</v>
      </c>
      <c r="AW110" s="871"/>
      <c r="AX110" s="116"/>
      <c r="AY110" s="116"/>
      <c r="AZ110" s="872"/>
      <c r="BA110" s="115">
        <f>BA109*(BA42+BA35)</f>
        <v>1516.8064999999999</v>
      </c>
      <c r="BB110" s="871"/>
      <c r="BC110" s="116"/>
      <c r="BD110" s="116"/>
      <c r="BE110" s="872"/>
      <c r="BF110" s="115">
        <f>BF109*(BF42+BF35)</f>
        <v>1379.3064999999999</v>
      </c>
      <c r="BG110" s="871"/>
      <c r="BH110" s="116"/>
      <c r="BI110" s="116"/>
      <c r="BJ110" s="872"/>
      <c r="BK110" s="115">
        <f>BK109*(BK42+BK35)</f>
        <v>1228.0564999999999</v>
      </c>
      <c r="BL110" s="871"/>
      <c r="BM110" s="116"/>
      <c r="BN110" s="116"/>
      <c r="BO110" s="872"/>
      <c r="BP110" s="115">
        <f>BP109*(BP42+BP35)</f>
        <v>1063.0564999999999</v>
      </c>
      <c r="BR110" s="758"/>
    </row>
    <row r="111" spans="2:70" s="96" customFormat="1" x14ac:dyDescent="0.15">
      <c r="P111" s="104"/>
    </row>
    <row r="112" spans="2:70" s="96" customFormat="1" x14ac:dyDescent="0.15">
      <c r="B112" s="96" t="s">
        <v>354</v>
      </c>
      <c r="AR112" s="96">
        <v>402.68549999999999</v>
      </c>
      <c r="AS112" s="96">
        <v>415.63912499999998</v>
      </c>
      <c r="AT112" s="96">
        <v>408.76412499999998</v>
      </c>
      <c r="AU112" s="96">
        <v>401.88912499999998</v>
      </c>
      <c r="AV112" s="96">
        <v>1628.9778749999998</v>
      </c>
      <c r="BA112" s="96">
        <v>1373.8064999999999</v>
      </c>
      <c r="BF112" s="96">
        <v>1153.8064999999999</v>
      </c>
      <c r="BK112" s="96">
        <v>988.80649999999991</v>
      </c>
      <c r="BP112" s="96">
        <v>823.80649999999991</v>
      </c>
    </row>
    <row r="113" spans="2:70" s="96" customFormat="1" x14ac:dyDescent="0.15"/>
    <row r="114" spans="2:70" s="96" customFormat="1" x14ac:dyDescent="0.15">
      <c r="B114" s="838" t="s">
        <v>355</v>
      </c>
      <c r="C114" s="877"/>
      <c r="D114" s="878"/>
      <c r="E114" s="878"/>
      <c r="F114" s="878"/>
      <c r="G114" s="879"/>
      <c r="H114" s="877"/>
      <c r="I114" s="878"/>
      <c r="J114" s="878"/>
      <c r="K114" s="878"/>
      <c r="L114" s="879"/>
      <c r="M114" s="877"/>
      <c r="N114" s="878"/>
      <c r="O114" s="878"/>
      <c r="P114" s="878"/>
      <c r="Q114" s="879"/>
      <c r="R114" s="877"/>
      <c r="S114" s="878"/>
      <c r="T114" s="878"/>
      <c r="U114" s="878"/>
      <c r="V114" s="879"/>
      <c r="W114" s="877"/>
      <c r="X114" s="878"/>
      <c r="Y114" s="878"/>
      <c r="Z114" s="878"/>
      <c r="AA114" s="879"/>
      <c r="AB114" s="877"/>
      <c r="AC114" s="878"/>
      <c r="AD114" s="878"/>
      <c r="AE114" s="878"/>
      <c r="AF114" s="878"/>
      <c r="AG114" s="877"/>
      <c r="AH114" s="878"/>
      <c r="AI114" s="878"/>
      <c r="AJ114" s="878"/>
      <c r="AK114" s="878"/>
      <c r="AL114" s="877"/>
      <c r="AM114" s="878"/>
      <c r="AN114" s="878"/>
      <c r="AO114" s="878"/>
      <c r="AP114" s="878"/>
      <c r="AQ114" s="877"/>
      <c r="AR114" s="878"/>
      <c r="AS114" s="878"/>
      <c r="AT114" s="878"/>
      <c r="AU114" s="878"/>
      <c r="AV114" s="877"/>
      <c r="BA114" s="877"/>
      <c r="BF114" s="877"/>
      <c r="BK114" s="877"/>
      <c r="BP114" s="877"/>
      <c r="BR114" s="758"/>
    </row>
    <row r="115" spans="2:70" s="96" customFormat="1" x14ac:dyDescent="0.15">
      <c r="B115" s="839" t="s">
        <v>356</v>
      </c>
      <c r="C115" s="840"/>
      <c r="D115" s="839"/>
      <c r="E115" s="825"/>
      <c r="F115" s="825"/>
      <c r="G115" s="841"/>
      <c r="H115" s="840"/>
      <c r="I115" s="839"/>
      <c r="J115" s="825"/>
      <c r="K115" s="825"/>
      <c r="L115" s="841"/>
      <c r="M115" s="840"/>
      <c r="N115" s="839"/>
      <c r="O115" s="825"/>
      <c r="P115" s="825"/>
      <c r="Q115" s="841"/>
      <c r="R115" s="840"/>
      <c r="S115" s="839"/>
      <c r="T115" s="825">
        <f>S86</f>
        <v>64.825000000000003</v>
      </c>
      <c r="U115" s="825">
        <f>T86</f>
        <v>214.18200000000002</v>
      </c>
      <c r="V115" s="841">
        <f>U86</f>
        <v>164.12299999999996</v>
      </c>
      <c r="W115" s="840">
        <f>SUM(S115:V115)</f>
        <v>443.13</v>
      </c>
      <c r="X115" s="839">
        <f>V86</f>
        <v>174.82799999999995</v>
      </c>
      <c r="Y115" s="825">
        <f>X86</f>
        <v>156.11399999999998</v>
      </c>
      <c r="Z115" s="825">
        <f>Y86</f>
        <v>241.001</v>
      </c>
      <c r="AA115" s="841">
        <f>Z86</f>
        <v>109.75800000000005</v>
      </c>
      <c r="AB115" s="840">
        <f>SUM(X115:AA115)</f>
        <v>681.70099999999991</v>
      </c>
      <c r="AC115" s="825">
        <f>AB86</f>
        <v>548.93999999999994</v>
      </c>
      <c r="AD115" s="825">
        <f>AC86</f>
        <v>241.30699999999996</v>
      </c>
      <c r="AE115" s="825">
        <f>AD86</f>
        <v>292.267</v>
      </c>
      <c r="AF115" s="825">
        <f>AE86</f>
        <v>176.78000000000003</v>
      </c>
      <c r="AG115" s="840">
        <f>SUM(AC115:AF115)</f>
        <v>1259.2939999999999</v>
      </c>
      <c r="AH115" s="825">
        <f>AG86</f>
        <v>926.63799999999981</v>
      </c>
      <c r="AI115" s="825">
        <f>AH86</f>
        <v>426.20000000000005</v>
      </c>
      <c r="AJ115" s="825">
        <f>AI86</f>
        <v>262.50000000000011</v>
      </c>
      <c r="AK115" s="825">
        <f>AJ86</f>
        <v>579.1</v>
      </c>
      <c r="AL115" s="840">
        <f>SUM(AH115:AK115)</f>
        <v>2194.4379999999996</v>
      </c>
      <c r="AM115" s="825">
        <f>AL86</f>
        <v>2003.1</v>
      </c>
      <c r="AN115" s="825">
        <f>AM86</f>
        <v>425.29999999999995</v>
      </c>
      <c r="AO115" s="825">
        <f>AN86</f>
        <v>363.69999999999993</v>
      </c>
      <c r="AP115" s="825">
        <f>AO86</f>
        <v>685.4</v>
      </c>
      <c r="AQ115" s="840">
        <f>SUM(AM115:AP115)</f>
        <v>3477.4999999999995</v>
      </c>
      <c r="AR115" s="825">
        <f t="shared" ref="AR115:AU115" si="116">AQ86</f>
        <v>1961.6811111111112</v>
      </c>
      <c r="AS115" s="825">
        <f t="shared" si="116"/>
        <v>350.22057300000017</v>
      </c>
      <c r="AT115" s="825">
        <f t="shared" si="116"/>
        <v>657.96322545000021</v>
      </c>
      <c r="AU115" s="825">
        <f t="shared" si="116"/>
        <v>722.7995292722228</v>
      </c>
      <c r="AV115" s="840">
        <f>AQ86</f>
        <v>1961.6811111111112</v>
      </c>
      <c r="BA115" s="840">
        <f>AV86</f>
        <v>2710.0084787333344</v>
      </c>
      <c r="BF115" s="840">
        <f>BA86</f>
        <v>3433.9947346202807</v>
      </c>
      <c r="BK115" s="840">
        <f>BF86</f>
        <v>4019.4903717602438</v>
      </c>
      <c r="BP115" s="840">
        <f>BK86</f>
        <v>4577.2339000238999</v>
      </c>
      <c r="BR115" s="758"/>
    </row>
    <row r="116" spans="2:70" s="96" customFormat="1" x14ac:dyDescent="0.15">
      <c r="B116" s="839" t="s">
        <v>357</v>
      </c>
      <c r="C116" s="840"/>
      <c r="D116" s="839"/>
      <c r="E116" s="880"/>
      <c r="F116" s="880"/>
      <c r="G116" s="880"/>
      <c r="H116" s="840"/>
      <c r="I116" s="839"/>
      <c r="J116" s="880"/>
      <c r="K116" s="880"/>
      <c r="L116" s="880"/>
      <c r="M116" s="840"/>
      <c r="N116" s="839"/>
      <c r="O116" s="880"/>
      <c r="P116" s="880"/>
      <c r="Q116" s="880"/>
      <c r="R116" s="840"/>
      <c r="S116" s="839"/>
      <c r="T116" s="880"/>
      <c r="U116" s="880"/>
      <c r="V116" s="880"/>
      <c r="W116" s="840"/>
      <c r="X116" s="880"/>
      <c r="Y116" s="880"/>
      <c r="Z116" s="880"/>
      <c r="AA116" s="880"/>
      <c r="AB116" s="881"/>
      <c r="AC116" s="880"/>
      <c r="AD116" s="880">
        <v>0</v>
      </c>
      <c r="AE116" s="880">
        <v>0</v>
      </c>
      <c r="AF116" s="880">
        <v>0</v>
      </c>
      <c r="AG116" s="881"/>
      <c r="AH116" s="880">
        <v>0</v>
      </c>
      <c r="AI116" s="880">
        <v>0</v>
      </c>
      <c r="AJ116" s="880">
        <v>0</v>
      </c>
      <c r="AK116" s="880">
        <v>0</v>
      </c>
      <c r="AL116" s="881"/>
      <c r="AM116" s="880">
        <v>0</v>
      </c>
      <c r="AN116" s="880">
        <v>0</v>
      </c>
      <c r="AO116" s="880">
        <v>0</v>
      </c>
      <c r="AP116" s="880">
        <v>0</v>
      </c>
      <c r="AQ116" s="881"/>
      <c r="AR116" s="880">
        <v>0</v>
      </c>
      <c r="AS116" s="880">
        <v>0</v>
      </c>
      <c r="AT116" s="880">
        <v>0</v>
      </c>
      <c r="AU116" s="880">
        <v>0</v>
      </c>
      <c r="AV116" s="881"/>
      <c r="BA116" s="881">
        <v>0</v>
      </c>
      <c r="BF116" s="881">
        <v>0</v>
      </c>
      <c r="BK116" s="881">
        <v>0</v>
      </c>
      <c r="BP116" s="881">
        <v>0</v>
      </c>
      <c r="BR116" s="758"/>
    </row>
    <row r="117" spans="2:70" s="96" customFormat="1" x14ac:dyDescent="0.15">
      <c r="B117" s="839" t="s">
        <v>358</v>
      </c>
      <c r="C117" s="840"/>
      <c r="D117" s="839"/>
      <c r="E117" s="880"/>
      <c r="F117" s="880"/>
      <c r="G117" s="880"/>
      <c r="H117" s="840"/>
      <c r="I117" s="839"/>
      <c r="J117" s="880"/>
      <c r="K117" s="880"/>
      <c r="L117" s="880"/>
      <c r="M117" s="840"/>
      <c r="N117" s="839"/>
      <c r="O117" s="880"/>
      <c r="P117" s="880"/>
      <c r="Q117" s="880"/>
      <c r="R117" s="840"/>
      <c r="S117" s="839"/>
      <c r="T117" s="882"/>
      <c r="U117" s="882"/>
      <c r="V117" s="882"/>
      <c r="W117" s="840"/>
      <c r="X117" s="882"/>
      <c r="Y117" s="882"/>
      <c r="Z117" s="882"/>
      <c r="AA117" s="882"/>
      <c r="AB117" s="883"/>
      <c r="AC117" s="882"/>
      <c r="AD117" s="882">
        <v>3.5</v>
      </c>
      <c r="AE117" s="882">
        <v>3.5</v>
      </c>
      <c r="AF117" s="882">
        <v>3.5</v>
      </c>
      <c r="AG117" s="883"/>
      <c r="AH117" s="882">
        <v>3.5</v>
      </c>
      <c r="AI117" s="882">
        <v>3.5</v>
      </c>
      <c r="AJ117" s="882">
        <v>3.5</v>
      </c>
      <c r="AK117" s="882">
        <v>3.5</v>
      </c>
      <c r="AL117" s="883"/>
      <c r="AM117" s="882">
        <v>3.5</v>
      </c>
      <c r="AN117" s="882">
        <v>3.5</v>
      </c>
      <c r="AO117" s="882">
        <v>3.5</v>
      </c>
      <c r="AP117" s="882">
        <v>3.5</v>
      </c>
      <c r="AQ117" s="883"/>
      <c r="AR117" s="882">
        <v>3.5</v>
      </c>
      <c r="AS117" s="882">
        <v>3.5</v>
      </c>
      <c r="AT117" s="882">
        <v>3.5</v>
      </c>
      <c r="AU117" s="882">
        <v>3.5</v>
      </c>
      <c r="AV117" s="883"/>
      <c r="BA117" s="883">
        <v>3.5</v>
      </c>
      <c r="BF117" s="883">
        <v>3.5</v>
      </c>
      <c r="BK117" s="883">
        <v>3.5</v>
      </c>
      <c r="BP117" s="883">
        <v>3.5</v>
      </c>
      <c r="BR117" s="758"/>
    </row>
    <row r="118" spans="2:70" s="96" customFormat="1" x14ac:dyDescent="0.15">
      <c r="B118" s="817" t="s">
        <v>359</v>
      </c>
      <c r="C118" s="884"/>
      <c r="D118" s="842"/>
      <c r="E118" s="844"/>
      <c r="F118" s="844"/>
      <c r="G118" s="845"/>
      <c r="H118" s="845"/>
      <c r="I118" s="842"/>
      <c r="J118" s="844"/>
      <c r="K118" s="844"/>
      <c r="L118" s="845"/>
      <c r="M118" s="845"/>
      <c r="N118" s="842"/>
      <c r="O118" s="844"/>
      <c r="P118" s="844"/>
      <c r="Q118" s="845"/>
      <c r="R118" s="845"/>
      <c r="S118" s="842"/>
      <c r="T118" s="844"/>
      <c r="U118" s="844"/>
      <c r="V118" s="844"/>
      <c r="W118" s="843"/>
      <c r="X118" s="844"/>
      <c r="Y118" s="844"/>
      <c r="Z118" s="844"/>
      <c r="AA118" s="844"/>
      <c r="AB118" s="843"/>
      <c r="AC118" s="844"/>
      <c r="AD118" s="844">
        <f>(AD115*AD116)/AD117/4</f>
        <v>0</v>
      </c>
      <c r="AE118" s="844">
        <f>(AE115*AE116)/AE117/4</f>
        <v>0</v>
      </c>
      <c r="AF118" s="844">
        <f>(AF115*AF116)/AF117/4</f>
        <v>0</v>
      </c>
      <c r="AG118" s="843"/>
      <c r="AH118" s="844">
        <f>(AH115*AH116)/AH117/4</f>
        <v>0</v>
      </c>
      <c r="AI118" s="844">
        <f>(AI115*AI116)/AI117/4</f>
        <v>0</v>
      </c>
      <c r="AJ118" s="844">
        <f>(AJ115*AJ116)/AJ117/4</f>
        <v>0</v>
      </c>
      <c r="AK118" s="844">
        <f>(AK115*AK116)/AK117/4</f>
        <v>0</v>
      </c>
      <c r="AL118" s="843"/>
      <c r="AM118" s="844">
        <f>(AM115*AM116)/AM117/4</f>
        <v>0</v>
      </c>
      <c r="AN118" s="844">
        <f>(AN115*AN116)/AN117/4</f>
        <v>0</v>
      </c>
      <c r="AO118" s="844">
        <f>(AO115*AO116)/AO117/4</f>
        <v>0</v>
      </c>
      <c r="AP118" s="844">
        <f>(AP115*AP116)/AP117/4</f>
        <v>0</v>
      </c>
      <c r="AQ118" s="843"/>
      <c r="AR118" s="844">
        <f t="shared" ref="AR118:AU118" si="117">(AR115*AR116)/AR117/4</f>
        <v>0</v>
      </c>
      <c r="AS118" s="844">
        <f t="shared" si="117"/>
        <v>0</v>
      </c>
      <c r="AT118" s="844">
        <f t="shared" si="117"/>
        <v>0</v>
      </c>
      <c r="AU118" s="844">
        <f t="shared" si="117"/>
        <v>0</v>
      </c>
      <c r="AV118" s="843"/>
      <c r="BA118" s="843">
        <f>(BA115*BA116)/BA117</f>
        <v>0</v>
      </c>
      <c r="BF118" s="843">
        <f>(BF115*BF116)/BF117</f>
        <v>0</v>
      </c>
      <c r="BK118" s="843">
        <f>(BK115*BK116)/BK117</f>
        <v>0</v>
      </c>
      <c r="BP118" s="843">
        <f>(BP115*BP116)/BP117</f>
        <v>0</v>
      </c>
      <c r="BR118" s="758"/>
    </row>
    <row r="119" spans="2:70" s="96" customFormat="1" x14ac:dyDescent="0.15"/>
    <row r="120" spans="2:70" s="96" customFormat="1" x14ac:dyDescent="0.15">
      <c r="B120" s="838" t="s">
        <v>360</v>
      </c>
      <c r="C120" s="877"/>
      <c r="D120" s="878"/>
      <c r="E120" s="878"/>
      <c r="F120" s="878"/>
      <c r="G120" s="879"/>
      <c r="H120" s="877"/>
      <c r="I120" s="878"/>
      <c r="J120" s="878"/>
      <c r="K120" s="878"/>
      <c r="L120" s="879"/>
      <c r="M120" s="877"/>
      <c r="N120" s="878"/>
      <c r="O120" s="878"/>
      <c r="P120" s="878"/>
      <c r="Q120" s="879"/>
      <c r="R120" s="877"/>
      <c r="S120" s="878"/>
      <c r="T120" s="878"/>
      <c r="U120" s="878"/>
      <c r="V120" s="879"/>
      <c r="W120" s="877"/>
      <c r="X120" s="878"/>
      <c r="Y120" s="878"/>
      <c r="Z120" s="878"/>
      <c r="AA120" s="879"/>
      <c r="AB120" s="877"/>
      <c r="AC120" s="878"/>
      <c r="AD120" s="878"/>
      <c r="AE120" s="878"/>
      <c r="AF120" s="878"/>
      <c r="AG120" s="877"/>
      <c r="AH120" s="878"/>
      <c r="AI120" s="878"/>
      <c r="AJ120" s="878"/>
      <c r="AK120" s="878"/>
      <c r="AL120" s="877"/>
      <c r="AM120" s="878"/>
      <c r="AN120" s="878"/>
      <c r="AO120" s="878"/>
      <c r="AP120" s="878"/>
      <c r="AQ120" s="877"/>
      <c r="AR120" s="878"/>
      <c r="AS120" s="878"/>
      <c r="AT120" s="878"/>
      <c r="AU120" s="878"/>
      <c r="AV120" s="877"/>
      <c r="BA120" s="877"/>
      <c r="BF120" s="877"/>
      <c r="BK120" s="877"/>
      <c r="BP120" s="877"/>
      <c r="BR120" s="758"/>
    </row>
    <row r="121" spans="2:70" s="96" customFormat="1" x14ac:dyDescent="0.15">
      <c r="B121" s="839" t="s">
        <v>356</v>
      </c>
      <c r="C121" s="840"/>
      <c r="D121" s="839"/>
      <c r="E121" s="825"/>
      <c r="F121" s="825"/>
      <c r="G121" s="841"/>
      <c r="H121" s="840"/>
      <c r="I121" s="839"/>
      <c r="J121" s="825"/>
      <c r="K121" s="825"/>
      <c r="L121" s="841"/>
      <c r="M121" s="840"/>
      <c r="N121" s="839"/>
      <c r="O121" s="825"/>
      <c r="P121" s="825"/>
      <c r="Q121" s="841"/>
      <c r="R121" s="840"/>
      <c r="S121" s="839"/>
      <c r="T121" s="825">
        <f>T115</f>
        <v>64.825000000000003</v>
      </c>
      <c r="U121" s="825">
        <f>U115</f>
        <v>214.18200000000002</v>
      </c>
      <c r="V121" s="825">
        <f>V115</f>
        <v>164.12299999999996</v>
      </c>
      <c r="W121" s="840">
        <f>SUM(S121:V121)</f>
        <v>443.13</v>
      </c>
      <c r="X121" s="825">
        <f>X115</f>
        <v>174.82799999999995</v>
      </c>
      <c r="Y121" s="825">
        <f>Y115</f>
        <v>156.11399999999998</v>
      </c>
      <c r="Z121" s="825">
        <f>Z115</f>
        <v>241.001</v>
      </c>
      <c r="AA121" s="825">
        <f>AA115</f>
        <v>109.75800000000005</v>
      </c>
      <c r="AB121" s="840"/>
      <c r="AC121" s="825">
        <f>AC115</f>
        <v>548.93999999999994</v>
      </c>
      <c r="AD121" s="825">
        <f>AD115</f>
        <v>241.30699999999996</v>
      </c>
      <c r="AE121" s="825">
        <f>AE115</f>
        <v>292.267</v>
      </c>
      <c r="AF121" s="825">
        <f>AF115</f>
        <v>176.78000000000003</v>
      </c>
      <c r="AG121" s="840"/>
      <c r="AH121" s="825">
        <f>AH115</f>
        <v>926.63799999999981</v>
      </c>
      <c r="AI121" s="825">
        <f>AI115</f>
        <v>426.20000000000005</v>
      </c>
      <c r="AJ121" s="825">
        <f>AJ115</f>
        <v>262.50000000000011</v>
      </c>
      <c r="AK121" s="825">
        <f>AK115</f>
        <v>579.1</v>
      </c>
      <c r="AL121" s="840">
        <f>SUM(AH121:AK121)</f>
        <v>2194.4379999999996</v>
      </c>
      <c r="AM121" s="825">
        <f>AM115</f>
        <v>2003.1</v>
      </c>
      <c r="AN121" s="825">
        <f>AN115</f>
        <v>425.29999999999995</v>
      </c>
      <c r="AO121" s="825">
        <f>AO115</f>
        <v>363.69999999999993</v>
      </c>
      <c r="AP121" s="825">
        <f>AP115</f>
        <v>685.4</v>
      </c>
      <c r="AQ121" s="840">
        <f>SUM(AM121:AP121)</f>
        <v>3477.4999999999995</v>
      </c>
      <c r="AR121" s="825">
        <f t="shared" ref="AR121:AU121" si="118">AR115</f>
        <v>1961.6811111111112</v>
      </c>
      <c r="AS121" s="825">
        <f t="shared" si="118"/>
        <v>350.22057300000017</v>
      </c>
      <c r="AT121" s="825">
        <f t="shared" si="118"/>
        <v>657.96322545000021</v>
      </c>
      <c r="AU121" s="825">
        <f t="shared" si="118"/>
        <v>722.7995292722228</v>
      </c>
      <c r="AV121" s="840">
        <f>SUM(AR121:AU121)</f>
        <v>3692.6644388333343</v>
      </c>
      <c r="BA121" s="840">
        <f>BA115</f>
        <v>2710.0084787333344</v>
      </c>
      <c r="BF121" s="840">
        <f>BF115</f>
        <v>3433.9947346202807</v>
      </c>
      <c r="BK121" s="840">
        <f>BK115</f>
        <v>4019.4903717602438</v>
      </c>
      <c r="BP121" s="840">
        <f>BP115</f>
        <v>4577.2339000238999</v>
      </c>
      <c r="BR121" s="758"/>
    </row>
    <row r="122" spans="2:70" s="96" customFormat="1" x14ac:dyDescent="0.15">
      <c r="B122" s="839" t="s">
        <v>361</v>
      </c>
      <c r="C122" s="840"/>
      <c r="D122" s="839"/>
      <c r="E122" s="880"/>
      <c r="F122" s="880"/>
      <c r="G122" s="880"/>
      <c r="H122" s="840"/>
      <c r="I122" s="839"/>
      <c r="J122" s="880"/>
      <c r="K122" s="880"/>
      <c r="L122" s="880"/>
      <c r="M122" s="840"/>
      <c r="N122" s="839"/>
      <c r="O122" s="880"/>
      <c r="P122" s="880"/>
      <c r="Q122" s="880"/>
      <c r="R122" s="840"/>
      <c r="S122" s="839"/>
      <c r="T122" s="880"/>
      <c r="U122" s="880"/>
      <c r="V122" s="880"/>
      <c r="W122" s="840"/>
      <c r="X122" s="880"/>
      <c r="Y122" s="880"/>
      <c r="Z122" s="880"/>
      <c r="AA122" s="880"/>
      <c r="AB122" s="840"/>
      <c r="AC122" s="880"/>
      <c r="AD122" s="880">
        <v>0</v>
      </c>
      <c r="AE122" s="880">
        <v>0</v>
      </c>
      <c r="AF122" s="880">
        <v>0</v>
      </c>
      <c r="AG122" s="840"/>
      <c r="AH122" s="880">
        <v>0</v>
      </c>
      <c r="AI122" s="880">
        <v>0</v>
      </c>
      <c r="AJ122" s="880">
        <v>0</v>
      </c>
      <c r="AK122" s="880">
        <v>0</v>
      </c>
      <c r="AL122" s="840"/>
      <c r="AM122" s="880">
        <v>0</v>
      </c>
      <c r="AN122" s="880">
        <v>0</v>
      </c>
      <c r="AO122" s="880">
        <v>0</v>
      </c>
      <c r="AP122" s="880">
        <v>0</v>
      </c>
      <c r="AQ122" s="840">
        <f>AQ123/AQ121</f>
        <v>0</v>
      </c>
      <c r="AR122" s="880">
        <v>0</v>
      </c>
      <c r="AS122" s="880">
        <v>0</v>
      </c>
      <c r="AT122" s="880">
        <v>0</v>
      </c>
      <c r="AU122" s="880">
        <v>0</v>
      </c>
      <c r="AV122" s="840">
        <f>AV123/AV121</f>
        <v>0</v>
      </c>
      <c r="BA122" s="881">
        <v>0</v>
      </c>
      <c r="BF122" s="881">
        <v>0.25</v>
      </c>
      <c r="BK122" s="881">
        <v>0.25</v>
      </c>
      <c r="BP122" s="881">
        <v>0.25</v>
      </c>
      <c r="BQ122" s="96">
        <v>25</v>
      </c>
      <c r="BR122" s="758"/>
    </row>
    <row r="123" spans="2:70" s="96" customFormat="1" x14ac:dyDescent="0.15">
      <c r="B123" s="839" t="s">
        <v>362</v>
      </c>
      <c r="C123" s="840"/>
      <c r="D123" s="839"/>
      <c r="E123" s="880"/>
      <c r="F123" s="880"/>
      <c r="G123" s="880"/>
      <c r="H123" s="840"/>
      <c r="I123" s="839"/>
      <c r="J123" s="880"/>
      <c r="K123" s="880"/>
      <c r="L123" s="880"/>
      <c r="M123" s="840"/>
      <c r="N123" s="839"/>
      <c r="O123" s="880"/>
      <c r="P123" s="880"/>
      <c r="Q123" s="880"/>
      <c r="R123" s="840"/>
      <c r="S123" s="839"/>
      <c r="T123" s="880"/>
      <c r="U123" s="880"/>
      <c r="V123" s="880"/>
      <c r="W123" s="840"/>
      <c r="X123" s="880"/>
      <c r="Y123" s="880"/>
      <c r="Z123" s="880"/>
      <c r="AA123" s="880"/>
      <c r="AB123" s="840"/>
      <c r="AC123" s="880"/>
      <c r="AD123" s="880"/>
      <c r="AE123" s="880"/>
      <c r="AF123" s="880"/>
      <c r="AG123" s="840"/>
      <c r="AH123" s="885">
        <f>AH121*AH122</f>
        <v>0</v>
      </c>
      <c r="AI123" s="885">
        <f>AI121*AI122</f>
        <v>0</v>
      </c>
      <c r="AJ123" s="885">
        <f>AJ121*AJ122</f>
        <v>0</v>
      </c>
      <c r="AK123" s="885">
        <f>AK121*AK122</f>
        <v>0</v>
      </c>
      <c r="AL123" s="886"/>
      <c r="AM123" s="885">
        <f>AM121*AM122</f>
        <v>0</v>
      </c>
      <c r="AN123" s="885">
        <f>AN121*AN122</f>
        <v>0</v>
      </c>
      <c r="AO123" s="885">
        <f>AO121*AO122</f>
        <v>0</v>
      </c>
      <c r="AP123" s="885">
        <f>AP121*AP122</f>
        <v>0</v>
      </c>
      <c r="AQ123" s="886">
        <f>SUM(AM123:AP123)</f>
        <v>0</v>
      </c>
      <c r="AR123" s="885">
        <f t="shared" ref="AR123:AU123" si="119">AR121*AR122</f>
        <v>0</v>
      </c>
      <c r="AS123" s="885">
        <f t="shared" si="119"/>
        <v>0</v>
      </c>
      <c r="AT123" s="885">
        <f t="shared" si="119"/>
        <v>0</v>
      </c>
      <c r="AU123" s="885">
        <f t="shared" si="119"/>
        <v>0</v>
      </c>
      <c r="AV123" s="886">
        <f>SUM(AR123:AU123)</f>
        <v>0</v>
      </c>
      <c r="BA123" s="887">
        <f>BA122*BA121</f>
        <v>0</v>
      </c>
      <c r="BF123" s="887">
        <f>BF122*BF121</f>
        <v>858.49868365507018</v>
      </c>
      <c r="BK123" s="887">
        <f>BK122*BK121</f>
        <v>1004.8725929400609</v>
      </c>
      <c r="BP123" s="887">
        <f>BP122*BP121</f>
        <v>1144.308475005975</v>
      </c>
      <c r="BR123" s="758"/>
    </row>
    <row r="124" spans="2:70" s="96" customFormat="1" x14ac:dyDescent="0.15">
      <c r="B124" s="839" t="s">
        <v>363</v>
      </c>
      <c r="C124" s="840"/>
      <c r="D124" s="839"/>
      <c r="E124" s="880"/>
      <c r="F124" s="880"/>
      <c r="G124" s="880"/>
      <c r="H124" s="840"/>
      <c r="I124" s="839"/>
      <c r="J124" s="880"/>
      <c r="K124" s="880"/>
      <c r="L124" s="880"/>
      <c r="M124" s="840"/>
      <c r="N124" s="839"/>
      <c r="O124" s="880"/>
      <c r="P124" s="880"/>
      <c r="Q124" s="880"/>
      <c r="R124" s="840"/>
      <c r="S124" s="839"/>
      <c r="T124" s="880"/>
      <c r="U124" s="880"/>
      <c r="V124" s="880"/>
      <c r="W124" s="840"/>
      <c r="X124" s="880"/>
      <c r="Y124" s="880"/>
      <c r="Z124" s="880"/>
      <c r="AA124" s="880"/>
      <c r="AB124" s="840"/>
      <c r="AC124" s="880"/>
      <c r="AD124" s="880"/>
      <c r="AE124" s="880"/>
      <c r="AF124" s="880"/>
      <c r="AG124" s="840"/>
      <c r="AH124" s="880"/>
      <c r="AI124" s="880"/>
      <c r="AJ124" s="880"/>
      <c r="AK124" s="880"/>
      <c r="AL124" s="840"/>
      <c r="AM124" s="888">
        <v>1450</v>
      </c>
      <c r="AN124" s="880"/>
      <c r="AO124" s="880"/>
      <c r="AP124" s="880"/>
      <c r="AQ124" s="840">
        <f>SUM(AM124:AP124)</f>
        <v>1450</v>
      </c>
      <c r="AR124" s="880"/>
      <c r="AS124" s="880"/>
      <c r="AT124" s="880"/>
      <c r="AU124" s="880"/>
      <c r="AV124" s="840">
        <f>SUM(AR124:AU124)</f>
        <v>0</v>
      </c>
      <c r="BA124" s="881"/>
      <c r="BF124" s="881"/>
      <c r="BK124" s="881"/>
      <c r="BP124" s="881"/>
      <c r="BR124" s="758"/>
    </row>
    <row r="125" spans="2:70" s="96" customFormat="1" x14ac:dyDescent="0.15">
      <c r="B125" s="839" t="s">
        <v>364</v>
      </c>
      <c r="C125" s="840"/>
      <c r="D125" s="839"/>
      <c r="E125" s="880"/>
      <c r="F125" s="880"/>
      <c r="G125" s="880"/>
      <c r="H125" s="840"/>
      <c r="I125" s="839"/>
      <c r="J125" s="880"/>
      <c r="K125" s="880"/>
      <c r="L125" s="880"/>
      <c r="M125" s="840"/>
      <c r="N125" s="839"/>
      <c r="O125" s="880"/>
      <c r="P125" s="880"/>
      <c r="Q125" s="880"/>
      <c r="R125" s="840"/>
      <c r="S125" s="839"/>
      <c r="T125" s="825"/>
      <c r="U125" s="825"/>
      <c r="V125" s="825"/>
      <c r="W125" s="840"/>
      <c r="X125" s="825"/>
      <c r="Y125" s="825"/>
      <c r="Z125" s="825"/>
      <c r="AA125" s="825"/>
      <c r="AB125" s="840"/>
      <c r="AC125" s="825"/>
      <c r="AD125" s="825">
        <v>55</v>
      </c>
      <c r="AE125" s="825">
        <v>55</v>
      </c>
      <c r="AF125" s="825">
        <v>55</v>
      </c>
      <c r="AG125" s="840"/>
      <c r="AH125" s="825">
        <v>120</v>
      </c>
      <c r="AI125" s="825">
        <v>120</v>
      </c>
      <c r="AJ125" s="825">
        <v>120</v>
      </c>
      <c r="AK125" s="825">
        <v>120</v>
      </c>
      <c r="AL125" s="840"/>
      <c r="AM125" s="999">
        <v>199</v>
      </c>
      <c r="AN125" s="999">
        <v>214</v>
      </c>
      <c r="AO125" s="999">
        <v>214</v>
      </c>
      <c r="AP125" s="999">
        <v>214</v>
      </c>
      <c r="AQ125" s="1000"/>
      <c r="AR125" s="999">
        <v>214</v>
      </c>
      <c r="AS125" s="999">
        <v>214</v>
      </c>
      <c r="AT125" s="999">
        <v>214</v>
      </c>
      <c r="AU125" s="999">
        <v>214</v>
      </c>
      <c r="AV125" s="840"/>
      <c r="AW125" s="145"/>
      <c r="AX125" s="145"/>
      <c r="AY125" s="145"/>
      <c r="AZ125" s="145"/>
      <c r="BA125" s="840">
        <v>150</v>
      </c>
      <c r="BB125" s="145"/>
      <c r="BC125" s="145"/>
      <c r="BD125" s="145"/>
      <c r="BE125" s="145"/>
      <c r="BF125" s="840">
        <v>200</v>
      </c>
      <c r="BG125" s="145"/>
      <c r="BH125" s="145"/>
      <c r="BI125" s="145"/>
      <c r="BJ125" s="145"/>
      <c r="BK125" s="840">
        <v>250</v>
      </c>
      <c r="BL125" s="145"/>
      <c r="BM125" s="145"/>
      <c r="BN125" s="145"/>
      <c r="BO125" s="145"/>
      <c r="BP125" s="840">
        <v>300</v>
      </c>
      <c r="BR125" s="758"/>
    </row>
    <row r="126" spans="2:70" s="96" customFormat="1" x14ac:dyDescent="0.15">
      <c r="B126" s="817" t="s">
        <v>365</v>
      </c>
      <c r="C126" s="884"/>
      <c r="D126" s="842"/>
      <c r="E126" s="844"/>
      <c r="F126" s="844"/>
      <c r="G126" s="845"/>
      <c r="H126" s="845"/>
      <c r="I126" s="842"/>
      <c r="J126" s="844"/>
      <c r="K126" s="844"/>
      <c r="L126" s="845"/>
      <c r="M126" s="845"/>
      <c r="N126" s="842"/>
      <c r="O126" s="844"/>
      <c r="P126" s="844"/>
      <c r="Q126" s="845"/>
      <c r="R126" s="845"/>
      <c r="S126" s="842"/>
      <c r="T126" s="889"/>
      <c r="U126" s="889"/>
      <c r="V126" s="889"/>
      <c r="W126" s="843"/>
      <c r="X126" s="889"/>
      <c r="Y126" s="889"/>
      <c r="Z126" s="889"/>
      <c r="AA126" s="889"/>
      <c r="AB126" s="843"/>
      <c r="AC126" s="889"/>
      <c r="AD126" s="889">
        <f>AD121*AD122/AD125</f>
        <v>0</v>
      </c>
      <c r="AE126" s="889">
        <f>AE121*AE122/AE125</f>
        <v>0</v>
      </c>
      <c r="AF126" s="889">
        <f>AF121*AF122/AF125</f>
        <v>0</v>
      </c>
      <c r="AG126" s="843"/>
      <c r="AH126" s="889">
        <f>AH121*AH122/AH125</f>
        <v>0</v>
      </c>
      <c r="AI126" s="889">
        <f>AI121*AI122/AI125</f>
        <v>0</v>
      </c>
      <c r="AJ126" s="889">
        <f>AJ121*AJ122/AJ125</f>
        <v>0</v>
      </c>
      <c r="AK126" s="889">
        <f>AK121*AK122/AK125</f>
        <v>0</v>
      </c>
      <c r="AL126" s="843"/>
      <c r="AM126" s="890">
        <f>(AM124-AM123)/AM125</f>
        <v>7.2864321608040203</v>
      </c>
      <c r="AN126" s="889">
        <f>(AN124-AN123)/AN125</f>
        <v>0</v>
      </c>
      <c r="AO126" s="889">
        <f>(AO124-AO123)/AO125</f>
        <v>0</v>
      </c>
      <c r="AP126" s="889">
        <f>(AP124-AP123)/AP125</f>
        <v>0</v>
      </c>
      <c r="AQ126" s="843"/>
      <c r="AR126" s="889">
        <f t="shared" ref="AR126:AU126" si="120">(AR124-AR123)/AR125</f>
        <v>0</v>
      </c>
      <c r="AS126" s="889">
        <f t="shared" si="120"/>
        <v>0</v>
      </c>
      <c r="AT126" s="889">
        <f t="shared" si="120"/>
        <v>0</v>
      </c>
      <c r="AU126" s="889">
        <f t="shared" si="120"/>
        <v>0</v>
      </c>
      <c r="AV126" s="843"/>
      <c r="BA126" s="891">
        <f>(BA124-BA123)/BA125</f>
        <v>0</v>
      </c>
      <c r="BF126" s="891">
        <f>(BF124-BF123)/BF125</f>
        <v>-4.2924934182753507</v>
      </c>
      <c r="BK126" s="891">
        <f>(BK124-BK123)/BK125</f>
        <v>-4.0194903717602442</v>
      </c>
      <c r="BP126" s="891">
        <f>(BP124-BP123)/BP125</f>
        <v>-3.81436158335325</v>
      </c>
      <c r="BR126" s="758"/>
    </row>
    <row r="127" spans="2:70" s="96" customFormat="1" x14ac:dyDescent="0.15"/>
    <row r="128" spans="2:70" s="96" customFormat="1" x14ac:dyDescent="0.15">
      <c r="AJ128" s="892" t="s">
        <v>366</v>
      </c>
    </row>
    <row r="129" spans="2:38" s="96" customFormat="1" x14ac:dyDescent="0.15">
      <c r="AG129" s="96" t="s">
        <v>367</v>
      </c>
    </row>
    <row r="130" spans="2:38" s="96" customFormat="1" ht="13" x14ac:dyDescent="0.15">
      <c r="B130" s="96" t="s">
        <v>368</v>
      </c>
      <c r="AG130" s="892" t="s">
        <v>369</v>
      </c>
      <c r="AJ130" s="893">
        <v>0</v>
      </c>
      <c r="AL130" s="894">
        <v>2.4199999999999999E-2</v>
      </c>
    </row>
    <row r="131" spans="2:38" s="96" customFormat="1" ht="13" x14ac:dyDescent="0.15">
      <c r="B131" s="96" t="s">
        <v>370</v>
      </c>
      <c r="AG131" s="892" t="s">
        <v>371</v>
      </c>
      <c r="AJ131" s="893">
        <v>182.3</v>
      </c>
      <c r="AL131" s="894">
        <v>2.41E-2</v>
      </c>
    </row>
    <row r="132" spans="2:38" s="96" customFormat="1" ht="13" x14ac:dyDescent="0.15">
      <c r="B132" s="96" t="s">
        <v>372</v>
      </c>
      <c r="AG132" s="892" t="s">
        <v>371</v>
      </c>
      <c r="AJ132" s="893">
        <v>166.3</v>
      </c>
      <c r="AL132" s="894">
        <v>2.41E-2</v>
      </c>
    </row>
    <row r="133" spans="2:38" s="96" customFormat="1" ht="13" x14ac:dyDescent="0.15">
      <c r="B133" s="96" t="s">
        <v>373</v>
      </c>
      <c r="AG133" s="892" t="s">
        <v>374</v>
      </c>
      <c r="AJ133" s="893">
        <v>1813.9</v>
      </c>
      <c r="AL133" s="894">
        <v>2.41E-2</v>
      </c>
    </row>
    <row r="134" spans="2:38" s="96" customFormat="1" ht="13" x14ac:dyDescent="0.15">
      <c r="B134" s="96" t="s">
        <v>375</v>
      </c>
      <c r="AG134" s="892" t="s">
        <v>376</v>
      </c>
      <c r="AJ134" s="893">
        <v>1088.5999999999999</v>
      </c>
      <c r="AL134" s="894">
        <v>3.7499999999999999E-2</v>
      </c>
    </row>
    <row r="135" spans="2:38" s="96" customFormat="1" ht="13" x14ac:dyDescent="0.15">
      <c r="B135" s="96" t="s">
        <v>377</v>
      </c>
      <c r="AG135" s="892" t="s">
        <v>378</v>
      </c>
      <c r="AJ135" s="893">
        <v>837.5</v>
      </c>
      <c r="AL135" s="894">
        <v>3.7499999999999999E-2</v>
      </c>
    </row>
    <row r="136" spans="2:38" s="96" customFormat="1" ht="13" x14ac:dyDescent="0.15">
      <c r="B136" s="96" t="s">
        <v>379</v>
      </c>
      <c r="AG136" s="892" t="s">
        <v>380</v>
      </c>
      <c r="AJ136" s="893">
        <v>2544.8000000000002</v>
      </c>
      <c r="AL136" s="894">
        <v>3.8600000000000002E-2</v>
      </c>
    </row>
    <row r="137" spans="2:38" s="96" customFormat="1" x14ac:dyDescent="0.15">
      <c r="B137" s="96" t="s">
        <v>381</v>
      </c>
      <c r="AL137" s="892"/>
    </row>
    <row r="138" spans="2:38" s="96" customFormat="1" x14ac:dyDescent="0.15">
      <c r="B138" s="892" t="s">
        <v>382</v>
      </c>
      <c r="AG138" s="892" t="s">
        <v>383</v>
      </c>
      <c r="AJ138" s="893">
        <v>498.9</v>
      </c>
      <c r="AL138" s="892"/>
    </row>
    <row r="139" spans="2:38" s="96" customFormat="1" x14ac:dyDescent="0.15">
      <c r="B139" s="892" t="s">
        <v>384</v>
      </c>
      <c r="AG139" s="892" t="s">
        <v>385</v>
      </c>
      <c r="AJ139" s="893">
        <v>940.9</v>
      </c>
      <c r="AL139" s="892"/>
    </row>
    <row r="140" spans="2:38" s="96" customFormat="1" x14ac:dyDescent="0.15">
      <c r="B140" s="892" t="s">
        <v>386</v>
      </c>
      <c r="AG140" s="892" t="s">
        <v>387</v>
      </c>
      <c r="AJ140" s="893">
        <v>687.4</v>
      </c>
      <c r="AL140" s="892"/>
    </row>
    <row r="141" spans="2:38" s="96" customFormat="1" x14ac:dyDescent="0.15">
      <c r="B141" s="892" t="s">
        <v>382</v>
      </c>
      <c r="AG141" s="892" t="s">
        <v>388</v>
      </c>
      <c r="AJ141" s="893">
        <v>650</v>
      </c>
      <c r="AL141" s="892"/>
    </row>
    <row r="142" spans="2:38" s="96" customFormat="1" x14ac:dyDescent="0.15">
      <c r="B142" s="892" t="s">
        <v>389</v>
      </c>
      <c r="AG142" s="892" t="s">
        <v>390</v>
      </c>
      <c r="AJ142" s="893">
        <v>542.9</v>
      </c>
      <c r="AL142" s="892"/>
    </row>
    <row r="143" spans="2:38" s="96" customFormat="1" x14ac:dyDescent="0.15">
      <c r="B143" s="892" t="s">
        <v>391</v>
      </c>
      <c r="AG143" s="892" t="s">
        <v>387</v>
      </c>
      <c r="AJ143" s="893">
        <v>2224.5</v>
      </c>
      <c r="AL143" s="892"/>
    </row>
    <row r="144" spans="2:38" s="96" customFormat="1" x14ac:dyDescent="0.15">
      <c r="B144" s="892" t="s">
        <v>382</v>
      </c>
      <c r="AG144" s="892" t="s">
        <v>392</v>
      </c>
      <c r="AJ144" s="893">
        <v>1584.8</v>
      </c>
      <c r="AL144" s="892"/>
    </row>
    <row r="145" spans="2:38" s="96" customFormat="1" x14ac:dyDescent="0.15">
      <c r="B145" s="892" t="s">
        <v>393</v>
      </c>
      <c r="AG145" s="892" t="s">
        <v>394</v>
      </c>
      <c r="AJ145" s="893">
        <v>1607.8</v>
      </c>
      <c r="AL145" s="892"/>
    </row>
    <row r="146" spans="2:38" s="96" customFormat="1" x14ac:dyDescent="0.15">
      <c r="B146" s="892" t="s">
        <v>395</v>
      </c>
      <c r="AG146" s="892" t="s">
        <v>396</v>
      </c>
      <c r="AJ146" s="893">
        <v>892.3</v>
      </c>
      <c r="AL146" s="892"/>
    </row>
    <row r="147" spans="2:38" s="96" customFormat="1" x14ac:dyDescent="0.15">
      <c r="B147" s="96" t="s">
        <v>45</v>
      </c>
      <c r="AG147" s="96" t="s">
        <v>397</v>
      </c>
      <c r="AJ147" s="893">
        <v>12</v>
      </c>
      <c r="AL147" s="892"/>
    </row>
    <row r="148" spans="2:38" s="96" customFormat="1" x14ac:dyDescent="0.15">
      <c r="AJ148" s="243">
        <f>SUM(AJ130:AJ147)</f>
        <v>16274.899999999996</v>
      </c>
      <c r="AL148" s="892"/>
    </row>
    <row r="149" spans="2:38" s="96" customFormat="1" x14ac:dyDescent="0.15">
      <c r="B149" s="96" t="s">
        <v>398</v>
      </c>
      <c r="AJ149" s="243">
        <v>-690.6</v>
      </c>
      <c r="AL149" s="892"/>
    </row>
    <row r="150" spans="2:38" s="96" customFormat="1" x14ac:dyDescent="0.15">
      <c r="B150" s="763" t="s">
        <v>399</v>
      </c>
      <c r="C150" s="763"/>
      <c r="D150" s="763"/>
      <c r="E150" s="763"/>
      <c r="F150" s="763"/>
      <c r="G150" s="763"/>
      <c r="H150" s="763"/>
      <c r="I150" s="763"/>
      <c r="J150" s="763"/>
      <c r="K150" s="763"/>
      <c r="L150" s="763"/>
      <c r="M150" s="763"/>
      <c r="N150" s="763"/>
      <c r="O150" s="763"/>
      <c r="P150" s="763"/>
      <c r="Q150" s="763"/>
      <c r="R150" s="763"/>
      <c r="S150" s="763"/>
      <c r="T150" s="763"/>
      <c r="U150" s="763"/>
      <c r="V150" s="763"/>
      <c r="W150" s="763"/>
      <c r="X150" s="763"/>
      <c r="Y150" s="763"/>
      <c r="Z150" s="763"/>
      <c r="AA150" s="763"/>
      <c r="AB150" s="763"/>
      <c r="AC150" s="763"/>
      <c r="AD150" s="763"/>
      <c r="AE150" s="763"/>
      <c r="AF150" s="763"/>
      <c r="AG150" s="763"/>
      <c r="AH150" s="763"/>
      <c r="AI150" s="763"/>
      <c r="AJ150" s="454">
        <f>AJ148+AJ149</f>
        <v>15584.299999999996</v>
      </c>
    </row>
    <row r="151" spans="2:38" s="96" customFormat="1" x14ac:dyDescent="0.15"/>
    <row r="152" spans="2:38" s="96" customFormat="1" x14ac:dyDescent="0.15"/>
    <row r="153" spans="2:38" s="96" customFormat="1" x14ac:dyDescent="0.15"/>
    <row r="154" spans="2:38" s="96" customFormat="1" x14ac:dyDescent="0.15"/>
    <row r="155" spans="2:38" s="96" customFormat="1" x14ac:dyDescent="0.15"/>
    <row r="156" spans="2:38" s="96" customFormat="1" x14ac:dyDescent="0.15"/>
    <row r="157" spans="2:38" s="96" customFormat="1" x14ac:dyDescent="0.15"/>
    <row r="158" spans="2:38" s="96" customFormat="1" x14ac:dyDescent="0.15"/>
    <row r="159" spans="2:38" s="96" customFormat="1" x14ac:dyDescent="0.15"/>
    <row r="160" spans="2:38" s="96" customFormat="1" x14ac:dyDescent="0.15"/>
    <row r="161" s="96" customFormat="1" x14ac:dyDescent="0.15"/>
    <row r="162" s="96" customFormat="1" x14ac:dyDescent="0.15"/>
    <row r="163" s="96" customFormat="1" x14ac:dyDescent="0.15"/>
    <row r="164" s="96" customFormat="1" x14ac:dyDescent="0.15"/>
    <row r="165" s="96" customFormat="1" x14ac:dyDescent="0.15"/>
    <row r="166" s="96" customFormat="1" x14ac:dyDescent="0.15"/>
    <row r="167" s="96" customFormat="1" x14ac:dyDescent="0.15"/>
    <row r="168" s="96" customFormat="1" x14ac:dyDescent="0.15"/>
    <row r="169" s="96" customFormat="1" x14ac:dyDescent="0.15"/>
    <row r="170" s="96" customFormat="1" x14ac:dyDescent="0.15"/>
    <row r="171" s="96" customFormat="1" x14ac:dyDescent="0.15"/>
    <row r="172" s="96" customFormat="1" x14ac:dyDescent="0.15"/>
    <row r="173" s="96" customFormat="1" x14ac:dyDescent="0.15"/>
    <row r="174" s="96" customFormat="1" x14ac:dyDescent="0.15"/>
    <row r="175" s="96" customFormat="1" x14ac:dyDescent="0.15"/>
    <row r="176" s="96" customFormat="1" x14ac:dyDescent="0.15"/>
    <row r="177" s="96" customFormat="1" x14ac:dyDescent="0.15"/>
    <row r="178" s="96" customFormat="1" x14ac:dyDescent="0.15"/>
    <row r="179" s="96" customFormat="1" x14ac:dyDescent="0.15"/>
    <row r="180" s="96" customFormat="1" x14ac:dyDescent="0.15"/>
    <row r="181" s="96" customFormat="1" x14ac:dyDescent="0.15"/>
    <row r="182" s="96" customFormat="1" x14ac:dyDescent="0.15"/>
    <row r="183" s="96" customFormat="1" x14ac:dyDescent="0.15"/>
    <row r="184" s="96" customFormat="1" x14ac:dyDescent="0.15"/>
    <row r="185" s="96" customFormat="1" x14ac:dyDescent="0.15"/>
    <row r="186" s="96" customFormat="1" x14ac:dyDescent="0.15"/>
    <row r="187" s="96" customFormat="1" x14ac:dyDescent="0.15"/>
    <row r="188" s="96" customFormat="1" x14ac:dyDescent="0.15"/>
    <row r="189" s="96" customFormat="1" x14ac:dyDescent="0.15"/>
    <row r="190" s="96" customFormat="1" x14ac:dyDescent="0.15"/>
    <row r="191" s="96" customFormat="1" x14ac:dyDescent="0.15"/>
    <row r="192" s="96" customFormat="1" x14ac:dyDescent="0.15"/>
    <row r="193" s="96" customFormat="1" x14ac:dyDescent="0.15"/>
    <row r="194" s="96" customFormat="1" x14ac:dyDescent="0.15"/>
    <row r="195" s="96" customFormat="1" x14ac:dyDescent="0.15"/>
    <row r="196" s="96" customFormat="1" x14ac:dyDescent="0.15"/>
    <row r="197" s="96" customFormat="1" x14ac:dyDescent="0.15"/>
    <row r="198" s="96" customFormat="1" x14ac:dyDescent="0.15"/>
    <row r="199" s="96" customFormat="1" x14ac:dyDescent="0.15"/>
    <row r="200" s="96" customFormat="1" x14ac:dyDescent="0.15"/>
    <row r="201" s="96" customFormat="1" x14ac:dyDescent="0.15"/>
    <row r="202" s="96" customFormat="1" x14ac:dyDescent="0.15"/>
    <row r="203" s="96" customFormat="1" x14ac:dyDescent="0.15"/>
    <row r="204" s="96" customFormat="1" x14ac:dyDescent="0.15"/>
    <row r="205" s="96" customFormat="1" x14ac:dyDescent="0.15"/>
    <row r="206" s="96" customFormat="1" x14ac:dyDescent="0.15"/>
    <row r="207" s="96" customFormat="1" x14ac:dyDescent="0.15"/>
    <row r="208" s="96" customFormat="1" x14ac:dyDescent="0.15"/>
    <row r="209" s="96" customFormat="1" x14ac:dyDescent="0.15"/>
    <row r="210" s="96" customFormat="1" x14ac:dyDescent="0.15"/>
    <row r="211" s="96" customFormat="1" x14ac:dyDescent="0.15"/>
    <row r="212" s="96" customFormat="1" x14ac:dyDescent="0.15"/>
    <row r="213" s="96" customFormat="1" x14ac:dyDescent="0.15"/>
    <row r="214" s="96" customFormat="1" x14ac:dyDescent="0.15"/>
    <row r="215" s="96" customFormat="1" x14ac:dyDescent="0.15"/>
    <row r="216" s="96" customFormat="1" x14ac:dyDescent="0.15"/>
    <row r="217" s="96" customFormat="1" x14ac:dyDescent="0.15"/>
    <row r="218" s="96" customFormat="1" x14ac:dyDescent="0.15"/>
    <row r="219" s="96" customFormat="1" x14ac:dyDescent="0.15"/>
    <row r="220" s="96" customFormat="1" x14ac:dyDescent="0.15"/>
    <row r="221" s="96" customFormat="1" x14ac:dyDescent="0.15"/>
    <row r="222" s="96" customFormat="1" x14ac:dyDescent="0.15"/>
    <row r="223" s="96" customFormat="1" x14ac:dyDescent="0.15"/>
    <row r="224" s="96" customFormat="1" x14ac:dyDescent="0.15"/>
    <row r="225" s="96" customFormat="1" x14ac:dyDescent="0.15"/>
    <row r="226" s="96" customFormat="1" x14ac:dyDescent="0.15"/>
    <row r="227" s="96" customFormat="1" x14ac:dyDescent="0.15"/>
    <row r="228" s="96" customFormat="1" x14ac:dyDescent="0.15"/>
    <row r="229" s="96" customFormat="1" x14ac:dyDescent="0.15"/>
    <row r="230" s="96" customFormat="1" x14ac:dyDescent="0.15"/>
    <row r="231" s="96" customFormat="1" x14ac:dyDescent="0.15"/>
    <row r="232" s="96" customFormat="1" x14ac:dyDescent="0.15"/>
    <row r="233" s="96" customFormat="1" x14ac:dyDescent="0.15"/>
    <row r="234" s="96" customFormat="1" x14ac:dyDescent="0.15"/>
    <row r="235" s="96" customFormat="1" x14ac:dyDescent="0.15"/>
    <row r="236" s="96" customFormat="1" x14ac:dyDescent="0.15"/>
    <row r="237" s="96" customFormat="1" x14ac:dyDescent="0.15"/>
    <row r="238" s="96" customFormat="1" x14ac:dyDescent="0.15"/>
    <row r="239" s="96" customFormat="1" x14ac:dyDescent="0.15"/>
    <row r="240" s="96" customFormat="1" x14ac:dyDescent="0.15"/>
    <row r="241" s="96" customFormat="1" x14ac:dyDescent="0.15"/>
    <row r="242" s="96" customFormat="1" x14ac:dyDescent="0.15"/>
    <row r="243" s="96" customFormat="1" x14ac:dyDescent="0.15"/>
    <row r="244" s="96" customFormat="1" x14ac:dyDescent="0.15"/>
    <row r="245" s="96" customFormat="1" x14ac:dyDescent="0.15"/>
    <row r="246" s="96" customFormat="1" x14ac:dyDescent="0.15"/>
    <row r="247" s="96" customFormat="1" x14ac:dyDescent="0.15"/>
    <row r="248" s="96" customFormat="1" x14ac:dyDescent="0.15"/>
    <row r="249" s="96" customFormat="1" x14ac:dyDescent="0.15"/>
    <row r="250" s="96" customFormat="1" x14ac:dyDescent="0.15"/>
    <row r="251" s="96" customFormat="1" x14ac:dyDescent="0.15"/>
    <row r="252" s="96" customFormat="1" x14ac:dyDescent="0.15"/>
    <row r="253" s="96" customFormat="1" x14ac:dyDescent="0.15"/>
    <row r="254" s="96" customFormat="1" x14ac:dyDescent="0.15"/>
    <row r="255" s="96" customFormat="1" x14ac:dyDescent="0.15"/>
    <row r="256" s="96" customFormat="1" x14ac:dyDescent="0.15"/>
    <row r="257" s="96" customFormat="1" x14ac:dyDescent="0.15"/>
    <row r="258" s="96" customFormat="1" x14ac:dyDescent="0.15"/>
    <row r="259" s="96" customFormat="1" x14ac:dyDescent="0.15"/>
    <row r="260" s="96" customFormat="1" x14ac:dyDescent="0.15"/>
    <row r="261" s="96" customFormat="1" x14ac:dyDescent="0.15"/>
    <row r="262" s="96" customFormat="1" x14ac:dyDescent="0.15"/>
    <row r="263" s="96" customFormat="1" x14ac:dyDescent="0.15"/>
    <row r="264" s="96" customFormat="1" x14ac:dyDescent="0.15"/>
    <row r="265" s="96" customFormat="1" x14ac:dyDescent="0.15"/>
    <row r="266" s="96" customFormat="1" x14ac:dyDescent="0.15"/>
    <row r="267" s="96" customFormat="1" x14ac:dyDescent="0.15"/>
    <row r="268" s="96" customFormat="1" x14ac:dyDescent="0.15"/>
    <row r="269" s="96" customFormat="1" x14ac:dyDescent="0.15"/>
    <row r="270" s="96" customFormat="1" x14ac:dyDescent="0.15"/>
    <row r="271" s="96" customFormat="1" x14ac:dyDescent="0.15"/>
    <row r="272" s="96" customFormat="1" x14ac:dyDescent="0.15"/>
    <row r="273" s="96" customFormat="1" x14ac:dyDescent="0.15"/>
    <row r="274" s="96" customFormat="1" x14ac:dyDescent="0.15"/>
    <row r="275" s="96" customFormat="1" x14ac:dyDescent="0.15"/>
    <row r="276" s="96" customFormat="1" x14ac:dyDescent="0.15"/>
    <row r="277" s="96" customFormat="1" x14ac:dyDescent="0.15"/>
    <row r="278" s="96" customFormat="1" x14ac:dyDescent="0.15"/>
    <row r="279" s="96" customFormat="1" x14ac:dyDescent="0.15"/>
    <row r="280" s="96" customFormat="1" x14ac:dyDescent="0.15"/>
    <row r="281" s="96" customFormat="1" x14ac:dyDescent="0.15"/>
    <row r="282" s="96" customFormat="1" x14ac:dyDescent="0.15"/>
    <row r="283" s="96" customFormat="1" x14ac:dyDescent="0.15"/>
    <row r="284" s="96" customFormat="1" x14ac:dyDescent="0.15"/>
    <row r="285" s="96" customFormat="1" x14ac:dyDescent="0.15"/>
    <row r="286" s="96" customFormat="1" x14ac:dyDescent="0.15"/>
    <row r="287" s="96" customFormat="1" x14ac:dyDescent="0.15"/>
    <row r="288" s="96" customFormat="1" x14ac:dyDescent="0.15"/>
    <row r="289" s="96" customFormat="1" x14ac:dyDescent="0.15"/>
    <row r="290" s="96" customFormat="1" x14ac:dyDescent="0.15"/>
    <row r="291" s="96" customFormat="1" x14ac:dyDescent="0.15"/>
    <row r="292" s="96" customFormat="1" x14ac:dyDescent="0.15"/>
    <row r="293" s="96" customFormat="1" x14ac:dyDescent="0.15"/>
    <row r="294" s="96" customFormat="1" x14ac:dyDescent="0.15"/>
    <row r="295" s="96" customFormat="1" x14ac:dyDescent="0.15"/>
    <row r="296" s="96" customFormat="1" x14ac:dyDescent="0.15"/>
    <row r="297" s="96" customFormat="1" x14ac:dyDescent="0.15"/>
    <row r="298" s="96" customFormat="1" x14ac:dyDescent="0.15"/>
    <row r="299" s="96" customFormat="1" x14ac:dyDescent="0.15"/>
    <row r="300" s="96" customFormat="1" x14ac:dyDescent="0.15"/>
    <row r="301" s="96" customFormat="1" x14ac:dyDescent="0.15"/>
    <row r="302" s="96" customFormat="1" x14ac:dyDescent="0.15"/>
    <row r="303" s="96" customFormat="1" x14ac:dyDescent="0.15"/>
    <row r="304" s="96" customFormat="1" x14ac:dyDescent="0.15"/>
    <row r="305" s="96" customFormat="1" x14ac:dyDescent="0.15"/>
    <row r="306" s="96" customFormat="1" x14ac:dyDescent="0.15"/>
    <row r="307" s="96" customFormat="1" x14ac:dyDescent="0.15"/>
    <row r="308" s="96" customFormat="1" x14ac:dyDescent="0.15"/>
    <row r="309" s="96" customFormat="1" x14ac:dyDescent="0.15"/>
    <row r="310" s="96" customFormat="1" x14ac:dyDescent="0.15"/>
    <row r="311" s="96" customFormat="1" x14ac:dyDescent="0.15"/>
    <row r="312" s="96" customFormat="1" x14ac:dyDescent="0.15"/>
    <row r="313" s="96" customFormat="1" x14ac:dyDescent="0.15"/>
    <row r="314" s="96" customFormat="1" x14ac:dyDescent="0.15"/>
    <row r="315" s="96" customFormat="1" x14ac:dyDescent="0.15"/>
    <row r="316" s="96" customFormat="1" x14ac:dyDescent="0.15"/>
    <row r="317" s="96" customFormat="1" x14ac:dyDescent="0.15"/>
    <row r="318" s="96" customFormat="1" x14ac:dyDescent="0.15"/>
    <row r="319" s="96" customFormat="1" x14ac:dyDescent="0.15"/>
    <row r="320" s="96" customFormat="1" x14ac:dyDescent="0.15"/>
    <row r="321" s="96" customFormat="1" x14ac:dyDescent="0.15"/>
    <row r="322" s="96" customFormat="1" x14ac:dyDescent="0.15"/>
    <row r="323" s="96" customFormat="1" x14ac:dyDescent="0.15"/>
    <row r="324" s="96" customFormat="1" x14ac:dyDescent="0.15"/>
    <row r="325" s="96" customFormat="1" x14ac:dyDescent="0.15"/>
    <row r="326" s="96" customFormat="1" x14ac:dyDescent="0.15"/>
    <row r="327" s="96" customFormat="1" x14ac:dyDescent="0.15"/>
    <row r="328" s="96" customFormat="1" x14ac:dyDescent="0.15"/>
    <row r="329" s="96" customFormat="1" x14ac:dyDescent="0.15"/>
    <row r="330" s="96" customFormat="1" x14ac:dyDescent="0.15"/>
    <row r="331" s="96" customFormat="1" x14ac:dyDescent="0.15"/>
    <row r="332" s="96" customFormat="1" x14ac:dyDescent="0.15"/>
    <row r="333" s="96" customFormat="1" x14ac:dyDescent="0.15"/>
    <row r="334" s="96" customFormat="1" x14ac:dyDescent="0.15"/>
    <row r="335" s="96" customFormat="1" x14ac:dyDescent="0.15"/>
    <row r="336" s="96" customFormat="1" x14ac:dyDescent="0.15"/>
    <row r="337" s="96" customFormat="1" x14ac:dyDescent="0.15"/>
    <row r="338" s="96" customFormat="1" x14ac:dyDescent="0.15"/>
    <row r="339" s="96" customFormat="1" x14ac:dyDescent="0.15"/>
    <row r="340" s="96" customFormat="1" x14ac:dyDescent="0.15"/>
    <row r="341" s="96" customFormat="1" x14ac:dyDescent="0.15"/>
    <row r="342" s="96" customFormat="1" x14ac:dyDescent="0.15"/>
    <row r="343" s="96" customFormat="1" x14ac:dyDescent="0.15"/>
    <row r="344" s="96" customFormat="1" x14ac:dyDescent="0.15"/>
    <row r="345" s="96" customFormat="1" x14ac:dyDescent="0.15"/>
    <row r="346" s="96" customFormat="1" x14ac:dyDescent="0.15"/>
    <row r="347" s="96" customFormat="1" x14ac:dyDescent="0.15"/>
    <row r="348" s="96" customFormat="1" x14ac:dyDescent="0.15"/>
    <row r="349" s="96" customFormat="1" x14ac:dyDescent="0.15"/>
    <row r="350" s="96" customFormat="1" x14ac:dyDescent="0.15"/>
    <row r="351" s="96" customFormat="1" x14ac:dyDescent="0.15"/>
    <row r="352" s="96" customFormat="1" x14ac:dyDescent="0.15"/>
    <row r="353" s="96" customFormat="1" x14ac:dyDescent="0.15"/>
    <row r="354" s="96" customFormat="1" x14ac:dyDescent="0.15"/>
    <row r="355" s="96" customFormat="1" x14ac:dyDescent="0.15"/>
    <row r="356" s="96" customFormat="1" x14ac:dyDescent="0.15"/>
    <row r="357" s="96" customFormat="1" x14ac:dyDescent="0.15"/>
    <row r="358" s="96" customFormat="1" x14ac:dyDescent="0.15"/>
    <row r="359" s="96" customFormat="1" x14ac:dyDescent="0.15"/>
    <row r="360" s="96" customFormat="1" x14ac:dyDescent="0.15"/>
    <row r="361" s="96" customFormat="1" x14ac:dyDescent="0.15"/>
    <row r="362" s="96" customFormat="1" x14ac:dyDescent="0.15"/>
    <row r="363" s="96" customFormat="1" x14ac:dyDescent="0.15"/>
    <row r="364" s="96" customFormat="1" x14ac:dyDescent="0.15"/>
    <row r="365" s="96" customFormat="1" x14ac:dyDescent="0.15"/>
    <row r="366" s="96" customFormat="1" x14ac:dyDescent="0.15"/>
    <row r="367" s="96" customFormat="1" x14ac:dyDescent="0.15"/>
    <row r="368" s="96" customFormat="1" x14ac:dyDescent="0.15"/>
    <row r="369" s="96" customFormat="1" x14ac:dyDescent="0.15"/>
    <row r="370" s="96" customFormat="1" x14ac:dyDescent="0.15"/>
    <row r="371" s="96" customFormat="1" x14ac:dyDescent="0.15"/>
    <row r="372" s="96" customFormat="1" x14ac:dyDescent="0.15"/>
    <row r="373" s="96" customFormat="1" x14ac:dyDescent="0.15"/>
    <row r="374" s="96" customFormat="1" x14ac:dyDescent="0.15"/>
    <row r="375" s="96" customFormat="1" x14ac:dyDescent="0.15"/>
    <row r="376" s="96" customFormat="1" x14ac:dyDescent="0.15"/>
    <row r="377" s="96" customFormat="1" x14ac:dyDescent="0.15"/>
    <row r="378" s="96" customFormat="1" x14ac:dyDescent="0.15"/>
    <row r="379" s="96" customFormat="1" x14ac:dyDescent="0.15"/>
    <row r="380" s="96" customFormat="1" x14ac:dyDescent="0.15"/>
    <row r="381" s="96" customFormat="1" x14ac:dyDescent="0.15"/>
    <row r="382" s="96" customFormat="1" x14ac:dyDescent="0.15"/>
    <row r="383" s="96" customFormat="1" x14ac:dyDescent="0.15"/>
    <row r="384" s="96" customFormat="1" x14ac:dyDescent="0.15"/>
    <row r="385" s="96" customFormat="1" x14ac:dyDescent="0.15"/>
    <row r="386" s="96" customFormat="1" x14ac:dyDescent="0.15"/>
    <row r="387" s="96" customFormat="1" x14ac:dyDescent="0.15"/>
    <row r="388" s="96" customFormat="1" x14ac:dyDescent="0.15"/>
    <row r="389" s="96" customFormat="1" x14ac:dyDescent="0.15"/>
    <row r="390" s="96" customFormat="1" x14ac:dyDescent="0.15"/>
    <row r="391" s="96" customFormat="1" x14ac:dyDescent="0.15"/>
    <row r="392" s="96" customFormat="1" x14ac:dyDescent="0.15"/>
    <row r="393" s="96" customFormat="1" x14ac:dyDescent="0.15"/>
    <row r="394" s="96" customFormat="1" x14ac:dyDescent="0.15"/>
    <row r="395" s="96" customFormat="1" x14ac:dyDescent="0.15"/>
    <row r="396" s="96" customFormat="1" x14ac:dyDescent="0.15"/>
    <row r="397" s="96" customFormat="1" x14ac:dyDescent="0.15"/>
    <row r="398" s="96" customFormat="1" x14ac:dyDescent="0.15"/>
    <row r="399" s="96" customFormat="1" x14ac:dyDescent="0.15"/>
    <row r="400" s="96" customFormat="1" x14ac:dyDescent="0.15"/>
    <row r="401" s="96" customFormat="1" x14ac:dyDescent="0.15"/>
    <row r="402" s="96" customFormat="1" x14ac:dyDescent="0.15"/>
    <row r="403" s="96" customFormat="1" x14ac:dyDescent="0.15"/>
    <row r="404" s="96" customFormat="1" x14ac:dyDescent="0.15"/>
    <row r="405" s="96" customFormat="1" x14ac:dyDescent="0.15"/>
    <row r="406" s="96" customFormat="1" x14ac:dyDescent="0.15"/>
    <row r="407" s="96" customFormat="1" x14ac:dyDescent="0.15"/>
    <row r="408" s="96" customFormat="1" x14ac:dyDescent="0.15"/>
    <row r="409" s="96" customFormat="1" x14ac:dyDescent="0.15"/>
    <row r="410" s="96" customFormat="1" x14ac:dyDescent="0.15"/>
    <row r="411" s="96" customFormat="1" x14ac:dyDescent="0.15"/>
    <row r="412" s="96" customFormat="1" x14ac:dyDescent="0.15"/>
    <row r="413" s="96" customFormat="1" x14ac:dyDescent="0.15"/>
    <row r="414" s="96" customFormat="1" x14ac:dyDescent="0.15"/>
    <row r="415" s="96" customFormat="1" x14ac:dyDescent="0.15"/>
    <row r="416" s="96" customFormat="1" x14ac:dyDescent="0.15"/>
    <row r="417" s="96" customFormat="1" x14ac:dyDescent="0.15"/>
    <row r="418" s="96" customFormat="1" x14ac:dyDescent="0.15"/>
    <row r="419" s="96" customFormat="1" x14ac:dyDescent="0.15"/>
    <row r="420" s="96" customFormat="1" x14ac:dyDescent="0.15"/>
    <row r="421" s="96" customFormat="1" x14ac:dyDescent="0.15"/>
    <row r="422" s="96" customFormat="1" x14ac:dyDescent="0.15"/>
    <row r="423" s="96" customFormat="1" x14ac:dyDescent="0.15"/>
    <row r="424" s="96" customFormat="1" x14ac:dyDescent="0.15"/>
    <row r="425" s="96" customFormat="1" x14ac:dyDescent="0.15"/>
    <row r="426" s="96" customFormat="1" x14ac:dyDescent="0.15"/>
    <row r="427" s="96" customFormat="1" x14ac:dyDescent="0.15"/>
    <row r="428" s="96" customFormat="1" x14ac:dyDescent="0.15"/>
    <row r="429" s="96" customFormat="1" x14ac:dyDescent="0.15"/>
    <row r="430" s="96" customFormat="1" x14ac:dyDescent="0.15"/>
    <row r="431" s="96" customFormat="1" x14ac:dyDescent="0.15"/>
    <row r="432" s="96" customFormat="1" x14ac:dyDescent="0.15"/>
    <row r="433" s="96" customFormat="1" x14ac:dyDescent="0.15"/>
    <row r="434" s="96" customFormat="1" x14ac:dyDescent="0.15"/>
    <row r="435" s="96" customFormat="1" x14ac:dyDescent="0.15"/>
    <row r="436" s="96" customFormat="1" x14ac:dyDescent="0.15"/>
    <row r="437" s="96" customFormat="1" x14ac:dyDescent="0.15"/>
    <row r="438" s="96" customFormat="1" x14ac:dyDescent="0.15"/>
    <row r="439" s="96" customFormat="1" x14ac:dyDescent="0.15"/>
    <row r="440" s="96" customFormat="1" x14ac:dyDescent="0.15"/>
    <row r="441" s="96" customFormat="1" x14ac:dyDescent="0.15"/>
    <row r="442" s="96" customFormat="1" x14ac:dyDescent="0.15"/>
    <row r="443" s="96" customFormat="1" x14ac:dyDescent="0.15"/>
    <row r="444" s="96" customFormat="1" x14ac:dyDescent="0.15"/>
    <row r="445" s="96" customFormat="1" x14ac:dyDescent="0.15"/>
    <row r="446" s="96" customFormat="1" x14ac:dyDescent="0.15"/>
    <row r="447" s="96" customFormat="1" x14ac:dyDescent="0.15"/>
    <row r="448" s="96" customFormat="1" x14ac:dyDescent="0.15"/>
    <row r="449" s="96" customFormat="1" x14ac:dyDescent="0.15"/>
    <row r="450" s="96" customFormat="1" x14ac:dyDescent="0.15"/>
    <row r="451" s="96" customFormat="1" x14ac:dyDescent="0.15"/>
    <row r="452" s="96" customFormat="1" x14ac:dyDescent="0.15"/>
    <row r="453" s="96" customFormat="1" x14ac:dyDescent="0.15"/>
    <row r="454" s="96" customFormat="1" x14ac:dyDescent="0.15"/>
    <row r="455" s="96" customFormat="1" x14ac:dyDescent="0.15"/>
    <row r="456" s="96" customFormat="1" x14ac:dyDescent="0.15"/>
    <row r="457" s="96" customFormat="1" x14ac:dyDescent="0.15"/>
    <row r="458" s="96" customFormat="1" x14ac:dyDescent="0.15"/>
    <row r="459" s="96" customFormat="1" x14ac:dyDescent="0.15"/>
    <row r="460" s="96" customFormat="1" x14ac:dyDescent="0.15"/>
    <row r="461" s="96" customFormat="1" x14ac:dyDescent="0.15"/>
    <row r="462" s="96" customFormat="1" x14ac:dyDescent="0.15"/>
    <row r="463" s="96" customFormat="1" x14ac:dyDescent="0.15"/>
    <row r="464" s="96" customFormat="1" x14ac:dyDescent="0.15"/>
    <row r="465" s="96" customFormat="1" x14ac:dyDescent="0.15"/>
    <row r="466" s="96" customFormat="1" x14ac:dyDescent="0.15"/>
    <row r="467" s="96" customFormat="1" x14ac:dyDescent="0.15"/>
    <row r="468" s="96" customFormat="1" x14ac:dyDescent="0.15"/>
    <row r="469" s="96" customFormat="1" x14ac:dyDescent="0.15"/>
    <row r="470" s="96" customFormat="1" x14ac:dyDescent="0.15"/>
    <row r="471" s="96" customFormat="1" x14ac:dyDescent="0.15"/>
    <row r="472" s="96" customFormat="1" x14ac:dyDescent="0.15"/>
    <row r="473" s="96" customFormat="1" x14ac:dyDescent="0.15"/>
    <row r="474" s="96" customFormat="1" x14ac:dyDescent="0.15"/>
    <row r="475" s="96" customFormat="1" x14ac:dyDescent="0.15"/>
    <row r="476" s="96" customFormat="1" x14ac:dyDescent="0.15"/>
    <row r="477" s="96" customFormat="1" x14ac:dyDescent="0.15"/>
    <row r="478" s="96" customFormat="1" x14ac:dyDescent="0.15"/>
    <row r="479" s="96" customFormat="1" x14ac:dyDescent="0.15"/>
    <row r="480" s="96" customFormat="1" x14ac:dyDescent="0.15"/>
    <row r="481" s="96" customFormat="1" x14ac:dyDescent="0.15"/>
    <row r="482" s="96" customFormat="1" x14ac:dyDescent="0.15"/>
    <row r="483" s="96" customFormat="1" x14ac:dyDescent="0.15"/>
    <row r="484" s="96" customFormat="1" x14ac:dyDescent="0.15"/>
    <row r="485" s="96" customFormat="1" x14ac:dyDescent="0.15"/>
    <row r="486" s="96" customFormat="1" x14ac:dyDescent="0.15"/>
    <row r="487" s="96" customFormat="1" x14ac:dyDescent="0.15"/>
    <row r="488" s="96" customFormat="1" x14ac:dyDescent="0.15"/>
    <row r="489" s="96" customFormat="1" x14ac:dyDescent="0.15"/>
    <row r="490" s="96" customFormat="1" x14ac:dyDescent="0.15"/>
    <row r="491" s="96" customFormat="1" x14ac:dyDescent="0.15"/>
    <row r="492" s="96" customFormat="1" x14ac:dyDescent="0.15"/>
    <row r="493" s="96" customFormat="1" x14ac:dyDescent="0.15"/>
    <row r="494" s="96" customFormat="1" x14ac:dyDescent="0.15"/>
    <row r="495" s="96" customFormat="1" x14ac:dyDescent="0.15"/>
    <row r="496" s="96" customFormat="1" x14ac:dyDescent="0.15"/>
    <row r="497" s="96" customFormat="1" x14ac:dyDescent="0.15"/>
    <row r="498" s="96" customFormat="1" x14ac:dyDescent="0.15"/>
    <row r="499" s="96" customFormat="1" x14ac:dyDescent="0.15"/>
    <row r="500" s="96" customFormat="1" x14ac:dyDescent="0.15"/>
    <row r="501" s="96" customFormat="1" x14ac:dyDescent="0.15"/>
    <row r="502" s="96" customFormat="1" x14ac:dyDescent="0.15"/>
    <row r="503" s="96" customFormat="1" x14ac:dyDescent="0.15"/>
    <row r="504" s="96" customFormat="1" x14ac:dyDescent="0.15"/>
    <row r="505" s="96" customFormat="1" x14ac:dyDescent="0.15"/>
    <row r="506" s="96" customFormat="1" x14ac:dyDescent="0.15"/>
    <row r="507" s="96" customFormat="1" x14ac:dyDescent="0.15"/>
    <row r="508" s="96" customFormat="1" x14ac:dyDescent="0.15"/>
    <row r="509" s="96" customFormat="1" x14ac:dyDescent="0.15"/>
    <row r="510" s="96" customFormat="1" x14ac:dyDescent="0.15"/>
    <row r="511" s="96" customFormat="1" x14ac:dyDescent="0.15"/>
    <row r="512" s="96" customFormat="1" x14ac:dyDescent="0.15"/>
    <row r="513" s="96" customFormat="1" x14ac:dyDescent="0.15"/>
    <row r="514" s="96" customFormat="1" x14ac:dyDescent="0.15"/>
    <row r="515" s="96" customFormat="1" x14ac:dyDescent="0.15"/>
    <row r="516" s="96" customFormat="1" x14ac:dyDescent="0.15"/>
    <row r="517" s="96" customFormat="1" x14ac:dyDescent="0.15"/>
    <row r="518" s="96" customFormat="1" x14ac:dyDescent="0.15"/>
    <row r="519" s="96" customFormat="1" x14ac:dyDescent="0.15"/>
    <row r="520" s="96" customFormat="1" x14ac:dyDescent="0.15"/>
    <row r="521" s="96" customFormat="1" x14ac:dyDescent="0.15"/>
    <row r="522" s="96" customFormat="1" x14ac:dyDescent="0.15"/>
    <row r="523" s="96" customFormat="1" x14ac:dyDescent="0.15"/>
    <row r="524" s="96" customFormat="1" x14ac:dyDescent="0.15"/>
    <row r="525" s="96" customFormat="1" x14ac:dyDescent="0.15"/>
    <row r="526" s="96" customFormat="1" x14ac:dyDescent="0.15"/>
    <row r="527" s="96" customFormat="1" x14ac:dyDescent="0.15"/>
    <row r="528" s="96" customFormat="1" x14ac:dyDescent="0.15"/>
    <row r="529" s="96" customFormat="1" x14ac:dyDescent="0.15"/>
    <row r="530" s="96" customFormat="1" x14ac:dyDescent="0.15"/>
    <row r="531" s="96" customFormat="1" x14ac:dyDescent="0.15"/>
    <row r="532" s="96" customFormat="1" x14ac:dyDescent="0.15"/>
    <row r="533" s="96" customFormat="1" x14ac:dyDescent="0.15"/>
  </sheetData>
  <conditionalFormatting sqref="A94:A1048576 BQ94:BQ1048576 BS94:XFD1048576 BR94:BR111 BR114:BR1048576 AL114:AL129 B114:AK158 AL137:AL158 AM114:AM158 B187:AM1048576 AN127:BP1048576 B110:AL110 AP110 B111:AQ111 A75:AQ75 A71:AN74 AP71:AQ74 A77:AQ92 A76:AN76 AP76:AQ76 A11:AQ70 AN114:AQ126 B94:AQ99 AV111:BP111 AV114:BP126 AV11:XFD92 B105:AP109 B104:AO104 A1:XFD10 AV94:BP99 B100:AP103 AW100:BP110">
    <cfRule type="expression" dxfId="300" priority="12" stopIfTrue="1">
      <formula>ISERROR(A1)</formula>
    </cfRule>
  </conditionalFormatting>
  <conditionalFormatting sqref="AM110:AO110">
    <cfRule type="expression" dxfId="299" priority="11" stopIfTrue="1">
      <formula>ISERROR(AM110)</formula>
    </cfRule>
  </conditionalFormatting>
  <conditionalFormatting sqref="AO71:AO74">
    <cfRule type="expression" dxfId="298" priority="10" stopIfTrue="1">
      <formula>ISERROR(AO71)</formula>
    </cfRule>
  </conditionalFormatting>
  <conditionalFormatting sqref="AO76">
    <cfRule type="expression" dxfId="297" priority="9" stopIfTrue="1">
      <formula>ISERROR(AO76)</formula>
    </cfRule>
  </conditionalFormatting>
  <conditionalFormatting sqref="AR114:AU126 AR99:AU111 AR11:AU67 AR69:AU89 AR68:AS68 AU68 AR91:AU92">
    <cfRule type="expression" dxfId="296" priority="8" stopIfTrue="1">
      <formula>ISERROR(AR11)</formula>
    </cfRule>
  </conditionalFormatting>
  <conditionalFormatting sqref="AR94:AU98">
    <cfRule type="expression" dxfId="295" priority="7" stopIfTrue="1">
      <formula>ISERROR(AR94)</formula>
    </cfRule>
  </conditionalFormatting>
  <conditionalFormatting sqref="AP104">
    <cfRule type="expression" dxfId="294" priority="5" stopIfTrue="1">
      <formula>ISERROR(AP104)</formula>
    </cfRule>
  </conditionalFormatting>
  <conditionalFormatting sqref="AT68">
    <cfRule type="expression" dxfId="293" priority="4" stopIfTrue="1">
      <formula>ISERROR(AT68)</formula>
    </cfRule>
  </conditionalFormatting>
  <conditionalFormatting sqref="AR90:AU90">
    <cfRule type="expression" dxfId="292" priority="3" stopIfTrue="1">
      <formula>ISERROR(AR90)</formula>
    </cfRule>
  </conditionalFormatting>
  <conditionalFormatting sqref="AQ100:AQ110">
    <cfRule type="expression" dxfId="291" priority="2" stopIfTrue="1">
      <formula>ISERROR(AQ100)</formula>
    </cfRule>
  </conditionalFormatting>
  <conditionalFormatting sqref="AV100:AV110">
    <cfRule type="expression" dxfId="290" priority="1" stopIfTrue="1">
      <formula>ISERROR(AV100)</formula>
    </cfRule>
  </conditionalFormatting>
  <dataValidations disablePrompts="1" count="1">
    <dataValidation type="custom" allowBlank="1" showInputMessage="1" showErrorMessage="1" sqref="AH7:AK8 BL7:BO8 BG7:BJ8 AR7:AU8 AM7:AP8 AC7:AF8 X7:AA8 N7:Q8 S7:V8 BB7:BE8 AW7:AZ8">
      <formula1>-1</formula1>
    </dataValidation>
  </dataValidations>
  <pageMargins left="0.75" right="0.75" top="1" bottom="1" header="0.5" footer="0.5"/>
  <pageSetup scale="44" fitToHeight="3" orientation="landscape" r:id="rId1"/>
  <headerFooter alignWithMargins="0"/>
  <rowBreaks count="1" manualBreakCount="1">
    <brk id="84" min="1" max="4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E2887"/>
  <sheetViews>
    <sheetView workbookViewId="0">
      <selection activeCell="BD10" sqref="BD10"/>
    </sheetView>
  </sheetViews>
  <sheetFormatPr baseColWidth="10" defaultColWidth="9.1640625" defaultRowHeight="13" outlineLevelCol="1" x14ac:dyDescent="0.15"/>
  <cols>
    <col min="1" max="1" width="2" style="355" customWidth="1"/>
    <col min="2" max="2" width="35.5" style="355" customWidth="1"/>
    <col min="3" max="3" width="12.33203125" style="355" customWidth="1"/>
    <col min="4" max="47" width="9.1640625" style="355" hidden="1" customWidth="1"/>
    <col min="48" max="51" width="10.6640625" style="355" hidden="1" customWidth="1" outlineLevel="1"/>
    <col min="52" max="52" width="10.6640625" style="355" customWidth="1" collapsed="1"/>
    <col min="53" max="56" width="10.6640625" style="355" customWidth="1" outlineLevel="1"/>
    <col min="57" max="57" width="10.6640625" style="355" customWidth="1"/>
    <col min="58" max="61" width="10.6640625" style="355" customWidth="1" outlineLevel="1"/>
    <col min="62" max="62" width="10.6640625" style="355" customWidth="1"/>
    <col min="63" max="63" width="10.6640625" style="355" hidden="1" customWidth="1" outlineLevel="1"/>
    <col min="64" max="66" width="9.1640625" style="355" hidden="1" customWidth="1" outlineLevel="1"/>
    <col min="67" max="67" width="9.1640625" style="355" collapsed="1"/>
    <col min="68" max="71" width="0" style="355" hidden="1" customWidth="1"/>
    <col min="72" max="72" width="9.1640625" style="355"/>
    <col min="73" max="76" width="0" style="355" hidden="1" customWidth="1"/>
    <col min="77" max="77" width="9.1640625" style="355"/>
    <col min="78" max="81" width="0" style="355" hidden="1" customWidth="1"/>
    <col min="82" max="16384" width="9.1640625" style="355"/>
  </cols>
  <sheetData>
    <row r="2" spans="1:83" x14ac:dyDescent="0.15">
      <c r="B2" s="584" t="s">
        <v>1</v>
      </c>
    </row>
    <row r="3" spans="1:83" x14ac:dyDescent="0.15">
      <c r="B3" s="584" t="s">
        <v>194</v>
      </c>
    </row>
    <row r="4" spans="1:83" x14ac:dyDescent="0.15">
      <c r="B4" s="585"/>
    </row>
    <row r="5" spans="1:83" x14ac:dyDescent="0.15">
      <c r="B5" s="585"/>
    </row>
    <row r="7" spans="1:83" x14ac:dyDescent="0.15">
      <c r="A7" s="208"/>
      <c r="B7" s="586" t="s">
        <v>5</v>
      </c>
      <c r="C7" s="1004" t="s">
        <v>195</v>
      </c>
      <c r="D7" s="23">
        <v>38504</v>
      </c>
      <c r="E7" s="23">
        <v>38596</v>
      </c>
      <c r="F7" s="23">
        <v>38687</v>
      </c>
      <c r="G7" s="24"/>
      <c r="H7" s="23">
        <v>38777</v>
      </c>
      <c r="I7" s="23">
        <v>38869</v>
      </c>
      <c r="J7" s="23">
        <v>38961</v>
      </c>
      <c r="K7" s="23">
        <v>39052</v>
      </c>
      <c r="L7" s="24"/>
      <c r="M7" s="23">
        <v>39142</v>
      </c>
      <c r="N7" s="23">
        <v>39234</v>
      </c>
      <c r="O7" s="23">
        <v>39326</v>
      </c>
      <c r="P7" s="23">
        <v>39417</v>
      </c>
      <c r="Q7" s="24"/>
      <c r="R7" s="23">
        <v>39508</v>
      </c>
      <c r="S7" s="23">
        <v>39600</v>
      </c>
      <c r="T7" s="23">
        <v>39692</v>
      </c>
      <c r="U7" s="23">
        <v>39783</v>
      </c>
      <c r="V7" s="24"/>
      <c r="W7" s="23">
        <v>39873</v>
      </c>
      <c r="X7" s="23">
        <v>39965</v>
      </c>
      <c r="Y7" s="23">
        <v>40057</v>
      </c>
      <c r="Z7" s="23">
        <v>40148</v>
      </c>
      <c r="AA7" s="24"/>
      <c r="AB7" s="23">
        <v>40238</v>
      </c>
      <c r="AC7" s="23">
        <v>40330</v>
      </c>
      <c r="AD7" s="23">
        <v>40422</v>
      </c>
      <c r="AE7" s="23">
        <v>40513</v>
      </c>
      <c r="AF7" s="24"/>
      <c r="AG7" s="23">
        <v>40603</v>
      </c>
      <c r="AH7" s="23">
        <v>40695</v>
      </c>
      <c r="AI7" s="23">
        <v>40787</v>
      </c>
      <c r="AJ7" s="23">
        <v>40878</v>
      </c>
      <c r="AK7" s="24"/>
      <c r="AL7" s="23">
        <v>40969</v>
      </c>
      <c r="AM7" s="23">
        <v>41061</v>
      </c>
      <c r="AN7" s="23">
        <v>41153</v>
      </c>
      <c r="AO7" s="23">
        <v>41244</v>
      </c>
      <c r="AP7" s="24"/>
      <c r="AQ7" s="23">
        <v>41334</v>
      </c>
      <c r="AR7" s="23">
        <v>41426</v>
      </c>
      <c r="AS7" s="23">
        <v>41518</v>
      </c>
      <c r="AT7" s="23">
        <v>41609</v>
      </c>
      <c r="AU7" s="24"/>
      <c r="AV7" s="23">
        <v>41699</v>
      </c>
      <c r="AW7" s="23">
        <v>41791</v>
      </c>
      <c r="AX7" s="23">
        <v>41883</v>
      </c>
      <c r="AY7" s="23">
        <v>41974</v>
      </c>
      <c r="AZ7" s="219">
        <v>2014</v>
      </c>
      <c r="BA7" s="23">
        <v>42064</v>
      </c>
      <c r="BB7" s="23">
        <v>42156</v>
      </c>
      <c r="BC7" s="23">
        <v>42248</v>
      </c>
      <c r="BD7" s="23">
        <v>42339</v>
      </c>
      <c r="BE7" s="219">
        <v>2015</v>
      </c>
      <c r="BF7" s="23">
        <v>42431</v>
      </c>
      <c r="BG7" s="23">
        <v>42523</v>
      </c>
      <c r="BH7" s="23">
        <v>42615</v>
      </c>
      <c r="BI7" s="23">
        <v>42706</v>
      </c>
      <c r="BJ7" s="219">
        <v>2016</v>
      </c>
      <c r="BK7" s="219">
        <v>42066</v>
      </c>
      <c r="BL7" s="219">
        <v>42158</v>
      </c>
      <c r="BM7" s="219">
        <v>42250</v>
      </c>
      <c r="BN7" s="219">
        <v>42341</v>
      </c>
      <c r="BO7" s="219">
        <v>2017</v>
      </c>
      <c r="BP7" s="219">
        <v>42067</v>
      </c>
      <c r="BQ7" s="219">
        <v>42159</v>
      </c>
      <c r="BR7" s="219">
        <v>42251</v>
      </c>
      <c r="BS7" s="219">
        <v>42342</v>
      </c>
      <c r="BT7" s="219">
        <v>2018</v>
      </c>
      <c r="BU7" s="219">
        <v>42068</v>
      </c>
      <c r="BV7" s="219">
        <v>42160</v>
      </c>
      <c r="BW7" s="219">
        <v>42252</v>
      </c>
      <c r="BX7" s="219">
        <v>42343</v>
      </c>
      <c r="BY7" s="219">
        <v>2019</v>
      </c>
      <c r="BZ7" s="219">
        <v>42069</v>
      </c>
      <c r="CA7" s="219">
        <v>42161</v>
      </c>
      <c r="CB7" s="219">
        <v>42253</v>
      </c>
      <c r="CC7" s="219">
        <v>42344</v>
      </c>
      <c r="CD7" s="219">
        <v>2020</v>
      </c>
    </row>
    <row r="8" spans="1:83" x14ac:dyDescent="0.15">
      <c r="A8" s="208"/>
      <c r="B8" s="587" t="s">
        <v>6</v>
      </c>
      <c r="C8" s="1005"/>
      <c r="D8" s="221" t="s">
        <v>8</v>
      </c>
      <c r="E8" s="221" t="s">
        <v>9</v>
      </c>
      <c r="F8" s="221" t="s">
        <v>10</v>
      </c>
      <c r="G8" s="222" t="s">
        <v>11</v>
      </c>
      <c r="H8" s="221" t="s">
        <v>7</v>
      </c>
      <c r="I8" s="221" t="s">
        <v>8</v>
      </c>
      <c r="J8" s="221" t="s">
        <v>9</v>
      </c>
      <c r="K8" s="221" t="s">
        <v>10</v>
      </c>
      <c r="L8" s="222" t="s">
        <v>12</v>
      </c>
      <c r="M8" s="221" t="s">
        <v>7</v>
      </c>
      <c r="N8" s="221" t="s">
        <v>8</v>
      </c>
      <c r="O8" s="221" t="s">
        <v>9</v>
      </c>
      <c r="P8" s="221" t="s">
        <v>10</v>
      </c>
      <c r="Q8" s="222" t="s">
        <v>13</v>
      </c>
      <c r="R8" s="221" t="s">
        <v>7</v>
      </c>
      <c r="S8" s="221" t="s">
        <v>8</v>
      </c>
      <c r="T8" s="221" t="s">
        <v>9</v>
      </c>
      <c r="U8" s="221" t="s">
        <v>10</v>
      </c>
      <c r="V8" s="222" t="s">
        <v>14</v>
      </c>
      <c r="W8" s="221" t="s">
        <v>7</v>
      </c>
      <c r="X8" s="221" t="s">
        <v>8</v>
      </c>
      <c r="Y8" s="221" t="s">
        <v>9</v>
      </c>
      <c r="Z8" s="221" t="s">
        <v>10</v>
      </c>
      <c r="AA8" s="222" t="s">
        <v>122</v>
      </c>
      <c r="AB8" s="221" t="s">
        <v>7</v>
      </c>
      <c r="AC8" s="221" t="s">
        <v>8</v>
      </c>
      <c r="AD8" s="221" t="s">
        <v>9</v>
      </c>
      <c r="AE8" s="221" t="s">
        <v>10</v>
      </c>
      <c r="AF8" s="222" t="s">
        <v>16</v>
      </c>
      <c r="AG8" s="221" t="s">
        <v>7</v>
      </c>
      <c r="AH8" s="221" t="s">
        <v>8</v>
      </c>
      <c r="AI8" s="221" t="s">
        <v>9</v>
      </c>
      <c r="AJ8" s="221" t="s">
        <v>10</v>
      </c>
      <c r="AK8" s="222" t="s">
        <v>17</v>
      </c>
      <c r="AL8" s="221" t="s">
        <v>7</v>
      </c>
      <c r="AM8" s="221" t="s">
        <v>8</v>
      </c>
      <c r="AN8" s="221" t="s">
        <v>9</v>
      </c>
      <c r="AO8" s="221" t="s">
        <v>10</v>
      </c>
      <c r="AP8" s="222" t="s">
        <v>18</v>
      </c>
      <c r="AQ8" s="221" t="s">
        <v>7</v>
      </c>
      <c r="AR8" s="221" t="s">
        <v>8</v>
      </c>
      <c r="AS8" s="221" t="s">
        <v>9</v>
      </c>
      <c r="AT8" s="221" t="s">
        <v>10</v>
      </c>
      <c r="AU8" s="222" t="s">
        <v>19</v>
      </c>
      <c r="AV8" s="221" t="s">
        <v>7</v>
      </c>
      <c r="AW8" s="221" t="s">
        <v>8</v>
      </c>
      <c r="AX8" s="221" t="s">
        <v>9</v>
      </c>
      <c r="AY8" s="221" t="s">
        <v>10</v>
      </c>
      <c r="AZ8" s="223" t="s">
        <v>20</v>
      </c>
      <c r="BA8" s="221" t="s">
        <v>7</v>
      </c>
      <c r="BB8" s="221" t="s">
        <v>8</v>
      </c>
      <c r="BC8" s="221" t="s">
        <v>9</v>
      </c>
      <c r="BD8" s="221" t="s">
        <v>25</v>
      </c>
      <c r="BE8" s="223" t="s">
        <v>32</v>
      </c>
      <c r="BF8" s="221" t="s">
        <v>22</v>
      </c>
      <c r="BG8" s="221" t="s">
        <v>23</v>
      </c>
      <c r="BH8" s="221" t="s">
        <v>24</v>
      </c>
      <c r="BI8" s="221" t="s">
        <v>25</v>
      </c>
      <c r="BJ8" s="223" t="s">
        <v>26</v>
      </c>
      <c r="BK8" s="221" t="s">
        <v>22</v>
      </c>
      <c r="BL8" s="221" t="s">
        <v>23</v>
      </c>
      <c r="BM8" s="221" t="s">
        <v>24</v>
      </c>
      <c r="BN8" s="221" t="s">
        <v>25</v>
      </c>
      <c r="BO8" s="223" t="s">
        <v>27</v>
      </c>
      <c r="BP8" s="221" t="s">
        <v>22</v>
      </c>
      <c r="BQ8" s="221" t="s">
        <v>23</v>
      </c>
      <c r="BR8" s="221" t="s">
        <v>24</v>
      </c>
      <c r="BS8" s="221" t="s">
        <v>25</v>
      </c>
      <c r="BT8" s="223" t="s">
        <v>28</v>
      </c>
      <c r="BU8" s="221" t="s">
        <v>22</v>
      </c>
      <c r="BV8" s="221" t="s">
        <v>23</v>
      </c>
      <c r="BW8" s="221" t="s">
        <v>24</v>
      </c>
      <c r="BX8" s="221" t="s">
        <v>25</v>
      </c>
      <c r="BY8" s="223" t="s">
        <v>29</v>
      </c>
      <c r="BZ8" s="221" t="s">
        <v>22</v>
      </c>
      <c r="CA8" s="221" t="s">
        <v>23</v>
      </c>
      <c r="CB8" s="221" t="s">
        <v>24</v>
      </c>
      <c r="CC8" s="221" t="s">
        <v>25</v>
      </c>
      <c r="CD8" s="223" t="s">
        <v>30</v>
      </c>
    </row>
    <row r="9" spans="1:83" x14ac:dyDescent="0.15">
      <c r="B9" s="588" t="s">
        <v>196</v>
      </c>
      <c r="C9" s="589"/>
      <c r="D9" s="590"/>
      <c r="E9" s="590"/>
      <c r="F9" s="590"/>
      <c r="G9" s="590"/>
      <c r="H9" s="590"/>
      <c r="I9" s="590"/>
      <c r="J9" s="590"/>
      <c r="K9" s="590"/>
      <c r="L9" s="590"/>
      <c r="M9" s="590"/>
      <c r="N9" s="590"/>
      <c r="O9" s="590"/>
      <c r="P9" s="590"/>
      <c r="Q9" s="590"/>
      <c r="R9" s="590"/>
      <c r="S9" s="590"/>
      <c r="T9" s="590"/>
      <c r="U9" s="590"/>
      <c r="V9" s="590"/>
      <c r="W9" s="590"/>
      <c r="X9" s="590"/>
      <c r="Y9" s="590"/>
      <c r="Z9" s="590"/>
      <c r="AA9" s="590"/>
      <c r="AB9" s="590"/>
      <c r="AC9" s="590"/>
      <c r="AD9" s="590"/>
      <c r="AE9" s="590"/>
      <c r="AF9" s="590"/>
      <c r="AG9" s="590"/>
      <c r="AH9" s="590"/>
      <c r="AI9" s="590"/>
      <c r="AJ9" s="590"/>
      <c r="AK9" s="590"/>
      <c r="AL9" s="590"/>
      <c r="AM9" s="590"/>
      <c r="AN9" s="590"/>
      <c r="AO9" s="590"/>
      <c r="AP9" s="590"/>
      <c r="AQ9" s="590"/>
      <c r="AR9" s="590"/>
      <c r="AS9" s="590"/>
      <c r="AT9" s="590"/>
      <c r="AU9" s="590"/>
      <c r="AV9" s="590"/>
      <c r="AW9" s="590"/>
      <c r="AX9" s="590"/>
      <c r="AY9" s="590"/>
      <c r="AZ9" s="589"/>
      <c r="BA9" s="590"/>
      <c r="BB9" s="590"/>
      <c r="BC9" s="590"/>
      <c r="BD9" s="590"/>
      <c r="BE9" s="589"/>
      <c r="BF9" s="590"/>
      <c r="BG9" s="590"/>
      <c r="BH9" s="590"/>
      <c r="BI9" s="590"/>
      <c r="BJ9" s="589"/>
      <c r="BK9" s="589"/>
      <c r="BL9" s="589"/>
      <c r="BM9" s="589"/>
      <c r="BN9" s="589"/>
      <c r="BO9" s="589"/>
      <c r="BP9" s="589"/>
      <c r="BQ9" s="589"/>
      <c r="BR9" s="589"/>
      <c r="BS9" s="589"/>
      <c r="BT9" s="589"/>
      <c r="BU9" s="589"/>
      <c r="BV9" s="589"/>
      <c r="BW9" s="589"/>
      <c r="BX9" s="589"/>
      <c r="BY9" s="589"/>
      <c r="BZ9" s="589"/>
      <c r="CA9" s="589"/>
      <c r="CB9" s="589"/>
      <c r="CC9" s="589"/>
      <c r="CD9" s="589"/>
      <c r="CE9" s="591"/>
    </row>
    <row r="10" spans="1:83" x14ac:dyDescent="0.15">
      <c r="B10" s="592" t="s">
        <v>197</v>
      </c>
      <c r="C10" s="593">
        <v>0.5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U10" s="332"/>
      <c r="AV10" s="594">
        <f>'[45]YOY FX'!$D$28</f>
        <v>1.3703984375</v>
      </c>
      <c r="AW10" s="594">
        <f>'[45]YOY FX'!$D$29</f>
        <v>1.3716461538461537</v>
      </c>
      <c r="AX10" s="594">
        <f>'[45]YOY FX'!$D$30</f>
        <v>1.3252287878787878</v>
      </c>
      <c r="AY10" s="594">
        <f>'[45]YOY FX'!$D$31</f>
        <v>1.2490507462686564</v>
      </c>
      <c r="AZ10" s="595">
        <f>AVERAGE(AV10:AY10)</f>
        <v>1.3290810313733994</v>
      </c>
      <c r="BA10" s="594">
        <f>'[45]YOY FX'!$D$32</f>
        <v>1.1268124999999998</v>
      </c>
      <c r="BB10" s="594">
        <f>'[45]YOY FX'!$D$33</f>
        <v>1.1068600000000002</v>
      </c>
      <c r="BC10" s="594">
        <f>'[45]YOY FX'!$D$34</f>
        <v>1.1124636363636364</v>
      </c>
      <c r="BD10" s="594" t="e">
        <f ca="1">_xll.BDP("eurusd curncy","px_last")</f>
        <v>#NAME?</v>
      </c>
      <c r="BE10" s="595" t="e">
        <f ca="1">AVERAGE(BA10:BD10)</f>
        <v>#NAME?</v>
      </c>
      <c r="BF10" s="594" t="e">
        <f ca="1">_xll.BDP("eurusd curncy","px_last")</f>
        <v>#NAME?</v>
      </c>
      <c r="BG10" s="594" t="e">
        <f ca="1">_xll.BDP("eurusd curncy","px_last")</f>
        <v>#NAME?</v>
      </c>
      <c r="BH10" s="594" t="e">
        <f ca="1">_xll.BDP("eurusd curncy","px_last")</f>
        <v>#NAME?</v>
      </c>
      <c r="BI10" s="594" t="e">
        <f ca="1">_xll.BDP("eurusd curncy","px_last")</f>
        <v>#NAME?</v>
      </c>
      <c r="BJ10" s="595" t="e">
        <f ca="1">_xll.BDP("eurusd curncy","px_last")</f>
        <v>#NAME?</v>
      </c>
      <c r="BK10" s="332"/>
      <c r="BL10" s="332"/>
      <c r="BM10" s="332"/>
      <c r="BN10" s="332"/>
      <c r="BO10" s="332"/>
      <c r="BP10" s="332"/>
      <c r="BQ10" s="332"/>
      <c r="BR10" s="332"/>
      <c r="BS10" s="332"/>
      <c r="BT10" s="332"/>
      <c r="BU10" s="332"/>
      <c r="BV10" s="332"/>
      <c r="BW10" s="332"/>
      <c r="BX10" s="332"/>
      <c r="BY10" s="332"/>
      <c r="BZ10" s="332"/>
      <c r="CA10" s="332"/>
      <c r="CB10" s="332"/>
      <c r="CC10" s="332"/>
      <c r="CD10" s="332"/>
      <c r="CE10" s="591"/>
    </row>
    <row r="11" spans="1:83" x14ac:dyDescent="0.15">
      <c r="B11" s="596" t="s">
        <v>198</v>
      </c>
      <c r="C11" s="597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U11" s="332"/>
      <c r="AV11" s="429"/>
      <c r="AW11" s="429"/>
      <c r="AX11" s="429"/>
      <c r="AY11" s="429"/>
      <c r="AZ11" s="598"/>
      <c r="BA11" s="599">
        <f>BA10/AV10-1</f>
        <v>-0.17774825980126696</v>
      </c>
      <c r="BB11" s="599">
        <f t="shared" ref="BB11:BE11" si="0">BB10/AW10-1</f>
        <v>-0.19304261022690294</v>
      </c>
      <c r="BC11" s="599">
        <f t="shared" si="0"/>
        <v>-0.1605497507005651</v>
      </c>
      <c r="BD11" s="599" t="e">
        <f t="shared" ca="1" si="0"/>
        <v>#NAME?</v>
      </c>
      <c r="BE11" s="600" t="e">
        <f t="shared" ca="1" si="0"/>
        <v>#NAME?</v>
      </c>
      <c r="BF11" s="599" t="e">
        <f ca="1">BF10/BA10-1</f>
        <v>#NAME?</v>
      </c>
      <c r="BG11" s="599" t="e">
        <f t="shared" ref="BG11:BJ11" ca="1" si="1">BG10/BB10-1</f>
        <v>#NAME?</v>
      </c>
      <c r="BH11" s="599" t="e">
        <f t="shared" ca="1" si="1"/>
        <v>#NAME?</v>
      </c>
      <c r="BI11" s="599" t="e">
        <f t="shared" ca="1" si="1"/>
        <v>#NAME?</v>
      </c>
      <c r="BJ11" s="600" t="e">
        <f t="shared" ca="1" si="1"/>
        <v>#NAME?</v>
      </c>
      <c r="BK11" s="598"/>
      <c r="BL11" s="598"/>
      <c r="BM11" s="598"/>
      <c r="BN11" s="598"/>
      <c r="BO11" s="598"/>
      <c r="BP11" s="598"/>
      <c r="BQ11" s="598"/>
      <c r="BR11" s="598"/>
      <c r="BS11" s="598"/>
      <c r="BT11" s="598"/>
      <c r="BU11" s="598"/>
      <c r="BV11" s="598"/>
      <c r="BW11" s="598"/>
      <c r="BX11" s="598"/>
      <c r="BY11" s="598"/>
      <c r="BZ11" s="598"/>
      <c r="CA11" s="598"/>
      <c r="CB11" s="598"/>
      <c r="CC11" s="598"/>
      <c r="CD11" s="598"/>
      <c r="CE11" s="591"/>
    </row>
    <row r="12" spans="1:83" x14ac:dyDescent="0.15">
      <c r="B12" s="592"/>
      <c r="C12" s="597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332"/>
      <c r="AV12" s="429"/>
      <c r="AW12" s="429"/>
      <c r="AX12" s="429"/>
      <c r="AY12" s="429"/>
      <c r="AZ12" s="311"/>
      <c r="BA12" s="429"/>
      <c r="BB12" s="429"/>
      <c r="BC12" s="429"/>
      <c r="BD12" s="429"/>
      <c r="BE12" s="311"/>
      <c r="BF12" s="54"/>
      <c r="BG12" s="54"/>
      <c r="BH12" s="54"/>
      <c r="BI12" s="54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591"/>
    </row>
    <row r="13" spans="1:83" x14ac:dyDescent="0.15">
      <c r="B13" s="592" t="s">
        <v>199</v>
      </c>
      <c r="C13" s="593">
        <v>0.05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U13" s="329"/>
      <c r="AV13" s="594">
        <f>'[45]YOY FX'!$G$28</f>
        <v>1.6548953125000005</v>
      </c>
      <c r="AW13" s="594">
        <f>'[45]YOY FX'!$G$29</f>
        <v>1.6833799999999999</v>
      </c>
      <c r="AX13" s="594">
        <f>'[45]YOY FX'!$G$30</f>
        <v>1.6698621212121216</v>
      </c>
      <c r="AY13" s="594">
        <f>'[45]YOY FX'!$G$31</f>
        <v>1.5834477611940301</v>
      </c>
      <c r="AZ13" s="595">
        <f>AVERAGE(AV13:AY13)</f>
        <v>1.647896298726538</v>
      </c>
      <c r="BA13" s="594">
        <f>'[45]YOY FX'!$G$32</f>
        <v>1.5148874999999999</v>
      </c>
      <c r="BB13" s="594">
        <f>'[45]YOY FX'!$G$33</f>
        <v>1.5332723076923076</v>
      </c>
      <c r="BC13" s="594">
        <f>'[45]YOY FX'!$G$34</f>
        <v>1.5489969696969699</v>
      </c>
      <c r="BD13" s="594" t="e">
        <f ca="1">_xll.BDP("gbpusd curncy","px_last")</f>
        <v>#NAME?</v>
      </c>
      <c r="BE13" s="595" t="e">
        <f ca="1">AVERAGE(BA13:BD13)</f>
        <v>#NAME?</v>
      </c>
      <c r="BF13" s="594" t="e">
        <f ca="1">_xll.BDP("gbpusd curncy","px_last")</f>
        <v>#NAME?</v>
      </c>
      <c r="BG13" s="594" t="e">
        <f ca="1">_xll.BDP("gbpusd curncy","px_last")</f>
        <v>#NAME?</v>
      </c>
      <c r="BH13" s="594" t="e">
        <f ca="1">_xll.BDP("gbpusd curncy","px_last")</f>
        <v>#NAME?</v>
      </c>
      <c r="BI13" s="594" t="e">
        <f ca="1">_xll.BDP("gbpusd curncy","px_last")</f>
        <v>#NAME?</v>
      </c>
      <c r="BJ13" s="595" t="e">
        <f ca="1">_xll.BDP("gbpusd curncy","px_last")</f>
        <v>#NAME?</v>
      </c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591"/>
    </row>
    <row r="14" spans="1:83" x14ac:dyDescent="0.15">
      <c r="B14" s="596" t="s">
        <v>198</v>
      </c>
      <c r="C14" s="597"/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U14" s="329"/>
      <c r="AV14" s="429"/>
      <c r="AW14" s="429"/>
      <c r="AX14" s="429"/>
      <c r="AY14" s="429"/>
      <c r="AZ14" s="311"/>
      <c r="BA14" s="599">
        <f>BA13/AV13-1</f>
        <v>-8.4602217096436783E-2</v>
      </c>
      <c r="BB14" s="599">
        <f t="shared" ref="BB14:BE14" si="2">BB13/AW13-1</f>
        <v>-8.9170414468326964E-2</v>
      </c>
      <c r="BC14" s="599">
        <f t="shared" si="2"/>
        <v>-7.2380318099208085E-2</v>
      </c>
      <c r="BD14" s="599" t="e">
        <f t="shared" ca="1" si="2"/>
        <v>#NAME?</v>
      </c>
      <c r="BE14" s="600" t="e">
        <f t="shared" ca="1" si="2"/>
        <v>#NAME?</v>
      </c>
      <c r="BF14" s="599" t="e">
        <f ca="1">BF13/BA13-1</f>
        <v>#NAME?</v>
      </c>
      <c r="BG14" s="599" t="e">
        <f t="shared" ref="BG14:BJ14" ca="1" si="3">BG13/BB13-1</f>
        <v>#NAME?</v>
      </c>
      <c r="BH14" s="599" t="e">
        <f t="shared" ca="1" si="3"/>
        <v>#NAME?</v>
      </c>
      <c r="BI14" s="599" t="e">
        <f t="shared" ca="1" si="3"/>
        <v>#NAME?</v>
      </c>
      <c r="BJ14" s="600" t="e">
        <f t="shared" ca="1" si="3"/>
        <v>#NAME?</v>
      </c>
      <c r="BK14" s="311"/>
      <c r="BL14" s="311"/>
      <c r="BM14" s="31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1"/>
      <c r="BY14" s="311"/>
      <c r="BZ14" s="311"/>
      <c r="CA14" s="311"/>
      <c r="CB14" s="311"/>
      <c r="CC14" s="311"/>
      <c r="CD14" s="311"/>
      <c r="CE14" s="591"/>
    </row>
    <row r="15" spans="1:83" x14ac:dyDescent="0.15">
      <c r="B15" s="592"/>
      <c r="C15" s="597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U15" s="329"/>
      <c r="AV15" s="429"/>
      <c r="AW15" s="429"/>
      <c r="AX15" s="429"/>
      <c r="AY15" s="429"/>
      <c r="AZ15" s="311"/>
      <c r="BA15" s="429"/>
      <c r="BB15" s="429"/>
      <c r="BC15" s="429"/>
      <c r="BD15" s="429"/>
      <c r="BE15" s="311"/>
      <c r="BF15" s="54"/>
      <c r="BG15" s="54"/>
      <c r="BH15" s="54"/>
      <c r="BI15" s="54"/>
      <c r="BJ15" s="311"/>
      <c r="BK15" s="311"/>
      <c r="BL15" s="311"/>
      <c r="BM15" s="311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1"/>
      <c r="BY15" s="311"/>
      <c r="BZ15" s="311"/>
      <c r="CA15" s="311"/>
      <c r="CB15" s="311"/>
      <c r="CC15" s="311"/>
      <c r="CD15" s="311"/>
      <c r="CE15" s="591"/>
    </row>
    <row r="16" spans="1:83" x14ac:dyDescent="0.15">
      <c r="B16" s="592" t="s">
        <v>200</v>
      </c>
      <c r="C16" s="593">
        <v>0.3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594">
        <f>'[45]YOY FX'!$M$28</f>
        <v>0.9068921875</v>
      </c>
      <c r="AW16" s="594">
        <f>'[45]YOY FX'!$M$29</f>
        <v>0.91722307692307714</v>
      </c>
      <c r="AX16" s="594">
        <f>'[45]YOY FX'!$M$30</f>
        <v>0.91874242424242447</v>
      </c>
      <c r="AY16" s="594">
        <f>'[45]YOY FX'!$M$31</f>
        <v>0.88010303030303028</v>
      </c>
      <c r="AZ16" s="595">
        <f>'[45]YOY FX'!$M$28</f>
        <v>0.9068921875</v>
      </c>
      <c r="BA16" s="594">
        <f>'[45]YOY FX'!$M$32</f>
        <v>0.80674687499999986</v>
      </c>
      <c r="BB16" s="594">
        <f>'[45]YOY FX'!$M$33</f>
        <v>0.81361538461538452</v>
      </c>
      <c r="BC16" s="594">
        <f>'[45]YOY FX'!$M$34</f>
        <v>0.76449696969696956</v>
      </c>
      <c r="BD16" s="594" t="e">
        <f ca="1">_xll.BDP("cadusd curncy","px_last")</f>
        <v>#NAME?</v>
      </c>
      <c r="BE16" s="595" t="e">
        <f ca="1">AVERAGE(BA16:BD16)</f>
        <v>#NAME?</v>
      </c>
      <c r="BF16" s="594" t="e">
        <f ca="1">_xll.BDP("cadusd curncy","px_last")</f>
        <v>#NAME?</v>
      </c>
      <c r="BG16" s="594" t="e">
        <f ca="1">_xll.BDP("cadusd curncy","px_last")</f>
        <v>#NAME?</v>
      </c>
      <c r="BH16" s="594" t="e">
        <f ca="1">_xll.BDP("cadusd curncy","px_last")</f>
        <v>#NAME?</v>
      </c>
      <c r="BI16" s="594" t="e">
        <f ca="1">_xll.BDP("cadusd curncy","px_last")</f>
        <v>#NAME?</v>
      </c>
      <c r="BJ16" s="595" t="e">
        <f ca="1">_xll.BDP("cadusd curncy","px_last")</f>
        <v>#NAME?</v>
      </c>
      <c r="BK16" s="311"/>
      <c r="BL16" s="311"/>
      <c r="BM16" s="311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1"/>
      <c r="CA16" s="311"/>
      <c r="CB16" s="311"/>
      <c r="CC16" s="311"/>
      <c r="CD16" s="311"/>
      <c r="CE16" s="591"/>
    </row>
    <row r="17" spans="2:83" x14ac:dyDescent="0.15">
      <c r="B17" s="596" t="s">
        <v>198</v>
      </c>
      <c r="C17" s="597"/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U17" s="429"/>
      <c r="AV17" s="429"/>
      <c r="AW17" s="429"/>
      <c r="AX17" s="429"/>
      <c r="AY17" s="429"/>
      <c r="AZ17" s="311"/>
      <c r="BA17" s="599">
        <f>BA16/AV16-1</f>
        <v>-0.11042692161244372</v>
      </c>
      <c r="BB17" s="599">
        <f t="shared" ref="BB17:BE17" si="4">BB16/AW16-1</f>
        <v>-0.11295800870520578</v>
      </c>
      <c r="BC17" s="599">
        <f t="shared" si="4"/>
        <v>-0.16788759338357806</v>
      </c>
      <c r="BD17" s="599" t="e">
        <f t="shared" ca="1" si="4"/>
        <v>#NAME?</v>
      </c>
      <c r="BE17" s="600" t="e">
        <f t="shared" ca="1" si="4"/>
        <v>#NAME?</v>
      </c>
      <c r="BF17" s="599" t="e">
        <f ca="1">BF16/BA16-1</f>
        <v>#NAME?</v>
      </c>
      <c r="BG17" s="599" t="e">
        <f t="shared" ref="BG17:BJ17" ca="1" si="5">BG16/BB16-1</f>
        <v>#NAME?</v>
      </c>
      <c r="BH17" s="599" t="e">
        <f t="shared" ca="1" si="5"/>
        <v>#NAME?</v>
      </c>
      <c r="BI17" s="599" t="e">
        <f t="shared" ca="1" si="5"/>
        <v>#NAME?</v>
      </c>
      <c r="BJ17" s="600" t="e">
        <f t="shared" ca="1" si="5"/>
        <v>#NAME?</v>
      </c>
      <c r="BK17" s="311"/>
      <c r="BL17" s="311"/>
      <c r="BM17" s="311"/>
      <c r="BN17" s="311"/>
      <c r="BO17" s="311"/>
      <c r="BP17" s="311"/>
      <c r="BQ17" s="311"/>
      <c r="BR17" s="311"/>
      <c r="BS17" s="311"/>
      <c r="BT17" s="311"/>
      <c r="BU17" s="311"/>
      <c r="BV17" s="311"/>
      <c r="BW17" s="311"/>
      <c r="BX17" s="311"/>
      <c r="BY17" s="311"/>
      <c r="BZ17" s="311"/>
      <c r="CA17" s="311"/>
      <c r="CB17" s="311"/>
      <c r="CC17" s="311"/>
      <c r="CD17" s="311"/>
      <c r="CE17" s="591"/>
    </row>
    <row r="18" spans="2:83" x14ac:dyDescent="0.15">
      <c r="B18" s="592"/>
      <c r="C18" s="601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29"/>
      <c r="AY18" s="429"/>
      <c r="AZ18" s="602"/>
      <c r="BA18" s="429"/>
      <c r="BB18" s="429"/>
      <c r="BC18" s="429"/>
      <c r="BD18" s="429"/>
      <c r="BE18" s="602"/>
      <c r="BF18" s="603"/>
      <c r="BG18" s="603"/>
      <c r="BH18" s="603"/>
      <c r="BI18" s="603"/>
      <c r="BJ18" s="602"/>
      <c r="BK18" s="602"/>
      <c r="BL18" s="602"/>
      <c r="BM18" s="602"/>
      <c r="BN18" s="602"/>
      <c r="BO18" s="602"/>
      <c r="BP18" s="602"/>
      <c r="BQ18" s="602"/>
      <c r="BR18" s="602"/>
      <c r="BS18" s="602"/>
      <c r="BT18" s="602"/>
      <c r="BU18" s="602"/>
      <c r="BV18" s="602"/>
      <c r="BW18" s="602"/>
      <c r="BX18" s="602"/>
      <c r="BY18" s="602"/>
      <c r="BZ18" s="602"/>
      <c r="CA18" s="602"/>
      <c r="CB18" s="602"/>
      <c r="CC18" s="602"/>
      <c r="CD18" s="602"/>
      <c r="CE18" s="591"/>
    </row>
    <row r="19" spans="2:83" x14ac:dyDescent="0.15">
      <c r="B19" s="592" t="s">
        <v>201</v>
      </c>
      <c r="C19" s="593">
        <v>0.1</v>
      </c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604"/>
      <c r="AJ19" s="604"/>
      <c r="AK19" s="604"/>
      <c r="AL19" s="604"/>
      <c r="AM19" s="604"/>
      <c r="AN19" s="604"/>
      <c r="AO19" s="604"/>
      <c r="AP19" s="604"/>
      <c r="AQ19" s="604"/>
      <c r="AR19" s="604"/>
      <c r="AS19" s="604"/>
      <c r="AT19" s="604"/>
      <c r="AU19" s="604"/>
      <c r="AV19" s="594">
        <f>'[45]YOY FX'!$V$28</f>
        <v>0.89676718750000017</v>
      </c>
      <c r="AW19" s="594">
        <f>'[45]YOY FX'!$V$29</f>
        <v>0.93308615384615379</v>
      </c>
      <c r="AX19" s="594">
        <f>'[45]YOY FX'!$V$30</f>
        <v>0.92502272727272705</v>
      </c>
      <c r="AY19" s="594">
        <f>'[45]YOY FX'!$V$31</f>
        <v>0.85467878787878782</v>
      </c>
      <c r="AZ19" s="595">
        <f>AVERAGE(AV19:AY19)</f>
        <v>0.90238871412441723</v>
      </c>
      <c r="BA19" s="594">
        <f>'[45]YOY FX'!$V$32</f>
        <v>0.78656249999999994</v>
      </c>
      <c r="BB19" s="594">
        <f>'[45]YOY FX'!$V$33</f>
        <v>0.77799230769230765</v>
      </c>
      <c r="BC19" s="594">
        <f>'[45]YOY FX'!$V$34</f>
        <v>0.72545606060606072</v>
      </c>
      <c r="BD19" s="594" t="e">
        <f ca="1">_xll.BDP("audusd curncy","px_last")</f>
        <v>#NAME?</v>
      </c>
      <c r="BE19" s="595" t="e">
        <f ca="1">AVERAGE(BA19:BD19)</f>
        <v>#NAME?</v>
      </c>
      <c r="BF19" s="594" t="e">
        <f ca="1">_xll.BDP("audusd curncy","px_last")</f>
        <v>#NAME?</v>
      </c>
      <c r="BG19" s="594" t="e">
        <f ca="1">_xll.BDP("audusd curncy","px_last")</f>
        <v>#NAME?</v>
      </c>
      <c r="BH19" s="594" t="e">
        <f ca="1">_xll.BDP("audusd curncy","px_last")</f>
        <v>#NAME?</v>
      </c>
      <c r="BI19" s="594" t="e">
        <f ca="1">_xll.BDP("audusd curncy","px_last")</f>
        <v>#NAME?</v>
      </c>
      <c r="BJ19" s="595" t="e">
        <f ca="1">_xll.BDP("audusd curncy","px_last")</f>
        <v>#NAME?</v>
      </c>
      <c r="BK19" s="332"/>
      <c r="BL19" s="332"/>
      <c r="BM19" s="332"/>
      <c r="BN19" s="332"/>
      <c r="BO19" s="332"/>
      <c r="BP19" s="332"/>
      <c r="BQ19" s="332"/>
      <c r="BR19" s="332"/>
      <c r="BS19" s="332"/>
      <c r="BT19" s="332"/>
      <c r="BU19" s="332"/>
      <c r="BV19" s="332"/>
      <c r="BW19" s="332"/>
      <c r="BX19" s="332"/>
      <c r="BY19" s="332"/>
      <c r="BZ19" s="332"/>
      <c r="CA19" s="332"/>
      <c r="CB19" s="332"/>
      <c r="CC19" s="332"/>
      <c r="CD19" s="332"/>
      <c r="CE19" s="591"/>
    </row>
    <row r="20" spans="2:83" x14ac:dyDescent="0.15">
      <c r="B20" s="596" t="s">
        <v>198</v>
      </c>
      <c r="C20" s="597"/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29"/>
      <c r="AY20" s="429"/>
      <c r="AZ20" s="605"/>
      <c r="BA20" s="599">
        <f>BA19/AV19-1</f>
        <v>-0.1228910792412331</v>
      </c>
      <c r="BB20" s="599">
        <f t="shared" ref="BB20:BE20" si="6">BB19/AW19-1</f>
        <v>-0.16621599786317032</v>
      </c>
      <c r="BC20" s="599">
        <f t="shared" si="6"/>
        <v>-0.21574244695052502</v>
      </c>
      <c r="BD20" s="599" t="e">
        <f t="shared" ca="1" si="6"/>
        <v>#NAME?</v>
      </c>
      <c r="BE20" s="600" t="e">
        <f t="shared" ca="1" si="6"/>
        <v>#NAME?</v>
      </c>
      <c r="BF20" s="599" t="e">
        <f ca="1">BF19/BA19-1</f>
        <v>#NAME?</v>
      </c>
      <c r="BG20" s="599" t="e">
        <f t="shared" ref="BG20:BJ20" ca="1" si="7">BG19/BB19-1</f>
        <v>#NAME?</v>
      </c>
      <c r="BH20" s="599" t="e">
        <f t="shared" ca="1" si="7"/>
        <v>#NAME?</v>
      </c>
      <c r="BI20" s="599" t="e">
        <f t="shared" ca="1" si="7"/>
        <v>#NAME?</v>
      </c>
      <c r="BJ20" s="600" t="e">
        <f t="shared" ca="1" si="7"/>
        <v>#NAME?</v>
      </c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591"/>
    </row>
    <row r="21" spans="2:83" x14ac:dyDescent="0.15">
      <c r="B21" s="606"/>
      <c r="C21" s="597"/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429"/>
      <c r="AY21" s="429"/>
      <c r="AZ21" s="605"/>
      <c r="BA21" s="429"/>
      <c r="BB21" s="429"/>
      <c r="BC21" s="429"/>
      <c r="BD21" s="429"/>
      <c r="BE21" s="519"/>
      <c r="BF21" s="607"/>
      <c r="BG21" s="607"/>
      <c r="BH21" s="607"/>
      <c r="BI21" s="607"/>
      <c r="BJ21" s="519"/>
      <c r="BK21" s="605"/>
      <c r="BL21" s="605"/>
      <c r="BM21" s="605"/>
      <c r="BN21" s="605"/>
      <c r="BO21" s="519"/>
      <c r="BP21" s="605"/>
      <c r="BQ21" s="605"/>
      <c r="BR21" s="605"/>
      <c r="BS21" s="605"/>
      <c r="BT21" s="519"/>
      <c r="BU21" s="605"/>
      <c r="BV21" s="605"/>
      <c r="BW21" s="605"/>
      <c r="BX21" s="605"/>
      <c r="BY21" s="519"/>
      <c r="BZ21" s="605"/>
      <c r="CA21" s="605"/>
      <c r="CB21" s="605"/>
      <c r="CC21" s="605"/>
      <c r="CD21" s="519"/>
      <c r="CE21" s="591"/>
    </row>
    <row r="22" spans="2:83" x14ac:dyDescent="0.15">
      <c r="B22" s="592" t="s">
        <v>202</v>
      </c>
      <c r="C22" s="593">
        <v>0.05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594">
        <f>'[45]YOY FX'!$J$28</f>
        <v>9.7260156250000025E-3</v>
      </c>
      <c r="AW22" s="594">
        <f>'[45]YOY FX'!$J$29</f>
        <v>9.7910153846153865E-3</v>
      </c>
      <c r="AX22" s="594">
        <f>'[45]YOY FX'!$J$30</f>
        <v>9.6196666666666653E-3</v>
      </c>
      <c r="AY22" s="594">
        <f>'[45]YOY FX'!$J$31</f>
        <v>9.1789083969465602E-3</v>
      </c>
      <c r="AZ22" s="595">
        <f>AVERAGE(AV22:AY22)</f>
        <v>9.5789015183071532E-3</v>
      </c>
      <c r="BA22" s="594">
        <f>'[45]YOY FX'!$J$32</f>
        <v>8.3919375000000001E-3</v>
      </c>
      <c r="BB22" s="594">
        <f>'[45]YOY FX'!$J$33</f>
        <v>8.2425230769230771E-3</v>
      </c>
      <c r="BC22" s="594">
        <f>'[45]YOY FX'!$J$34</f>
        <v>8.1879545454545434E-3</v>
      </c>
      <c r="BD22" s="594" t="e">
        <f ca="1">_xll.BDP("JPYusd curncy","px_last")</f>
        <v>#NAME?</v>
      </c>
      <c r="BE22" s="595" t="e">
        <f ca="1">AVERAGE(BA22:BD22)</f>
        <v>#NAME?</v>
      </c>
      <c r="BF22" s="594" t="e">
        <f ca="1">_xll.BDP("JPYusd curncy","px_last")</f>
        <v>#NAME?</v>
      </c>
      <c r="BG22" s="594" t="e">
        <f ca="1">_xll.BDP("JPYusd curncy","px_last")</f>
        <v>#NAME?</v>
      </c>
      <c r="BH22" s="594" t="e">
        <f ca="1">_xll.BDP("JPYusd curncy","px_last")</f>
        <v>#NAME?</v>
      </c>
      <c r="BI22" s="594" t="e">
        <f ca="1">_xll.BDP("JPYusd curncy","px_last")</f>
        <v>#NAME?</v>
      </c>
      <c r="BJ22" s="595" t="e">
        <f ca="1">_xll.BDP("JPYusd curncy","px_last")</f>
        <v>#NAME?</v>
      </c>
      <c r="BK22" s="605"/>
      <c r="BL22" s="605"/>
      <c r="BM22" s="605"/>
      <c r="BN22" s="605"/>
      <c r="BO22" s="519"/>
      <c r="BP22" s="605"/>
      <c r="BQ22" s="605"/>
      <c r="BR22" s="605"/>
      <c r="BS22" s="605"/>
      <c r="BT22" s="519"/>
      <c r="BU22" s="605"/>
      <c r="BV22" s="605"/>
      <c r="BW22" s="605"/>
      <c r="BX22" s="605"/>
      <c r="BY22" s="519"/>
      <c r="BZ22" s="605"/>
      <c r="CA22" s="605"/>
      <c r="CB22" s="605"/>
      <c r="CC22" s="605"/>
      <c r="CD22" s="519"/>
      <c r="CE22" s="591"/>
    </row>
    <row r="23" spans="2:83" x14ac:dyDescent="0.15">
      <c r="B23" s="596" t="s">
        <v>198</v>
      </c>
      <c r="C23" s="608"/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U23" s="429"/>
      <c r="AV23" s="429"/>
      <c r="AW23" s="429"/>
      <c r="AX23" s="429"/>
      <c r="AY23" s="429"/>
      <c r="AZ23" s="605"/>
      <c r="BA23" s="599">
        <f>BA22/AV22-1</f>
        <v>-0.13716594507321722</v>
      </c>
      <c r="BB23" s="599">
        <f t="shared" ref="BB23:BE23" si="8">BB22/AW22-1</f>
        <v>-0.15815441472244585</v>
      </c>
      <c r="BC23" s="599">
        <f t="shared" si="8"/>
        <v>-0.14883178085298754</v>
      </c>
      <c r="BD23" s="599" t="e">
        <f t="shared" ca="1" si="8"/>
        <v>#NAME?</v>
      </c>
      <c r="BE23" s="600" t="e">
        <f t="shared" ca="1" si="8"/>
        <v>#NAME?</v>
      </c>
      <c r="BF23" s="599" t="e">
        <f ca="1">BF22/BA22-1</f>
        <v>#NAME?</v>
      </c>
      <c r="BG23" s="599" t="e">
        <f t="shared" ref="BG23:BJ23" ca="1" si="9">BG22/BB22-1</f>
        <v>#NAME?</v>
      </c>
      <c r="BH23" s="599" t="e">
        <f t="shared" ca="1" si="9"/>
        <v>#NAME?</v>
      </c>
      <c r="BI23" s="599" t="e">
        <f t="shared" ca="1" si="9"/>
        <v>#NAME?</v>
      </c>
      <c r="BJ23" s="600" t="e">
        <f t="shared" ca="1" si="9"/>
        <v>#NAME?</v>
      </c>
      <c r="BK23" s="605"/>
      <c r="BL23" s="605"/>
      <c r="BM23" s="605"/>
      <c r="BN23" s="605"/>
      <c r="BO23" s="519"/>
      <c r="BP23" s="605"/>
      <c r="BQ23" s="605"/>
      <c r="BR23" s="605"/>
      <c r="BS23" s="605"/>
      <c r="BT23" s="519"/>
      <c r="BU23" s="605"/>
      <c r="BV23" s="605"/>
      <c r="BW23" s="605"/>
      <c r="BX23" s="605"/>
      <c r="BY23" s="519"/>
      <c r="BZ23" s="605"/>
      <c r="CA23" s="605"/>
      <c r="CB23" s="605"/>
      <c r="CC23" s="605"/>
      <c r="CD23" s="519"/>
      <c r="CE23" s="591"/>
    </row>
    <row r="24" spans="2:83" x14ac:dyDescent="0.15">
      <c r="B24" s="592"/>
      <c r="C24" s="609"/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29"/>
      <c r="AY24" s="429"/>
      <c r="AZ24" s="610"/>
      <c r="BA24" s="429"/>
      <c r="BB24" s="429"/>
      <c r="BC24" s="429"/>
      <c r="BD24" s="429"/>
      <c r="BE24" s="610"/>
      <c r="BF24" s="429"/>
      <c r="BG24" s="429"/>
      <c r="BH24" s="429"/>
      <c r="BI24" s="429"/>
      <c r="BJ24" s="610"/>
      <c r="BK24" s="610"/>
      <c r="BL24" s="610"/>
      <c r="BM24" s="610"/>
      <c r="BN24" s="610"/>
      <c r="BO24" s="610"/>
      <c r="BP24" s="610"/>
      <c r="BQ24" s="610"/>
      <c r="BR24" s="610"/>
      <c r="BS24" s="610"/>
      <c r="BT24" s="610"/>
      <c r="BU24" s="610"/>
      <c r="BV24" s="610"/>
      <c r="BW24" s="610"/>
      <c r="BX24" s="610"/>
      <c r="BY24" s="610"/>
      <c r="BZ24" s="610"/>
      <c r="CA24" s="610"/>
      <c r="CB24" s="610"/>
      <c r="CC24" s="610"/>
      <c r="CD24" s="610"/>
      <c r="CE24" s="591"/>
    </row>
    <row r="25" spans="2:83" x14ac:dyDescent="0.15">
      <c r="B25" s="611" t="s">
        <v>203</v>
      </c>
      <c r="C25" s="612">
        <f>SUM(C10:C24)</f>
        <v>1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29"/>
      <c r="AZ25" s="610"/>
      <c r="BA25" s="613">
        <f>($C$10*BA11+$C$13*BA14+$C$16*BA17+$C$19*BA20+$C$22*BA23)</f>
        <v>-0.14537972241697258</v>
      </c>
      <c r="BB25" s="613">
        <f t="shared" ref="BB25:BJ25" si="10">($C$10*BB11+$C$13*BB14+$C$16*BB17+$C$19*BB20+$C$22*BB23)</f>
        <v>-0.15939654897086886</v>
      </c>
      <c r="BC25" s="613">
        <f t="shared" si="10"/>
        <v>-0.16327600300801826</v>
      </c>
      <c r="BD25" s="613" t="e">
        <f t="shared" ca="1" si="10"/>
        <v>#NAME?</v>
      </c>
      <c r="BE25" s="614" t="e">
        <f t="shared" ca="1" si="10"/>
        <v>#NAME?</v>
      </c>
      <c r="BF25" s="613" t="e">
        <f ca="1">($C$10*BF11+$C$13*BF14+$C$16*BF17+$C$19*BF20+$C$22*BF23)</f>
        <v>#NAME?</v>
      </c>
      <c r="BG25" s="613" t="e">
        <f t="shared" ca="1" si="10"/>
        <v>#NAME?</v>
      </c>
      <c r="BH25" s="613" t="e">
        <f t="shared" ca="1" si="10"/>
        <v>#NAME?</v>
      </c>
      <c r="BI25" s="613" t="e">
        <f t="shared" ca="1" si="10"/>
        <v>#NAME?</v>
      </c>
      <c r="BJ25" s="614" t="e">
        <f t="shared" ca="1" si="10"/>
        <v>#NAME?</v>
      </c>
      <c r="BK25" s="610"/>
      <c r="BL25" s="610"/>
      <c r="BM25" s="610"/>
      <c r="BN25" s="610"/>
      <c r="BO25" s="610"/>
      <c r="BP25" s="610"/>
      <c r="BQ25" s="610"/>
      <c r="BR25" s="610"/>
      <c r="BS25" s="610"/>
      <c r="BT25" s="610"/>
      <c r="BU25" s="610"/>
      <c r="BV25" s="610"/>
      <c r="BW25" s="610"/>
      <c r="BX25" s="610"/>
      <c r="BY25" s="610"/>
      <c r="BZ25" s="610"/>
      <c r="CA25" s="610"/>
      <c r="CB25" s="610"/>
      <c r="CC25" s="610"/>
      <c r="CD25" s="610"/>
      <c r="CE25" s="591"/>
    </row>
    <row r="26" spans="2:83" x14ac:dyDescent="0.15">
      <c r="B26" s="611" t="s">
        <v>204</v>
      </c>
      <c r="C26" s="610"/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29"/>
      <c r="AY26" s="429"/>
      <c r="AZ26" s="610"/>
      <c r="BA26" s="599">
        <f>Sales!BA119</f>
        <v>-0.14925373134328357</v>
      </c>
      <c r="BB26" s="599">
        <f>Sales!BB119</f>
        <v>-0.17031702898550732</v>
      </c>
      <c r="BC26" s="599">
        <f>Sales!BC119</f>
        <v>-0.1621107677680057</v>
      </c>
      <c r="BD26" s="429"/>
      <c r="BE26" s="610"/>
      <c r="BF26" s="429"/>
      <c r="BG26" s="429"/>
      <c r="BH26" s="429"/>
      <c r="BI26" s="429"/>
      <c r="BJ26" s="610"/>
      <c r="BK26" s="610"/>
      <c r="BL26" s="610"/>
      <c r="BM26" s="610"/>
      <c r="BN26" s="610"/>
      <c r="BO26" s="610"/>
      <c r="BP26" s="610"/>
      <c r="BQ26" s="610"/>
      <c r="BR26" s="610"/>
      <c r="BS26" s="610"/>
      <c r="BT26" s="610"/>
      <c r="BU26" s="610"/>
      <c r="BV26" s="610"/>
      <c r="BW26" s="610"/>
      <c r="BX26" s="610"/>
      <c r="BY26" s="610"/>
      <c r="BZ26" s="610"/>
      <c r="CA26" s="610"/>
      <c r="CB26" s="610"/>
      <c r="CC26" s="610"/>
      <c r="CD26" s="610"/>
      <c r="CE26" s="591"/>
    </row>
    <row r="27" spans="2:83" x14ac:dyDescent="0.15">
      <c r="B27" s="592"/>
      <c r="C27" s="610"/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429"/>
      <c r="AY27" s="429"/>
      <c r="AZ27" s="610"/>
      <c r="BA27" s="429"/>
      <c r="BB27" s="429"/>
      <c r="BC27" s="429"/>
      <c r="BD27" s="429"/>
      <c r="BE27" s="610"/>
      <c r="BF27" s="429"/>
      <c r="BG27" s="429"/>
      <c r="BH27" s="429"/>
      <c r="BI27" s="429"/>
      <c r="BJ27" s="610"/>
      <c r="BK27" s="610"/>
      <c r="BL27" s="610"/>
      <c r="BM27" s="610"/>
      <c r="BN27" s="610"/>
      <c r="BO27" s="610"/>
      <c r="BP27" s="610"/>
      <c r="BQ27" s="610"/>
      <c r="BR27" s="610"/>
      <c r="BS27" s="610"/>
      <c r="BT27" s="610"/>
      <c r="BU27" s="610"/>
      <c r="BV27" s="610"/>
      <c r="BW27" s="610"/>
      <c r="BX27" s="610"/>
      <c r="BY27" s="610"/>
      <c r="BZ27" s="610"/>
      <c r="CA27" s="610"/>
      <c r="CB27" s="610"/>
      <c r="CC27" s="610"/>
      <c r="CD27" s="610"/>
      <c r="CE27" s="591"/>
    </row>
    <row r="28" spans="2:83" x14ac:dyDescent="0.15">
      <c r="B28" s="615" t="s">
        <v>205</v>
      </c>
      <c r="C28" s="61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17"/>
      <c r="P28" s="617"/>
      <c r="Q28" s="617"/>
      <c r="R28" s="617"/>
      <c r="S28" s="617"/>
      <c r="T28" s="617"/>
      <c r="U28" s="617"/>
      <c r="V28" s="617"/>
      <c r="W28" s="617"/>
      <c r="X28" s="617"/>
      <c r="Y28" s="617"/>
      <c r="Z28" s="617"/>
      <c r="AA28" s="617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617"/>
      <c r="AX28" s="617"/>
      <c r="AY28" s="617"/>
      <c r="AZ28" s="616"/>
      <c r="BA28" s="617"/>
      <c r="BB28" s="617"/>
      <c r="BC28" s="617"/>
      <c r="BD28" s="617"/>
      <c r="BE28" s="616"/>
      <c r="BF28" s="617"/>
      <c r="BG28" s="617"/>
      <c r="BH28" s="617"/>
      <c r="BI28" s="617"/>
      <c r="BJ28" s="616"/>
      <c r="BK28" s="616"/>
      <c r="BL28" s="616"/>
      <c r="BM28" s="616"/>
      <c r="BN28" s="616"/>
      <c r="BO28" s="616"/>
      <c r="BP28" s="616"/>
      <c r="BQ28" s="616"/>
      <c r="BR28" s="616"/>
      <c r="BS28" s="616"/>
      <c r="BT28" s="616"/>
      <c r="BU28" s="616"/>
      <c r="BV28" s="616"/>
      <c r="BW28" s="616"/>
      <c r="BX28" s="616"/>
      <c r="BY28" s="616"/>
      <c r="BZ28" s="616"/>
      <c r="CA28" s="616"/>
      <c r="CB28" s="616"/>
      <c r="CC28" s="616"/>
      <c r="CD28" s="616"/>
      <c r="CE28" s="591"/>
    </row>
    <row r="29" spans="2:83" x14ac:dyDescent="0.15">
      <c r="B29" s="592" t="s">
        <v>206</v>
      </c>
      <c r="C29" s="593">
        <v>0.35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U29" s="429"/>
      <c r="AV29" s="594">
        <f>AVERAGE($AY$73:$AY$136)</f>
        <v>2.8548437499999996E-2</v>
      </c>
      <c r="AW29" s="594">
        <f>AVERAGE($AY$137:$AY$197)</f>
        <v>2.8560983606557375E-2</v>
      </c>
      <c r="AX29" s="594">
        <f>AVERAGE($AY$198:$AY$263)</f>
        <v>2.7782575757575756E-2</v>
      </c>
      <c r="AY29" s="594">
        <f>AVERAGE($AY$264:$AY$328)</f>
        <v>2.1653384615384606E-2</v>
      </c>
      <c r="AZ29" s="595">
        <f>AVERAGE(AV29:AY29)</f>
        <v>2.6636345369879431E-2</v>
      </c>
      <c r="BA29" s="594">
        <f>AVERAGE($AY$329:$AY$390)</f>
        <v>1.5943064516129028E-2</v>
      </c>
      <c r="BB29" s="594">
        <f>AVERAGE($AY$391:$AY$454)</f>
        <v>1.8933749999999996E-2</v>
      </c>
      <c r="BC29" s="594">
        <f>AVERAGE($AY$455:$AY$528)</f>
        <v>1.6119324324324325E-2</v>
      </c>
      <c r="BD29" s="594" t="e">
        <f ca="1">_xll.BDP("rubusd curncy","px_last")</f>
        <v>#NAME?</v>
      </c>
      <c r="BE29" s="595" t="e">
        <f ca="1">AVERAGE(BA29:BD29)</f>
        <v>#NAME?</v>
      </c>
      <c r="BF29" s="594" t="e">
        <f ca="1">_xll.BDP("rubusd curncy","px_last")</f>
        <v>#NAME?</v>
      </c>
      <c r="BG29" s="594" t="e">
        <f ca="1">_xll.BDP("rubusd curncy","px_last")</f>
        <v>#NAME?</v>
      </c>
      <c r="BH29" s="594" t="e">
        <f ca="1">_xll.BDP("rubusd curncy","px_last")</f>
        <v>#NAME?</v>
      </c>
      <c r="BI29" s="594" t="e">
        <f ca="1">_xll.BDP("rubusd curncy","px_last")</f>
        <v>#NAME?</v>
      </c>
      <c r="BJ29" s="595" t="e">
        <f ca="1">_xll.BDP("rubusd curncy","px_last")</f>
        <v>#NAME?</v>
      </c>
      <c r="BK29" s="332"/>
      <c r="BL29" s="332"/>
      <c r="BM29" s="332"/>
      <c r="BN29" s="332"/>
      <c r="BO29" s="332"/>
      <c r="BP29" s="332"/>
      <c r="BQ29" s="332"/>
      <c r="BR29" s="332"/>
      <c r="BS29" s="332"/>
      <c r="BT29" s="332"/>
      <c r="BU29" s="332"/>
      <c r="BV29" s="332"/>
      <c r="BW29" s="332"/>
      <c r="BX29" s="332"/>
      <c r="BY29" s="332"/>
      <c r="BZ29" s="332"/>
      <c r="CA29" s="332"/>
      <c r="CB29" s="332"/>
      <c r="CC29" s="332"/>
      <c r="CD29" s="332"/>
      <c r="CE29" s="591"/>
    </row>
    <row r="30" spans="2:83" x14ac:dyDescent="0.15">
      <c r="B30" s="596" t="s">
        <v>198</v>
      </c>
      <c r="C30" s="618"/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332"/>
      <c r="AV30" s="429"/>
      <c r="AW30" s="429"/>
      <c r="AX30" s="429"/>
      <c r="AY30" s="429"/>
      <c r="AZ30" s="605"/>
      <c r="BA30" s="599">
        <f t="shared" ref="BA30:BJ30" si="11">BA29/AV29-1</f>
        <v>-0.44154335885706419</v>
      </c>
      <c r="BB30" s="599">
        <f t="shared" si="11"/>
        <v>-0.33707640252092175</v>
      </c>
      <c r="BC30" s="599">
        <f t="shared" si="11"/>
        <v>-0.4198045399037954</v>
      </c>
      <c r="BD30" s="599" t="e">
        <f t="shared" ca="1" si="11"/>
        <v>#NAME?</v>
      </c>
      <c r="BE30" s="600" t="e">
        <f t="shared" ca="1" si="11"/>
        <v>#NAME?</v>
      </c>
      <c r="BF30" s="599" t="e">
        <f t="shared" ca="1" si="11"/>
        <v>#NAME?</v>
      </c>
      <c r="BG30" s="599" t="e">
        <f t="shared" ca="1" si="11"/>
        <v>#NAME?</v>
      </c>
      <c r="BH30" s="599" t="e">
        <f t="shared" ca="1" si="11"/>
        <v>#NAME?</v>
      </c>
      <c r="BI30" s="599" t="e">
        <f t="shared" ca="1" si="11"/>
        <v>#NAME?</v>
      </c>
      <c r="BJ30" s="600" t="e">
        <f t="shared" ca="1" si="11"/>
        <v>#NAME?</v>
      </c>
      <c r="BK30" s="600"/>
      <c r="BL30" s="600"/>
      <c r="BM30" s="600"/>
      <c r="BN30" s="600"/>
      <c r="BO30" s="600"/>
      <c r="BP30" s="600"/>
      <c r="BQ30" s="600"/>
      <c r="BR30" s="600"/>
      <c r="BS30" s="600"/>
      <c r="BT30" s="600"/>
      <c r="BU30" s="600"/>
      <c r="BV30" s="600"/>
      <c r="BW30" s="600"/>
      <c r="BX30" s="600"/>
      <c r="BY30" s="600"/>
      <c r="BZ30" s="600"/>
      <c r="CA30" s="600"/>
      <c r="CB30" s="600"/>
      <c r="CC30" s="600"/>
      <c r="CD30" s="600"/>
      <c r="CE30" s="591"/>
    </row>
    <row r="31" spans="2:83" x14ac:dyDescent="0.15">
      <c r="B31" s="592"/>
      <c r="C31" s="618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U31" s="332"/>
      <c r="AV31" s="429"/>
      <c r="AW31" s="429"/>
      <c r="AX31" s="429"/>
      <c r="AY31" s="429"/>
      <c r="AZ31" s="311"/>
      <c r="BA31" s="429"/>
      <c r="BB31" s="429"/>
      <c r="BC31" s="429"/>
      <c r="BD31" s="429"/>
      <c r="BE31" s="311"/>
      <c r="BF31" s="429"/>
      <c r="BG31" s="429"/>
      <c r="BH31" s="429"/>
      <c r="BI31" s="429"/>
      <c r="BJ31" s="311"/>
      <c r="BK31" s="311"/>
      <c r="BL31" s="311"/>
      <c r="BM31" s="311"/>
      <c r="BN31" s="311"/>
      <c r="BO31" s="311"/>
      <c r="BP31" s="311"/>
      <c r="BQ31" s="311"/>
      <c r="BR31" s="311"/>
      <c r="BS31" s="311"/>
      <c r="BT31" s="311"/>
      <c r="BU31" s="311"/>
      <c r="BV31" s="311"/>
      <c r="BW31" s="311"/>
      <c r="BX31" s="311"/>
      <c r="BY31" s="311"/>
      <c r="BZ31" s="311"/>
      <c r="CA31" s="311"/>
      <c r="CB31" s="311"/>
      <c r="CC31" s="311"/>
      <c r="CD31" s="311"/>
      <c r="CE31" s="591"/>
    </row>
    <row r="32" spans="2:83" x14ac:dyDescent="0.15">
      <c r="B32" s="592" t="s">
        <v>207</v>
      </c>
      <c r="C32" s="593">
        <v>0.35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594">
        <f>AVERAGE($BC$73:$BC$136)</f>
        <v>0.32759843749999984</v>
      </c>
      <c r="AW32" s="594">
        <f>AVERAGE($BC$137:$BC$197)</f>
        <v>0.32925081967213121</v>
      </c>
      <c r="AX32" s="594">
        <f>AVERAGE($BC$198:$BC$263)</f>
        <v>0.31860000000000011</v>
      </c>
      <c r="AY32" s="594">
        <f>AVERAGE($BC$264:$BC$328)</f>
        <v>0.29744461538461531</v>
      </c>
      <c r="AZ32" s="595">
        <f>AVERAGE(AV32:AY32)</f>
        <v>0.31822346813918662</v>
      </c>
      <c r="BA32" s="594">
        <f>AVERAGE($BC$329:$BC$390)</f>
        <v>0.26989193548387097</v>
      </c>
      <c r="BB32" s="594">
        <f>AVERAGE($BC$391:$BC$454)</f>
        <v>0.27057968750000005</v>
      </c>
      <c r="BC32" s="594">
        <f>AVERAGE($BC$455:$BC$528)</f>
        <v>0.26574864864864867</v>
      </c>
      <c r="BD32" s="594" t="e">
        <f ca="1">_xll.BDP("plnusd curncy","px_last")</f>
        <v>#NAME?</v>
      </c>
      <c r="BE32" s="595" t="e">
        <f ca="1">AVERAGE(BA32:BD32)</f>
        <v>#NAME?</v>
      </c>
      <c r="BF32" s="594" t="e">
        <f ca="1">_xll.BDP("plnusd curncy","px_last")</f>
        <v>#NAME?</v>
      </c>
      <c r="BG32" s="594" t="e">
        <f ca="1">_xll.BDP("plnusd curncy","px_last")</f>
        <v>#NAME?</v>
      </c>
      <c r="BH32" s="594" t="e">
        <f ca="1">_xll.BDP("plnusd curncy","px_last")</f>
        <v>#NAME?</v>
      </c>
      <c r="BI32" s="594" t="e">
        <f ca="1">_xll.BDP("plnusd curncy","px_last")</f>
        <v>#NAME?</v>
      </c>
      <c r="BJ32" s="595" t="e">
        <f ca="1">_xll.BDP("plnusd curncy","px_last")</f>
        <v>#NAME?</v>
      </c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1"/>
      <c r="BY32" s="311"/>
      <c r="BZ32" s="311"/>
      <c r="CA32" s="311"/>
      <c r="CB32" s="311"/>
      <c r="CC32" s="311"/>
      <c r="CD32" s="311"/>
      <c r="CE32" s="591"/>
    </row>
    <row r="33" spans="2:83" x14ac:dyDescent="0.15">
      <c r="B33" s="596" t="s">
        <v>198</v>
      </c>
      <c r="C33" s="618"/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U33" s="429"/>
      <c r="AV33" s="429"/>
      <c r="AW33" s="429"/>
      <c r="AX33" s="429"/>
      <c r="AY33" s="429"/>
      <c r="AZ33" s="605"/>
      <c r="BA33" s="599">
        <f t="shared" ref="BA33:BJ33" si="12">BA32/AV32-1</f>
        <v>-0.17615011370781919</v>
      </c>
      <c r="BB33" s="599">
        <f t="shared" si="12"/>
        <v>-0.17819585758527801</v>
      </c>
      <c r="BC33" s="599">
        <f t="shared" si="12"/>
        <v>-0.16588622520825935</v>
      </c>
      <c r="BD33" s="599" t="e">
        <f t="shared" ca="1" si="12"/>
        <v>#NAME?</v>
      </c>
      <c r="BE33" s="600" t="e">
        <f t="shared" ca="1" si="12"/>
        <v>#NAME?</v>
      </c>
      <c r="BF33" s="599" t="e">
        <f t="shared" ca="1" si="12"/>
        <v>#NAME?</v>
      </c>
      <c r="BG33" s="599" t="e">
        <f t="shared" ca="1" si="12"/>
        <v>#NAME?</v>
      </c>
      <c r="BH33" s="599" t="e">
        <f t="shared" ca="1" si="12"/>
        <v>#NAME?</v>
      </c>
      <c r="BI33" s="599" t="e">
        <f t="shared" ca="1" si="12"/>
        <v>#NAME?</v>
      </c>
      <c r="BJ33" s="600" t="e">
        <f t="shared" ca="1" si="12"/>
        <v>#NAME?</v>
      </c>
      <c r="BK33" s="311"/>
      <c r="BL33" s="311"/>
      <c r="BM33" s="311"/>
      <c r="BN33" s="311"/>
      <c r="BO33" s="311"/>
      <c r="BP33" s="311"/>
      <c r="BQ33" s="311"/>
      <c r="BR33" s="311"/>
      <c r="BS33" s="311"/>
      <c r="BT33" s="311"/>
      <c r="BU33" s="311"/>
      <c r="BV33" s="311"/>
      <c r="BW33" s="311"/>
      <c r="BX33" s="311"/>
      <c r="BY33" s="311"/>
      <c r="BZ33" s="311"/>
      <c r="CA33" s="311"/>
      <c r="CB33" s="311"/>
      <c r="CC33" s="311"/>
      <c r="CD33" s="311"/>
      <c r="CE33" s="591"/>
    </row>
    <row r="34" spans="2:83" x14ac:dyDescent="0.15">
      <c r="B34" s="596"/>
      <c r="C34" s="610"/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29"/>
      <c r="AY34" s="429"/>
      <c r="AZ34" s="311"/>
      <c r="BA34" s="429"/>
      <c r="BB34" s="429"/>
      <c r="BC34" s="429"/>
      <c r="BD34" s="429"/>
      <c r="BE34" s="311"/>
      <c r="BF34" s="429"/>
      <c r="BG34" s="429"/>
      <c r="BH34" s="429"/>
      <c r="BI34" s="429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591"/>
    </row>
    <row r="35" spans="2:83" x14ac:dyDescent="0.15">
      <c r="B35" s="592" t="s">
        <v>208</v>
      </c>
      <c r="C35" s="593">
        <v>0.3</v>
      </c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U35" s="429"/>
      <c r="AV35" s="594">
        <f>AVERAGE($BA$73:$BA$136)</f>
        <v>1.1846875000000003E-2</v>
      </c>
      <c r="AW35" s="594">
        <f>AVERAGE($BA$137:$BA$197)</f>
        <v>1.1885245901639356E-2</v>
      </c>
      <c r="AX35" s="594">
        <f>AVERAGE($BA$198:$BA$263)</f>
        <v>1.1345454545454553E-2</v>
      </c>
      <c r="AY35" s="594">
        <f>AVERAGE($BA$264:$BA$328)</f>
        <v>1.0418461538461538E-2</v>
      </c>
      <c r="AZ35" s="595">
        <f>AVERAGE(AV35:AY35)</f>
        <v>1.1374009246388862E-2</v>
      </c>
      <c r="BA35" s="594">
        <f>AVERAGE($BA$329:$BA$390)</f>
        <v>9.3532258064516136E-3</v>
      </c>
      <c r="BB35" s="594">
        <f>AVERAGE($BA$391:$BA$454)</f>
        <v>9.1578124999999923E-3</v>
      </c>
      <c r="BC35" s="594">
        <f>AVERAGE($BA$455:$BA$528)</f>
        <v>9.2621621621621509E-3</v>
      </c>
      <c r="BD35" s="594" t="e">
        <f ca="1">_xll.BDP("rsdusd curncy","px_last")</f>
        <v>#NAME?</v>
      </c>
      <c r="BE35" s="595" t="e">
        <f ca="1">AVERAGE(BA35:BD35)</f>
        <v>#NAME?</v>
      </c>
      <c r="BF35" s="594" t="e">
        <f ca="1">_xll.BDP("rsdusd curncy","px_last")</f>
        <v>#NAME?</v>
      </c>
      <c r="BG35" s="594" t="e">
        <f ca="1">_xll.BDP("rsdusd curncy","px_last")</f>
        <v>#NAME?</v>
      </c>
      <c r="BH35" s="594" t="e">
        <f ca="1">_xll.BDP("rsdusd curncy","px_last")</f>
        <v>#NAME?</v>
      </c>
      <c r="BI35" s="594" t="e">
        <f ca="1">_xll.BDP("rsdusd curncy","px_last")</f>
        <v>#NAME?</v>
      </c>
      <c r="BJ35" s="595" t="e">
        <f ca="1">_xll.BDP("rsdusd curncy","px_last")</f>
        <v>#NAME?</v>
      </c>
      <c r="BK35" s="311"/>
      <c r="BL35" s="311"/>
      <c r="BM35" s="311"/>
      <c r="BN35" s="311"/>
      <c r="BO35" s="311"/>
      <c r="BP35" s="311"/>
      <c r="BQ35" s="311"/>
      <c r="BR35" s="311"/>
      <c r="BS35" s="311"/>
      <c r="BT35" s="311"/>
      <c r="BU35" s="311"/>
      <c r="BV35" s="311"/>
      <c r="BW35" s="311"/>
      <c r="BX35" s="311"/>
      <c r="BY35" s="311"/>
      <c r="BZ35" s="311"/>
      <c r="CA35" s="311"/>
      <c r="CB35" s="311"/>
      <c r="CC35" s="311"/>
      <c r="CD35" s="311"/>
      <c r="CE35" s="591"/>
    </row>
    <row r="36" spans="2:83" x14ac:dyDescent="0.15">
      <c r="B36" s="596" t="s">
        <v>198</v>
      </c>
      <c r="C36" s="597"/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29"/>
      <c r="AY36" s="429"/>
      <c r="AZ36" s="605"/>
      <c r="BA36" s="599">
        <f t="shared" ref="BA36:BJ36" si="13">BA35/AV35-1</f>
        <v>-0.2104900400779437</v>
      </c>
      <c r="BB36" s="599">
        <f t="shared" si="13"/>
        <v>-0.22948060344827725</v>
      </c>
      <c r="BC36" s="599">
        <f t="shared" si="13"/>
        <v>-0.18362352737352894</v>
      </c>
      <c r="BD36" s="599" t="e">
        <f t="shared" ca="1" si="13"/>
        <v>#NAME?</v>
      </c>
      <c r="BE36" s="600" t="e">
        <f t="shared" ca="1" si="13"/>
        <v>#NAME?</v>
      </c>
      <c r="BF36" s="599" t="e">
        <f t="shared" ca="1" si="13"/>
        <v>#NAME?</v>
      </c>
      <c r="BG36" s="599" t="e">
        <f t="shared" ca="1" si="13"/>
        <v>#NAME?</v>
      </c>
      <c r="BH36" s="599" t="e">
        <f t="shared" ca="1" si="13"/>
        <v>#NAME?</v>
      </c>
      <c r="BI36" s="599" t="e">
        <f t="shared" ca="1" si="13"/>
        <v>#NAME?</v>
      </c>
      <c r="BJ36" s="600" t="e">
        <f t="shared" ca="1" si="13"/>
        <v>#NAME?</v>
      </c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591"/>
    </row>
    <row r="37" spans="2:83" x14ac:dyDescent="0.15">
      <c r="B37" s="592"/>
      <c r="C37" s="597"/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U37" s="429"/>
      <c r="AV37" s="429"/>
      <c r="AW37" s="429"/>
      <c r="AX37" s="429"/>
      <c r="AY37" s="429"/>
      <c r="AZ37" s="311"/>
      <c r="BA37" s="429"/>
      <c r="BB37" s="429"/>
      <c r="BC37" s="429"/>
      <c r="BD37" s="429"/>
      <c r="BE37" s="311"/>
      <c r="BF37" s="429"/>
      <c r="BG37" s="429"/>
      <c r="BH37" s="429"/>
      <c r="BI37" s="429"/>
      <c r="BJ37" s="311"/>
      <c r="BK37" s="311"/>
      <c r="BL37" s="311"/>
      <c r="BM37" s="311"/>
      <c r="BN37" s="311"/>
      <c r="BO37" s="311"/>
      <c r="BP37" s="311"/>
      <c r="BQ37" s="311"/>
      <c r="BR37" s="311"/>
      <c r="BS37" s="311"/>
      <c r="BT37" s="311"/>
      <c r="BU37" s="311"/>
      <c r="BV37" s="311"/>
      <c r="BW37" s="311"/>
      <c r="BX37" s="311"/>
      <c r="BY37" s="311"/>
      <c r="BZ37" s="311"/>
      <c r="CA37" s="311"/>
      <c r="CB37" s="311"/>
      <c r="CC37" s="311"/>
      <c r="CD37" s="311"/>
      <c r="CE37" s="591"/>
    </row>
    <row r="38" spans="2:83" x14ac:dyDescent="0.15">
      <c r="B38" s="611" t="s">
        <v>203</v>
      </c>
      <c r="C38" s="612">
        <f>SUM(C29:C37)</f>
        <v>1</v>
      </c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29"/>
      <c r="AY38" s="429"/>
      <c r="AZ38" s="602"/>
      <c r="BA38" s="613">
        <f>$C$29*BA30+$C$35*BA36+$C$32*BA33</f>
        <v>-0.27933972742109225</v>
      </c>
      <c r="BB38" s="613">
        <f>$C$29*BB30+$C$35*BB36+$C$32*BB33</f>
        <v>-0.24918947207165307</v>
      </c>
      <c r="BC38" s="613">
        <f>$C$29*BC30+$C$35*BC36+$C$32*BC33</f>
        <v>-0.2600788260012778</v>
      </c>
      <c r="BD38" s="613" t="e">
        <f ca="1">$C$29*BD30+$C$35*BD36+$C$32*BD33</f>
        <v>#NAME?</v>
      </c>
      <c r="BE38" s="619" t="e">
        <f ca="1">$C$29*BE30+$C$35*BE36+$C$32*BE33</f>
        <v>#NAME?</v>
      </c>
      <c r="BF38" s="613" t="e">
        <f t="shared" ref="BF38:BI38" ca="1" si="14">$C$29*BF30+$C$35*BF36+$C$32*BF33</f>
        <v>#NAME?</v>
      </c>
      <c r="BG38" s="613" t="e">
        <f t="shared" ca="1" si="14"/>
        <v>#NAME?</v>
      </c>
      <c r="BH38" s="613" t="e">
        <f t="shared" ca="1" si="14"/>
        <v>#NAME?</v>
      </c>
      <c r="BI38" s="613" t="e">
        <f t="shared" ca="1" si="14"/>
        <v>#NAME?</v>
      </c>
      <c r="BJ38" s="619" t="e">
        <f ca="1">$C$29*BJ30+$C$35*BJ36+$C$32*BJ33</f>
        <v>#NAME?</v>
      </c>
      <c r="BK38" s="602"/>
      <c r="BL38" s="602"/>
      <c r="BM38" s="602"/>
      <c r="BN38" s="602"/>
      <c r="BO38" s="602"/>
      <c r="BP38" s="602"/>
      <c r="BQ38" s="602"/>
      <c r="BR38" s="602"/>
      <c r="BS38" s="602"/>
      <c r="BT38" s="602"/>
      <c r="BU38" s="602"/>
      <c r="BV38" s="602"/>
      <c r="BW38" s="602"/>
      <c r="BX38" s="602"/>
      <c r="BY38" s="602"/>
      <c r="BZ38" s="602"/>
      <c r="CA38" s="602"/>
      <c r="CB38" s="602"/>
      <c r="CC38" s="602"/>
      <c r="CD38" s="602"/>
      <c r="CE38" s="591"/>
    </row>
    <row r="39" spans="2:83" x14ac:dyDescent="0.15">
      <c r="B39" s="611" t="s">
        <v>204</v>
      </c>
      <c r="C39" s="610"/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U39" s="429"/>
      <c r="AV39" s="429"/>
      <c r="AW39" s="429"/>
      <c r="AX39" s="429"/>
      <c r="AY39" s="429"/>
      <c r="AZ39" s="311"/>
      <c r="BA39" s="599">
        <f>Sales!BA127</f>
        <v>-0.24126856684062625</v>
      </c>
      <c r="BB39" s="599">
        <f>Sales!BB127</f>
        <v>-0.23207606973058634</v>
      </c>
      <c r="BC39" s="599">
        <f>Sales!BC127</f>
        <v>-0.21889498970487298</v>
      </c>
      <c r="BD39" s="429"/>
      <c r="BE39" s="311"/>
      <c r="BF39" s="54"/>
      <c r="BG39" s="54"/>
      <c r="BH39" s="54"/>
      <c r="BI39" s="54"/>
      <c r="BJ39" s="311"/>
      <c r="BK39" s="311"/>
      <c r="BL39" s="311"/>
      <c r="BM39" s="311"/>
      <c r="BN39" s="311"/>
      <c r="BO39" s="311"/>
      <c r="BP39" s="311"/>
      <c r="BQ39" s="311"/>
      <c r="BR39" s="311"/>
      <c r="BS39" s="311"/>
      <c r="BT39" s="311"/>
      <c r="BU39" s="311"/>
      <c r="BV39" s="311"/>
      <c r="BW39" s="311"/>
      <c r="BX39" s="311"/>
      <c r="BY39" s="311"/>
      <c r="BZ39" s="311"/>
      <c r="CA39" s="311"/>
      <c r="CB39" s="311"/>
      <c r="CC39" s="311"/>
      <c r="CD39" s="311"/>
      <c r="CE39" s="591"/>
    </row>
    <row r="40" spans="2:83" x14ac:dyDescent="0.15">
      <c r="B40" s="611"/>
      <c r="C40" s="610"/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29"/>
      <c r="AY40" s="429"/>
      <c r="AZ40" s="311"/>
      <c r="BA40" s="429"/>
      <c r="BB40" s="429"/>
      <c r="BC40" s="429"/>
      <c r="BD40" s="429"/>
      <c r="BE40" s="311"/>
      <c r="BF40" s="54"/>
      <c r="BG40" s="54"/>
      <c r="BH40" s="54"/>
      <c r="BI40" s="54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591"/>
    </row>
    <row r="41" spans="2:83" x14ac:dyDescent="0.15">
      <c r="B41" s="615" t="s">
        <v>209</v>
      </c>
      <c r="C41" s="616"/>
      <c r="D41" s="617"/>
      <c r="E41" s="617"/>
      <c r="F41" s="617"/>
      <c r="G41" s="617"/>
      <c r="H41" s="617"/>
      <c r="I41" s="617"/>
      <c r="J41" s="617"/>
      <c r="K41" s="617"/>
      <c r="L41" s="617"/>
      <c r="M41" s="617"/>
      <c r="N41" s="617"/>
      <c r="O41" s="617"/>
      <c r="P41" s="617"/>
      <c r="Q41" s="617"/>
      <c r="R41" s="617"/>
      <c r="S41" s="617"/>
      <c r="T41" s="617"/>
      <c r="U41" s="617"/>
      <c r="V41" s="617"/>
      <c r="W41" s="617"/>
      <c r="X41" s="617"/>
      <c r="Y41" s="617"/>
      <c r="Z41" s="617"/>
      <c r="AA41" s="617"/>
      <c r="AB41" s="617"/>
      <c r="AC41" s="617"/>
      <c r="AD41" s="617"/>
      <c r="AE41" s="617"/>
      <c r="AF41" s="617"/>
      <c r="AG41" s="617"/>
      <c r="AH41" s="617"/>
      <c r="AI41" s="617"/>
      <c r="AJ41" s="617"/>
      <c r="AK41" s="617"/>
      <c r="AL41" s="617"/>
      <c r="AM41" s="617"/>
      <c r="AN41" s="617"/>
      <c r="AO41" s="617"/>
      <c r="AP41" s="617"/>
      <c r="AQ41" s="617"/>
      <c r="AR41" s="617"/>
      <c r="AS41" s="617"/>
      <c r="AT41" s="617"/>
      <c r="AU41" s="617"/>
      <c r="AV41" s="617"/>
      <c r="AW41" s="617"/>
      <c r="AX41" s="617"/>
      <c r="AY41" s="617"/>
      <c r="AZ41" s="616"/>
      <c r="BA41" s="617"/>
      <c r="BB41" s="617"/>
      <c r="BC41" s="617"/>
      <c r="BD41" s="617"/>
      <c r="BE41" s="616"/>
      <c r="BF41" s="617"/>
      <c r="BG41" s="617"/>
      <c r="BH41" s="617"/>
      <c r="BI41" s="617"/>
      <c r="BJ41" s="616"/>
      <c r="BK41" s="616"/>
      <c r="BL41" s="616"/>
      <c r="BM41" s="616"/>
      <c r="BN41" s="616"/>
      <c r="BO41" s="616"/>
      <c r="BP41" s="616"/>
      <c r="BQ41" s="616"/>
      <c r="BR41" s="616"/>
      <c r="BS41" s="616"/>
      <c r="BT41" s="616"/>
      <c r="BU41" s="616"/>
      <c r="BV41" s="616"/>
      <c r="BW41" s="616"/>
      <c r="BX41" s="616"/>
      <c r="BY41" s="616"/>
      <c r="BZ41" s="616"/>
      <c r="CA41" s="616"/>
      <c r="CB41" s="616"/>
      <c r="CC41" s="616"/>
      <c r="CD41" s="616"/>
      <c r="CE41" s="591"/>
    </row>
    <row r="42" spans="2:83" x14ac:dyDescent="0.15">
      <c r="B42" s="592" t="s">
        <v>210</v>
      </c>
      <c r="C42" s="593">
        <v>0.5</v>
      </c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U42" s="429"/>
      <c r="AV42" s="594">
        <f>AVERAGE($AW$73:$AW$133)</f>
        <v>0.42335245901639335</v>
      </c>
      <c r="AW42" s="594">
        <f>AVERAGE($AW$134:$AW$197)</f>
        <v>0.44882343750000003</v>
      </c>
      <c r="AX42" s="594">
        <f>AVERAGE($AW$198:$AW$263)</f>
        <v>0.43909545454545451</v>
      </c>
      <c r="AY42" s="594">
        <f>AVERAGE($AW$264:$AW$328)</f>
        <v>0.39270923076923081</v>
      </c>
      <c r="AZ42" s="595">
        <f>AVERAGE(AV42:AY42)</f>
        <v>0.42599514545776968</v>
      </c>
      <c r="BA42" s="594">
        <f>AVERAGE($AW$329:$AW$390)</f>
        <v>0.34963064516129022</v>
      </c>
      <c r="BB42" s="594">
        <f>AVERAGE($AW$391:$AW$454)</f>
        <v>0.32594218749999992</v>
      </c>
      <c r="BC42" s="594">
        <f>AVERAGE($AW$455:$AW$519)</f>
        <v>0.28360769230769228</v>
      </c>
      <c r="BD42" s="594" t="e">
        <f ca="1">_xll.BDP("BRLusd curncy","px_last")</f>
        <v>#NAME?</v>
      </c>
      <c r="BE42" s="595" t="e">
        <f ca="1">AVERAGE(BA42:BD42)</f>
        <v>#NAME?</v>
      </c>
      <c r="BF42" s="594" t="e">
        <f ca="1">_xll.BDP("BRLusd curncy","px_last")</f>
        <v>#NAME?</v>
      </c>
      <c r="BG42" s="594" t="e">
        <f ca="1">_xll.BDP("BRLusd curncy","px_last")</f>
        <v>#NAME?</v>
      </c>
      <c r="BH42" s="594" t="e">
        <f ca="1">_xll.BDP("BRLusd curncy","px_last")</f>
        <v>#NAME?</v>
      </c>
      <c r="BI42" s="594" t="e">
        <f ca="1">_xll.BDP("BRLusd curncy","px_last")</f>
        <v>#NAME?</v>
      </c>
      <c r="BJ42" s="595" t="e">
        <f ca="1">_xll.BDP("BRLusd curncy","px_last")</f>
        <v>#NAME?</v>
      </c>
      <c r="BK42" s="332"/>
      <c r="BL42" s="332"/>
      <c r="BM42" s="332"/>
      <c r="BN42" s="332"/>
      <c r="BO42" s="332"/>
      <c r="BP42" s="332"/>
      <c r="BQ42" s="332"/>
      <c r="BR42" s="332"/>
      <c r="BS42" s="332"/>
      <c r="BT42" s="332"/>
      <c r="BU42" s="332"/>
      <c r="BV42" s="332"/>
      <c r="BW42" s="332"/>
      <c r="BX42" s="332"/>
      <c r="BY42" s="332"/>
      <c r="BZ42" s="332"/>
      <c r="CA42" s="332"/>
      <c r="CB42" s="332"/>
      <c r="CC42" s="332"/>
      <c r="CD42" s="332"/>
      <c r="CE42" s="591"/>
    </row>
    <row r="43" spans="2:83" x14ac:dyDescent="0.15">
      <c r="B43" s="596" t="s">
        <v>198</v>
      </c>
      <c r="C43" s="618"/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U43" s="332"/>
      <c r="AV43" s="429"/>
      <c r="AW43" s="429"/>
      <c r="AX43" s="429"/>
      <c r="AY43" s="429"/>
      <c r="AZ43" s="605"/>
      <c r="BA43" s="599">
        <f>BA42/AV42-1</f>
        <v>-0.17413814963160146</v>
      </c>
      <c r="BB43" s="599">
        <f t="shared" ref="BB43:BJ43" si="15">BB42/AW42-1</f>
        <v>-0.27378527887149406</v>
      </c>
      <c r="BC43" s="599">
        <f t="shared" si="15"/>
        <v>-0.35410925034220864</v>
      </c>
      <c r="BD43" s="599" t="e">
        <f t="shared" ca="1" si="15"/>
        <v>#NAME?</v>
      </c>
      <c r="BE43" s="600" t="e">
        <f t="shared" ca="1" si="15"/>
        <v>#NAME?</v>
      </c>
      <c r="BF43" s="599" t="e">
        <f t="shared" ca="1" si="15"/>
        <v>#NAME?</v>
      </c>
      <c r="BG43" s="599" t="e">
        <f t="shared" ca="1" si="15"/>
        <v>#NAME?</v>
      </c>
      <c r="BH43" s="599" t="e">
        <f t="shared" ca="1" si="15"/>
        <v>#NAME?</v>
      </c>
      <c r="BI43" s="599" t="e">
        <f t="shared" ca="1" si="15"/>
        <v>#NAME?</v>
      </c>
      <c r="BJ43" s="600" t="e">
        <f t="shared" ca="1" si="15"/>
        <v>#NAME?</v>
      </c>
      <c r="BK43" s="600"/>
      <c r="BL43" s="600"/>
      <c r="BM43" s="600"/>
      <c r="BN43" s="600"/>
      <c r="BO43" s="600"/>
      <c r="BP43" s="600"/>
      <c r="BQ43" s="600"/>
      <c r="BR43" s="600"/>
      <c r="BS43" s="600"/>
      <c r="BT43" s="600"/>
      <c r="BU43" s="600"/>
      <c r="BV43" s="600"/>
      <c r="BW43" s="600"/>
      <c r="BX43" s="600"/>
      <c r="BY43" s="600"/>
      <c r="BZ43" s="600"/>
      <c r="CA43" s="600"/>
      <c r="CB43" s="600"/>
      <c r="CC43" s="600"/>
      <c r="CD43" s="600"/>
      <c r="CE43" s="591"/>
    </row>
    <row r="44" spans="2:83" x14ac:dyDescent="0.15">
      <c r="B44" s="592"/>
      <c r="C44" s="618"/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U44" s="332"/>
      <c r="AV44" s="429"/>
      <c r="AW44" s="429"/>
      <c r="AX44" s="429"/>
      <c r="AY44" s="429"/>
      <c r="AZ44" s="311"/>
      <c r="BA44" s="429"/>
      <c r="BB44" s="429"/>
      <c r="BC44" s="429"/>
      <c r="BD44" s="429"/>
      <c r="BE44" s="311"/>
      <c r="BF44" s="429"/>
      <c r="BG44" s="429"/>
      <c r="BH44" s="429"/>
      <c r="BI44" s="429"/>
      <c r="BJ44" s="311"/>
      <c r="BK44" s="311"/>
      <c r="BL44" s="311"/>
      <c r="BM44" s="311"/>
      <c r="BN44" s="311"/>
      <c r="BO44" s="311"/>
      <c r="BP44" s="311"/>
      <c r="BQ44" s="311"/>
      <c r="BR44" s="311"/>
      <c r="BS44" s="311"/>
      <c r="BT44" s="311"/>
      <c r="BU44" s="311"/>
      <c r="BV44" s="311"/>
      <c r="BW44" s="311"/>
      <c r="BX44" s="311"/>
      <c r="BY44" s="311"/>
      <c r="BZ44" s="311"/>
      <c r="CA44" s="311"/>
      <c r="CB44" s="311"/>
      <c r="CC44" s="311"/>
      <c r="CD44" s="311"/>
      <c r="CE44" s="591"/>
    </row>
    <row r="45" spans="2:83" x14ac:dyDescent="0.15">
      <c r="B45" s="592" t="s">
        <v>211</v>
      </c>
      <c r="C45" s="593">
        <v>0.5</v>
      </c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U45" s="429"/>
      <c r="AV45" s="594">
        <f>'[45]YOY FX'!$S$28</f>
        <v>7.5579375000000018E-2</v>
      </c>
      <c r="AW45" s="594">
        <f>'[45]YOY FX'!$S$29</f>
        <v>7.6964153846153821E-2</v>
      </c>
      <c r="AX45" s="594">
        <f>'[45]YOY FX'!$S$30</f>
        <v>7.6218484848484855E-2</v>
      </c>
      <c r="AY45" s="594">
        <f>'[45]YOY FX'!$S$31</f>
        <v>7.2030606060606073E-2</v>
      </c>
      <c r="AZ45" s="595">
        <f>AVERAGE(AV45:AY45)</f>
        <v>7.5198154938811199E-2</v>
      </c>
      <c r="BA45" s="594">
        <f>'[45]YOY FX'!$S$32</f>
        <v>6.6899375000000011E-2</v>
      </c>
      <c r="BB45" s="594">
        <f>'[45]YOY FX'!$S$33</f>
        <v>6.5268307692307681E-2</v>
      </c>
      <c r="BC45" s="594">
        <f>'[45]YOY FX'!$S$34</f>
        <v>6.0861363636363644E-2</v>
      </c>
      <c r="BD45" s="594" t="e">
        <f ca="1">_xll.BDP("MXNusd curncy","px_last")</f>
        <v>#NAME?</v>
      </c>
      <c r="BE45" s="595" t="e">
        <f ca="1">AVERAGE(BA45:BD45)</f>
        <v>#NAME?</v>
      </c>
      <c r="BF45" s="594" t="e">
        <f ca="1">_xll.BDP("MXNusd curncy","px_last")</f>
        <v>#NAME?</v>
      </c>
      <c r="BG45" s="594" t="e">
        <f ca="1">_xll.BDP("MXNusd curncy","px_last")</f>
        <v>#NAME?</v>
      </c>
      <c r="BH45" s="594" t="e">
        <f ca="1">_xll.BDP("MXNusd curncy","px_last")</f>
        <v>#NAME?</v>
      </c>
      <c r="BI45" s="594" t="e">
        <f ca="1">_xll.BDP("MXNusd curncy","px_last")</f>
        <v>#NAME?</v>
      </c>
      <c r="BJ45" s="595" t="e">
        <f ca="1">_xll.BDP("MXNusd curncy","px_last")</f>
        <v>#NAME?</v>
      </c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591"/>
    </row>
    <row r="46" spans="2:83" x14ac:dyDescent="0.15">
      <c r="B46" s="596" t="s">
        <v>198</v>
      </c>
      <c r="C46" s="597"/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29"/>
      <c r="AY46" s="429"/>
      <c r="AZ46" s="605"/>
      <c r="BA46" s="599">
        <f>BA45/AV45-1</f>
        <v>-0.11484614684892547</v>
      </c>
      <c r="BB46" s="599">
        <f t="shared" ref="BB46:BJ46" si="16">BB45/AW45-1</f>
        <v>-0.15196485076968891</v>
      </c>
      <c r="BC46" s="599">
        <f t="shared" si="16"/>
        <v>-0.20148814611901189</v>
      </c>
      <c r="BD46" s="599" t="e">
        <f t="shared" ca="1" si="16"/>
        <v>#NAME?</v>
      </c>
      <c r="BE46" s="600" t="e">
        <f t="shared" ca="1" si="16"/>
        <v>#NAME?</v>
      </c>
      <c r="BF46" s="599" t="e">
        <f t="shared" ca="1" si="16"/>
        <v>#NAME?</v>
      </c>
      <c r="BG46" s="599" t="e">
        <f t="shared" ca="1" si="16"/>
        <v>#NAME?</v>
      </c>
      <c r="BH46" s="599" t="e">
        <f t="shared" ca="1" si="16"/>
        <v>#NAME?</v>
      </c>
      <c r="BI46" s="599" t="e">
        <f t="shared" ca="1" si="16"/>
        <v>#NAME?</v>
      </c>
      <c r="BJ46" s="600" t="e">
        <f t="shared" ca="1" si="16"/>
        <v>#NAME?</v>
      </c>
      <c r="BK46" s="311"/>
      <c r="BL46" s="311"/>
      <c r="BM46" s="311"/>
      <c r="BN46" s="311"/>
      <c r="BO46" s="311"/>
      <c r="BP46" s="311"/>
      <c r="BQ46" s="311"/>
      <c r="BR46" s="311"/>
      <c r="BS46" s="311"/>
      <c r="BT46" s="311"/>
      <c r="BU46" s="311"/>
      <c r="BV46" s="311"/>
      <c r="BW46" s="311"/>
      <c r="BX46" s="311"/>
      <c r="BY46" s="311"/>
      <c r="BZ46" s="311"/>
      <c r="CA46" s="311"/>
      <c r="CB46" s="311"/>
      <c r="CC46" s="311"/>
      <c r="CD46" s="311"/>
      <c r="CE46" s="591"/>
    </row>
    <row r="47" spans="2:83" x14ac:dyDescent="0.15">
      <c r="B47" s="592"/>
      <c r="C47" s="597"/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U47" s="429"/>
      <c r="AV47" s="429"/>
      <c r="AW47" s="429"/>
      <c r="AX47" s="429"/>
      <c r="AY47" s="429"/>
      <c r="AZ47" s="311"/>
      <c r="BA47" s="429"/>
      <c r="BB47" s="429"/>
      <c r="BC47" s="429"/>
      <c r="BD47" s="429"/>
      <c r="BE47" s="311"/>
      <c r="BF47" s="429"/>
      <c r="BG47" s="429"/>
      <c r="BH47" s="429"/>
      <c r="BI47" s="429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591"/>
    </row>
    <row r="48" spans="2:83" x14ac:dyDescent="0.15">
      <c r="B48" s="611" t="s">
        <v>203</v>
      </c>
      <c r="C48" s="612">
        <f>SUM(C42:C47)</f>
        <v>1</v>
      </c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602"/>
      <c r="BA48" s="613">
        <f>$C$42*BA43+$C$45*BA46</f>
        <v>-0.14449214824026346</v>
      </c>
      <c r="BB48" s="613">
        <f t="shared" ref="BB48:BJ48" si="17">$C$42*BB43+$C$45*BB46</f>
        <v>-0.21287506482059149</v>
      </c>
      <c r="BC48" s="613">
        <f t="shared" si="17"/>
        <v>-0.27779869823061026</v>
      </c>
      <c r="BD48" s="613" t="e">
        <f t="shared" ca="1" si="17"/>
        <v>#NAME?</v>
      </c>
      <c r="BE48" s="619" t="e">
        <f t="shared" ca="1" si="17"/>
        <v>#NAME?</v>
      </c>
      <c r="BF48" s="613" t="e">
        <f t="shared" ca="1" si="17"/>
        <v>#NAME?</v>
      </c>
      <c r="BG48" s="613" t="e">
        <f t="shared" ca="1" si="17"/>
        <v>#NAME?</v>
      </c>
      <c r="BH48" s="613" t="e">
        <f t="shared" ca="1" si="17"/>
        <v>#NAME?</v>
      </c>
      <c r="BI48" s="613" t="e">
        <f t="shared" ca="1" si="17"/>
        <v>#NAME?</v>
      </c>
      <c r="BJ48" s="619" t="e">
        <f t="shared" ca="1" si="17"/>
        <v>#NAME?</v>
      </c>
      <c r="BK48" s="602"/>
      <c r="BL48" s="602"/>
      <c r="BM48" s="602"/>
      <c r="BN48" s="602"/>
      <c r="BO48" s="602"/>
      <c r="BP48" s="602"/>
      <c r="BQ48" s="602"/>
      <c r="BR48" s="602"/>
      <c r="BS48" s="602"/>
      <c r="BT48" s="602"/>
      <c r="BU48" s="602"/>
      <c r="BV48" s="602"/>
      <c r="BW48" s="602"/>
      <c r="BX48" s="602"/>
      <c r="BY48" s="602"/>
      <c r="BZ48" s="602"/>
      <c r="CA48" s="602"/>
      <c r="CB48" s="602"/>
      <c r="CC48" s="602"/>
      <c r="CD48" s="602"/>
      <c r="CE48" s="591"/>
    </row>
    <row r="49" spans="2:83" x14ac:dyDescent="0.15">
      <c r="B49" s="611" t="s">
        <v>204</v>
      </c>
      <c r="C49" s="610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311"/>
      <c r="BA49" s="599">
        <f>Sales!BA131</f>
        <v>-0.14098690835850947</v>
      </c>
      <c r="BB49" s="599">
        <f>Sales!BB131</f>
        <v>-0.19116575591985424</v>
      </c>
      <c r="BC49" s="599">
        <f>Sales!BC131</f>
        <v>-0.26485915492957751</v>
      </c>
      <c r="BD49" s="429"/>
      <c r="BE49" s="311"/>
      <c r="BF49" s="429"/>
      <c r="BG49" s="429"/>
      <c r="BH49" s="429"/>
      <c r="BI49" s="429"/>
      <c r="BJ49" s="311"/>
      <c r="BK49" s="311"/>
      <c r="BL49" s="311"/>
      <c r="BM49" s="311"/>
      <c r="BN49" s="311"/>
      <c r="BO49" s="311"/>
      <c r="BP49" s="311"/>
      <c r="BQ49" s="311"/>
      <c r="BR49" s="311"/>
      <c r="BS49" s="311"/>
      <c r="BT49" s="311"/>
      <c r="BU49" s="311"/>
      <c r="BV49" s="311"/>
      <c r="BW49" s="311"/>
      <c r="BX49" s="311"/>
      <c r="BY49" s="311"/>
      <c r="BZ49" s="311"/>
      <c r="CA49" s="311"/>
      <c r="CB49" s="311"/>
      <c r="CC49" s="311"/>
      <c r="CD49" s="311"/>
      <c r="CE49" s="591"/>
    </row>
    <row r="50" spans="2:83" x14ac:dyDescent="0.15">
      <c r="B50" s="611"/>
      <c r="C50" s="610"/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  <c r="AZ50" s="605"/>
      <c r="BA50" s="429"/>
      <c r="BB50" s="429"/>
      <c r="BC50" s="429"/>
      <c r="BD50" s="429"/>
      <c r="BE50" s="605"/>
      <c r="BF50" s="429"/>
      <c r="BG50" s="429"/>
      <c r="BH50" s="429"/>
      <c r="BI50" s="429"/>
      <c r="BJ50" s="605"/>
      <c r="BK50" s="605"/>
      <c r="BL50" s="605"/>
      <c r="BM50" s="605"/>
      <c r="BN50" s="605"/>
      <c r="BO50" s="605"/>
      <c r="BP50" s="605"/>
      <c r="BQ50" s="605"/>
      <c r="BR50" s="605"/>
      <c r="BS50" s="605"/>
      <c r="BT50" s="605"/>
      <c r="BU50" s="605"/>
      <c r="BV50" s="605"/>
      <c r="BW50" s="605"/>
      <c r="BX50" s="605"/>
      <c r="BY50" s="605"/>
      <c r="BZ50" s="605"/>
      <c r="CA50" s="605"/>
      <c r="CB50" s="605"/>
      <c r="CC50" s="605"/>
      <c r="CD50" s="605"/>
      <c r="CE50" s="591"/>
    </row>
    <row r="51" spans="2:83" x14ac:dyDescent="0.15">
      <c r="B51" s="615" t="s">
        <v>212</v>
      </c>
      <c r="C51" s="616"/>
      <c r="D51" s="617"/>
      <c r="E51" s="617"/>
      <c r="F51" s="617"/>
      <c r="G51" s="617"/>
      <c r="H51" s="617"/>
      <c r="I51" s="617"/>
      <c r="J51" s="617"/>
      <c r="K51" s="617"/>
      <c r="L51" s="617"/>
      <c r="M51" s="617"/>
      <c r="N51" s="617"/>
      <c r="O51" s="617"/>
      <c r="P51" s="617"/>
      <c r="Q51" s="617"/>
      <c r="R51" s="617"/>
      <c r="S51" s="617"/>
      <c r="T51" s="617"/>
      <c r="U51" s="617"/>
      <c r="V51" s="617"/>
      <c r="W51" s="617"/>
      <c r="X51" s="617"/>
      <c r="Y51" s="617"/>
      <c r="Z51" s="617"/>
      <c r="AA51" s="617"/>
      <c r="AB51" s="617"/>
      <c r="AC51" s="617"/>
      <c r="AD51" s="617"/>
      <c r="AE51" s="617"/>
      <c r="AF51" s="617"/>
      <c r="AG51" s="617"/>
      <c r="AH51" s="617"/>
      <c r="AI51" s="617"/>
      <c r="AJ51" s="617"/>
      <c r="AK51" s="617"/>
      <c r="AL51" s="617"/>
      <c r="AM51" s="617"/>
      <c r="AN51" s="617"/>
      <c r="AO51" s="617"/>
      <c r="AP51" s="617"/>
      <c r="AQ51" s="617"/>
      <c r="AR51" s="617"/>
      <c r="AS51" s="617"/>
      <c r="AT51" s="617"/>
      <c r="AU51" s="617"/>
      <c r="AV51" s="617"/>
      <c r="AW51" s="617"/>
      <c r="AX51" s="617"/>
      <c r="AY51" s="617"/>
      <c r="AZ51" s="616"/>
      <c r="BA51" s="617"/>
      <c r="BB51" s="617"/>
      <c r="BC51" s="617"/>
      <c r="BD51" s="617"/>
      <c r="BE51" s="616"/>
      <c r="BF51" s="617"/>
      <c r="BG51" s="617"/>
      <c r="BH51" s="617"/>
      <c r="BI51" s="617"/>
      <c r="BJ51" s="616"/>
      <c r="BK51" s="616"/>
      <c r="BL51" s="616"/>
      <c r="BM51" s="616"/>
      <c r="BN51" s="616"/>
      <c r="BO51" s="616"/>
      <c r="BP51" s="616"/>
      <c r="BQ51" s="616"/>
      <c r="BR51" s="616"/>
      <c r="BS51" s="616"/>
      <c r="BT51" s="616"/>
      <c r="BU51" s="616"/>
      <c r="BV51" s="616"/>
      <c r="BW51" s="616"/>
      <c r="BX51" s="616"/>
      <c r="BY51" s="616"/>
      <c r="BZ51" s="616"/>
      <c r="CA51" s="616"/>
      <c r="CB51" s="616"/>
      <c r="CC51" s="616"/>
      <c r="CD51" s="616"/>
      <c r="CE51" s="591"/>
    </row>
    <row r="52" spans="2:83" x14ac:dyDescent="0.15">
      <c r="B52" s="592" t="s">
        <v>213</v>
      </c>
      <c r="C52" s="593">
        <v>0.5</v>
      </c>
      <c r="D52" s="429"/>
      <c r="E52" s="429"/>
      <c r="F52" s="429"/>
      <c r="G52" s="429"/>
      <c r="H52" s="429"/>
      <c r="I52" s="429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29"/>
      <c r="AM52" s="429"/>
      <c r="AN52" s="429"/>
      <c r="AO52" s="429"/>
      <c r="AP52" s="429"/>
      <c r="AQ52" s="429"/>
      <c r="AR52" s="429"/>
      <c r="AS52" s="429"/>
      <c r="AT52" s="429"/>
      <c r="AU52" s="429"/>
      <c r="AV52" s="594">
        <f>'[45]YOY FX'!$P$28</f>
        <v>0.16392578124999999</v>
      </c>
      <c r="AW52" s="594">
        <f>'[45]YOY FX'!$P$29</f>
        <v>0.1604693846153846</v>
      </c>
      <c r="AX52" s="594">
        <f>'[45]YOY FX'!$P$30</f>
        <v>0.16220303030303032</v>
      </c>
      <c r="AY52" s="594">
        <f>'[45]YOY FX'!$P$31</f>
        <v>0.16264787878787876</v>
      </c>
      <c r="AZ52" s="595">
        <f>AVERAGE(AV52:AY52)</f>
        <v>0.16231151873907343</v>
      </c>
      <c r="BA52" s="594">
        <f>'[45]YOY FX'!$P$32</f>
        <v>0.16035671874999999</v>
      </c>
      <c r="BB52" s="594">
        <f>'[45]YOY FX'!$P$33</f>
        <v>0.16123369230769236</v>
      </c>
      <c r="BC52" s="594">
        <f>'[45]YOY FX'!$P$34</f>
        <v>0.1586698484848485</v>
      </c>
      <c r="BD52" s="594" t="e">
        <f ca="1">_xll.BDP("CNYusd curncy","px_last")</f>
        <v>#NAME?</v>
      </c>
      <c r="BE52" s="595" t="e">
        <f ca="1">AVERAGE(BA52:BD52)</f>
        <v>#NAME?</v>
      </c>
      <c r="BF52" s="594" t="e">
        <f ca="1">_xll.BDP("CNYusd curncy","px_last")</f>
        <v>#NAME?</v>
      </c>
      <c r="BG52" s="594" t="e">
        <f ca="1">_xll.BDP("CNYusd curncy","px_last")</f>
        <v>#NAME?</v>
      </c>
      <c r="BH52" s="594" t="e">
        <f ca="1">_xll.BDP("CNYusd curncy","px_last")</f>
        <v>#NAME?</v>
      </c>
      <c r="BI52" s="594" t="e">
        <f ca="1">_xll.BDP("CNYusd curncy","px_last")</f>
        <v>#NAME?</v>
      </c>
      <c r="BJ52" s="595" t="e">
        <f ca="1">_xll.BDP("CNYusd curncy","px_last")</f>
        <v>#NAME?</v>
      </c>
      <c r="BK52" s="332"/>
      <c r="BL52" s="332"/>
      <c r="BM52" s="332"/>
      <c r="BN52" s="332"/>
      <c r="BO52" s="332"/>
      <c r="BP52" s="332"/>
      <c r="BQ52" s="332"/>
      <c r="BR52" s="332"/>
      <c r="BS52" s="332"/>
      <c r="BT52" s="332"/>
      <c r="BU52" s="332"/>
      <c r="BV52" s="332"/>
      <c r="BW52" s="332"/>
      <c r="BX52" s="332"/>
      <c r="BY52" s="332"/>
      <c r="BZ52" s="332"/>
      <c r="CA52" s="332"/>
      <c r="CB52" s="332"/>
      <c r="CC52" s="332"/>
      <c r="CD52" s="332"/>
      <c r="CE52" s="591"/>
    </row>
    <row r="53" spans="2:83" x14ac:dyDescent="0.15">
      <c r="B53" s="596" t="s">
        <v>198</v>
      </c>
      <c r="C53" s="618"/>
      <c r="D53" s="429"/>
      <c r="E53" s="429"/>
      <c r="F53" s="429"/>
      <c r="G53" s="429"/>
      <c r="H53" s="429"/>
      <c r="I53" s="429"/>
      <c r="J53" s="429"/>
      <c r="K53" s="429"/>
      <c r="L53" s="429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429"/>
      <c r="AF53" s="429"/>
      <c r="AG53" s="429"/>
      <c r="AH53" s="429"/>
      <c r="AI53" s="429"/>
      <c r="AJ53" s="429"/>
      <c r="AK53" s="429"/>
      <c r="AL53" s="429"/>
      <c r="AM53" s="429"/>
      <c r="AN53" s="429"/>
      <c r="AO53" s="429"/>
      <c r="AP53" s="429"/>
      <c r="AQ53" s="429"/>
      <c r="AR53" s="429"/>
      <c r="AS53" s="429"/>
      <c r="AT53" s="429"/>
      <c r="AU53" s="332"/>
      <c r="AV53" s="429"/>
      <c r="AW53" s="429"/>
      <c r="AX53" s="429"/>
      <c r="AY53" s="429"/>
      <c r="AZ53" s="605"/>
      <c r="BA53" s="599">
        <f>BA52/AV52-1</f>
        <v>-2.1772429405456872E-2</v>
      </c>
      <c r="BB53" s="599">
        <f t="shared" ref="BB53:BJ53" si="18">BB52/AW52-1</f>
        <v>4.7629502296631099E-3</v>
      </c>
      <c r="BC53" s="599">
        <f t="shared" si="18"/>
        <v>-2.178246492424385E-2</v>
      </c>
      <c r="BD53" s="599" t="e">
        <f t="shared" ca="1" si="18"/>
        <v>#NAME?</v>
      </c>
      <c r="BE53" s="600" t="e">
        <f t="shared" ca="1" si="18"/>
        <v>#NAME?</v>
      </c>
      <c r="BF53" s="599" t="e">
        <f t="shared" ca="1" si="18"/>
        <v>#NAME?</v>
      </c>
      <c r="BG53" s="599" t="e">
        <f t="shared" ca="1" si="18"/>
        <v>#NAME?</v>
      </c>
      <c r="BH53" s="599" t="e">
        <f t="shared" ca="1" si="18"/>
        <v>#NAME?</v>
      </c>
      <c r="BI53" s="599" t="e">
        <f t="shared" ca="1" si="18"/>
        <v>#NAME?</v>
      </c>
      <c r="BJ53" s="600" t="e">
        <f t="shared" ca="1" si="18"/>
        <v>#NAME?</v>
      </c>
      <c r="BK53" s="600"/>
      <c r="BL53" s="600"/>
      <c r="BM53" s="600"/>
      <c r="BN53" s="600"/>
      <c r="BO53" s="600"/>
      <c r="BP53" s="600"/>
      <c r="BQ53" s="600"/>
      <c r="BR53" s="600"/>
      <c r="BS53" s="600"/>
      <c r="BT53" s="600"/>
      <c r="BU53" s="600"/>
      <c r="BV53" s="600"/>
      <c r="BW53" s="600"/>
      <c r="BX53" s="600"/>
      <c r="BY53" s="600"/>
      <c r="BZ53" s="600"/>
      <c r="CA53" s="600"/>
      <c r="CB53" s="600"/>
      <c r="CC53" s="600"/>
      <c r="CD53" s="600"/>
      <c r="CE53" s="591"/>
    </row>
    <row r="54" spans="2:83" x14ac:dyDescent="0.15">
      <c r="B54" s="592"/>
      <c r="C54" s="618"/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429"/>
      <c r="AF54" s="429"/>
      <c r="AG54" s="429"/>
      <c r="AH54" s="429"/>
      <c r="AI54" s="429"/>
      <c r="AJ54" s="429"/>
      <c r="AK54" s="429"/>
      <c r="AL54" s="429"/>
      <c r="AM54" s="429"/>
      <c r="AN54" s="429"/>
      <c r="AO54" s="429"/>
      <c r="AP54" s="429"/>
      <c r="AQ54" s="429"/>
      <c r="AR54" s="429"/>
      <c r="AS54" s="429"/>
      <c r="AT54" s="429"/>
      <c r="AU54" s="332"/>
      <c r="AV54" s="429"/>
      <c r="AW54" s="429"/>
      <c r="AX54" s="429"/>
      <c r="AY54" s="429"/>
      <c r="AZ54" s="311"/>
      <c r="BA54" s="429"/>
      <c r="BB54" s="429"/>
      <c r="BC54" s="429"/>
      <c r="BD54" s="429"/>
      <c r="BE54" s="311"/>
      <c r="BF54" s="429"/>
      <c r="BG54" s="429"/>
      <c r="BH54" s="429"/>
      <c r="BI54" s="429"/>
      <c r="BJ54" s="311"/>
      <c r="BK54" s="311"/>
      <c r="BL54" s="311"/>
      <c r="BM54" s="311"/>
      <c r="BN54" s="311"/>
      <c r="BO54" s="311"/>
      <c r="BP54" s="311"/>
      <c r="BQ54" s="311"/>
      <c r="BR54" s="311"/>
      <c r="BS54" s="311"/>
      <c r="BT54" s="311"/>
      <c r="BU54" s="311"/>
      <c r="BV54" s="311"/>
      <c r="BW54" s="311"/>
      <c r="BX54" s="311"/>
      <c r="BY54" s="311"/>
      <c r="BZ54" s="311"/>
      <c r="CA54" s="311"/>
      <c r="CB54" s="311"/>
      <c r="CC54" s="311"/>
      <c r="CD54" s="311"/>
      <c r="CE54" s="591"/>
    </row>
    <row r="55" spans="2:83" x14ac:dyDescent="0.15">
      <c r="B55" s="592" t="s">
        <v>214</v>
      </c>
      <c r="C55" s="593">
        <v>0.3</v>
      </c>
      <c r="D55" s="429"/>
      <c r="E55" s="429"/>
      <c r="F55" s="429"/>
      <c r="G55" s="429"/>
      <c r="H55" s="429"/>
      <c r="I55" s="429"/>
      <c r="J55" s="429"/>
      <c r="K55" s="429"/>
      <c r="L55" s="429"/>
      <c r="M55" s="429"/>
      <c r="N55" s="429"/>
      <c r="O55" s="429"/>
      <c r="P55" s="429"/>
      <c r="Q55" s="429"/>
      <c r="R55" s="429"/>
      <c r="S55" s="429"/>
      <c r="T55" s="429"/>
      <c r="U55" s="429"/>
      <c r="V55" s="429"/>
      <c r="W55" s="429"/>
      <c r="X55" s="429"/>
      <c r="Y55" s="429"/>
      <c r="Z55" s="429"/>
      <c r="AA55" s="429"/>
      <c r="AB55" s="429"/>
      <c r="AC55" s="429"/>
      <c r="AD55" s="429"/>
      <c r="AE55" s="429"/>
      <c r="AF55" s="429"/>
      <c r="AG55" s="429"/>
      <c r="AH55" s="429"/>
      <c r="AI55" s="429"/>
      <c r="AJ55" s="429"/>
      <c r="AK55" s="429"/>
      <c r="AL55" s="429"/>
      <c r="AM55" s="429"/>
      <c r="AN55" s="429"/>
      <c r="AO55" s="429"/>
      <c r="AP55" s="429"/>
      <c r="AQ55" s="429"/>
      <c r="AR55" s="429"/>
      <c r="AS55" s="429"/>
      <c r="AT55" s="429"/>
      <c r="AU55" s="329"/>
      <c r="AV55" s="594">
        <f>AVERAGE($BE$73:$BE$136)</f>
        <v>9.3467031249999999E-2</v>
      </c>
      <c r="AW55" s="594">
        <f>AVERAGE($BE$137:$BE$197)</f>
        <v>9.7152786885245909E-2</v>
      </c>
      <c r="AX55" s="594">
        <f>AVERAGE($BE$198:$BE$263)</f>
        <v>9.7524545454545433E-2</v>
      </c>
      <c r="AY55" s="594">
        <f>AVERAGE($BE$264:$BE$328)</f>
        <v>9.215830769230772E-2</v>
      </c>
      <c r="AZ55" s="595">
        <f>AVERAGE(AV55:AY55)</f>
        <v>9.5075667820524762E-2</v>
      </c>
      <c r="BA55" s="594">
        <f>AVERAGE($BE$329:$BE$390)</f>
        <v>9.0872258064516154E-2</v>
      </c>
      <c r="BB55" s="594">
        <f>AVERAGE($BE$391:$BE$454)</f>
        <v>9.1190000000000021E-2</v>
      </c>
      <c r="BC55" s="594">
        <f>AVERAGE($BE$455:$BE$528)</f>
        <v>8.5885810810810828E-2</v>
      </c>
      <c r="BD55" s="594" t="e">
        <f ca="1">_xll.BDP("krwusd curncy","px_last")</f>
        <v>#NAME?</v>
      </c>
      <c r="BE55" s="595" t="e">
        <f ca="1">AVERAGE(BA55:BD55)</f>
        <v>#NAME?</v>
      </c>
      <c r="BF55" s="594" t="e">
        <f ca="1">_xll.BDP("krwusd curncy","px_last")</f>
        <v>#NAME?</v>
      </c>
      <c r="BG55" s="594" t="e">
        <f ca="1">_xll.BDP("krwusd curncy","px_last")</f>
        <v>#NAME?</v>
      </c>
      <c r="BH55" s="594" t="e">
        <f ca="1">_xll.BDP("krwusd curncy","px_last")</f>
        <v>#NAME?</v>
      </c>
      <c r="BI55" s="594" t="e">
        <f ca="1">_xll.BDP("krwusd curncy","px_last")</f>
        <v>#NAME?</v>
      </c>
      <c r="BJ55" s="595" t="e">
        <f ca="1">_xll.BDP("krwusd curncy","px_last")</f>
        <v>#NAME?</v>
      </c>
      <c r="BK55" s="311"/>
      <c r="BL55" s="311"/>
      <c r="BM55" s="311"/>
      <c r="BN55" s="311"/>
      <c r="BO55" s="311"/>
      <c r="BP55" s="311"/>
      <c r="BQ55" s="311"/>
      <c r="BR55" s="311"/>
      <c r="BS55" s="311"/>
      <c r="BT55" s="311"/>
      <c r="BU55" s="311"/>
      <c r="BV55" s="311"/>
      <c r="BW55" s="311"/>
      <c r="BX55" s="311"/>
      <c r="BY55" s="311"/>
      <c r="BZ55" s="311"/>
      <c r="CA55" s="311"/>
      <c r="CB55" s="311"/>
      <c r="CC55" s="311"/>
      <c r="CD55" s="311"/>
      <c r="CE55" s="591"/>
    </row>
    <row r="56" spans="2:83" x14ac:dyDescent="0.15">
      <c r="B56" s="596" t="s">
        <v>198</v>
      </c>
      <c r="C56" s="597"/>
      <c r="D56" s="429"/>
      <c r="E56" s="429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429"/>
      <c r="Q56" s="429"/>
      <c r="R56" s="429"/>
      <c r="S56" s="429"/>
      <c r="T56" s="429"/>
      <c r="U56" s="429"/>
      <c r="V56" s="429"/>
      <c r="W56" s="429"/>
      <c r="X56" s="429"/>
      <c r="Y56" s="429"/>
      <c r="Z56" s="429"/>
      <c r="AA56" s="429"/>
      <c r="AB56" s="429"/>
      <c r="AC56" s="429"/>
      <c r="AD56" s="429"/>
      <c r="AE56" s="429"/>
      <c r="AF56" s="429"/>
      <c r="AG56" s="429"/>
      <c r="AH56" s="429"/>
      <c r="AI56" s="429"/>
      <c r="AJ56" s="429"/>
      <c r="AK56" s="429"/>
      <c r="AL56" s="429"/>
      <c r="AM56" s="429"/>
      <c r="AN56" s="429"/>
      <c r="AO56" s="429"/>
      <c r="AP56" s="429"/>
      <c r="AQ56" s="429"/>
      <c r="AR56" s="429"/>
      <c r="AS56" s="429"/>
      <c r="AT56" s="429"/>
      <c r="AU56" s="329"/>
      <c r="AV56" s="429"/>
      <c r="AW56" s="429"/>
      <c r="AX56" s="429"/>
      <c r="AY56" s="429"/>
      <c r="AZ56" s="605"/>
      <c r="BA56" s="599">
        <f>BA55/AV55-1</f>
        <v>-2.7761373724853877E-2</v>
      </c>
      <c r="BB56" s="599">
        <f t="shared" ref="BB56:BJ56" si="19">BB55/AW55-1</f>
        <v>-6.137535603882327E-2</v>
      </c>
      <c r="BC56" s="599">
        <f t="shared" si="19"/>
        <v>-0.11934159333415428</v>
      </c>
      <c r="BD56" s="599" t="e">
        <f t="shared" ca="1" si="19"/>
        <v>#NAME?</v>
      </c>
      <c r="BE56" s="600" t="e">
        <f t="shared" ca="1" si="19"/>
        <v>#NAME?</v>
      </c>
      <c r="BF56" s="599" t="e">
        <f t="shared" ca="1" si="19"/>
        <v>#NAME?</v>
      </c>
      <c r="BG56" s="599" t="e">
        <f t="shared" ca="1" si="19"/>
        <v>#NAME?</v>
      </c>
      <c r="BH56" s="599" t="e">
        <f t="shared" ca="1" si="19"/>
        <v>#NAME?</v>
      </c>
      <c r="BI56" s="599" t="e">
        <f t="shared" ca="1" si="19"/>
        <v>#NAME?</v>
      </c>
      <c r="BJ56" s="600" t="e">
        <f t="shared" ca="1" si="19"/>
        <v>#NAME?</v>
      </c>
      <c r="BK56" s="311"/>
      <c r="BL56" s="311"/>
      <c r="BM56" s="311"/>
      <c r="BN56" s="311"/>
      <c r="BO56" s="311"/>
      <c r="BP56" s="311"/>
      <c r="BQ56" s="311"/>
      <c r="BR56" s="311"/>
      <c r="BS56" s="311"/>
      <c r="BT56" s="311"/>
      <c r="BU56" s="311"/>
      <c r="BV56" s="311"/>
      <c r="BW56" s="311"/>
      <c r="BX56" s="311"/>
      <c r="BY56" s="311"/>
      <c r="BZ56" s="311"/>
      <c r="CA56" s="311"/>
      <c r="CB56" s="311"/>
      <c r="CC56" s="311"/>
      <c r="CD56" s="311"/>
      <c r="CE56" s="591"/>
    </row>
    <row r="57" spans="2:83" x14ac:dyDescent="0.15">
      <c r="B57" s="592"/>
      <c r="C57" s="618"/>
      <c r="D57" s="429"/>
      <c r="E57" s="429"/>
      <c r="F57" s="429"/>
      <c r="G57" s="429"/>
      <c r="H57" s="429"/>
      <c r="I57" s="429"/>
      <c r="J57" s="429"/>
      <c r="K57" s="429"/>
      <c r="L57" s="429"/>
      <c r="M57" s="429"/>
      <c r="N57" s="429"/>
      <c r="O57" s="429"/>
      <c r="P57" s="429"/>
      <c r="Q57" s="429"/>
      <c r="R57" s="429"/>
      <c r="S57" s="429"/>
      <c r="T57" s="429"/>
      <c r="U57" s="429"/>
      <c r="V57" s="429"/>
      <c r="W57" s="429"/>
      <c r="X57" s="429"/>
      <c r="Y57" s="429"/>
      <c r="Z57" s="429"/>
      <c r="AA57" s="429"/>
      <c r="AB57" s="429"/>
      <c r="AC57" s="429"/>
      <c r="AD57" s="429"/>
      <c r="AE57" s="429"/>
      <c r="AF57" s="429"/>
      <c r="AG57" s="429"/>
      <c r="AH57" s="429"/>
      <c r="AI57" s="429"/>
      <c r="AJ57" s="429"/>
      <c r="AK57" s="429"/>
      <c r="AL57" s="429"/>
      <c r="AM57" s="429"/>
      <c r="AN57" s="429"/>
      <c r="AO57" s="429"/>
      <c r="AP57" s="429"/>
      <c r="AQ57" s="429"/>
      <c r="AR57" s="429"/>
      <c r="AS57" s="429"/>
      <c r="AT57" s="429"/>
      <c r="AU57" s="329"/>
      <c r="AV57" s="429"/>
      <c r="AW57" s="429"/>
      <c r="AX57" s="429"/>
      <c r="AY57" s="429"/>
      <c r="AZ57" s="311"/>
      <c r="BA57" s="429"/>
      <c r="BB57" s="429"/>
      <c r="BC57" s="429"/>
      <c r="BD57" s="429"/>
      <c r="BE57" s="311"/>
      <c r="BF57" s="429"/>
      <c r="BG57" s="429"/>
      <c r="BH57" s="429"/>
      <c r="BI57" s="429"/>
      <c r="BJ57" s="311"/>
      <c r="BK57" s="311"/>
      <c r="BL57" s="311"/>
      <c r="BM57" s="311"/>
      <c r="BN57" s="311"/>
      <c r="BO57" s="311"/>
      <c r="BP57" s="311"/>
      <c r="BQ57" s="311"/>
      <c r="BR57" s="311"/>
      <c r="BS57" s="311"/>
      <c r="BT57" s="311"/>
      <c r="BU57" s="311"/>
      <c r="BV57" s="311"/>
      <c r="BW57" s="311"/>
      <c r="BX57" s="311"/>
      <c r="BY57" s="311"/>
      <c r="BZ57" s="311"/>
      <c r="CA57" s="311"/>
      <c r="CB57" s="311"/>
      <c r="CC57" s="311"/>
      <c r="CD57" s="311"/>
      <c r="CE57" s="591"/>
    </row>
    <row r="58" spans="2:83" x14ac:dyDescent="0.15">
      <c r="B58" s="592" t="s">
        <v>215</v>
      </c>
      <c r="C58" s="593">
        <v>0.1</v>
      </c>
      <c r="D58" s="429"/>
      <c r="E58" s="429"/>
      <c r="F58" s="429"/>
      <c r="G58" s="429"/>
      <c r="H58" s="429"/>
      <c r="I58" s="429"/>
      <c r="J58" s="429"/>
      <c r="K58" s="429"/>
      <c r="L58" s="429"/>
      <c r="M58" s="429"/>
      <c r="N58" s="429"/>
      <c r="O58" s="429"/>
      <c r="P58" s="429"/>
      <c r="Q58" s="429"/>
      <c r="R58" s="429"/>
      <c r="S58" s="429"/>
      <c r="T58" s="429"/>
      <c r="U58" s="429"/>
      <c r="V58" s="429"/>
      <c r="W58" s="429"/>
      <c r="X58" s="429"/>
      <c r="Y58" s="429"/>
      <c r="Z58" s="429"/>
      <c r="AA58" s="429"/>
      <c r="AB58" s="429"/>
      <c r="AC58" s="429"/>
      <c r="AD58" s="429"/>
      <c r="AE58" s="429"/>
      <c r="AF58" s="429"/>
      <c r="AG58" s="429"/>
      <c r="AH58" s="429"/>
      <c r="AI58" s="429"/>
      <c r="AJ58" s="429"/>
      <c r="AK58" s="429"/>
      <c r="AL58" s="429"/>
      <c r="AM58" s="429"/>
      <c r="AN58" s="429"/>
      <c r="AO58" s="429"/>
      <c r="AP58" s="429"/>
      <c r="AQ58" s="429"/>
      <c r="AR58" s="429"/>
      <c r="AS58" s="429"/>
      <c r="AT58" s="429"/>
      <c r="AU58" s="329"/>
      <c r="AV58" s="594">
        <f>AVERAGE($BG$72:$BG$134)</f>
        <v>1.6192428571428566E-2</v>
      </c>
      <c r="AW58" s="594">
        <f>AVERAGE($BG$135:$BG$199)</f>
        <v>1.6730215384615384E-2</v>
      </c>
      <c r="AX58" s="594">
        <f>AVERAGE($BG$200:$BG$265)</f>
        <v>1.6499772727272724E-2</v>
      </c>
      <c r="AY58" s="594">
        <f>AVERAGE($BG$266:$BG$328)</f>
        <v>1.6143984126984132E-2</v>
      </c>
      <c r="AZ58" s="595">
        <f>AVERAGE(AV58:AY58)</f>
        <v>1.6391600202575202E-2</v>
      </c>
      <c r="BA58" s="594">
        <f>AVERAGE($BG$329:$BG$392)</f>
        <v>1.6074953124999999E-2</v>
      </c>
      <c r="BB58" s="594">
        <f>AVERAGE($BG$393:$BG$455)</f>
        <v>1.5764031746031748E-2</v>
      </c>
      <c r="BC58" s="594">
        <f>AVERAGE($BG$456:$BG$521)</f>
        <v>1.5397045454545455E-2</v>
      </c>
      <c r="BD58" s="594" t="e">
        <f ca="1">_xll.BDP("inrusd curncy","px_last")</f>
        <v>#NAME?</v>
      </c>
      <c r="BE58" s="595" t="e">
        <f ca="1">AVERAGE(BA58:BD58)</f>
        <v>#NAME?</v>
      </c>
      <c r="BF58" s="594" t="e">
        <f ca="1">_xll.BDP("inrusd curncy","px_last")</f>
        <v>#NAME?</v>
      </c>
      <c r="BG58" s="594" t="e">
        <f ca="1">_xll.BDP("inrusd curncy","px_last")</f>
        <v>#NAME?</v>
      </c>
      <c r="BH58" s="594" t="e">
        <f ca="1">_xll.BDP("inrusd curncy","px_last")</f>
        <v>#NAME?</v>
      </c>
      <c r="BI58" s="594" t="e">
        <f ca="1">_xll.BDP("inrusd curncy","px_last")</f>
        <v>#NAME?</v>
      </c>
      <c r="BJ58" s="595" t="e">
        <f ca="1">_xll.BDP("inrusd curncy","px_last")</f>
        <v>#NAME?</v>
      </c>
      <c r="BK58" s="311"/>
      <c r="BL58" s="311"/>
      <c r="BM58" s="311"/>
      <c r="BN58" s="311"/>
      <c r="BO58" s="311"/>
      <c r="BP58" s="311"/>
      <c r="BQ58" s="311"/>
      <c r="BR58" s="311"/>
      <c r="BS58" s="311"/>
      <c r="BT58" s="311"/>
      <c r="BU58" s="311"/>
      <c r="BV58" s="311"/>
      <c r="BW58" s="311"/>
      <c r="BX58" s="311"/>
      <c r="BY58" s="311"/>
      <c r="BZ58" s="311"/>
      <c r="CA58" s="311"/>
      <c r="CB58" s="311"/>
      <c r="CC58" s="311"/>
      <c r="CD58" s="311"/>
      <c r="CE58" s="591"/>
    </row>
    <row r="59" spans="2:83" x14ac:dyDescent="0.15">
      <c r="B59" s="596" t="s">
        <v>198</v>
      </c>
      <c r="C59" s="597"/>
      <c r="D59" s="429"/>
      <c r="E59" s="429"/>
      <c r="F59" s="429"/>
      <c r="G59" s="429"/>
      <c r="H59" s="429"/>
      <c r="I59" s="429"/>
      <c r="J59" s="429"/>
      <c r="K59" s="429"/>
      <c r="L59" s="429"/>
      <c r="M59" s="429"/>
      <c r="N59" s="429"/>
      <c r="O59" s="429"/>
      <c r="P59" s="429"/>
      <c r="Q59" s="429"/>
      <c r="R59" s="429"/>
      <c r="S59" s="429"/>
      <c r="T59" s="429"/>
      <c r="U59" s="429"/>
      <c r="V59" s="429"/>
      <c r="W59" s="429"/>
      <c r="X59" s="429"/>
      <c r="Y59" s="429"/>
      <c r="Z59" s="429"/>
      <c r="AA59" s="429"/>
      <c r="AB59" s="429"/>
      <c r="AC59" s="429"/>
      <c r="AD59" s="429"/>
      <c r="AE59" s="429"/>
      <c r="AF59" s="429"/>
      <c r="AG59" s="429"/>
      <c r="AH59" s="429"/>
      <c r="AI59" s="429"/>
      <c r="AJ59" s="429"/>
      <c r="AK59" s="429"/>
      <c r="AL59" s="429"/>
      <c r="AM59" s="429"/>
      <c r="AN59" s="429"/>
      <c r="AO59" s="429"/>
      <c r="AP59" s="429"/>
      <c r="AQ59" s="429"/>
      <c r="AR59" s="429"/>
      <c r="AS59" s="429"/>
      <c r="AT59" s="429"/>
      <c r="AU59" s="329"/>
      <c r="AV59" s="429"/>
      <c r="AW59" s="429"/>
      <c r="AX59" s="429"/>
      <c r="AY59" s="429"/>
      <c r="AZ59" s="605"/>
      <c r="BA59" s="599">
        <f>BA58/AV58-1</f>
        <v>-7.2549615340500306E-3</v>
      </c>
      <c r="BB59" s="599">
        <f t="shared" ref="BB59:BJ59" si="20">BB58/AW58-1</f>
        <v>-5.7750818884980459E-2</v>
      </c>
      <c r="BC59" s="599">
        <f t="shared" si="20"/>
        <v>-6.6832876485901749E-2</v>
      </c>
      <c r="BD59" s="599" t="e">
        <f t="shared" ca="1" si="20"/>
        <v>#NAME?</v>
      </c>
      <c r="BE59" s="600" t="e">
        <f t="shared" ca="1" si="20"/>
        <v>#NAME?</v>
      </c>
      <c r="BF59" s="599" t="e">
        <f t="shared" ca="1" si="20"/>
        <v>#NAME?</v>
      </c>
      <c r="BG59" s="599" t="e">
        <f t="shared" ca="1" si="20"/>
        <v>#NAME?</v>
      </c>
      <c r="BH59" s="599" t="e">
        <f t="shared" ca="1" si="20"/>
        <v>#NAME?</v>
      </c>
      <c r="BI59" s="599" t="e">
        <f t="shared" ca="1" si="20"/>
        <v>#NAME?</v>
      </c>
      <c r="BJ59" s="600" t="e">
        <f t="shared" ca="1" si="20"/>
        <v>#NAME?</v>
      </c>
      <c r="BK59" s="311"/>
      <c r="BL59" s="311"/>
      <c r="BM59" s="311"/>
      <c r="BN59" s="311"/>
      <c r="BO59" s="311"/>
      <c r="BP59" s="311"/>
      <c r="BQ59" s="311"/>
      <c r="BR59" s="311"/>
      <c r="BS59" s="311"/>
      <c r="BT59" s="311"/>
      <c r="BU59" s="311"/>
      <c r="BV59" s="311"/>
      <c r="BW59" s="311"/>
      <c r="BX59" s="311"/>
      <c r="BY59" s="311"/>
      <c r="BZ59" s="311"/>
      <c r="CA59" s="311"/>
      <c r="CB59" s="311"/>
      <c r="CC59" s="311"/>
      <c r="CD59" s="311"/>
      <c r="CE59" s="591"/>
    </row>
    <row r="60" spans="2:83" x14ac:dyDescent="0.15">
      <c r="B60" s="592"/>
      <c r="C60" s="618"/>
      <c r="D60" s="429"/>
      <c r="E60" s="429"/>
      <c r="F60" s="429"/>
      <c r="G60" s="429"/>
      <c r="H60" s="429"/>
      <c r="I60" s="429"/>
      <c r="J60" s="429"/>
      <c r="K60" s="429"/>
      <c r="L60" s="429"/>
      <c r="M60" s="429"/>
      <c r="N60" s="429"/>
      <c r="O60" s="429"/>
      <c r="P60" s="429"/>
      <c r="Q60" s="429"/>
      <c r="R60" s="429"/>
      <c r="S60" s="429"/>
      <c r="T60" s="429"/>
      <c r="U60" s="429"/>
      <c r="V60" s="429"/>
      <c r="W60" s="429"/>
      <c r="X60" s="429"/>
      <c r="Y60" s="429"/>
      <c r="Z60" s="429"/>
      <c r="AA60" s="429"/>
      <c r="AB60" s="429"/>
      <c r="AC60" s="429"/>
      <c r="AD60" s="429"/>
      <c r="AE60" s="429"/>
      <c r="AF60" s="429"/>
      <c r="AG60" s="429"/>
      <c r="AH60" s="429"/>
      <c r="AI60" s="429"/>
      <c r="AJ60" s="429"/>
      <c r="AK60" s="429"/>
      <c r="AL60" s="429"/>
      <c r="AM60" s="429"/>
      <c r="AN60" s="429"/>
      <c r="AO60" s="429"/>
      <c r="AP60" s="429"/>
      <c r="AQ60" s="429"/>
      <c r="AR60" s="429"/>
      <c r="AS60" s="429"/>
      <c r="AT60" s="429"/>
      <c r="AU60" s="329"/>
      <c r="AV60" s="429"/>
      <c r="AW60" s="429"/>
      <c r="AX60" s="429"/>
      <c r="AY60" s="429"/>
      <c r="AZ60" s="311"/>
      <c r="BA60" s="429"/>
      <c r="BB60" s="429"/>
      <c r="BC60" s="429"/>
      <c r="BD60" s="429"/>
      <c r="BE60" s="311"/>
      <c r="BF60" s="429"/>
      <c r="BG60" s="429"/>
      <c r="BH60" s="429"/>
      <c r="BI60" s="429"/>
      <c r="BJ60" s="311"/>
      <c r="BK60" s="311"/>
      <c r="BL60" s="311"/>
      <c r="BM60" s="311"/>
      <c r="BN60" s="311"/>
      <c r="BO60" s="311"/>
      <c r="BP60" s="311"/>
      <c r="BQ60" s="311"/>
      <c r="BR60" s="311"/>
      <c r="BS60" s="311"/>
      <c r="BT60" s="311"/>
      <c r="BU60" s="311"/>
      <c r="BV60" s="311"/>
      <c r="BW60" s="311"/>
      <c r="BX60" s="311"/>
      <c r="BY60" s="311"/>
      <c r="BZ60" s="311"/>
      <c r="CA60" s="311"/>
      <c r="CB60" s="311"/>
      <c r="CC60" s="311"/>
      <c r="CD60" s="311"/>
      <c r="CE60" s="591"/>
    </row>
    <row r="61" spans="2:83" x14ac:dyDescent="0.15">
      <c r="B61" s="592" t="s">
        <v>216</v>
      </c>
      <c r="C61" s="593">
        <v>0.05</v>
      </c>
      <c r="D61" s="429"/>
      <c r="E61" s="429"/>
      <c r="F61" s="429"/>
      <c r="G61" s="429"/>
      <c r="H61" s="429"/>
      <c r="I61" s="429"/>
      <c r="J61" s="429"/>
      <c r="K61" s="429"/>
      <c r="L61" s="429"/>
      <c r="M61" s="429"/>
      <c r="N61" s="429"/>
      <c r="O61" s="429"/>
      <c r="P61" s="429"/>
      <c r="Q61" s="429"/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429"/>
      <c r="AF61" s="429"/>
      <c r="AG61" s="429"/>
      <c r="AH61" s="429"/>
      <c r="AI61" s="429"/>
      <c r="AJ61" s="429"/>
      <c r="AK61" s="429"/>
      <c r="AL61" s="429"/>
      <c r="AM61" s="429"/>
      <c r="AN61" s="429"/>
      <c r="AO61" s="429"/>
      <c r="AP61" s="429"/>
      <c r="AQ61" s="429"/>
      <c r="AR61" s="429"/>
      <c r="AS61" s="429"/>
      <c r="AT61" s="429"/>
      <c r="AU61" s="329"/>
      <c r="AV61" s="594">
        <f>AVERAGE($BI$73:$BI$136)</f>
        <v>8.473753124999997E-2</v>
      </c>
      <c r="AW61" s="594">
        <f>AVERAGE($BI$137:$BI$197)</f>
        <v>8.6212196721311501E-2</v>
      </c>
      <c r="AX61" s="594">
        <f>AVERAGE($BI$198:$BI$263)</f>
        <v>8.5122045454545422E-2</v>
      </c>
      <c r="AY61" s="594">
        <f>AVERAGE($BI$264:$BI$328)</f>
        <v>8.1736338461538466E-2</v>
      </c>
      <c r="AZ61" s="595">
        <f>AVERAGE(AV61:AY61)</f>
        <v>8.4452027971848836E-2</v>
      </c>
      <c r="BA61" s="594">
        <f>AVERAGE($BI$329:$BI$390)</f>
        <v>7.8371064516129046E-2</v>
      </c>
      <c r="BB61" s="594">
        <f>AVERAGE($BI$391:$BI$454)</f>
        <v>7.6385703124999996E-2</v>
      </c>
      <c r="BC61" s="594">
        <f>AVERAGE($BI$455:$BI$528)</f>
        <v>7.2425337837837833E-2</v>
      </c>
      <c r="BD61" s="594" t="e">
        <f ca="1">_xll.BDP("idrusd curncy","px_last")</f>
        <v>#NAME?</v>
      </c>
      <c r="BE61" s="595" t="e">
        <f ca="1">AVERAGE(BA61:BD61)</f>
        <v>#NAME?</v>
      </c>
      <c r="BF61" s="594" t="e">
        <f ca="1">_xll.BDP("idrusd curncy","px_last")</f>
        <v>#NAME?</v>
      </c>
      <c r="BG61" s="594" t="e">
        <f ca="1">_xll.BDP("idrusd curncy","px_last")</f>
        <v>#NAME?</v>
      </c>
      <c r="BH61" s="594" t="e">
        <f ca="1">_xll.BDP("idrusd curncy","px_last")</f>
        <v>#NAME?</v>
      </c>
      <c r="BI61" s="594" t="e">
        <f ca="1">_xll.BDP("idrusd curncy","px_last")</f>
        <v>#NAME?</v>
      </c>
      <c r="BJ61" s="595" t="e">
        <f ca="1">_xll.BDP("idrusd curncy","px_last")</f>
        <v>#NAME?</v>
      </c>
      <c r="BK61" s="311"/>
      <c r="BL61" s="311"/>
      <c r="BM61" s="311"/>
      <c r="BN61" s="311"/>
      <c r="BO61" s="311"/>
      <c r="BP61" s="311"/>
      <c r="BQ61" s="311"/>
      <c r="BR61" s="311"/>
      <c r="BS61" s="311"/>
      <c r="BT61" s="311"/>
      <c r="BU61" s="311"/>
      <c r="BV61" s="311"/>
      <c r="BW61" s="311"/>
      <c r="BX61" s="311"/>
      <c r="BY61" s="311"/>
      <c r="BZ61" s="311"/>
      <c r="CA61" s="311"/>
      <c r="CB61" s="311"/>
      <c r="CC61" s="311"/>
      <c r="CD61" s="311"/>
      <c r="CE61" s="591"/>
    </row>
    <row r="62" spans="2:83" x14ac:dyDescent="0.15">
      <c r="B62" s="596" t="s">
        <v>198</v>
      </c>
      <c r="C62" s="618"/>
      <c r="D62" s="429"/>
      <c r="E62" s="429"/>
      <c r="F62" s="429"/>
      <c r="G62" s="429"/>
      <c r="H62" s="429"/>
      <c r="I62" s="429"/>
      <c r="J62" s="429"/>
      <c r="K62" s="429"/>
      <c r="L62" s="429"/>
      <c r="M62" s="429"/>
      <c r="N62" s="429"/>
      <c r="O62" s="429"/>
      <c r="P62" s="429"/>
      <c r="Q62" s="429"/>
      <c r="R62" s="429"/>
      <c r="S62" s="429"/>
      <c r="T62" s="429"/>
      <c r="U62" s="429"/>
      <c r="V62" s="429"/>
      <c r="W62" s="429"/>
      <c r="X62" s="429"/>
      <c r="Y62" s="429"/>
      <c r="Z62" s="429"/>
      <c r="AA62" s="429"/>
      <c r="AB62" s="429"/>
      <c r="AC62" s="429"/>
      <c r="AD62" s="429"/>
      <c r="AE62" s="429"/>
      <c r="AF62" s="429"/>
      <c r="AG62" s="429"/>
      <c r="AH62" s="429"/>
      <c r="AI62" s="429"/>
      <c r="AJ62" s="429"/>
      <c r="AK62" s="429"/>
      <c r="AL62" s="429"/>
      <c r="AM62" s="429"/>
      <c r="AN62" s="429"/>
      <c r="AO62" s="429"/>
      <c r="AP62" s="429"/>
      <c r="AQ62" s="429"/>
      <c r="AR62" s="429"/>
      <c r="AS62" s="429"/>
      <c r="AT62" s="429"/>
      <c r="AU62" s="329"/>
      <c r="AV62" s="429"/>
      <c r="AW62" s="429"/>
      <c r="AX62" s="429"/>
      <c r="AY62" s="429"/>
      <c r="AZ62" s="605"/>
      <c r="BA62" s="599">
        <f>BA61/AV61-1</f>
        <v>-7.5131605086393494E-2</v>
      </c>
      <c r="BB62" s="599">
        <f t="shared" ref="BB62:BJ62" si="21">BB61/AW61-1</f>
        <v>-0.11398031798304031</v>
      </c>
      <c r="BC62" s="599">
        <f t="shared" si="21"/>
        <v>-0.14915886418034374</v>
      </c>
      <c r="BD62" s="599" t="e">
        <f t="shared" ca="1" si="21"/>
        <v>#NAME?</v>
      </c>
      <c r="BE62" s="600" t="e">
        <f t="shared" ca="1" si="21"/>
        <v>#NAME?</v>
      </c>
      <c r="BF62" s="599" t="e">
        <f t="shared" ca="1" si="21"/>
        <v>#NAME?</v>
      </c>
      <c r="BG62" s="599" t="e">
        <f t="shared" ca="1" si="21"/>
        <v>#NAME?</v>
      </c>
      <c r="BH62" s="599" t="e">
        <f t="shared" ca="1" si="21"/>
        <v>#NAME?</v>
      </c>
      <c r="BI62" s="599" t="e">
        <f t="shared" ca="1" si="21"/>
        <v>#NAME?</v>
      </c>
      <c r="BJ62" s="600" t="e">
        <f t="shared" ca="1" si="21"/>
        <v>#NAME?</v>
      </c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591"/>
    </row>
    <row r="63" spans="2:83" ht="12.75" customHeight="1" x14ac:dyDescent="0.15">
      <c r="B63" s="592"/>
      <c r="C63" s="618"/>
      <c r="D63" s="429"/>
      <c r="E63" s="429"/>
      <c r="F63" s="429"/>
      <c r="G63" s="429"/>
      <c r="H63" s="429"/>
      <c r="I63" s="429"/>
      <c r="J63" s="429"/>
      <c r="K63" s="429"/>
      <c r="L63" s="429"/>
      <c r="M63" s="429"/>
      <c r="N63" s="429"/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429"/>
      <c r="AF63" s="429"/>
      <c r="AG63" s="429"/>
      <c r="AH63" s="429"/>
      <c r="AI63" s="429"/>
      <c r="AJ63" s="429"/>
      <c r="AK63" s="429"/>
      <c r="AL63" s="429"/>
      <c r="AM63" s="429"/>
      <c r="AN63" s="429"/>
      <c r="AO63" s="429"/>
      <c r="AP63" s="429"/>
      <c r="AQ63" s="429"/>
      <c r="AR63" s="429"/>
      <c r="AS63" s="429"/>
      <c r="AT63" s="429"/>
      <c r="AU63" s="329"/>
      <c r="AV63" s="429"/>
      <c r="AW63" s="429"/>
      <c r="AX63" s="429"/>
      <c r="AY63" s="429"/>
      <c r="AZ63" s="311"/>
      <c r="BA63" s="429"/>
      <c r="BB63" s="429"/>
      <c r="BC63" s="429"/>
      <c r="BD63" s="429"/>
      <c r="BE63" s="311"/>
      <c r="BF63" s="429"/>
      <c r="BG63" s="429"/>
      <c r="BH63" s="429"/>
      <c r="BI63" s="429"/>
      <c r="BJ63" s="311"/>
      <c r="BK63" s="311"/>
      <c r="BL63" s="311"/>
      <c r="BM63" s="311"/>
      <c r="BN63" s="311"/>
      <c r="BO63" s="311"/>
      <c r="BP63" s="311"/>
      <c r="BQ63" s="311"/>
      <c r="BR63" s="311"/>
      <c r="BS63" s="311"/>
      <c r="BT63" s="311"/>
      <c r="BU63" s="311"/>
      <c r="BV63" s="311"/>
      <c r="BW63" s="311"/>
      <c r="BX63" s="311"/>
      <c r="BY63" s="311"/>
      <c r="BZ63" s="311"/>
      <c r="CA63" s="311"/>
      <c r="CB63" s="311"/>
      <c r="CC63" s="311"/>
      <c r="CD63" s="311"/>
      <c r="CE63" s="591"/>
    </row>
    <row r="64" spans="2:83" x14ac:dyDescent="0.15">
      <c r="B64" s="592" t="s">
        <v>217</v>
      </c>
      <c r="C64" s="593">
        <v>0.05</v>
      </c>
      <c r="D64" s="429"/>
      <c r="E64" s="429"/>
      <c r="F64" s="429"/>
      <c r="G64" s="429"/>
      <c r="H64" s="429"/>
      <c r="I64" s="429"/>
      <c r="J64" s="429"/>
      <c r="K64" s="429"/>
      <c r="L64" s="429"/>
      <c r="M64" s="429"/>
      <c r="N64" s="429"/>
      <c r="O64" s="429"/>
      <c r="P64" s="429"/>
      <c r="Q64" s="429"/>
      <c r="R64" s="429"/>
      <c r="S64" s="429"/>
      <c r="T64" s="429"/>
      <c r="U64" s="429"/>
      <c r="V64" s="429"/>
      <c r="W64" s="429"/>
      <c r="X64" s="429"/>
      <c r="Y64" s="429"/>
      <c r="Z64" s="429"/>
      <c r="AA64" s="429"/>
      <c r="AB64" s="429"/>
      <c r="AC64" s="429"/>
      <c r="AD64" s="429"/>
      <c r="AE64" s="429"/>
      <c r="AF64" s="429"/>
      <c r="AG64" s="429"/>
      <c r="AH64" s="429"/>
      <c r="AI64" s="429"/>
      <c r="AJ64" s="429"/>
      <c r="AK64" s="429"/>
      <c r="AL64" s="429"/>
      <c r="AM64" s="429"/>
      <c r="AN64" s="429"/>
      <c r="AO64" s="429"/>
      <c r="AP64" s="429"/>
      <c r="AQ64" s="429"/>
      <c r="AR64" s="429"/>
      <c r="AS64" s="429"/>
      <c r="AT64" s="429"/>
      <c r="AU64" s="429"/>
      <c r="AV64" s="594">
        <f>AVERAGE($BK$73:$BK$136)</f>
        <v>3.0637515624999997E-2</v>
      </c>
      <c r="AW64" s="594">
        <f>AVERAGE($BK$137:$BK$197)</f>
        <v>3.0821655737704932E-2</v>
      </c>
      <c r="AX64" s="594">
        <f>AVERAGE($BK$198:$BK$263)</f>
        <v>3.1142742424242417E-2</v>
      </c>
      <c r="AY64" s="594">
        <f>AVERAGE($BK$264:$BK$328)</f>
        <v>3.0597707692307689E-2</v>
      </c>
      <c r="AZ64" s="595">
        <f>AVERAGE(AV64:AY64)</f>
        <v>3.0799905369813758E-2</v>
      </c>
      <c r="BA64" s="594">
        <f>AVERAGE($BK$329:$BK$390)</f>
        <v>3.0609032258064515E-2</v>
      </c>
      <c r="BB64" s="594">
        <f>AVERAGE($BK$391:$BK$454)</f>
        <v>3.0195249999999996E-2</v>
      </c>
      <c r="BC64" s="594">
        <f>AVERAGE($BK$455:$BK$528)</f>
        <v>2.848602702702703E-2</v>
      </c>
      <c r="BD64" s="594" t="e">
        <f ca="1">_xll.BDP("thbusd curncy","px_last")</f>
        <v>#NAME?</v>
      </c>
      <c r="BE64" s="595" t="e">
        <f ca="1">AVERAGE(BA64:BD64)</f>
        <v>#NAME?</v>
      </c>
      <c r="BF64" s="594" t="e">
        <f ca="1">_xll.BDP("thbusd curncy","px_last")</f>
        <v>#NAME?</v>
      </c>
      <c r="BG64" s="594" t="e">
        <f ca="1">_xll.BDP("thbusd curncy","px_last")</f>
        <v>#NAME?</v>
      </c>
      <c r="BH64" s="594" t="e">
        <f ca="1">_xll.BDP("thbusd curncy","px_last")</f>
        <v>#NAME?</v>
      </c>
      <c r="BI64" s="594" t="e">
        <f ca="1">_xll.BDP("thbusd curncy","px_last")</f>
        <v>#NAME?</v>
      </c>
      <c r="BJ64" s="595" t="e">
        <f ca="1">_xll.BDP("thbusd curncy","px_last")</f>
        <v>#NAME?</v>
      </c>
      <c r="BK64" s="311"/>
      <c r="BL64" s="311"/>
      <c r="BM64" s="311"/>
      <c r="BN64" s="311"/>
      <c r="BO64" s="311"/>
      <c r="BP64" s="311"/>
      <c r="BQ64" s="311"/>
      <c r="BR64" s="311"/>
      <c r="BS64" s="311"/>
      <c r="BT64" s="311"/>
      <c r="BU64" s="311"/>
      <c r="BV64" s="311"/>
      <c r="BW64" s="311"/>
      <c r="BX64" s="311"/>
      <c r="BY64" s="311"/>
      <c r="BZ64" s="311"/>
      <c r="CA64" s="311"/>
      <c r="CB64" s="311"/>
      <c r="CC64" s="311"/>
      <c r="CD64" s="311"/>
      <c r="CE64" s="591"/>
    </row>
    <row r="65" spans="2:83" x14ac:dyDescent="0.15">
      <c r="B65" s="596" t="s">
        <v>198</v>
      </c>
      <c r="C65" s="597"/>
      <c r="D65" s="429"/>
      <c r="E65" s="429"/>
      <c r="F65" s="429"/>
      <c r="G65" s="429"/>
      <c r="H65" s="429"/>
      <c r="I65" s="429"/>
      <c r="J65" s="429"/>
      <c r="K65" s="429"/>
      <c r="L65" s="429"/>
      <c r="M65" s="429"/>
      <c r="N65" s="429"/>
      <c r="O65" s="429"/>
      <c r="P65" s="429"/>
      <c r="Q65" s="429"/>
      <c r="R65" s="429"/>
      <c r="S65" s="429"/>
      <c r="T65" s="429"/>
      <c r="U65" s="429"/>
      <c r="V65" s="429"/>
      <c r="W65" s="429"/>
      <c r="X65" s="429"/>
      <c r="Y65" s="429"/>
      <c r="Z65" s="429"/>
      <c r="AA65" s="429"/>
      <c r="AB65" s="429"/>
      <c r="AC65" s="429"/>
      <c r="AD65" s="429"/>
      <c r="AE65" s="429"/>
      <c r="AF65" s="429"/>
      <c r="AG65" s="429"/>
      <c r="AH65" s="429"/>
      <c r="AI65" s="429"/>
      <c r="AJ65" s="429"/>
      <c r="AK65" s="429"/>
      <c r="AL65" s="429"/>
      <c r="AM65" s="429"/>
      <c r="AN65" s="429"/>
      <c r="AO65" s="429"/>
      <c r="AP65" s="429"/>
      <c r="AQ65" s="429"/>
      <c r="AR65" s="429"/>
      <c r="AS65" s="429"/>
      <c r="AT65" s="429"/>
      <c r="AU65" s="429"/>
      <c r="AV65" s="429"/>
      <c r="AW65" s="429"/>
      <c r="AX65" s="429"/>
      <c r="AY65" s="429"/>
      <c r="AZ65" s="605"/>
      <c r="BA65" s="599">
        <f>BA64/AV64-1</f>
        <v>-9.2968918511915355E-4</v>
      </c>
      <c r="BB65" s="599">
        <f t="shared" ref="BB65:BJ65" si="22">BB64/AW64-1</f>
        <v>-2.0323558962428989E-2</v>
      </c>
      <c r="BC65" s="599">
        <f t="shared" si="22"/>
        <v>-8.5307689381501683E-2</v>
      </c>
      <c r="BD65" s="599" t="e">
        <f t="shared" ca="1" si="22"/>
        <v>#NAME?</v>
      </c>
      <c r="BE65" s="600" t="e">
        <f t="shared" ca="1" si="22"/>
        <v>#NAME?</v>
      </c>
      <c r="BF65" s="599" t="e">
        <f t="shared" ca="1" si="22"/>
        <v>#NAME?</v>
      </c>
      <c r="BG65" s="599" t="e">
        <f t="shared" ca="1" si="22"/>
        <v>#NAME?</v>
      </c>
      <c r="BH65" s="599" t="e">
        <f t="shared" ca="1" si="22"/>
        <v>#NAME?</v>
      </c>
      <c r="BI65" s="599" t="e">
        <f t="shared" ca="1" si="22"/>
        <v>#NAME?</v>
      </c>
      <c r="BJ65" s="600" t="e">
        <f t="shared" ca="1" si="22"/>
        <v>#NAME?</v>
      </c>
      <c r="BK65" s="311"/>
      <c r="BL65" s="311"/>
      <c r="BM65" s="311"/>
      <c r="BN65" s="311"/>
      <c r="BO65" s="311"/>
      <c r="BP65" s="311"/>
      <c r="BQ65" s="311"/>
      <c r="BR65" s="311"/>
      <c r="BS65" s="311"/>
      <c r="BT65" s="311"/>
      <c r="BU65" s="311"/>
      <c r="BV65" s="311"/>
      <c r="BW65" s="311"/>
      <c r="BX65" s="311"/>
      <c r="BY65" s="311"/>
      <c r="BZ65" s="311"/>
      <c r="CA65" s="311"/>
      <c r="CB65" s="311"/>
      <c r="CC65" s="311"/>
      <c r="CD65" s="311"/>
      <c r="CE65" s="591"/>
    </row>
    <row r="66" spans="2:83" x14ac:dyDescent="0.15">
      <c r="B66" s="596"/>
      <c r="C66" s="597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429"/>
      <c r="Q66" s="429"/>
      <c r="R66" s="429"/>
      <c r="S66" s="429"/>
      <c r="T66" s="429"/>
      <c r="U66" s="429"/>
      <c r="V66" s="429"/>
      <c r="W66" s="429"/>
      <c r="X66" s="429"/>
      <c r="Y66" s="429"/>
      <c r="Z66" s="429"/>
      <c r="AA66" s="429"/>
      <c r="AB66" s="429"/>
      <c r="AC66" s="429"/>
      <c r="AD66" s="429"/>
      <c r="AE66" s="429"/>
      <c r="AF66" s="429"/>
      <c r="AG66" s="429"/>
      <c r="AH66" s="429"/>
      <c r="AI66" s="429"/>
      <c r="AJ66" s="429"/>
      <c r="AK66" s="429"/>
      <c r="AL66" s="429"/>
      <c r="AM66" s="429"/>
      <c r="AN66" s="429"/>
      <c r="AO66" s="429"/>
      <c r="AP66" s="429"/>
      <c r="AQ66" s="429"/>
      <c r="AR66" s="429"/>
      <c r="AS66" s="429"/>
      <c r="AT66" s="429"/>
      <c r="AU66" s="429"/>
      <c r="AV66" s="429"/>
      <c r="AW66" s="429"/>
      <c r="AX66" s="429"/>
      <c r="AY66" s="429"/>
      <c r="AZ66" s="311"/>
      <c r="BA66" s="429"/>
      <c r="BB66" s="429"/>
      <c r="BC66" s="429"/>
      <c r="BD66" s="429"/>
      <c r="BE66" s="311"/>
      <c r="BF66" s="429"/>
      <c r="BG66" s="429"/>
      <c r="BH66" s="429"/>
      <c r="BI66" s="429"/>
      <c r="BJ66" s="311"/>
      <c r="BK66" s="311"/>
      <c r="BL66" s="311"/>
      <c r="BM66" s="311"/>
      <c r="BN66" s="311"/>
      <c r="BO66" s="311"/>
      <c r="BP66" s="311"/>
      <c r="BQ66" s="311"/>
      <c r="BR66" s="311"/>
      <c r="BS66" s="311"/>
      <c r="BT66" s="311"/>
      <c r="BU66" s="311"/>
      <c r="BV66" s="311"/>
      <c r="BW66" s="311"/>
      <c r="BX66" s="311"/>
      <c r="BY66" s="311"/>
      <c r="BZ66" s="311"/>
      <c r="CA66" s="311"/>
      <c r="CB66" s="311"/>
      <c r="CC66" s="311"/>
      <c r="CD66" s="311"/>
      <c r="CE66" s="591"/>
    </row>
    <row r="67" spans="2:83" x14ac:dyDescent="0.15">
      <c r="B67" s="611" t="s">
        <v>203</v>
      </c>
      <c r="C67" s="612">
        <f>SUM(C52:C66)</f>
        <v>1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602"/>
      <c r="BA67" s="613">
        <f>$C$52*BA53+$C$55*BA56+$C$58*BA59+$C$61*BA62+$C$64*BA65</f>
        <v>-2.3743187687165237E-2</v>
      </c>
      <c r="BB67" s="613">
        <f t="shared" ref="BB67:BJ67" si="23">$C$52*BB53+$C$55*BB56+$C$58*BB59+$C$61*BB62+$C$64*BB65</f>
        <v>-2.8521407432586937E-2</v>
      </c>
      <c r="BC67" s="613">
        <f t="shared" si="23"/>
        <v>-6.5100325789050659E-2</v>
      </c>
      <c r="BD67" s="613" t="e">
        <f t="shared" ca="1" si="23"/>
        <v>#NAME?</v>
      </c>
      <c r="BE67" s="619" t="e">
        <f t="shared" ca="1" si="23"/>
        <v>#NAME?</v>
      </c>
      <c r="BF67" s="613" t="e">
        <f t="shared" ca="1" si="23"/>
        <v>#NAME?</v>
      </c>
      <c r="BG67" s="613" t="e">
        <f t="shared" ca="1" si="23"/>
        <v>#NAME?</v>
      </c>
      <c r="BH67" s="613" t="e">
        <f t="shared" ca="1" si="23"/>
        <v>#NAME?</v>
      </c>
      <c r="BI67" s="613" t="e">
        <f t="shared" ca="1" si="23"/>
        <v>#NAME?</v>
      </c>
      <c r="BJ67" s="619" t="e">
        <f t="shared" ca="1" si="23"/>
        <v>#NAME?</v>
      </c>
      <c r="BK67" s="602"/>
      <c r="BL67" s="602"/>
      <c r="BM67" s="602"/>
      <c r="BN67" s="602"/>
      <c r="BO67" s="602"/>
      <c r="BP67" s="602"/>
      <c r="BQ67" s="602"/>
      <c r="BR67" s="602"/>
      <c r="BS67" s="602"/>
      <c r="BT67" s="602"/>
      <c r="BU67" s="602"/>
      <c r="BV67" s="602"/>
      <c r="BW67" s="602"/>
      <c r="BX67" s="602"/>
      <c r="BY67" s="602"/>
      <c r="BZ67" s="602"/>
      <c r="CA67" s="602"/>
      <c r="CB67" s="602"/>
      <c r="CC67" s="602"/>
      <c r="CD67" s="602"/>
      <c r="CE67" s="591"/>
    </row>
    <row r="68" spans="2:83" x14ac:dyDescent="0.15">
      <c r="B68" s="611" t="s">
        <v>204</v>
      </c>
      <c r="C68" s="610"/>
      <c r="D68" s="429"/>
      <c r="E68" s="429"/>
      <c r="F68" s="429"/>
      <c r="G68" s="429"/>
      <c r="H68" s="429"/>
      <c r="I68" s="429"/>
      <c r="J68" s="429"/>
      <c r="K68" s="429"/>
      <c r="L68" s="429"/>
      <c r="M68" s="429"/>
      <c r="N68" s="429"/>
      <c r="O68" s="429"/>
      <c r="P68" s="429"/>
      <c r="Q68" s="429"/>
      <c r="R68" s="429"/>
      <c r="S68" s="429"/>
      <c r="T68" s="429"/>
      <c r="U68" s="429"/>
      <c r="V68" s="429"/>
      <c r="W68" s="429"/>
      <c r="X68" s="429"/>
      <c r="Y68" s="429"/>
      <c r="Z68" s="429"/>
      <c r="AA68" s="429"/>
      <c r="AB68" s="429"/>
      <c r="AC68" s="429"/>
      <c r="AD68" s="429"/>
      <c r="AE68" s="429"/>
      <c r="AF68" s="429"/>
      <c r="AG68" s="429"/>
      <c r="AH68" s="429"/>
      <c r="AI68" s="429"/>
      <c r="AJ68" s="429"/>
      <c r="AK68" s="429"/>
      <c r="AL68" s="429"/>
      <c r="AM68" s="429"/>
      <c r="AN68" s="429"/>
      <c r="AO68" s="429"/>
      <c r="AP68" s="429"/>
      <c r="AQ68" s="429"/>
      <c r="AR68" s="429"/>
      <c r="AS68" s="429"/>
      <c r="AT68" s="429"/>
      <c r="AU68" s="429"/>
      <c r="AV68" s="429"/>
      <c r="AW68" s="429"/>
      <c r="AX68" s="429"/>
      <c r="AY68" s="429"/>
      <c r="AZ68" s="311"/>
      <c r="BA68" s="599">
        <f>Sales!BA135</f>
        <v>-3.0172413793103425E-2</v>
      </c>
      <c r="BB68" s="599">
        <f>Sales!BB135</f>
        <v>-3.0198383541513524E-2</v>
      </c>
      <c r="BC68" s="599">
        <f>Sales!BC135</f>
        <v>-8.1618981158408821E-2</v>
      </c>
      <c r="BD68" s="429"/>
      <c r="BE68" s="311"/>
      <c r="BF68" s="54"/>
      <c r="BG68" s="54"/>
      <c r="BH68" s="54"/>
      <c r="BI68" s="54"/>
      <c r="BJ68" s="311"/>
      <c r="BK68" s="311"/>
      <c r="BL68" s="311"/>
      <c r="BM68" s="311"/>
      <c r="BN68" s="311"/>
      <c r="BO68" s="311"/>
      <c r="BP68" s="311"/>
      <c r="BQ68" s="311"/>
      <c r="BR68" s="311"/>
      <c r="BS68" s="311"/>
      <c r="BT68" s="311"/>
      <c r="BU68" s="311"/>
      <c r="BV68" s="311"/>
      <c r="BW68" s="311"/>
      <c r="BX68" s="311"/>
      <c r="BY68" s="311"/>
      <c r="BZ68" s="311"/>
      <c r="CA68" s="311"/>
      <c r="CB68" s="311"/>
      <c r="CC68" s="311"/>
      <c r="CD68" s="311"/>
      <c r="CE68" s="591"/>
    </row>
    <row r="69" spans="2:83" x14ac:dyDescent="0.15">
      <c r="B69" s="592"/>
      <c r="C69" s="620"/>
      <c r="D69" s="429"/>
      <c r="E69" s="429"/>
      <c r="F69" s="429"/>
      <c r="G69" s="429"/>
      <c r="H69" s="429"/>
      <c r="I69" s="429"/>
      <c r="J69" s="429"/>
      <c r="K69" s="429"/>
      <c r="L69" s="429"/>
      <c r="M69" s="429"/>
      <c r="N69" s="429"/>
      <c r="O69" s="429"/>
      <c r="P69" s="429"/>
      <c r="Q69" s="429"/>
      <c r="R69" s="429"/>
      <c r="S69" s="429"/>
      <c r="T69" s="429"/>
      <c r="U69" s="429"/>
      <c r="V69" s="429"/>
      <c r="W69" s="429"/>
      <c r="X69" s="429"/>
      <c r="Y69" s="429"/>
      <c r="Z69" s="429"/>
      <c r="AA69" s="429"/>
      <c r="AB69" s="429"/>
      <c r="AC69" s="429"/>
      <c r="AD69" s="429"/>
      <c r="AE69" s="429"/>
      <c r="AF69" s="429"/>
      <c r="AG69" s="429"/>
      <c r="AH69" s="429"/>
      <c r="AI69" s="429"/>
      <c r="AJ69" s="429"/>
      <c r="AK69" s="429"/>
      <c r="AL69" s="429"/>
      <c r="AM69" s="429"/>
      <c r="AN69" s="429"/>
      <c r="AO69" s="429"/>
      <c r="AP69" s="429"/>
      <c r="AQ69" s="429"/>
      <c r="AR69" s="429"/>
      <c r="AS69" s="429"/>
      <c r="AT69" s="429"/>
      <c r="AU69" s="429"/>
      <c r="AV69" s="429"/>
      <c r="AW69" s="429"/>
      <c r="AX69" s="429"/>
      <c r="AY69" s="429"/>
      <c r="AZ69" s="610"/>
      <c r="BA69" s="429"/>
      <c r="BB69" s="429"/>
      <c r="BC69" s="429"/>
      <c r="BD69" s="429"/>
      <c r="BE69" s="610"/>
      <c r="BF69" s="429"/>
      <c r="BG69" s="429"/>
      <c r="BH69" s="429"/>
      <c r="BI69" s="429"/>
      <c r="BJ69" s="610"/>
      <c r="BK69" s="610"/>
      <c r="BL69" s="610"/>
      <c r="BM69" s="610"/>
      <c r="BN69" s="610"/>
      <c r="BO69" s="610"/>
      <c r="BP69" s="610"/>
      <c r="BQ69" s="610"/>
      <c r="BR69" s="610"/>
      <c r="BS69" s="610"/>
      <c r="BT69" s="610"/>
      <c r="BU69" s="610"/>
      <c r="BV69" s="610"/>
      <c r="BW69" s="610"/>
      <c r="BX69" s="610"/>
      <c r="BY69" s="610"/>
      <c r="BZ69" s="610"/>
      <c r="CA69" s="610"/>
      <c r="CB69" s="610"/>
      <c r="CC69" s="610"/>
      <c r="CD69" s="610"/>
      <c r="CE69" s="591"/>
    </row>
    <row r="70" spans="2:83" x14ac:dyDescent="0.15">
      <c r="B70" s="621"/>
      <c r="C70" s="621"/>
      <c r="D70" s="621"/>
      <c r="E70" s="621"/>
      <c r="F70" s="621"/>
      <c r="G70" s="621"/>
      <c r="H70" s="621"/>
      <c r="I70" s="621"/>
      <c r="J70" s="621"/>
      <c r="K70" s="621"/>
      <c r="L70" s="621"/>
      <c r="M70" s="621"/>
      <c r="N70" s="621"/>
      <c r="O70" s="621"/>
      <c r="P70" s="621"/>
      <c r="Q70" s="621"/>
      <c r="R70" s="621"/>
      <c r="S70" s="621"/>
      <c r="T70" s="621"/>
      <c r="U70" s="621"/>
      <c r="V70" s="621"/>
      <c r="W70" s="621"/>
      <c r="X70" s="621"/>
      <c r="Y70" s="621"/>
      <c r="Z70" s="621"/>
      <c r="AA70" s="621"/>
      <c r="AB70" s="621"/>
      <c r="AC70" s="621"/>
      <c r="AD70" s="621"/>
      <c r="AE70" s="621"/>
      <c r="AF70" s="621"/>
      <c r="AG70" s="621"/>
      <c r="AH70" s="621"/>
      <c r="AI70" s="621"/>
      <c r="AJ70" s="621"/>
      <c r="AK70" s="621"/>
      <c r="AL70" s="621"/>
      <c r="AM70" s="621"/>
      <c r="AN70" s="621"/>
      <c r="AO70" s="621"/>
      <c r="AP70" s="621"/>
      <c r="AQ70" s="621"/>
      <c r="AR70" s="621"/>
      <c r="AS70" s="621"/>
      <c r="AT70" s="621"/>
      <c r="AU70" s="621"/>
      <c r="AV70" s="621"/>
      <c r="AW70" s="621"/>
      <c r="AX70" s="621"/>
      <c r="AY70" s="621"/>
      <c r="AZ70" s="621"/>
      <c r="BA70" s="621"/>
      <c r="BB70" s="621"/>
      <c r="BC70" s="621"/>
      <c r="BD70" s="621"/>
      <c r="BE70" s="621"/>
      <c r="BF70" s="621"/>
      <c r="BG70" s="621"/>
      <c r="BH70" s="621"/>
      <c r="BI70" s="621"/>
      <c r="BJ70" s="621"/>
      <c r="BK70" s="621"/>
      <c r="BL70" s="621"/>
      <c r="BM70" s="621"/>
      <c r="BN70" s="621"/>
      <c r="BO70" s="621"/>
      <c r="BP70" s="621"/>
      <c r="BQ70" s="621"/>
      <c r="BR70" s="621"/>
      <c r="BS70" s="621"/>
      <c r="BT70" s="621"/>
      <c r="BU70" s="621"/>
      <c r="BV70" s="621"/>
      <c r="BW70" s="621"/>
      <c r="BX70" s="621"/>
      <c r="BY70" s="621"/>
      <c r="BZ70" s="621"/>
      <c r="CA70" s="621"/>
      <c r="CB70" s="621"/>
      <c r="CC70" s="621"/>
      <c r="CD70" s="621"/>
      <c r="CE70" s="591"/>
    </row>
    <row r="71" spans="2:83" x14ac:dyDescent="0.15">
      <c r="B71" s="591"/>
      <c r="C71" s="591"/>
      <c r="D71" s="591"/>
      <c r="E71" s="591"/>
      <c r="F71" s="591"/>
      <c r="G71" s="591"/>
      <c r="H71" s="591"/>
      <c r="I71" s="591"/>
      <c r="J71" s="591"/>
      <c r="K71" s="591"/>
      <c r="L71" s="591"/>
      <c r="M71" s="591"/>
      <c r="N71" s="591"/>
      <c r="O71" s="591"/>
      <c r="P71" s="591"/>
      <c r="Q71" s="591"/>
      <c r="R71" s="591"/>
      <c r="S71" s="591"/>
      <c r="T71" s="591"/>
      <c r="U71" s="591"/>
      <c r="V71" s="591"/>
      <c r="W71" s="591"/>
      <c r="X71" s="591"/>
      <c r="Y71" s="591"/>
      <c r="Z71" s="591"/>
      <c r="AA71" s="591"/>
      <c r="AB71" s="591"/>
      <c r="AC71" s="591"/>
      <c r="AD71" s="591"/>
      <c r="AE71" s="591"/>
      <c r="AF71" s="591"/>
      <c r="AG71" s="591"/>
      <c r="AH71" s="591"/>
      <c r="AI71" s="591"/>
      <c r="AJ71" s="591"/>
      <c r="AK71" s="591"/>
      <c r="AL71" s="591"/>
      <c r="AM71" s="591"/>
      <c r="AN71" s="591"/>
      <c r="AO71" s="591"/>
      <c r="AP71" s="591"/>
      <c r="AQ71" s="591"/>
      <c r="AR71" s="591"/>
      <c r="AS71" s="591"/>
      <c r="AT71" s="591"/>
      <c r="AU71" s="591"/>
      <c r="AV71" s="591"/>
      <c r="AW71" s="591" t="s">
        <v>218</v>
      </c>
      <c r="AX71" s="591"/>
      <c r="AY71" s="591" t="s">
        <v>219</v>
      </c>
      <c r="AZ71" s="591"/>
      <c r="BA71" s="591" t="s">
        <v>220</v>
      </c>
      <c r="BB71" s="591"/>
      <c r="BC71" s="591" t="s">
        <v>221</v>
      </c>
      <c r="BD71" s="591"/>
      <c r="BE71" s="591" t="s">
        <v>222</v>
      </c>
      <c r="BF71" s="591"/>
      <c r="BG71" s="591" t="s">
        <v>223</v>
      </c>
      <c r="BH71" s="591"/>
      <c r="BI71" s="591" t="s">
        <v>224</v>
      </c>
      <c r="BJ71" s="591"/>
      <c r="BK71" s="591" t="s">
        <v>225</v>
      </c>
      <c r="BL71" s="591"/>
      <c r="BM71" s="591"/>
      <c r="BN71" s="591"/>
      <c r="BO71" s="591"/>
      <c r="BP71" s="591"/>
      <c r="BQ71" s="591"/>
      <c r="BR71" s="591"/>
      <c r="BS71" s="591"/>
      <c r="BT71" s="591"/>
      <c r="BU71" s="591"/>
      <c r="BV71" s="591"/>
      <c r="BW71" s="591"/>
      <c r="BX71" s="591"/>
      <c r="BY71" s="591"/>
      <c r="BZ71" s="591"/>
      <c r="CA71" s="591"/>
      <c r="CB71" s="591"/>
      <c r="CC71" s="591"/>
      <c r="CD71" s="591"/>
      <c r="CE71" s="591"/>
    </row>
    <row r="72" spans="2:83" x14ac:dyDescent="0.15">
      <c r="AV72" s="622" t="e">
        <f ca="1">_xll.BDH(AW71,"PX_LAST","01/1/14","","per=d","cols=2;rows=560")</f>
        <v>#NAME?</v>
      </c>
      <c r="AW72" s="623">
        <v>0.41760000000000003</v>
      </c>
      <c r="AX72" s="622" t="e">
        <f ca="1">_xll.BDH(AY71,"PX_LAST","01/1/14","","per=d","cols=2;rows=575")</f>
        <v>#NAME?</v>
      </c>
      <c r="AY72" s="623">
        <v>3.04E-2</v>
      </c>
      <c r="AZ72" s="622" t="e">
        <f ca="1">_xll.BDH(BA71,"PX_LAST","01/1/14","","per=d","cols=2;rows=575")</f>
        <v>#NAME?</v>
      </c>
      <c r="BA72" s="623">
        <v>1.2E-2</v>
      </c>
      <c r="BB72" s="622" t="e">
        <f ca="1">_xll.BDH(BC71,"PX_LAST","01/1/14","","per=d","cols=2;rows=575")</f>
        <v>#NAME?</v>
      </c>
      <c r="BC72" s="623">
        <v>0.33119999999999999</v>
      </c>
      <c r="BD72" s="622" t="e">
        <f ca="1">_xll.BDH(BE71,"PX_LAST","01/1/14","","per=d","cols=2;rows=575")</f>
        <v>#NAME?</v>
      </c>
      <c r="BE72" s="623">
        <v>9.4710000000000003E-2</v>
      </c>
      <c r="BF72" s="622" t="e">
        <f ca="1">_xll.BDH(BG71,"PX_LAST","01/1/14","","per=d","cols=2;rows=566")</f>
        <v>#NAME?</v>
      </c>
      <c r="BG72" s="623">
        <v>1.6157999999999999E-2</v>
      </c>
      <c r="BH72" s="622" t="e">
        <f ca="1">_xll.BDH(BI71,"PX_LAST","01/1/14","","per=d","cols=2;rows=575")</f>
        <v>#NAME?</v>
      </c>
      <c r="BI72" s="623">
        <v>8.2169000000000006E-2</v>
      </c>
      <c r="BJ72" s="622" t="e">
        <f ca="1">_xll.BDH(BK71,"PX_LAST","01/1/14","","per=d","cols=2;rows=575")</f>
        <v>#NAME?</v>
      </c>
      <c r="BK72" s="623">
        <v>3.0553E-2</v>
      </c>
    </row>
    <row r="73" spans="2:83" x14ac:dyDescent="0.15">
      <c r="D73" s="355">
        <v>3.6020000000000003E-2</v>
      </c>
      <c r="AV73" s="624">
        <v>41642</v>
      </c>
      <c r="AW73" s="355">
        <v>0.4199</v>
      </c>
      <c r="AX73" s="624">
        <v>41641</v>
      </c>
      <c r="AY73" s="355">
        <v>3.0210000000000001E-2</v>
      </c>
      <c r="AZ73" s="624">
        <v>41641</v>
      </c>
      <c r="BA73" s="355">
        <v>1.1900000000000001E-2</v>
      </c>
      <c r="BB73" s="624">
        <v>41641</v>
      </c>
      <c r="BC73" s="355">
        <v>0.32800000000000001</v>
      </c>
      <c r="BD73" s="624">
        <v>41641</v>
      </c>
      <c r="BE73" s="355">
        <v>9.5180000000000001E-2</v>
      </c>
      <c r="BF73" s="624">
        <v>41641</v>
      </c>
      <c r="BG73" s="355">
        <v>1.6046000000000001E-2</v>
      </c>
      <c r="BH73" s="624">
        <v>41641</v>
      </c>
      <c r="BI73" s="355">
        <v>8.2461000000000007E-2</v>
      </c>
      <c r="BJ73" s="624">
        <v>41641</v>
      </c>
      <c r="BK73" s="355">
        <v>3.0331E-2</v>
      </c>
    </row>
    <row r="74" spans="2:83" x14ac:dyDescent="0.15">
      <c r="C74" s="624"/>
      <c r="D74" s="355">
        <v>3.6060000000000002E-2</v>
      </c>
      <c r="AV74" s="624">
        <v>41645</v>
      </c>
      <c r="AW74" s="355">
        <v>0.42059999999999997</v>
      </c>
      <c r="AX74" s="624">
        <v>41642</v>
      </c>
      <c r="AY74" s="355">
        <v>3.014E-2</v>
      </c>
      <c r="AZ74" s="624">
        <v>41642</v>
      </c>
      <c r="BA74" s="355">
        <v>1.18E-2</v>
      </c>
      <c r="BB74" s="624">
        <v>41642</v>
      </c>
      <c r="BC74" s="355">
        <v>0.3261</v>
      </c>
      <c r="BD74" s="624">
        <v>41642</v>
      </c>
      <c r="BE74" s="355">
        <v>9.4740000000000005E-2</v>
      </c>
      <c r="BF74" s="624">
        <v>41642</v>
      </c>
      <c r="BG74" s="355">
        <v>1.6056000000000001E-2</v>
      </c>
      <c r="BH74" s="624">
        <v>41642</v>
      </c>
      <c r="BI74" s="355">
        <v>8.2507999999999998E-2</v>
      </c>
      <c r="BJ74" s="624">
        <v>41642</v>
      </c>
      <c r="BK74" s="355">
        <v>3.0294000000000001E-2</v>
      </c>
    </row>
    <row r="75" spans="2:83" x14ac:dyDescent="0.15">
      <c r="C75" s="624"/>
      <c r="D75" s="355">
        <v>3.5869999999999999E-2</v>
      </c>
      <c r="AV75" s="624">
        <v>41646</v>
      </c>
      <c r="AW75" s="355">
        <v>0.42159999999999997</v>
      </c>
      <c r="AX75" s="624">
        <v>41645</v>
      </c>
      <c r="AY75" s="355">
        <v>3.014E-2</v>
      </c>
      <c r="AZ75" s="624">
        <v>41645</v>
      </c>
      <c r="BA75" s="355">
        <v>1.1900000000000001E-2</v>
      </c>
      <c r="BB75" s="624">
        <v>41645</v>
      </c>
      <c r="BC75" s="355">
        <v>0.32640000000000002</v>
      </c>
      <c r="BD75" s="624">
        <v>41645</v>
      </c>
      <c r="BE75" s="355">
        <v>9.3880000000000005E-2</v>
      </c>
      <c r="BF75" s="624">
        <v>41645</v>
      </c>
      <c r="BG75" s="355">
        <v>1.6048E-2</v>
      </c>
      <c r="BH75" s="624">
        <v>41645</v>
      </c>
      <c r="BI75" s="355">
        <v>8.2020999999999997E-2</v>
      </c>
      <c r="BJ75" s="624">
        <v>41645</v>
      </c>
      <c r="BK75" s="355">
        <v>3.0224999999999998E-2</v>
      </c>
    </row>
    <row r="76" spans="2:83" x14ac:dyDescent="0.15">
      <c r="C76" s="624"/>
      <c r="D76" s="355">
        <v>3.6020000000000003E-2</v>
      </c>
      <c r="AV76" s="624">
        <v>41647</v>
      </c>
      <c r="AW76" s="355">
        <v>0.41799999999999998</v>
      </c>
      <c r="AX76" s="624">
        <v>41646</v>
      </c>
      <c r="AY76" s="355">
        <v>3.0179999999999998E-2</v>
      </c>
      <c r="AZ76" s="624">
        <v>41646</v>
      </c>
      <c r="BA76" s="355">
        <v>1.1900000000000001E-2</v>
      </c>
      <c r="BB76" s="624">
        <v>41646</v>
      </c>
      <c r="BC76" s="355">
        <v>0.3261</v>
      </c>
      <c r="BD76" s="624">
        <v>41646</v>
      </c>
      <c r="BE76" s="355">
        <v>9.3490000000000004E-2</v>
      </c>
      <c r="BF76" s="624">
        <v>41646</v>
      </c>
      <c r="BG76" s="355">
        <v>1.6102000000000002E-2</v>
      </c>
      <c r="BH76" s="624">
        <v>41646</v>
      </c>
      <c r="BI76" s="355">
        <v>8.2794999999999994E-2</v>
      </c>
      <c r="BJ76" s="624">
        <v>41646</v>
      </c>
      <c r="BK76" s="355">
        <v>3.0238999999999999E-2</v>
      </c>
    </row>
    <row r="77" spans="2:83" x14ac:dyDescent="0.15">
      <c r="C77" s="624"/>
      <c r="D77" s="355">
        <v>3.6020000000000003E-2</v>
      </c>
      <c r="AV77" s="624">
        <v>41648</v>
      </c>
      <c r="AW77" s="355">
        <v>0.41830000000000001</v>
      </c>
      <c r="AX77" s="624">
        <v>41647</v>
      </c>
      <c r="AY77" s="355">
        <v>3.0099999999999998E-2</v>
      </c>
      <c r="AZ77" s="624">
        <v>41647</v>
      </c>
      <c r="BA77" s="355">
        <v>1.18E-2</v>
      </c>
      <c r="BB77" s="624">
        <v>41647</v>
      </c>
      <c r="BC77" s="355">
        <v>0.32500000000000001</v>
      </c>
      <c r="BD77" s="624">
        <v>41647</v>
      </c>
      <c r="BE77" s="355">
        <v>9.3670000000000003E-2</v>
      </c>
      <c r="BF77" s="624">
        <v>41647</v>
      </c>
      <c r="BG77" s="355">
        <v>1.6098000000000001E-2</v>
      </c>
      <c r="BH77" s="624">
        <v>41647</v>
      </c>
      <c r="BI77" s="355">
        <v>8.2761000000000001E-2</v>
      </c>
      <c r="BJ77" s="624">
        <v>41647</v>
      </c>
      <c r="BK77" s="355">
        <v>3.0252000000000001E-2</v>
      </c>
    </row>
    <row r="78" spans="2:83" x14ac:dyDescent="0.15">
      <c r="C78" s="624"/>
      <c r="D78" s="355">
        <v>3.5959999999999999E-2</v>
      </c>
      <c r="AV78" s="624">
        <v>41649</v>
      </c>
      <c r="AW78" s="355">
        <v>0.42230000000000001</v>
      </c>
      <c r="AX78" s="624">
        <v>41648</v>
      </c>
      <c r="AY78" s="355">
        <v>3.0130000000000001E-2</v>
      </c>
      <c r="AZ78" s="624">
        <v>41648</v>
      </c>
      <c r="BA78" s="355">
        <v>1.18E-2</v>
      </c>
      <c r="BB78" s="624">
        <v>41648</v>
      </c>
      <c r="BC78" s="355">
        <v>0.32590000000000002</v>
      </c>
      <c r="BD78" s="624">
        <v>41648</v>
      </c>
      <c r="BE78" s="355">
        <v>9.4070000000000001E-2</v>
      </c>
      <c r="BF78" s="624">
        <v>41648</v>
      </c>
      <c r="BG78" s="355">
        <v>1.6129999999999999E-2</v>
      </c>
      <c r="BH78" s="624">
        <v>41648</v>
      </c>
      <c r="BI78" s="355">
        <v>8.3035999999999999E-2</v>
      </c>
      <c r="BJ78" s="624">
        <v>41648</v>
      </c>
      <c r="BK78" s="355">
        <v>3.0280999999999999E-2</v>
      </c>
    </row>
    <row r="79" spans="2:83" x14ac:dyDescent="0.15">
      <c r="C79" s="624"/>
      <c r="D79" s="355">
        <v>3.5770000000000003E-2</v>
      </c>
      <c r="AV79" s="624">
        <v>41652</v>
      </c>
      <c r="AW79" s="355">
        <v>0.42430000000000001</v>
      </c>
      <c r="AX79" s="624">
        <v>41649</v>
      </c>
      <c r="AY79" s="355">
        <v>3.0269999999999998E-2</v>
      </c>
      <c r="AZ79" s="624">
        <v>41649</v>
      </c>
      <c r="BA79" s="355">
        <v>1.1900000000000001E-2</v>
      </c>
      <c r="BB79" s="624">
        <v>41649</v>
      </c>
      <c r="BC79" s="355">
        <v>0.32969999999999999</v>
      </c>
      <c r="BD79" s="624">
        <v>41649</v>
      </c>
      <c r="BE79" s="355">
        <v>9.418E-2</v>
      </c>
      <c r="BF79" s="624">
        <v>41649</v>
      </c>
      <c r="BG79" s="355">
        <v>1.6258999999999999E-2</v>
      </c>
      <c r="BH79" s="624">
        <v>41649</v>
      </c>
      <c r="BI79" s="355">
        <v>8.4495000000000001E-2</v>
      </c>
      <c r="BJ79" s="624">
        <v>41649</v>
      </c>
      <c r="BK79" s="355">
        <v>3.0279E-2</v>
      </c>
    </row>
    <row r="80" spans="2:83" x14ac:dyDescent="0.15">
      <c r="C80" s="624"/>
      <c r="D80" s="355">
        <v>3.5920000000000001E-2</v>
      </c>
      <c r="AV80" s="624">
        <v>41653</v>
      </c>
      <c r="AW80" s="355">
        <v>0.4249</v>
      </c>
      <c r="AX80" s="624">
        <v>41652</v>
      </c>
      <c r="AY80" s="355">
        <v>3.005E-2</v>
      </c>
      <c r="AZ80" s="624">
        <v>41652</v>
      </c>
      <c r="BA80" s="355">
        <v>1.1900000000000001E-2</v>
      </c>
      <c r="BB80" s="624">
        <v>41652</v>
      </c>
      <c r="BC80" s="355">
        <v>0.3291</v>
      </c>
      <c r="BD80" s="624">
        <v>41652</v>
      </c>
      <c r="BE80" s="355">
        <v>9.4520000000000007E-2</v>
      </c>
      <c r="BF80" s="624">
        <v>41652</v>
      </c>
      <c r="BG80" s="355">
        <v>1.6263E-2</v>
      </c>
      <c r="BH80" s="624">
        <v>41652</v>
      </c>
      <c r="BI80" s="355">
        <v>8.4417000000000006E-2</v>
      </c>
      <c r="BJ80" s="624">
        <v>41652</v>
      </c>
      <c r="BK80" s="355">
        <v>3.0335999999999998E-2</v>
      </c>
    </row>
    <row r="81" spans="3:63" x14ac:dyDescent="0.15">
      <c r="C81" s="624"/>
      <c r="D81" s="355">
        <v>3.5839999999999997E-2</v>
      </c>
      <c r="AV81" s="624">
        <v>41654</v>
      </c>
      <c r="AW81" s="355">
        <v>0.42449999999999999</v>
      </c>
      <c r="AX81" s="624">
        <v>41653</v>
      </c>
      <c r="AY81" s="355">
        <v>3.0030000000000001E-2</v>
      </c>
      <c r="AZ81" s="624">
        <v>41653</v>
      </c>
      <c r="BA81" s="355">
        <v>1.18E-2</v>
      </c>
      <c r="BB81" s="624">
        <v>41653</v>
      </c>
      <c r="BC81" s="355">
        <v>0.33019999999999999</v>
      </c>
      <c r="BD81" s="624">
        <v>41653</v>
      </c>
      <c r="BE81" s="355">
        <v>9.4380000000000006E-2</v>
      </c>
      <c r="BF81" s="624">
        <v>41653</v>
      </c>
      <c r="BG81" s="355">
        <v>1.6263E-2</v>
      </c>
      <c r="BH81" s="624">
        <v>41653</v>
      </c>
      <c r="BI81" s="355">
        <v>8.4653000000000006E-2</v>
      </c>
      <c r="BJ81" s="624">
        <v>41653</v>
      </c>
      <c r="BK81" s="355">
        <v>3.0502000000000001E-2</v>
      </c>
    </row>
    <row r="82" spans="3:63" x14ac:dyDescent="0.15">
      <c r="C82" s="624"/>
      <c r="D82" s="355">
        <v>3.5790000000000002E-2</v>
      </c>
      <c r="AV82" s="624">
        <v>41655</v>
      </c>
      <c r="AW82" s="355">
        <v>0.42299999999999999</v>
      </c>
      <c r="AX82" s="624">
        <v>41654</v>
      </c>
      <c r="AY82" s="355">
        <v>2.9940000000000001E-2</v>
      </c>
      <c r="AZ82" s="624">
        <v>41654</v>
      </c>
      <c r="BA82" s="355">
        <v>1.18E-2</v>
      </c>
      <c r="BB82" s="624">
        <v>41654</v>
      </c>
      <c r="BC82" s="355">
        <v>0.32719999999999999</v>
      </c>
      <c r="BD82" s="624">
        <v>41654</v>
      </c>
      <c r="BE82" s="355">
        <v>9.3899999999999997E-2</v>
      </c>
      <c r="BF82" s="624">
        <v>41654</v>
      </c>
      <c r="BG82" s="355">
        <v>1.6254000000000001E-2</v>
      </c>
      <c r="BH82" s="624">
        <v>41654</v>
      </c>
      <c r="BI82" s="355">
        <v>8.2729999999999998E-2</v>
      </c>
      <c r="BJ82" s="624">
        <v>41654</v>
      </c>
      <c r="BK82" s="355">
        <v>3.0426999999999999E-2</v>
      </c>
    </row>
    <row r="83" spans="3:63" x14ac:dyDescent="0.15">
      <c r="C83" s="624"/>
      <c r="D83" s="355">
        <v>3.5650000000000001E-2</v>
      </c>
      <c r="AV83" s="624">
        <v>41656</v>
      </c>
      <c r="AW83" s="355">
        <v>0.42570000000000002</v>
      </c>
      <c r="AX83" s="624">
        <v>41655</v>
      </c>
      <c r="AY83" s="355">
        <v>2.9940000000000001E-2</v>
      </c>
      <c r="AZ83" s="624">
        <v>41655</v>
      </c>
      <c r="BA83" s="355">
        <v>1.18E-2</v>
      </c>
      <c r="BB83" s="624">
        <v>41655</v>
      </c>
      <c r="BC83" s="355">
        <v>0.32690000000000002</v>
      </c>
      <c r="BD83" s="624">
        <v>41655</v>
      </c>
      <c r="BE83" s="355">
        <v>9.4030000000000002E-2</v>
      </c>
      <c r="BF83" s="624">
        <v>41655</v>
      </c>
      <c r="BG83" s="355">
        <v>1.6291E-2</v>
      </c>
      <c r="BH83" s="624">
        <v>41655</v>
      </c>
      <c r="BI83" s="355">
        <v>8.2525000000000001E-2</v>
      </c>
      <c r="BJ83" s="624">
        <v>41655</v>
      </c>
      <c r="BK83" s="355">
        <v>3.0516000000000001E-2</v>
      </c>
    </row>
    <row r="84" spans="3:63" x14ac:dyDescent="0.15">
      <c r="C84" s="624"/>
      <c r="D84" s="355">
        <v>3.5540000000000002E-2</v>
      </c>
      <c r="AV84" s="624">
        <v>41659</v>
      </c>
      <c r="AW84" s="355">
        <v>0.42609999999999998</v>
      </c>
      <c r="AX84" s="624">
        <v>41656</v>
      </c>
      <c r="AY84" s="355">
        <v>2.9780000000000001E-2</v>
      </c>
      <c r="AZ84" s="624">
        <v>41656</v>
      </c>
      <c r="BA84" s="355">
        <v>1.17E-2</v>
      </c>
      <c r="BB84" s="624">
        <v>41656</v>
      </c>
      <c r="BC84" s="355">
        <v>0.32519999999999999</v>
      </c>
      <c r="BD84" s="624">
        <v>41656</v>
      </c>
      <c r="BE84" s="355">
        <v>9.4210000000000002E-2</v>
      </c>
      <c r="BF84" s="624">
        <v>41656</v>
      </c>
      <c r="BG84" s="355">
        <v>1.6226000000000001E-2</v>
      </c>
      <c r="BH84" s="624">
        <v>41656</v>
      </c>
      <c r="BI84" s="355">
        <v>8.2712999999999995E-2</v>
      </c>
      <c r="BJ84" s="624">
        <v>41656</v>
      </c>
      <c r="BK84" s="355">
        <v>3.0474000000000001E-2</v>
      </c>
    </row>
    <row r="85" spans="3:63" x14ac:dyDescent="0.15">
      <c r="C85" s="624"/>
      <c r="D85" s="355">
        <v>3.5540000000000002E-2</v>
      </c>
      <c r="AV85" s="624">
        <v>41660</v>
      </c>
      <c r="AW85" s="355">
        <v>0.42320000000000002</v>
      </c>
      <c r="AX85" s="624">
        <v>41659</v>
      </c>
      <c r="AY85" s="355">
        <v>2.9569999999999999E-2</v>
      </c>
      <c r="AZ85" s="624">
        <v>41659</v>
      </c>
      <c r="BA85" s="355">
        <v>1.18E-2</v>
      </c>
      <c r="BB85" s="624">
        <v>41659</v>
      </c>
      <c r="BC85" s="355">
        <v>0.32579999999999998</v>
      </c>
      <c r="BD85" s="624">
        <v>41659</v>
      </c>
      <c r="BE85" s="355">
        <v>9.3960000000000002E-2</v>
      </c>
      <c r="BF85" s="624">
        <v>41659</v>
      </c>
      <c r="BG85" s="355">
        <v>1.6251000000000002E-2</v>
      </c>
      <c r="BH85" s="624">
        <v>41659</v>
      </c>
      <c r="BI85" s="355">
        <v>8.2556000000000004E-2</v>
      </c>
      <c r="BJ85" s="624">
        <v>41659</v>
      </c>
      <c r="BK85" s="355">
        <v>3.0474999999999999E-2</v>
      </c>
    </row>
    <row r="86" spans="3:63" x14ac:dyDescent="0.15">
      <c r="C86" s="624"/>
      <c r="D86" s="355">
        <v>3.5490000000000001E-2</v>
      </c>
      <c r="AV86" s="624">
        <v>41661</v>
      </c>
      <c r="AW86" s="355">
        <v>0.4214</v>
      </c>
      <c r="AX86" s="624">
        <v>41660</v>
      </c>
      <c r="AY86" s="355">
        <v>2.9430000000000001E-2</v>
      </c>
      <c r="AZ86" s="624">
        <v>41660</v>
      </c>
      <c r="BA86" s="355">
        <v>1.17E-2</v>
      </c>
      <c r="BB86" s="624">
        <v>41660</v>
      </c>
      <c r="BC86" s="355">
        <v>0.3256</v>
      </c>
      <c r="BD86" s="624">
        <v>41660</v>
      </c>
      <c r="BE86" s="355">
        <v>9.3380000000000005E-2</v>
      </c>
      <c r="BF86" s="624">
        <v>41660</v>
      </c>
      <c r="BG86" s="355">
        <v>1.6107E-2</v>
      </c>
      <c r="BH86" s="624">
        <v>41660</v>
      </c>
      <c r="BI86" s="355">
        <v>8.2389000000000004E-2</v>
      </c>
      <c r="BJ86" s="624">
        <v>41660</v>
      </c>
      <c r="BK86" s="355">
        <v>3.0374000000000002E-2</v>
      </c>
    </row>
    <row r="87" spans="3:63" x14ac:dyDescent="0.15">
      <c r="C87" s="624"/>
      <c r="D87" s="355">
        <v>3.5610000000000003E-2</v>
      </c>
      <c r="AV87" s="624">
        <v>41662</v>
      </c>
      <c r="AW87" s="355">
        <v>0.41739999999999999</v>
      </c>
      <c r="AX87" s="624">
        <v>41661</v>
      </c>
      <c r="AY87" s="355">
        <v>2.947E-2</v>
      </c>
      <c r="AZ87" s="624">
        <v>41661</v>
      </c>
      <c r="BA87" s="355">
        <v>1.17E-2</v>
      </c>
      <c r="BB87" s="624">
        <v>41661</v>
      </c>
      <c r="BC87" s="355">
        <v>0.32550000000000001</v>
      </c>
      <c r="BD87" s="624">
        <v>41661</v>
      </c>
      <c r="BE87" s="355">
        <v>9.3670000000000003E-2</v>
      </c>
      <c r="BF87" s="624">
        <v>41661</v>
      </c>
      <c r="BG87" s="355">
        <v>1.6174000000000001E-2</v>
      </c>
      <c r="BH87" s="624">
        <v>41661</v>
      </c>
      <c r="BI87" s="355">
        <v>8.2372000000000001E-2</v>
      </c>
      <c r="BJ87" s="624">
        <v>41661</v>
      </c>
      <c r="BK87" s="355">
        <v>3.0374000000000002E-2</v>
      </c>
    </row>
    <row r="88" spans="3:63" x14ac:dyDescent="0.15">
      <c r="C88" s="624"/>
      <c r="D88" s="355">
        <v>3.5720000000000002E-2</v>
      </c>
      <c r="AV88" s="624">
        <v>41663</v>
      </c>
      <c r="AW88" s="355">
        <v>0.41670000000000001</v>
      </c>
      <c r="AX88" s="624">
        <v>41662</v>
      </c>
      <c r="AY88" s="355">
        <v>2.93E-2</v>
      </c>
      <c r="AZ88" s="624">
        <v>41662</v>
      </c>
      <c r="BA88" s="355">
        <v>1.1900000000000001E-2</v>
      </c>
      <c r="BB88" s="624">
        <v>41662</v>
      </c>
      <c r="BC88" s="355">
        <v>0.32750000000000001</v>
      </c>
      <c r="BD88" s="624">
        <v>41662</v>
      </c>
      <c r="BE88" s="355">
        <v>9.2869999999999994E-2</v>
      </c>
      <c r="BF88" s="624">
        <v>41662</v>
      </c>
      <c r="BG88" s="355">
        <v>1.6087000000000001E-2</v>
      </c>
      <c r="BH88" s="624">
        <v>41662</v>
      </c>
      <c r="BI88" s="355">
        <v>8.2202999999999998E-2</v>
      </c>
      <c r="BJ88" s="624">
        <v>41662</v>
      </c>
      <c r="BK88" s="355">
        <v>3.0414E-2</v>
      </c>
    </row>
    <row r="89" spans="3:63" x14ac:dyDescent="0.15">
      <c r="C89" s="624"/>
      <c r="D89" s="355">
        <v>3.5680000000000003E-2</v>
      </c>
      <c r="AV89" s="624">
        <v>41666</v>
      </c>
      <c r="AW89" s="355">
        <v>0.41310000000000002</v>
      </c>
      <c r="AX89" s="624">
        <v>41663</v>
      </c>
      <c r="AY89" s="355">
        <v>2.9020000000000001E-2</v>
      </c>
      <c r="AZ89" s="624">
        <v>41663</v>
      </c>
      <c r="BA89" s="355">
        <v>1.18E-2</v>
      </c>
      <c r="BB89" s="624">
        <v>41663</v>
      </c>
      <c r="BC89" s="355">
        <v>0.32600000000000001</v>
      </c>
      <c r="BD89" s="624">
        <v>41663</v>
      </c>
      <c r="BE89" s="355">
        <v>9.2069999999999999E-2</v>
      </c>
      <c r="BF89" s="624">
        <v>41663</v>
      </c>
      <c r="BG89" s="355">
        <v>1.5942999999999999E-2</v>
      </c>
      <c r="BH89" s="624">
        <v>41663</v>
      </c>
      <c r="BI89" s="355">
        <v>8.2118999999999998E-2</v>
      </c>
      <c r="BJ89" s="624">
        <v>41663</v>
      </c>
      <c r="BK89" s="355">
        <v>3.0440999999999999E-2</v>
      </c>
    </row>
    <row r="90" spans="3:63" x14ac:dyDescent="0.15">
      <c r="C90" s="624"/>
      <c r="D90" s="355">
        <v>3.5680000000000003E-2</v>
      </c>
      <c r="AV90" s="624">
        <v>41667</v>
      </c>
      <c r="AW90" s="355">
        <v>0.41220000000000001</v>
      </c>
      <c r="AX90" s="624">
        <v>41666</v>
      </c>
      <c r="AY90" s="355">
        <v>2.8910000000000002E-2</v>
      </c>
      <c r="AZ90" s="624">
        <v>41666</v>
      </c>
      <c r="BA90" s="355">
        <v>1.18E-2</v>
      </c>
      <c r="BB90" s="624">
        <v>41666</v>
      </c>
      <c r="BC90" s="355">
        <v>0.32529999999999998</v>
      </c>
      <c r="BD90" s="624">
        <v>41666</v>
      </c>
      <c r="BE90" s="355">
        <v>9.264E-2</v>
      </c>
      <c r="BF90" s="624">
        <v>41666</v>
      </c>
      <c r="BG90" s="355">
        <v>1.5767E-2</v>
      </c>
      <c r="BH90" s="624">
        <v>41666</v>
      </c>
      <c r="BI90" s="355">
        <v>8.1749000000000002E-2</v>
      </c>
      <c r="BJ90" s="624">
        <v>41666</v>
      </c>
      <c r="BK90" s="355">
        <v>3.0391000000000001E-2</v>
      </c>
    </row>
    <row r="91" spans="3:63" x14ac:dyDescent="0.15">
      <c r="C91" s="624"/>
      <c r="D91" s="355">
        <v>3.5610000000000003E-2</v>
      </c>
      <c r="AV91" s="624">
        <v>41668</v>
      </c>
      <c r="AW91" s="355">
        <v>0.41060000000000002</v>
      </c>
      <c r="AX91" s="624">
        <v>41667</v>
      </c>
      <c r="AY91" s="355">
        <v>2.877E-2</v>
      </c>
      <c r="AZ91" s="624">
        <v>41667</v>
      </c>
      <c r="BA91" s="355">
        <v>1.18E-2</v>
      </c>
      <c r="BB91" s="624">
        <v>41667</v>
      </c>
      <c r="BC91" s="355">
        <v>0.32550000000000001</v>
      </c>
      <c r="BD91" s="624">
        <v>41667</v>
      </c>
      <c r="BE91" s="355">
        <v>9.2749999999999999E-2</v>
      </c>
      <c r="BF91" s="624">
        <v>41667</v>
      </c>
      <c r="BG91" s="355">
        <v>1.5934E-2</v>
      </c>
      <c r="BH91" s="624">
        <v>41667</v>
      </c>
      <c r="BI91" s="355">
        <v>8.2033999999999996E-2</v>
      </c>
      <c r="BJ91" s="624">
        <v>41667</v>
      </c>
      <c r="BK91" s="355">
        <v>3.0384999999999999E-2</v>
      </c>
    </row>
    <row r="92" spans="3:63" x14ac:dyDescent="0.15">
      <c r="C92" s="624"/>
      <c r="D92" s="355">
        <v>3.5630000000000002E-2</v>
      </c>
      <c r="AV92" s="624">
        <v>41669</v>
      </c>
      <c r="AW92" s="355">
        <v>0.41499999999999998</v>
      </c>
      <c r="AX92" s="624">
        <v>41668</v>
      </c>
      <c r="AY92" s="355">
        <v>2.8469999999999999E-2</v>
      </c>
      <c r="AZ92" s="624">
        <v>41668</v>
      </c>
      <c r="BA92" s="355">
        <v>1.18E-2</v>
      </c>
      <c r="BB92" s="624">
        <v>41668</v>
      </c>
      <c r="BC92" s="355">
        <v>0.32329999999999998</v>
      </c>
      <c r="BD92" s="624">
        <v>41668</v>
      </c>
      <c r="BE92" s="355">
        <v>9.2730000000000007E-2</v>
      </c>
      <c r="BF92" s="624">
        <v>41668</v>
      </c>
      <c r="BG92" s="355">
        <v>1.5886000000000001E-2</v>
      </c>
      <c r="BH92" s="624">
        <v>41668</v>
      </c>
      <c r="BI92" s="355">
        <v>8.2169000000000006E-2</v>
      </c>
      <c r="BJ92" s="624">
        <v>41668</v>
      </c>
      <c r="BK92" s="355">
        <v>3.0338E-2</v>
      </c>
    </row>
    <row r="93" spans="3:63" x14ac:dyDescent="0.15">
      <c r="C93" s="624"/>
      <c r="D93" s="355">
        <v>3.5700000000000003E-2</v>
      </c>
      <c r="AV93" s="624">
        <v>41670</v>
      </c>
      <c r="AW93" s="355">
        <v>0.4143</v>
      </c>
      <c r="AX93" s="624">
        <v>41669</v>
      </c>
      <c r="AY93" s="355">
        <v>2.8590000000000001E-2</v>
      </c>
      <c r="AZ93" s="624">
        <v>41669</v>
      </c>
      <c r="BA93" s="355">
        <v>1.17E-2</v>
      </c>
      <c r="BB93" s="624">
        <v>41669</v>
      </c>
      <c r="BC93" s="355">
        <v>0.32029999999999997</v>
      </c>
      <c r="BD93" s="624">
        <v>41669</v>
      </c>
      <c r="BE93" s="355">
        <v>9.2549999999999993E-2</v>
      </c>
      <c r="BF93" s="624">
        <v>41669</v>
      </c>
      <c r="BG93" s="355">
        <v>1.601E-2</v>
      </c>
      <c r="BH93" s="624">
        <v>41669</v>
      </c>
      <c r="BI93" s="355">
        <v>8.1882999999999997E-2</v>
      </c>
      <c r="BJ93" s="624">
        <v>41669</v>
      </c>
      <c r="BK93" s="355">
        <v>3.0294000000000001E-2</v>
      </c>
    </row>
    <row r="94" spans="3:63" x14ac:dyDescent="0.15">
      <c r="C94" s="624"/>
      <c r="D94" s="355">
        <v>3.5749999999999997E-2</v>
      </c>
      <c r="AV94" s="624">
        <v>41673</v>
      </c>
      <c r="AW94" s="355">
        <v>0.4108</v>
      </c>
      <c r="AX94" s="624">
        <v>41670</v>
      </c>
      <c r="AY94" s="355">
        <v>2.845E-2</v>
      </c>
      <c r="AZ94" s="624">
        <v>41670</v>
      </c>
      <c r="BA94" s="355">
        <v>1.1599999999999999E-2</v>
      </c>
      <c r="BB94" s="624">
        <v>41670</v>
      </c>
      <c r="BC94" s="355">
        <v>0.31719999999999998</v>
      </c>
      <c r="BD94" s="624">
        <v>41670</v>
      </c>
      <c r="BE94" s="355">
        <v>9.2480000000000007E-2</v>
      </c>
      <c r="BF94" s="624">
        <v>41670</v>
      </c>
      <c r="BG94" s="355">
        <v>1.5993E-2</v>
      </c>
      <c r="BH94" s="624">
        <v>41670</v>
      </c>
      <c r="BI94" s="355">
        <v>8.1882999999999997E-2</v>
      </c>
      <c r="BJ94" s="624">
        <v>41670</v>
      </c>
      <c r="BK94" s="355">
        <v>3.0284999999999999E-2</v>
      </c>
    </row>
    <row r="95" spans="3:63" x14ac:dyDescent="0.15">
      <c r="C95" s="624"/>
      <c r="D95" s="355">
        <v>3.5720000000000002E-2</v>
      </c>
      <c r="AV95" s="624">
        <v>41674</v>
      </c>
      <c r="AW95" s="355">
        <v>0.4158</v>
      </c>
      <c r="AX95" s="624">
        <v>41673</v>
      </c>
      <c r="AY95" s="355">
        <v>2.8219999999999999E-2</v>
      </c>
      <c r="AZ95" s="624">
        <v>41673</v>
      </c>
      <c r="BA95" s="355">
        <v>1.17E-2</v>
      </c>
      <c r="BB95" s="624">
        <v>41673</v>
      </c>
      <c r="BC95" s="355">
        <v>0.31859999999999999</v>
      </c>
      <c r="BD95" s="624">
        <v>41673</v>
      </c>
      <c r="BE95" s="355">
        <v>9.1899999999999996E-2</v>
      </c>
      <c r="BF95" s="624">
        <v>41673</v>
      </c>
      <c r="BG95" s="355">
        <v>1.5893999999999998E-2</v>
      </c>
      <c r="BH95" s="624">
        <v>41673</v>
      </c>
      <c r="BI95" s="355">
        <v>8.1698999999999994E-2</v>
      </c>
      <c r="BJ95" s="624">
        <v>41673</v>
      </c>
      <c r="BK95" s="355">
        <v>3.0356000000000001E-2</v>
      </c>
    </row>
    <row r="96" spans="3:63" x14ac:dyDescent="0.15">
      <c r="C96" s="624"/>
      <c r="D96" s="355">
        <v>3.5700000000000003E-2</v>
      </c>
      <c r="AV96" s="624">
        <v>41675</v>
      </c>
      <c r="AW96" s="355">
        <v>0.41689999999999999</v>
      </c>
      <c r="AX96" s="624">
        <v>41674</v>
      </c>
      <c r="AY96" s="355">
        <v>2.8580000000000001E-2</v>
      </c>
      <c r="AZ96" s="624">
        <v>41674</v>
      </c>
      <c r="BA96" s="355">
        <v>1.17E-2</v>
      </c>
      <c r="BB96" s="624">
        <v>41674</v>
      </c>
      <c r="BC96" s="355">
        <v>0.32140000000000002</v>
      </c>
      <c r="BD96" s="624">
        <v>41674</v>
      </c>
      <c r="BE96" s="355">
        <v>9.2859999999999998E-2</v>
      </c>
      <c r="BF96" s="624">
        <v>41674</v>
      </c>
      <c r="BG96" s="355">
        <v>1.6060000000000001E-2</v>
      </c>
      <c r="BH96" s="624">
        <v>41674</v>
      </c>
      <c r="BI96" s="355">
        <v>8.1949999999999995E-2</v>
      </c>
      <c r="BJ96" s="624">
        <v>41674</v>
      </c>
      <c r="BK96" s="355">
        <v>3.0533000000000001E-2</v>
      </c>
    </row>
    <row r="97" spans="3:63" x14ac:dyDescent="0.15">
      <c r="C97" s="624"/>
      <c r="D97" s="355">
        <v>3.5740000000000001E-2</v>
      </c>
      <c r="AV97" s="624">
        <v>41676</v>
      </c>
      <c r="AW97" s="355">
        <v>0.41920000000000002</v>
      </c>
      <c r="AX97" s="624">
        <v>41675</v>
      </c>
      <c r="AY97" s="355">
        <v>2.8639999999999999E-2</v>
      </c>
      <c r="AZ97" s="624">
        <v>41675</v>
      </c>
      <c r="BA97" s="355">
        <v>1.17E-2</v>
      </c>
      <c r="BB97" s="624">
        <v>41675</v>
      </c>
      <c r="BC97" s="355">
        <v>0.32300000000000001</v>
      </c>
      <c r="BD97" s="624">
        <v>41675</v>
      </c>
      <c r="BE97" s="355">
        <v>9.2759999999999995E-2</v>
      </c>
      <c r="BF97" s="624">
        <v>41675</v>
      </c>
      <c r="BG97" s="355">
        <v>1.6018000000000001E-2</v>
      </c>
      <c r="BH97" s="624">
        <v>41675</v>
      </c>
      <c r="BI97" s="355">
        <v>8.2074999999999995E-2</v>
      </c>
      <c r="BJ97" s="624">
        <v>41675</v>
      </c>
      <c r="BK97" s="355">
        <v>3.0518E-2</v>
      </c>
    </row>
    <row r="98" spans="3:63" x14ac:dyDescent="0.15">
      <c r="C98" s="624"/>
      <c r="D98" s="355">
        <v>3.5540000000000002E-2</v>
      </c>
      <c r="AV98" s="624">
        <v>41677</v>
      </c>
      <c r="AW98" s="355">
        <v>0.42</v>
      </c>
      <c r="AX98" s="624">
        <v>41676</v>
      </c>
      <c r="AY98" s="355">
        <v>2.8830000000000001E-2</v>
      </c>
      <c r="AZ98" s="624">
        <v>41676</v>
      </c>
      <c r="BA98" s="355">
        <v>1.17E-2</v>
      </c>
      <c r="BB98" s="624">
        <v>41676</v>
      </c>
      <c r="BC98" s="355">
        <v>0.32540000000000002</v>
      </c>
      <c r="BD98" s="624">
        <v>41676</v>
      </c>
      <c r="BE98" s="355">
        <v>9.3009999999999995E-2</v>
      </c>
      <c r="BF98" s="624">
        <v>41676</v>
      </c>
      <c r="BG98" s="355">
        <v>1.6077999999999999E-2</v>
      </c>
      <c r="BH98" s="624">
        <v>41676</v>
      </c>
      <c r="BI98" s="355">
        <v>8.2011000000000001E-2</v>
      </c>
      <c r="BJ98" s="624">
        <v>41676</v>
      </c>
      <c r="BK98" s="355">
        <v>3.0491999999999998E-2</v>
      </c>
    </row>
    <row r="99" spans="3:63" x14ac:dyDescent="0.15">
      <c r="C99" s="624"/>
      <c r="D99" s="355">
        <v>3.5470000000000002E-2</v>
      </c>
      <c r="AV99" s="624">
        <v>41680</v>
      </c>
      <c r="AW99" s="355">
        <v>0.4148</v>
      </c>
      <c r="AX99" s="624">
        <v>41677</v>
      </c>
      <c r="AY99" s="355">
        <v>2.877E-2</v>
      </c>
      <c r="AZ99" s="624">
        <v>41677</v>
      </c>
      <c r="BA99" s="355">
        <v>1.18E-2</v>
      </c>
      <c r="BB99" s="624">
        <v>41677</v>
      </c>
      <c r="BC99" s="355">
        <v>0.3266</v>
      </c>
      <c r="BD99" s="624">
        <v>41677</v>
      </c>
      <c r="BE99" s="355">
        <v>9.3049999999999994E-2</v>
      </c>
      <c r="BF99" s="624">
        <v>41677</v>
      </c>
      <c r="BG99" s="355">
        <v>1.61E-2</v>
      </c>
      <c r="BH99" s="624">
        <v>41677</v>
      </c>
      <c r="BI99" s="355">
        <v>8.2220000000000001E-2</v>
      </c>
      <c r="BJ99" s="624">
        <v>41677</v>
      </c>
      <c r="BK99" s="355">
        <v>3.0488000000000001E-2</v>
      </c>
    </row>
    <row r="100" spans="3:63" x14ac:dyDescent="0.15">
      <c r="C100" s="624"/>
      <c r="D100" s="355">
        <v>3.5560000000000001E-2</v>
      </c>
      <c r="AV100" s="624">
        <v>41681</v>
      </c>
      <c r="AW100" s="355">
        <v>0.41649999999999998</v>
      </c>
      <c r="AX100" s="624">
        <v>41680</v>
      </c>
      <c r="AY100" s="355">
        <v>2.877E-2</v>
      </c>
      <c r="AZ100" s="624">
        <v>41680</v>
      </c>
      <c r="BA100" s="355">
        <v>1.18E-2</v>
      </c>
      <c r="BB100" s="624">
        <v>41680</v>
      </c>
      <c r="BC100" s="355">
        <v>0.32650000000000001</v>
      </c>
      <c r="BD100" s="624">
        <v>41680</v>
      </c>
      <c r="BE100" s="355">
        <v>9.3100000000000002E-2</v>
      </c>
      <c r="BF100" s="624">
        <v>41680</v>
      </c>
      <c r="BG100" s="355">
        <v>1.6046999999999999E-2</v>
      </c>
      <c r="BH100" s="624">
        <v>41680</v>
      </c>
      <c r="BI100" s="355">
        <v>8.2169000000000006E-2</v>
      </c>
      <c r="BJ100" s="624">
        <v>41680</v>
      </c>
      <c r="BK100" s="355">
        <v>3.0474999999999999E-2</v>
      </c>
    </row>
    <row r="101" spans="3:63" x14ac:dyDescent="0.15">
      <c r="C101" s="624"/>
      <c r="D101" s="355">
        <v>3.5589999999999997E-2</v>
      </c>
      <c r="AV101" s="624">
        <v>41682</v>
      </c>
      <c r="AW101" s="355">
        <v>0.4128</v>
      </c>
      <c r="AX101" s="624">
        <v>41681</v>
      </c>
      <c r="AY101" s="355">
        <v>2.878E-2</v>
      </c>
      <c r="AZ101" s="624">
        <v>41681</v>
      </c>
      <c r="BA101" s="355">
        <v>1.18E-2</v>
      </c>
      <c r="BB101" s="624">
        <v>41681</v>
      </c>
      <c r="BC101" s="355">
        <v>0.32690000000000002</v>
      </c>
      <c r="BD101" s="624">
        <v>41681</v>
      </c>
      <c r="BE101" s="355">
        <v>9.3799999999999994E-2</v>
      </c>
      <c r="BF101" s="624">
        <v>41681</v>
      </c>
      <c r="BG101" s="355">
        <v>1.6121E-2</v>
      </c>
      <c r="BH101" s="624">
        <v>41681</v>
      </c>
      <c r="BI101" s="355">
        <v>8.2270999999999997E-2</v>
      </c>
      <c r="BJ101" s="624">
        <v>41681</v>
      </c>
      <c r="BK101" s="355">
        <v>3.0547999999999999E-2</v>
      </c>
    </row>
    <row r="102" spans="3:63" x14ac:dyDescent="0.15">
      <c r="C102" s="624"/>
      <c r="D102" s="355">
        <v>3.5630000000000002E-2</v>
      </c>
      <c r="AV102" s="624">
        <v>41683</v>
      </c>
      <c r="AW102" s="355">
        <v>0.41589999999999999</v>
      </c>
      <c r="AX102" s="624">
        <v>41682</v>
      </c>
      <c r="AY102" s="355">
        <v>2.8719999999999999E-2</v>
      </c>
      <c r="AZ102" s="624">
        <v>41682</v>
      </c>
      <c r="BA102" s="355">
        <v>1.17E-2</v>
      </c>
      <c r="BB102" s="624">
        <v>41682</v>
      </c>
      <c r="BC102" s="355">
        <v>0.32690000000000002</v>
      </c>
      <c r="BD102" s="624">
        <v>41682</v>
      </c>
      <c r="BE102" s="355">
        <v>9.4140000000000001E-2</v>
      </c>
      <c r="BF102" s="624">
        <v>41682</v>
      </c>
      <c r="BG102" s="355">
        <v>1.6160999999999998E-2</v>
      </c>
      <c r="BH102" s="624">
        <v>41682</v>
      </c>
      <c r="BI102" s="355">
        <v>8.2747000000000001E-2</v>
      </c>
      <c r="BJ102" s="624">
        <v>41682</v>
      </c>
      <c r="BK102" s="355">
        <v>3.0759999999999999E-2</v>
      </c>
    </row>
    <row r="103" spans="3:63" x14ac:dyDescent="0.15">
      <c r="C103" s="624"/>
      <c r="D103" s="355">
        <v>3.569E-2</v>
      </c>
      <c r="AV103" s="624">
        <v>41684</v>
      </c>
      <c r="AW103" s="355">
        <v>0.41899999999999998</v>
      </c>
      <c r="AX103" s="624">
        <v>41683</v>
      </c>
      <c r="AY103" s="355">
        <v>2.8500000000000001E-2</v>
      </c>
      <c r="AZ103" s="624">
        <v>41683</v>
      </c>
      <c r="BA103" s="355">
        <v>1.18E-2</v>
      </c>
      <c r="BB103" s="624">
        <v>41683</v>
      </c>
      <c r="BC103" s="355">
        <v>0.32890000000000003</v>
      </c>
      <c r="BD103" s="624">
        <v>41683</v>
      </c>
      <c r="BE103" s="355">
        <v>9.3909999999999993E-2</v>
      </c>
      <c r="BF103" s="624">
        <v>41683</v>
      </c>
      <c r="BG103" s="355">
        <v>1.6087000000000001E-2</v>
      </c>
      <c r="BH103" s="624">
        <v>41683</v>
      </c>
      <c r="BI103" s="355">
        <v>8.3403000000000005E-2</v>
      </c>
      <c r="BJ103" s="624">
        <v>41683</v>
      </c>
      <c r="BK103" s="355">
        <v>3.0710000000000001E-2</v>
      </c>
    </row>
    <row r="104" spans="3:63" x14ac:dyDescent="0.15">
      <c r="C104" s="624"/>
      <c r="D104" s="355">
        <v>3.5700000000000003E-2</v>
      </c>
      <c r="AV104" s="624">
        <v>41687</v>
      </c>
      <c r="AW104" s="355">
        <v>0.41830000000000001</v>
      </c>
      <c r="AX104" s="624">
        <v>41684</v>
      </c>
      <c r="AY104" s="355">
        <v>2.8500000000000001E-2</v>
      </c>
      <c r="AZ104" s="624">
        <v>41684</v>
      </c>
      <c r="BA104" s="355">
        <v>1.18E-2</v>
      </c>
      <c r="BB104" s="624">
        <v>41684</v>
      </c>
      <c r="BC104" s="355">
        <v>0.33019999999999999</v>
      </c>
      <c r="BD104" s="624">
        <v>41684</v>
      </c>
      <c r="BE104" s="355">
        <v>9.4070000000000001E-2</v>
      </c>
      <c r="BF104" s="624">
        <v>41684</v>
      </c>
      <c r="BG104" s="355">
        <v>1.6167000000000001E-2</v>
      </c>
      <c r="BH104" s="624">
        <v>41684</v>
      </c>
      <c r="BI104" s="355">
        <v>8.4530999999999995E-2</v>
      </c>
      <c r="BJ104" s="624">
        <v>41684</v>
      </c>
      <c r="BK104" s="355">
        <v>3.0911999999999999E-2</v>
      </c>
    </row>
    <row r="105" spans="3:63" x14ac:dyDescent="0.15">
      <c r="C105" s="624"/>
      <c r="D105" s="355">
        <v>3.5700000000000003E-2</v>
      </c>
      <c r="AV105" s="624">
        <v>41688</v>
      </c>
      <c r="AW105" s="355">
        <v>0.41739999999999999</v>
      </c>
      <c r="AX105" s="624">
        <v>41687</v>
      </c>
      <c r="AY105" s="355">
        <v>2.8379999999999999E-2</v>
      </c>
      <c r="AZ105" s="624">
        <v>41687</v>
      </c>
      <c r="BA105" s="355">
        <v>1.18E-2</v>
      </c>
      <c r="BB105" s="624">
        <v>41687</v>
      </c>
      <c r="BC105" s="355">
        <v>0.33079999999999998</v>
      </c>
      <c r="BD105" s="624">
        <v>41687</v>
      </c>
      <c r="BE105" s="355">
        <v>9.4310000000000005E-2</v>
      </c>
      <c r="BF105" s="624">
        <v>41687</v>
      </c>
      <c r="BG105" s="355">
        <v>1.6191000000000001E-2</v>
      </c>
      <c r="BH105" s="624">
        <v>41687</v>
      </c>
      <c r="BI105" s="355">
        <v>8.4889999999999993E-2</v>
      </c>
      <c r="BJ105" s="624">
        <v>41687</v>
      </c>
      <c r="BK105" s="355">
        <v>3.1026999999999999E-2</v>
      </c>
    </row>
    <row r="106" spans="3:63" x14ac:dyDescent="0.15">
      <c r="C106" s="624"/>
      <c r="D106" s="355">
        <v>3.5740000000000001E-2</v>
      </c>
      <c r="AV106" s="624">
        <v>41689</v>
      </c>
      <c r="AW106" s="355">
        <v>0.4178</v>
      </c>
      <c r="AX106" s="624">
        <v>41688</v>
      </c>
      <c r="AY106" s="355">
        <v>2.819E-2</v>
      </c>
      <c r="AZ106" s="624">
        <v>41688</v>
      </c>
      <c r="BA106" s="355">
        <v>1.1900000000000001E-2</v>
      </c>
      <c r="BB106" s="624">
        <v>41688</v>
      </c>
      <c r="BC106" s="355">
        <v>0.33169999999999999</v>
      </c>
      <c r="BD106" s="624">
        <v>41688</v>
      </c>
      <c r="BE106" s="355">
        <v>9.3909999999999993E-2</v>
      </c>
      <c r="BF106" s="624">
        <v>41688</v>
      </c>
      <c r="BG106" s="355">
        <v>1.6086E-2</v>
      </c>
      <c r="BH106" s="624">
        <v>41688</v>
      </c>
      <c r="BI106" s="355">
        <v>8.4476999999999997E-2</v>
      </c>
      <c r="BJ106" s="624">
        <v>41688</v>
      </c>
      <c r="BK106" s="355">
        <v>3.0775E-2</v>
      </c>
    </row>
    <row r="107" spans="3:63" x14ac:dyDescent="0.15">
      <c r="C107" s="624"/>
      <c r="D107" s="355">
        <v>3.5799999999999998E-2</v>
      </c>
      <c r="AV107" s="624">
        <v>41690</v>
      </c>
      <c r="AW107" s="355">
        <v>0.4219</v>
      </c>
      <c r="AX107" s="624">
        <v>41689</v>
      </c>
      <c r="AY107" s="355">
        <v>2.793E-2</v>
      </c>
      <c r="AZ107" s="624">
        <v>41689</v>
      </c>
      <c r="BA107" s="355">
        <v>1.1900000000000001E-2</v>
      </c>
      <c r="BB107" s="624">
        <v>41689</v>
      </c>
      <c r="BC107" s="355">
        <v>0.32919999999999999</v>
      </c>
      <c r="BD107" s="624">
        <v>41689</v>
      </c>
      <c r="BE107" s="355">
        <v>9.3619999999999995E-2</v>
      </c>
      <c r="BF107" s="624">
        <v>41689</v>
      </c>
      <c r="BG107" s="355">
        <v>1.6028000000000001E-2</v>
      </c>
      <c r="BH107" s="624">
        <v>41689</v>
      </c>
      <c r="BI107" s="355">
        <v>8.4889999999999993E-2</v>
      </c>
      <c r="BJ107" s="624">
        <v>41689</v>
      </c>
      <c r="BK107" s="355">
        <v>3.0679999999999999E-2</v>
      </c>
    </row>
    <row r="108" spans="3:63" x14ac:dyDescent="0.15">
      <c r="C108" s="624"/>
      <c r="D108" s="355">
        <v>3.5799999999999998E-2</v>
      </c>
      <c r="AV108" s="624">
        <v>41691</v>
      </c>
      <c r="AW108" s="355">
        <v>0.42620000000000002</v>
      </c>
      <c r="AX108" s="624">
        <v>41690</v>
      </c>
      <c r="AY108" s="355">
        <v>2.7959999999999999E-2</v>
      </c>
      <c r="AZ108" s="624">
        <v>41690</v>
      </c>
      <c r="BA108" s="355">
        <v>1.18E-2</v>
      </c>
      <c r="BB108" s="624">
        <v>41690</v>
      </c>
      <c r="BC108" s="355">
        <v>0.32919999999999999</v>
      </c>
      <c r="BD108" s="624">
        <v>41690</v>
      </c>
      <c r="BE108" s="355">
        <v>9.3270000000000006E-2</v>
      </c>
      <c r="BF108" s="624">
        <v>41690</v>
      </c>
      <c r="BG108" s="355">
        <v>1.6102999999999999E-2</v>
      </c>
      <c r="BH108" s="624">
        <v>41690</v>
      </c>
      <c r="BI108" s="355">
        <v>8.4709999999999994E-2</v>
      </c>
      <c r="BJ108" s="624">
        <v>41690</v>
      </c>
      <c r="BK108" s="355">
        <v>3.0721999999999999E-2</v>
      </c>
    </row>
    <row r="109" spans="3:63" x14ac:dyDescent="0.15">
      <c r="C109" s="624"/>
      <c r="D109" s="355">
        <v>3.5979999999999998E-2</v>
      </c>
      <c r="AV109" s="624">
        <v>41694</v>
      </c>
      <c r="AW109" s="355">
        <v>0.42699999999999999</v>
      </c>
      <c r="AX109" s="624">
        <v>41691</v>
      </c>
      <c r="AY109" s="355">
        <v>2.8150000000000001E-2</v>
      </c>
      <c r="AZ109" s="624">
        <v>41691</v>
      </c>
      <c r="BA109" s="355">
        <v>1.1900000000000001E-2</v>
      </c>
      <c r="BB109" s="624">
        <v>41691</v>
      </c>
      <c r="BC109" s="355">
        <v>0.33079999999999998</v>
      </c>
      <c r="BD109" s="624">
        <v>41691</v>
      </c>
      <c r="BE109" s="355">
        <v>9.3200000000000005E-2</v>
      </c>
      <c r="BF109" s="624">
        <v>41691</v>
      </c>
      <c r="BG109" s="355">
        <v>1.6119000000000001E-2</v>
      </c>
      <c r="BH109" s="624">
        <v>41691</v>
      </c>
      <c r="BI109" s="355">
        <v>8.5179000000000005E-2</v>
      </c>
      <c r="BJ109" s="624">
        <v>41691</v>
      </c>
      <c r="BK109" s="355">
        <v>3.0742999999999999E-2</v>
      </c>
    </row>
    <row r="110" spans="3:63" x14ac:dyDescent="0.15">
      <c r="C110" s="624"/>
      <c r="D110" s="355">
        <v>3.6040000000000003E-2</v>
      </c>
      <c r="AV110" s="624">
        <v>41695</v>
      </c>
      <c r="AW110" s="355">
        <v>0.42699999999999999</v>
      </c>
      <c r="AX110" s="624">
        <v>41694</v>
      </c>
      <c r="AY110" s="355">
        <v>2.8139999999999998E-2</v>
      </c>
      <c r="AZ110" s="624">
        <v>41694</v>
      </c>
      <c r="BA110" s="355">
        <v>1.1900000000000001E-2</v>
      </c>
      <c r="BB110" s="624">
        <v>41694</v>
      </c>
      <c r="BC110" s="355">
        <v>0.33</v>
      </c>
      <c r="BD110" s="624">
        <v>41694</v>
      </c>
      <c r="BE110" s="355">
        <v>9.3109999999999998E-2</v>
      </c>
      <c r="BF110" s="624">
        <v>41694</v>
      </c>
      <c r="BG110" s="355">
        <v>1.6164999999999999E-2</v>
      </c>
      <c r="BH110" s="624">
        <v>41694</v>
      </c>
      <c r="BI110" s="355">
        <v>8.5433999999999996E-2</v>
      </c>
      <c r="BJ110" s="624">
        <v>41694</v>
      </c>
      <c r="BK110" s="355">
        <v>3.0737E-2</v>
      </c>
    </row>
    <row r="111" spans="3:63" x14ac:dyDescent="0.15">
      <c r="C111" s="624"/>
      <c r="D111" s="355">
        <v>3.6049999999999999E-2</v>
      </c>
      <c r="AV111" s="624">
        <v>41696</v>
      </c>
      <c r="AW111" s="355">
        <v>0.42549999999999999</v>
      </c>
      <c r="AX111" s="624">
        <v>41695</v>
      </c>
      <c r="AY111" s="355">
        <v>2.7980000000000001E-2</v>
      </c>
      <c r="AZ111" s="624">
        <v>41695</v>
      </c>
      <c r="BA111" s="355">
        <v>1.1900000000000001E-2</v>
      </c>
      <c r="BB111" s="624">
        <v>41695</v>
      </c>
      <c r="BC111" s="355">
        <v>0.33090000000000003</v>
      </c>
      <c r="BD111" s="624">
        <v>41695</v>
      </c>
      <c r="BE111" s="355">
        <v>9.3130000000000004E-2</v>
      </c>
      <c r="BF111" s="624">
        <v>41695</v>
      </c>
      <c r="BG111" s="355">
        <v>1.6146000000000001E-2</v>
      </c>
      <c r="BH111" s="624">
        <v>41695</v>
      </c>
      <c r="BI111" s="355">
        <v>8.5690000000000002E-2</v>
      </c>
      <c r="BJ111" s="624">
        <v>41695</v>
      </c>
      <c r="BK111" s="355">
        <v>3.0721999999999999E-2</v>
      </c>
    </row>
    <row r="112" spans="3:63" x14ac:dyDescent="0.15">
      <c r="C112" s="624"/>
      <c r="D112" s="355">
        <v>3.6130000000000002E-2</v>
      </c>
      <c r="AV112" s="624">
        <v>41697</v>
      </c>
      <c r="AW112" s="355">
        <v>0.42859999999999998</v>
      </c>
      <c r="AX112" s="624">
        <v>41696</v>
      </c>
      <c r="AY112" s="355">
        <v>2.7740000000000001E-2</v>
      </c>
      <c r="AZ112" s="624">
        <v>41696</v>
      </c>
      <c r="BA112" s="355">
        <v>1.18E-2</v>
      </c>
      <c r="BB112" s="624">
        <v>41696</v>
      </c>
      <c r="BC112" s="355">
        <v>0.32740000000000002</v>
      </c>
      <c r="BD112" s="624">
        <v>41696</v>
      </c>
      <c r="BE112" s="355">
        <v>9.3439999999999995E-2</v>
      </c>
      <c r="BF112" s="624">
        <v>41696</v>
      </c>
      <c r="BG112" s="355">
        <v>1.6095000000000002E-2</v>
      </c>
      <c r="BH112" s="624">
        <v>41696</v>
      </c>
      <c r="BI112" s="355">
        <v>8.5985000000000006E-2</v>
      </c>
      <c r="BJ112" s="624">
        <v>41696</v>
      </c>
      <c r="BK112" s="355">
        <v>3.0689000000000001E-2</v>
      </c>
    </row>
    <row r="113" spans="3:63" x14ac:dyDescent="0.15">
      <c r="C113" s="624"/>
      <c r="D113" s="355">
        <v>3.6110000000000003E-2</v>
      </c>
      <c r="AV113" s="624">
        <v>41698</v>
      </c>
      <c r="AW113" s="355">
        <v>0.42699999999999999</v>
      </c>
      <c r="AX113" s="624">
        <v>41697</v>
      </c>
      <c r="AY113" s="355">
        <v>2.776E-2</v>
      </c>
      <c r="AZ113" s="624">
        <v>41697</v>
      </c>
      <c r="BA113" s="355">
        <v>1.18E-2</v>
      </c>
      <c r="BB113" s="624">
        <v>41697</v>
      </c>
      <c r="BC113" s="355">
        <v>0.32969999999999999</v>
      </c>
      <c r="BD113" s="624">
        <v>41697</v>
      </c>
      <c r="BE113" s="355">
        <v>9.3780000000000002E-2</v>
      </c>
      <c r="BF113" s="624">
        <v>41697</v>
      </c>
      <c r="BG113" s="355">
        <v>1.6136000000000001E-2</v>
      </c>
      <c r="BH113" s="624">
        <v>41697</v>
      </c>
      <c r="BI113" s="355">
        <v>8.5891999999999996E-2</v>
      </c>
      <c r="BJ113" s="624">
        <v>41697</v>
      </c>
      <c r="BK113" s="355">
        <v>3.0693999999999999E-2</v>
      </c>
    </row>
    <row r="114" spans="3:63" x14ac:dyDescent="0.15">
      <c r="C114" s="624"/>
      <c r="D114" s="355">
        <v>3.6049999999999999E-2</v>
      </c>
      <c r="AV114" s="624">
        <v>41703</v>
      </c>
      <c r="AW114" s="355">
        <v>0.43140000000000001</v>
      </c>
      <c r="AX114" s="624">
        <v>41698</v>
      </c>
      <c r="AY114" s="355">
        <v>2.768E-2</v>
      </c>
      <c r="AZ114" s="624">
        <v>41698</v>
      </c>
      <c r="BA114" s="355">
        <v>1.1900000000000001E-2</v>
      </c>
      <c r="BB114" s="624">
        <v>41698</v>
      </c>
      <c r="BC114" s="355">
        <v>0.33179999999999998</v>
      </c>
      <c r="BD114" s="624">
        <v>41698</v>
      </c>
      <c r="BE114" s="355">
        <v>9.3759999999999996E-2</v>
      </c>
      <c r="BF114" s="624">
        <v>41698</v>
      </c>
      <c r="BG114" s="355">
        <v>1.6164999999999999E-2</v>
      </c>
      <c r="BH114" s="624">
        <v>41698</v>
      </c>
      <c r="BI114" s="355">
        <v>8.6096000000000006E-2</v>
      </c>
      <c r="BJ114" s="624">
        <v>41698</v>
      </c>
      <c r="BK114" s="355">
        <v>3.0731000000000001E-2</v>
      </c>
    </row>
    <row r="115" spans="3:63" x14ac:dyDescent="0.15">
      <c r="C115" s="624"/>
      <c r="D115" s="355">
        <v>3.6049999999999999E-2</v>
      </c>
      <c r="AV115" s="624">
        <v>41704</v>
      </c>
      <c r="AW115" s="355">
        <v>0.4304</v>
      </c>
      <c r="AX115" s="624">
        <v>41701</v>
      </c>
      <c r="AY115" s="355">
        <v>2.741E-2</v>
      </c>
      <c r="AZ115" s="624">
        <v>41701</v>
      </c>
      <c r="BA115" s="355">
        <v>1.18E-2</v>
      </c>
      <c r="BB115" s="624">
        <v>41701</v>
      </c>
      <c r="BC115" s="355">
        <v>0.32490000000000002</v>
      </c>
      <c r="BD115" s="624">
        <v>41701</v>
      </c>
      <c r="BE115" s="355">
        <v>9.325E-2</v>
      </c>
      <c r="BF115" s="624">
        <v>41701</v>
      </c>
      <c r="BG115" s="355">
        <v>1.6074999999999999E-2</v>
      </c>
      <c r="BH115" s="624">
        <v>41701</v>
      </c>
      <c r="BI115" s="355">
        <v>8.6336999999999997E-2</v>
      </c>
      <c r="BJ115" s="624">
        <v>41701</v>
      </c>
      <c r="BK115" s="355">
        <v>3.074E-2</v>
      </c>
    </row>
    <row r="116" spans="3:63" x14ac:dyDescent="0.15">
      <c r="C116" s="624"/>
      <c r="D116" s="355">
        <v>3.6110000000000003E-2</v>
      </c>
      <c r="AV116" s="624">
        <v>41705</v>
      </c>
      <c r="AW116" s="355">
        <v>0.42730000000000001</v>
      </c>
      <c r="AX116" s="624">
        <v>41702</v>
      </c>
      <c r="AY116" s="355">
        <v>2.7740000000000001E-2</v>
      </c>
      <c r="AZ116" s="624">
        <v>41702</v>
      </c>
      <c r="BA116" s="355">
        <v>1.18E-2</v>
      </c>
      <c r="BB116" s="624">
        <v>41702</v>
      </c>
      <c r="BC116" s="355">
        <v>0.32850000000000001</v>
      </c>
      <c r="BD116" s="624">
        <v>41702</v>
      </c>
      <c r="BE116" s="355">
        <v>9.3340000000000006E-2</v>
      </c>
      <c r="BF116" s="624">
        <v>41702</v>
      </c>
      <c r="BG116" s="355">
        <v>1.6150999999999999E-2</v>
      </c>
      <c r="BH116" s="624">
        <v>41702</v>
      </c>
      <c r="BI116" s="355">
        <v>8.5763000000000006E-2</v>
      </c>
      <c r="BJ116" s="624">
        <v>41702</v>
      </c>
      <c r="BK116" s="355">
        <v>3.0934E-2</v>
      </c>
    </row>
    <row r="117" spans="3:63" x14ac:dyDescent="0.15">
      <c r="C117" s="624"/>
      <c r="D117" s="355">
        <v>3.61E-2</v>
      </c>
      <c r="AV117" s="624">
        <v>41708</v>
      </c>
      <c r="AW117" s="355">
        <v>0.42520000000000002</v>
      </c>
      <c r="AX117" s="624">
        <v>41703</v>
      </c>
      <c r="AY117" s="355">
        <v>2.7740000000000001E-2</v>
      </c>
      <c r="AZ117" s="624">
        <v>41703</v>
      </c>
      <c r="BA117" s="355">
        <v>1.18E-2</v>
      </c>
      <c r="BB117" s="624">
        <v>41703</v>
      </c>
      <c r="BC117" s="355">
        <v>0.3281</v>
      </c>
      <c r="BD117" s="624">
        <v>41703</v>
      </c>
      <c r="BE117" s="355">
        <v>9.3340000000000006E-2</v>
      </c>
      <c r="BF117" s="624">
        <v>41703</v>
      </c>
      <c r="BG117" s="355">
        <v>1.6296000000000001E-2</v>
      </c>
      <c r="BH117" s="624">
        <v>41703</v>
      </c>
      <c r="BI117" s="355">
        <v>8.6388999999999994E-2</v>
      </c>
      <c r="BJ117" s="624">
        <v>41703</v>
      </c>
      <c r="BK117" s="355">
        <v>3.0963999999999998E-2</v>
      </c>
    </row>
    <row r="118" spans="3:63" x14ac:dyDescent="0.15">
      <c r="C118" s="624"/>
      <c r="D118" s="355">
        <v>3.6299999999999999E-2</v>
      </c>
      <c r="AV118" s="624">
        <v>41709</v>
      </c>
      <c r="AW118" s="355">
        <v>0.42299999999999999</v>
      </c>
      <c r="AX118" s="624">
        <v>41704</v>
      </c>
      <c r="AY118" s="355">
        <v>2.767E-2</v>
      </c>
      <c r="AZ118" s="624">
        <v>41704</v>
      </c>
      <c r="BA118" s="355">
        <v>1.1900000000000001E-2</v>
      </c>
      <c r="BB118" s="624">
        <v>41704</v>
      </c>
      <c r="BC118" s="355">
        <v>0.33169999999999999</v>
      </c>
      <c r="BD118" s="624">
        <v>41704</v>
      </c>
      <c r="BE118" s="355">
        <v>9.3969999999999998E-2</v>
      </c>
      <c r="BF118" s="624">
        <v>41704</v>
      </c>
      <c r="BG118" s="355">
        <v>1.6414999999999999E-2</v>
      </c>
      <c r="BH118" s="624">
        <v>41704</v>
      </c>
      <c r="BI118" s="355">
        <v>8.7135000000000004E-2</v>
      </c>
      <c r="BJ118" s="624">
        <v>41704</v>
      </c>
      <c r="BK118" s="355">
        <v>3.1014E-2</v>
      </c>
    </row>
    <row r="119" spans="3:63" x14ac:dyDescent="0.15">
      <c r="C119" s="624"/>
      <c r="D119" s="355">
        <v>3.6420000000000001E-2</v>
      </c>
      <c r="AV119" s="624">
        <v>41710</v>
      </c>
      <c r="AW119" s="355">
        <v>0.42420000000000002</v>
      </c>
      <c r="AX119" s="624">
        <v>41705</v>
      </c>
      <c r="AY119" s="355">
        <v>2.7449999999999999E-2</v>
      </c>
      <c r="AZ119" s="624">
        <v>41705</v>
      </c>
      <c r="BA119" s="355">
        <v>1.2E-2</v>
      </c>
      <c r="BB119" s="624">
        <v>41705</v>
      </c>
      <c r="BC119" s="355">
        <v>0.3301</v>
      </c>
      <c r="BD119" s="624">
        <v>41705</v>
      </c>
      <c r="BE119" s="355">
        <v>9.3859999999999999E-2</v>
      </c>
      <c r="BF119" s="624">
        <v>41705</v>
      </c>
      <c r="BG119" s="355">
        <v>1.6337999999999998E-2</v>
      </c>
      <c r="BH119" s="624">
        <v>41705</v>
      </c>
      <c r="BI119" s="355">
        <v>8.7527999999999995E-2</v>
      </c>
      <c r="BJ119" s="624">
        <v>41705</v>
      </c>
      <c r="BK119" s="355">
        <v>3.0953000000000001E-2</v>
      </c>
    </row>
    <row r="120" spans="3:63" x14ac:dyDescent="0.15">
      <c r="C120" s="624"/>
      <c r="D120" s="355">
        <v>3.6429999999999997E-2</v>
      </c>
      <c r="AV120" s="624">
        <v>41711</v>
      </c>
      <c r="AW120" s="355">
        <v>0.42270000000000002</v>
      </c>
      <c r="AX120" s="624">
        <v>41708</v>
      </c>
      <c r="AY120" s="355">
        <v>2.7519999999999999E-2</v>
      </c>
      <c r="AZ120" s="624">
        <v>41708</v>
      </c>
      <c r="BA120" s="355">
        <v>1.2E-2</v>
      </c>
      <c r="BB120" s="624">
        <v>41708</v>
      </c>
      <c r="BC120" s="355">
        <v>0.32940000000000003</v>
      </c>
      <c r="BD120" s="624">
        <v>41708</v>
      </c>
      <c r="BE120" s="355">
        <v>9.3689999999999996E-2</v>
      </c>
      <c r="BF120" s="624">
        <v>41708</v>
      </c>
      <c r="BG120" s="355">
        <v>1.6395E-2</v>
      </c>
      <c r="BH120" s="624">
        <v>41708</v>
      </c>
      <c r="BI120" s="355">
        <v>8.7355000000000002E-2</v>
      </c>
      <c r="BJ120" s="624">
        <v>41708</v>
      </c>
      <c r="BK120" s="355">
        <v>3.0883000000000001E-2</v>
      </c>
    </row>
    <row r="121" spans="3:63" x14ac:dyDescent="0.15">
      <c r="C121" s="624"/>
      <c r="D121" s="355">
        <v>3.6389999999999999E-2</v>
      </c>
      <c r="AV121" s="624">
        <v>41712</v>
      </c>
      <c r="AW121" s="355">
        <v>0.42549999999999999</v>
      </c>
      <c r="AX121" s="624">
        <v>41709</v>
      </c>
      <c r="AY121" s="355">
        <v>2.742E-2</v>
      </c>
      <c r="AZ121" s="624">
        <v>41709</v>
      </c>
      <c r="BA121" s="355">
        <v>1.1900000000000001E-2</v>
      </c>
      <c r="BB121" s="624">
        <v>41709</v>
      </c>
      <c r="BC121" s="355">
        <v>0.3281</v>
      </c>
      <c r="BD121" s="624">
        <v>41709</v>
      </c>
      <c r="BE121" s="355">
        <v>9.3469999999999998E-2</v>
      </c>
      <c r="BF121" s="624">
        <v>41709</v>
      </c>
      <c r="BG121" s="355">
        <v>1.6372999999999999E-2</v>
      </c>
      <c r="BH121" s="624">
        <v>41709</v>
      </c>
      <c r="BI121" s="355">
        <v>8.7970000000000007E-2</v>
      </c>
      <c r="BJ121" s="624">
        <v>41709</v>
      </c>
      <c r="BK121" s="355">
        <v>3.0896E-2</v>
      </c>
    </row>
    <row r="122" spans="3:63" x14ac:dyDescent="0.15">
      <c r="C122" s="624"/>
      <c r="D122" s="355">
        <v>3.6400000000000002E-2</v>
      </c>
      <c r="AV122" s="624">
        <v>41715</v>
      </c>
      <c r="AW122" s="355">
        <v>0.42570000000000002</v>
      </c>
      <c r="AX122" s="624">
        <v>41710</v>
      </c>
      <c r="AY122" s="355">
        <v>2.7400000000000001E-2</v>
      </c>
      <c r="AZ122" s="624">
        <v>41710</v>
      </c>
      <c r="BA122" s="355">
        <v>1.2E-2</v>
      </c>
      <c r="BB122" s="624">
        <v>41710</v>
      </c>
      <c r="BC122" s="355">
        <v>0.3291</v>
      </c>
      <c r="BD122" s="624">
        <v>41710</v>
      </c>
      <c r="BE122" s="355">
        <v>9.3450000000000005E-2</v>
      </c>
      <c r="BF122" s="624">
        <v>41710</v>
      </c>
      <c r="BG122" s="355">
        <v>1.6396999999999998E-2</v>
      </c>
      <c r="BH122" s="624">
        <v>41710</v>
      </c>
      <c r="BI122" s="355">
        <v>8.7526999999999994E-2</v>
      </c>
      <c r="BJ122" s="624">
        <v>41710</v>
      </c>
      <c r="BK122" s="355">
        <v>3.0873000000000001E-2</v>
      </c>
    </row>
    <row r="123" spans="3:63" x14ac:dyDescent="0.15">
      <c r="C123" s="624"/>
      <c r="D123" s="355">
        <v>3.6409999999999998E-2</v>
      </c>
      <c r="AV123" s="624">
        <v>41716</v>
      </c>
      <c r="AW123" s="355">
        <v>0.4274</v>
      </c>
      <c r="AX123" s="624">
        <v>41711</v>
      </c>
      <c r="AY123" s="355">
        <v>2.7289999999999998E-2</v>
      </c>
      <c r="AZ123" s="624">
        <v>41711</v>
      </c>
      <c r="BA123" s="355">
        <v>1.2E-2</v>
      </c>
      <c r="BB123" s="624">
        <v>41711</v>
      </c>
      <c r="BC123" s="355">
        <v>0.32740000000000002</v>
      </c>
      <c r="BD123" s="624">
        <v>41711</v>
      </c>
      <c r="BE123" s="355">
        <v>9.3399999999999997E-2</v>
      </c>
      <c r="BF123" s="624">
        <v>41711</v>
      </c>
      <c r="BG123" s="355">
        <v>1.6268999999999999E-2</v>
      </c>
      <c r="BH123" s="624">
        <v>41711</v>
      </c>
      <c r="BI123" s="355">
        <v>8.7873000000000007E-2</v>
      </c>
      <c r="BJ123" s="624">
        <v>41711</v>
      </c>
      <c r="BK123" s="355">
        <v>3.0922000000000002E-2</v>
      </c>
    </row>
    <row r="124" spans="3:63" x14ac:dyDescent="0.15">
      <c r="C124" s="624"/>
      <c r="D124" s="355">
        <v>3.637E-2</v>
      </c>
      <c r="AV124" s="624">
        <v>41717</v>
      </c>
      <c r="AW124" s="355">
        <v>0.4259</v>
      </c>
      <c r="AX124" s="624">
        <v>41712</v>
      </c>
      <c r="AY124" s="355">
        <v>2.7349999999999999E-2</v>
      </c>
      <c r="AZ124" s="624">
        <v>41712</v>
      </c>
      <c r="BA124" s="355">
        <v>1.2E-2</v>
      </c>
      <c r="BB124" s="624">
        <v>41712</v>
      </c>
      <c r="BC124" s="355">
        <v>0.32940000000000003</v>
      </c>
      <c r="BD124" s="624">
        <v>41712</v>
      </c>
      <c r="BE124" s="355">
        <v>9.3340000000000006E-2</v>
      </c>
      <c r="BF124" s="624">
        <v>41712</v>
      </c>
      <c r="BG124" s="355">
        <v>1.6320999999999999E-2</v>
      </c>
      <c r="BH124" s="624">
        <v>41712</v>
      </c>
      <c r="BI124" s="355">
        <v>8.7641999999999998E-2</v>
      </c>
      <c r="BJ124" s="624">
        <v>41712</v>
      </c>
      <c r="BK124" s="355">
        <v>3.0984000000000001E-2</v>
      </c>
    </row>
    <row r="125" spans="3:63" x14ac:dyDescent="0.15">
      <c r="C125" s="624"/>
      <c r="D125" s="355">
        <v>3.6339999999999997E-2</v>
      </c>
      <c r="AV125" s="624">
        <v>41718</v>
      </c>
      <c r="AW125" s="355">
        <v>0.42980000000000002</v>
      </c>
      <c r="AX125" s="624">
        <v>41715</v>
      </c>
      <c r="AY125" s="355">
        <v>2.7550000000000002E-2</v>
      </c>
      <c r="AZ125" s="624">
        <v>41715</v>
      </c>
      <c r="BA125" s="355">
        <v>1.2E-2</v>
      </c>
      <c r="BB125" s="624">
        <v>41715</v>
      </c>
      <c r="BC125" s="355">
        <v>0.32929999999999998</v>
      </c>
      <c r="BD125" s="624">
        <v>41715</v>
      </c>
      <c r="BE125" s="355">
        <v>9.3710000000000002E-2</v>
      </c>
      <c r="BF125" s="624">
        <v>41715</v>
      </c>
      <c r="BG125" s="355">
        <v>1.6379000000000001E-2</v>
      </c>
      <c r="BH125" s="624">
        <v>41715</v>
      </c>
      <c r="BI125" s="355">
        <v>8.8594000000000006E-2</v>
      </c>
      <c r="BJ125" s="624">
        <v>41715</v>
      </c>
      <c r="BK125" s="355">
        <v>3.1033000000000002E-2</v>
      </c>
    </row>
    <row r="126" spans="3:63" x14ac:dyDescent="0.15">
      <c r="C126" s="624"/>
      <c r="D126" s="355">
        <v>3.6249999999999998E-2</v>
      </c>
      <c r="AV126" s="624">
        <v>41719</v>
      </c>
      <c r="AW126" s="355">
        <v>0.43020000000000003</v>
      </c>
      <c r="AX126" s="624">
        <v>41716</v>
      </c>
      <c r="AY126" s="355">
        <v>2.759E-2</v>
      </c>
      <c r="AZ126" s="624">
        <v>41716</v>
      </c>
      <c r="BA126" s="355">
        <v>1.2E-2</v>
      </c>
      <c r="BB126" s="624">
        <v>41716</v>
      </c>
      <c r="BC126" s="355">
        <v>0.33110000000000001</v>
      </c>
      <c r="BD126" s="624">
        <v>41716</v>
      </c>
      <c r="BE126" s="355">
        <v>9.35E-2</v>
      </c>
      <c r="BF126" s="624">
        <v>41716</v>
      </c>
      <c r="BG126" s="355">
        <v>1.6389000000000001E-2</v>
      </c>
      <c r="BH126" s="624">
        <v>41716</v>
      </c>
      <c r="BI126" s="355">
        <v>8.8416999999999996E-2</v>
      </c>
      <c r="BJ126" s="624">
        <v>41716</v>
      </c>
      <c r="BK126" s="355">
        <v>3.1143000000000001E-2</v>
      </c>
    </row>
    <row r="127" spans="3:63" x14ac:dyDescent="0.15">
      <c r="C127" s="624"/>
      <c r="D127" s="355">
        <v>3.6260000000000001E-2</v>
      </c>
      <c r="AV127" s="624">
        <v>41722</v>
      </c>
      <c r="AW127" s="355">
        <v>0.43080000000000002</v>
      </c>
      <c r="AX127" s="624">
        <v>41717</v>
      </c>
      <c r="AY127" s="355">
        <v>2.7650000000000001E-2</v>
      </c>
      <c r="AZ127" s="624">
        <v>41717</v>
      </c>
      <c r="BA127" s="355">
        <v>1.1900000000000001E-2</v>
      </c>
      <c r="BB127" s="624">
        <v>41717</v>
      </c>
      <c r="BC127" s="355">
        <v>0.32840000000000003</v>
      </c>
      <c r="BD127" s="624">
        <v>41717</v>
      </c>
      <c r="BE127" s="355">
        <v>9.2990000000000003E-2</v>
      </c>
      <c r="BF127" s="624">
        <v>41717</v>
      </c>
      <c r="BG127" s="355">
        <v>1.6272999999999999E-2</v>
      </c>
      <c r="BH127" s="624">
        <v>41717</v>
      </c>
      <c r="BI127" s="355">
        <v>8.8242000000000001E-2</v>
      </c>
      <c r="BJ127" s="624">
        <v>41717</v>
      </c>
      <c r="BK127" s="355">
        <v>3.0959E-2</v>
      </c>
    </row>
    <row r="128" spans="3:63" x14ac:dyDescent="0.15">
      <c r="C128" s="624"/>
      <c r="D128" s="355">
        <v>3.6089999999999997E-2</v>
      </c>
      <c r="AV128" s="624">
        <v>41723</v>
      </c>
      <c r="AW128" s="355">
        <v>0.43269999999999997</v>
      </c>
      <c r="AX128" s="624">
        <v>41718</v>
      </c>
      <c r="AY128" s="355">
        <v>2.7529999999999999E-2</v>
      </c>
      <c r="AZ128" s="624">
        <v>41718</v>
      </c>
      <c r="BA128" s="355">
        <v>1.1900000000000001E-2</v>
      </c>
      <c r="BB128" s="624">
        <v>41718</v>
      </c>
      <c r="BC128" s="355">
        <v>0.32829999999999998</v>
      </c>
      <c r="BD128" s="624">
        <v>41718</v>
      </c>
      <c r="BE128" s="355">
        <v>9.2530000000000001E-2</v>
      </c>
      <c r="BF128" s="624">
        <v>41718</v>
      </c>
      <c r="BG128" s="355">
        <v>1.6330000000000001E-2</v>
      </c>
      <c r="BH128" s="624">
        <v>41718</v>
      </c>
      <c r="BI128" s="355">
        <v>8.7526999999999994E-2</v>
      </c>
      <c r="BJ128" s="624">
        <v>41718</v>
      </c>
      <c r="BK128" s="355">
        <v>3.0873999999999999E-2</v>
      </c>
    </row>
    <row r="129" spans="3:63" x14ac:dyDescent="0.15">
      <c r="C129" s="624"/>
      <c r="D129" s="355">
        <v>3.6130000000000002E-2</v>
      </c>
      <c r="AV129" s="624">
        <v>41724</v>
      </c>
      <c r="AW129" s="355">
        <v>0.43409999999999999</v>
      </c>
      <c r="AX129" s="624">
        <v>41719</v>
      </c>
      <c r="AY129" s="355">
        <v>2.76E-2</v>
      </c>
      <c r="AZ129" s="624">
        <v>41719</v>
      </c>
      <c r="BA129" s="355">
        <v>1.1900000000000001E-2</v>
      </c>
      <c r="BB129" s="624">
        <v>41719</v>
      </c>
      <c r="BC129" s="355">
        <v>0.32900000000000001</v>
      </c>
      <c r="BD129" s="624">
        <v>41719</v>
      </c>
      <c r="BE129" s="355">
        <v>9.2609999999999998E-2</v>
      </c>
      <c r="BF129" s="624">
        <v>41719</v>
      </c>
      <c r="BG129" s="355">
        <v>1.6393000000000001E-2</v>
      </c>
      <c r="BH129" s="624">
        <v>41719</v>
      </c>
      <c r="BI129" s="355">
        <v>8.7446999999999997E-2</v>
      </c>
      <c r="BJ129" s="624">
        <v>41719</v>
      </c>
      <c r="BK129" s="355">
        <v>3.0876000000000001E-2</v>
      </c>
    </row>
    <row r="130" spans="3:63" x14ac:dyDescent="0.15">
      <c r="C130" s="624"/>
      <c r="D130" s="355">
        <v>3.6089999999999997E-2</v>
      </c>
      <c r="AV130" s="624">
        <v>41725</v>
      </c>
      <c r="AW130" s="355">
        <v>0.4425</v>
      </c>
      <c r="AX130" s="624">
        <v>41722</v>
      </c>
      <c r="AY130" s="355">
        <v>2.7709999999999999E-2</v>
      </c>
      <c r="AZ130" s="624">
        <v>41722</v>
      </c>
      <c r="BA130" s="355">
        <v>1.1900000000000001E-2</v>
      </c>
      <c r="BB130" s="624">
        <v>41722</v>
      </c>
      <c r="BC130" s="355">
        <v>0.32950000000000002</v>
      </c>
      <c r="BD130" s="624">
        <v>41722</v>
      </c>
      <c r="BE130" s="355">
        <v>9.2770000000000005E-2</v>
      </c>
      <c r="BF130" s="624">
        <v>41722</v>
      </c>
      <c r="BG130" s="355">
        <v>1.6494000000000002E-2</v>
      </c>
      <c r="BH130" s="624">
        <v>41722</v>
      </c>
      <c r="BI130" s="355">
        <v>8.7873000000000007E-2</v>
      </c>
      <c r="BJ130" s="624">
        <v>41722</v>
      </c>
      <c r="BK130" s="355">
        <v>3.0811999999999999E-2</v>
      </c>
    </row>
    <row r="131" spans="3:63" x14ac:dyDescent="0.15">
      <c r="C131" s="624"/>
      <c r="D131" s="355">
        <v>3.5929999999999997E-2</v>
      </c>
      <c r="AV131" s="624">
        <v>41726</v>
      </c>
      <c r="AW131" s="355">
        <v>0.442</v>
      </c>
      <c r="AX131" s="624">
        <v>41723</v>
      </c>
      <c r="AY131" s="355">
        <v>2.819E-2</v>
      </c>
      <c r="AZ131" s="624">
        <v>41723</v>
      </c>
      <c r="BA131" s="355">
        <v>1.1900000000000001E-2</v>
      </c>
      <c r="BB131" s="624">
        <v>41723</v>
      </c>
      <c r="BC131" s="355">
        <v>0.32990000000000003</v>
      </c>
      <c r="BD131" s="624">
        <v>41723</v>
      </c>
      <c r="BE131" s="355">
        <v>9.2749999999999999E-2</v>
      </c>
      <c r="BF131" s="624">
        <v>41723</v>
      </c>
      <c r="BG131" s="355">
        <v>1.6597000000000001E-2</v>
      </c>
      <c r="BH131" s="624">
        <v>41723</v>
      </c>
      <c r="BI131" s="355">
        <v>8.7873000000000007E-2</v>
      </c>
      <c r="BJ131" s="624">
        <v>41723</v>
      </c>
      <c r="BK131" s="355">
        <v>3.0700000000000002E-2</v>
      </c>
    </row>
    <row r="132" spans="3:63" x14ac:dyDescent="0.15">
      <c r="C132" s="624"/>
      <c r="D132" s="355">
        <v>3.5889999999999998E-2</v>
      </c>
      <c r="AV132" s="624">
        <v>41729</v>
      </c>
      <c r="AW132" s="355">
        <v>0.44030000000000002</v>
      </c>
      <c r="AX132" s="624">
        <v>41724</v>
      </c>
      <c r="AY132" s="355">
        <v>2.8119999999999999E-2</v>
      </c>
      <c r="AZ132" s="624">
        <v>41724</v>
      </c>
      <c r="BA132" s="355">
        <v>1.1900000000000001E-2</v>
      </c>
      <c r="BB132" s="624">
        <v>41724</v>
      </c>
      <c r="BC132" s="355">
        <v>0.3296</v>
      </c>
      <c r="BD132" s="624">
        <v>41724</v>
      </c>
      <c r="BE132" s="355">
        <v>9.2859999999999998E-2</v>
      </c>
      <c r="BF132" s="624">
        <v>41724</v>
      </c>
      <c r="BG132" s="355">
        <v>1.661E-2</v>
      </c>
      <c r="BH132" s="624">
        <v>41724</v>
      </c>
      <c r="BI132" s="355">
        <v>8.7662000000000004E-2</v>
      </c>
      <c r="BJ132" s="624">
        <v>41724</v>
      </c>
      <c r="BK132" s="355">
        <v>3.0713000000000001E-2</v>
      </c>
    </row>
    <row r="133" spans="3:63" x14ac:dyDescent="0.15">
      <c r="C133" s="624"/>
      <c r="D133" s="355">
        <v>3.5920000000000001E-2</v>
      </c>
      <c r="AV133" s="624">
        <v>41730</v>
      </c>
      <c r="AW133" s="355">
        <v>0.44190000000000002</v>
      </c>
      <c r="AX133" s="624">
        <v>41725</v>
      </c>
      <c r="AY133" s="355">
        <v>2.8070000000000001E-2</v>
      </c>
      <c r="AZ133" s="624">
        <v>41725</v>
      </c>
      <c r="BA133" s="355">
        <v>1.1900000000000001E-2</v>
      </c>
      <c r="BB133" s="624">
        <v>41725</v>
      </c>
      <c r="BC133" s="355">
        <v>0.33</v>
      </c>
      <c r="BD133" s="624">
        <v>41725</v>
      </c>
      <c r="BE133" s="355">
        <v>9.3600000000000003E-2</v>
      </c>
      <c r="BF133" s="624">
        <v>41725</v>
      </c>
      <c r="BG133" s="355">
        <v>1.6615000000000001E-2</v>
      </c>
      <c r="BH133" s="624">
        <v>41725</v>
      </c>
      <c r="BI133" s="355">
        <v>8.7382000000000001E-2</v>
      </c>
      <c r="BJ133" s="624">
        <v>41725</v>
      </c>
      <c r="BK133" s="355">
        <v>3.0755999999999999E-2</v>
      </c>
    </row>
    <row r="134" spans="3:63" x14ac:dyDescent="0.15">
      <c r="C134" s="624"/>
      <c r="D134" s="355">
        <v>3.5869999999999999E-2</v>
      </c>
      <c r="AV134" s="624">
        <v>41731</v>
      </c>
      <c r="AW134" s="355">
        <v>0.44059999999999999</v>
      </c>
      <c r="AX134" s="624">
        <v>41726</v>
      </c>
      <c r="AY134" s="355">
        <v>2.7980000000000001E-2</v>
      </c>
      <c r="AZ134" s="624">
        <v>41726</v>
      </c>
      <c r="BA134" s="355">
        <v>1.21E-2</v>
      </c>
      <c r="BB134" s="624">
        <v>41726</v>
      </c>
      <c r="BC134" s="355">
        <v>0.32969999999999999</v>
      </c>
      <c r="BD134" s="624">
        <v>41726</v>
      </c>
      <c r="BE134" s="355">
        <v>9.3479999999999994E-2</v>
      </c>
      <c r="BF134" s="624">
        <v>41726</v>
      </c>
      <c r="BG134" s="355">
        <v>1.67E-2</v>
      </c>
      <c r="BH134" s="624">
        <v>41726</v>
      </c>
      <c r="BI134" s="355">
        <v>8.7719000000000005E-2</v>
      </c>
      <c r="BJ134" s="624">
        <v>41726</v>
      </c>
      <c r="BK134" s="355">
        <v>3.0769000000000001E-2</v>
      </c>
    </row>
    <row r="135" spans="3:63" x14ac:dyDescent="0.15">
      <c r="C135" s="624"/>
      <c r="D135" s="355">
        <v>3.5959999999999999E-2</v>
      </c>
      <c r="AV135" s="624">
        <v>41732</v>
      </c>
      <c r="AW135" s="355">
        <v>0.4385</v>
      </c>
      <c r="AX135" s="624">
        <v>41729</v>
      </c>
      <c r="AY135" s="355">
        <v>2.852E-2</v>
      </c>
      <c r="AZ135" s="624">
        <v>41729</v>
      </c>
      <c r="BA135" s="355">
        <v>1.1900000000000001E-2</v>
      </c>
      <c r="BB135" s="624">
        <v>41729</v>
      </c>
      <c r="BC135" s="355">
        <v>0.33050000000000002</v>
      </c>
      <c r="BD135" s="624">
        <v>41729</v>
      </c>
      <c r="BE135" s="355">
        <v>9.3960000000000002E-2</v>
      </c>
      <c r="BF135" s="624">
        <v>41730</v>
      </c>
      <c r="BG135" s="355">
        <v>1.6723999999999999E-2</v>
      </c>
      <c r="BH135" s="624">
        <v>41729</v>
      </c>
      <c r="BI135" s="355">
        <v>8.7758000000000003E-2</v>
      </c>
      <c r="BJ135" s="624">
        <v>41729</v>
      </c>
      <c r="BK135" s="355">
        <v>3.0849000000000001E-2</v>
      </c>
    </row>
    <row r="136" spans="3:63" x14ac:dyDescent="0.15">
      <c r="C136" s="624"/>
      <c r="D136" s="355">
        <v>3.5819999999999998E-2</v>
      </c>
      <c r="AV136" s="624">
        <v>41733</v>
      </c>
      <c r="AW136" s="355">
        <v>0.44590000000000002</v>
      </c>
      <c r="AX136" s="624">
        <v>41730</v>
      </c>
      <c r="AY136" s="355">
        <v>2.8490000000000001E-2</v>
      </c>
      <c r="AZ136" s="624">
        <v>41730</v>
      </c>
      <c r="BA136" s="355">
        <v>1.2E-2</v>
      </c>
      <c r="BB136" s="624">
        <v>41730</v>
      </c>
      <c r="BC136" s="355">
        <v>0.3306</v>
      </c>
      <c r="BD136" s="624">
        <v>41730</v>
      </c>
      <c r="BE136" s="355">
        <v>9.4539999999999999E-2</v>
      </c>
      <c r="BF136" s="624">
        <v>41731</v>
      </c>
      <c r="BG136" s="355">
        <v>1.6712999999999999E-2</v>
      </c>
      <c r="BH136" s="624">
        <v>41730</v>
      </c>
      <c r="BI136" s="355">
        <v>8.8398000000000004E-2</v>
      </c>
      <c r="BJ136" s="624">
        <v>41730</v>
      </c>
      <c r="BK136" s="355">
        <v>3.0915000000000002E-2</v>
      </c>
    </row>
    <row r="137" spans="3:63" x14ac:dyDescent="0.15">
      <c r="C137" s="624"/>
      <c r="D137" s="355">
        <v>3.5810000000000002E-2</v>
      </c>
      <c r="AV137" s="624">
        <v>41736</v>
      </c>
      <c r="AW137" s="355">
        <v>0.45090000000000002</v>
      </c>
      <c r="AX137" s="624">
        <v>41731</v>
      </c>
      <c r="AY137" s="355">
        <v>2.8199999999999999E-2</v>
      </c>
      <c r="AZ137" s="624">
        <v>41731</v>
      </c>
      <c r="BA137" s="355">
        <v>1.1900000000000001E-2</v>
      </c>
      <c r="BB137" s="624">
        <v>41731</v>
      </c>
      <c r="BC137" s="355">
        <v>0.33040000000000003</v>
      </c>
      <c r="BD137" s="624">
        <v>41731</v>
      </c>
      <c r="BE137" s="355">
        <v>9.4509999999999997E-2</v>
      </c>
      <c r="BF137" s="624">
        <v>41732</v>
      </c>
      <c r="BG137" s="355">
        <v>1.6558E-2</v>
      </c>
      <c r="BH137" s="624">
        <v>41731</v>
      </c>
      <c r="BI137" s="355">
        <v>8.8553999999999994E-2</v>
      </c>
      <c r="BJ137" s="624">
        <v>41731</v>
      </c>
      <c r="BK137" s="355">
        <v>3.0837E-2</v>
      </c>
    </row>
    <row r="138" spans="3:63" x14ac:dyDescent="0.15">
      <c r="C138" s="624"/>
      <c r="D138" s="355">
        <v>3.5799999999999998E-2</v>
      </c>
      <c r="AV138" s="624">
        <v>41737</v>
      </c>
      <c r="AW138" s="355">
        <v>0.45419999999999999</v>
      </c>
      <c r="AX138" s="624">
        <v>41732</v>
      </c>
      <c r="AY138" s="355">
        <v>2.8080000000000001E-2</v>
      </c>
      <c r="AZ138" s="624">
        <v>41732</v>
      </c>
      <c r="BA138" s="355">
        <v>1.1900000000000001E-2</v>
      </c>
      <c r="BB138" s="624">
        <v>41732</v>
      </c>
      <c r="BC138" s="355">
        <v>0.32929999999999998</v>
      </c>
      <c r="BD138" s="624">
        <v>41732</v>
      </c>
      <c r="BE138" s="355">
        <v>9.4479999999999995E-2</v>
      </c>
      <c r="BF138" s="624">
        <v>41733</v>
      </c>
      <c r="BG138" s="355">
        <v>1.6719000000000001E-2</v>
      </c>
      <c r="BH138" s="624">
        <v>41732</v>
      </c>
      <c r="BI138" s="355">
        <v>8.8514999999999996E-2</v>
      </c>
      <c r="BJ138" s="624">
        <v>41732</v>
      </c>
      <c r="BK138" s="355">
        <v>3.0787999999999999E-2</v>
      </c>
    </row>
    <row r="139" spans="3:63" x14ac:dyDescent="0.15">
      <c r="C139" s="624"/>
      <c r="D139" s="355">
        <v>3.5959999999999999E-2</v>
      </c>
      <c r="AV139" s="624">
        <v>41738</v>
      </c>
      <c r="AW139" s="355">
        <v>0.45479999999999998</v>
      </c>
      <c r="AX139" s="624">
        <v>41733</v>
      </c>
      <c r="AY139" s="355">
        <v>2.835E-2</v>
      </c>
      <c r="AZ139" s="624">
        <v>41733</v>
      </c>
      <c r="BA139" s="355">
        <v>1.1900000000000001E-2</v>
      </c>
      <c r="BB139" s="624">
        <v>41733</v>
      </c>
      <c r="BC139" s="355">
        <v>0.32929999999999998</v>
      </c>
      <c r="BD139" s="624">
        <v>41733</v>
      </c>
      <c r="BE139" s="355">
        <v>9.5070000000000002E-2</v>
      </c>
      <c r="BF139" s="624">
        <v>41736</v>
      </c>
      <c r="BG139" s="355">
        <v>1.66E-2</v>
      </c>
      <c r="BH139" s="624">
        <v>41733</v>
      </c>
      <c r="BI139" s="355">
        <v>8.8367000000000001E-2</v>
      </c>
      <c r="BJ139" s="624">
        <v>41733</v>
      </c>
      <c r="BK139" s="355">
        <v>3.0802E-2</v>
      </c>
    </row>
    <row r="140" spans="3:63" x14ac:dyDescent="0.15">
      <c r="C140" s="624"/>
      <c r="D140" s="355">
        <v>3.5909999999999997E-2</v>
      </c>
      <c r="AV140" s="624">
        <v>41739</v>
      </c>
      <c r="AW140" s="355">
        <v>0.45590000000000003</v>
      </c>
      <c r="AX140" s="624">
        <v>41736</v>
      </c>
      <c r="AY140" s="355">
        <v>2.8039999999999999E-2</v>
      </c>
      <c r="AZ140" s="624">
        <v>41736</v>
      </c>
      <c r="BA140" s="355">
        <v>1.1900000000000001E-2</v>
      </c>
      <c r="BB140" s="624">
        <v>41736</v>
      </c>
      <c r="BC140" s="355">
        <v>0.3296</v>
      </c>
      <c r="BD140" s="624">
        <v>41736</v>
      </c>
      <c r="BE140" s="355">
        <v>9.4810000000000005E-2</v>
      </c>
      <c r="BF140" s="624">
        <v>41737</v>
      </c>
      <c r="BG140" s="355">
        <v>1.6635E-2</v>
      </c>
      <c r="BH140" s="624">
        <v>41736</v>
      </c>
      <c r="BI140" s="355">
        <v>8.8624999999999995E-2</v>
      </c>
      <c r="BJ140" s="624">
        <v>41736</v>
      </c>
      <c r="BK140" s="355">
        <v>3.0806E-2</v>
      </c>
    </row>
    <row r="141" spans="3:63" x14ac:dyDescent="0.15">
      <c r="C141" s="624"/>
      <c r="D141" s="355">
        <v>3.5999999999999997E-2</v>
      </c>
      <c r="AV141" s="624">
        <v>41740</v>
      </c>
      <c r="AW141" s="355">
        <v>0.45079999999999998</v>
      </c>
      <c r="AX141" s="624">
        <v>41737</v>
      </c>
      <c r="AY141" s="355">
        <v>2.7990000000000001E-2</v>
      </c>
      <c r="AZ141" s="624">
        <v>41737</v>
      </c>
      <c r="BA141" s="355">
        <v>1.2E-2</v>
      </c>
      <c r="BB141" s="624">
        <v>41737</v>
      </c>
      <c r="BC141" s="355">
        <v>0.33100000000000002</v>
      </c>
      <c r="BD141" s="624">
        <v>41737</v>
      </c>
      <c r="BE141" s="355">
        <v>9.5280000000000004E-2</v>
      </c>
      <c r="BF141" s="624">
        <v>41738</v>
      </c>
      <c r="BG141" s="355">
        <v>1.6684999999999998E-2</v>
      </c>
      <c r="BH141" s="624">
        <v>41737</v>
      </c>
      <c r="BI141" s="355">
        <v>8.8547000000000001E-2</v>
      </c>
      <c r="BJ141" s="624">
        <v>41737</v>
      </c>
      <c r="BK141" s="355">
        <v>3.0988999999999999E-2</v>
      </c>
    </row>
    <row r="142" spans="3:63" x14ac:dyDescent="0.15">
      <c r="C142" s="624"/>
      <c r="D142" s="355">
        <v>3.5990000000000001E-2</v>
      </c>
      <c r="AV142" s="624">
        <v>41743</v>
      </c>
      <c r="AW142" s="355">
        <v>0.45140000000000002</v>
      </c>
      <c r="AX142" s="624">
        <v>41738</v>
      </c>
      <c r="AY142" s="355">
        <v>2.811E-2</v>
      </c>
      <c r="AZ142" s="624">
        <v>41738</v>
      </c>
      <c r="BA142" s="355">
        <v>1.2E-2</v>
      </c>
      <c r="BB142" s="624">
        <v>41738</v>
      </c>
      <c r="BC142" s="355">
        <v>0.33279999999999998</v>
      </c>
      <c r="BD142" s="624">
        <v>41738</v>
      </c>
      <c r="BE142" s="355">
        <v>9.6610000000000001E-2</v>
      </c>
      <c r="BF142" s="624">
        <v>41739</v>
      </c>
      <c r="BG142" s="355">
        <v>1.6553999999999999E-2</v>
      </c>
      <c r="BH142" s="624">
        <v>41738</v>
      </c>
      <c r="BI142" s="355">
        <v>8.8557999999999998E-2</v>
      </c>
      <c r="BJ142" s="624">
        <v>41738</v>
      </c>
      <c r="BK142" s="355">
        <v>3.1098000000000001E-2</v>
      </c>
    </row>
    <row r="143" spans="3:63" x14ac:dyDescent="0.15">
      <c r="C143" s="624"/>
      <c r="D143" s="355">
        <v>3.594E-2</v>
      </c>
      <c r="AV143" s="624">
        <v>41744</v>
      </c>
      <c r="AW143" s="355">
        <v>0.44790000000000002</v>
      </c>
      <c r="AX143" s="624">
        <v>41739</v>
      </c>
      <c r="AY143" s="355">
        <v>2.811E-2</v>
      </c>
      <c r="AZ143" s="624">
        <v>41739</v>
      </c>
      <c r="BA143" s="355">
        <v>1.2E-2</v>
      </c>
      <c r="BB143" s="624">
        <v>41739</v>
      </c>
      <c r="BC143" s="355">
        <v>0.33260000000000001</v>
      </c>
      <c r="BD143" s="624">
        <v>41739</v>
      </c>
      <c r="BE143" s="355">
        <v>9.6189999999999998E-2</v>
      </c>
      <c r="BF143" s="624">
        <v>41740</v>
      </c>
      <c r="BG143" s="355">
        <v>1.6574999999999999E-2</v>
      </c>
      <c r="BH143" s="624">
        <v>41739</v>
      </c>
      <c r="BI143" s="355">
        <v>8.8273000000000004E-2</v>
      </c>
      <c r="BJ143" s="624">
        <v>41739</v>
      </c>
      <c r="BK143" s="355">
        <v>3.0984000000000001E-2</v>
      </c>
    </row>
    <row r="144" spans="3:63" x14ac:dyDescent="0.15">
      <c r="C144" s="624"/>
      <c r="D144" s="355">
        <v>3.5869999999999999E-2</v>
      </c>
      <c r="AV144" s="624">
        <v>41745</v>
      </c>
      <c r="AW144" s="355">
        <v>0.44590000000000002</v>
      </c>
      <c r="AX144" s="624">
        <v>41740</v>
      </c>
      <c r="AY144" s="355">
        <v>2.8049999999999999E-2</v>
      </c>
      <c r="AZ144" s="624">
        <v>41740</v>
      </c>
      <c r="BA144" s="355">
        <v>1.2E-2</v>
      </c>
      <c r="BB144" s="624">
        <v>41740</v>
      </c>
      <c r="BC144" s="355">
        <v>0.3322</v>
      </c>
      <c r="BD144" s="624">
        <v>41740</v>
      </c>
      <c r="BE144" s="355">
        <v>9.6229999999999996E-2</v>
      </c>
      <c r="BF144" s="624">
        <v>41743</v>
      </c>
      <c r="BG144" s="355">
        <v>1.6566000000000001E-2</v>
      </c>
      <c r="BH144" s="624">
        <v>41740</v>
      </c>
      <c r="BI144" s="355">
        <v>8.7593000000000004E-2</v>
      </c>
      <c r="BJ144" s="624">
        <v>41740</v>
      </c>
      <c r="BK144" s="355">
        <v>3.0967000000000001E-2</v>
      </c>
    </row>
    <row r="145" spans="3:63" x14ac:dyDescent="0.15">
      <c r="C145" s="624"/>
      <c r="D145" s="355">
        <v>3.5819999999999998E-2</v>
      </c>
      <c r="AV145" s="624">
        <v>41746</v>
      </c>
      <c r="AW145" s="355">
        <v>0.4471</v>
      </c>
      <c r="AX145" s="624">
        <v>41743</v>
      </c>
      <c r="AY145" s="355">
        <v>2.7810000000000001E-2</v>
      </c>
      <c r="AZ145" s="624">
        <v>41743</v>
      </c>
      <c r="BA145" s="355">
        <v>1.2E-2</v>
      </c>
      <c r="BB145" s="624">
        <v>41743</v>
      </c>
      <c r="BC145" s="355">
        <v>0.3306</v>
      </c>
      <c r="BD145" s="624">
        <v>41743</v>
      </c>
      <c r="BE145" s="355">
        <v>9.6009999999999998E-2</v>
      </c>
      <c r="BF145" s="624">
        <v>41744</v>
      </c>
      <c r="BG145" s="355">
        <v>1.6555E-2</v>
      </c>
      <c r="BH145" s="624">
        <v>41743</v>
      </c>
      <c r="BI145" s="355">
        <v>8.7413000000000005E-2</v>
      </c>
      <c r="BJ145" s="624">
        <v>41743</v>
      </c>
      <c r="BK145" s="355">
        <v>3.0998000000000001E-2</v>
      </c>
    </row>
    <row r="146" spans="3:63" x14ac:dyDescent="0.15">
      <c r="C146" s="624"/>
      <c r="D146" s="355">
        <v>3.5959999999999999E-2</v>
      </c>
      <c r="AV146" s="624">
        <v>41747</v>
      </c>
      <c r="AW146" s="355">
        <v>0.4471</v>
      </c>
      <c r="AX146" s="624">
        <v>41744</v>
      </c>
      <c r="AY146" s="355">
        <v>2.758E-2</v>
      </c>
      <c r="AZ146" s="624">
        <v>41744</v>
      </c>
      <c r="BA146" s="355">
        <v>1.2E-2</v>
      </c>
      <c r="BB146" s="624">
        <v>41744</v>
      </c>
      <c r="BC146" s="355">
        <v>0.32979999999999998</v>
      </c>
      <c r="BD146" s="624">
        <v>41744</v>
      </c>
      <c r="BE146" s="355">
        <v>9.5939999999999998E-2</v>
      </c>
      <c r="BF146" s="624">
        <v>41745</v>
      </c>
      <c r="BG146" s="355">
        <v>1.6587000000000001E-2</v>
      </c>
      <c r="BH146" s="624">
        <v>41744</v>
      </c>
      <c r="BI146" s="355">
        <v>8.7446999999999997E-2</v>
      </c>
      <c r="BJ146" s="624">
        <v>41744</v>
      </c>
      <c r="BK146" s="355">
        <v>3.0939000000000001E-2</v>
      </c>
    </row>
    <row r="147" spans="3:63" x14ac:dyDescent="0.15">
      <c r="C147" s="624"/>
      <c r="D147" s="355">
        <v>3.6020000000000003E-2</v>
      </c>
      <c r="AV147" s="624">
        <v>41751</v>
      </c>
      <c r="AW147" s="355">
        <v>0.44690000000000002</v>
      </c>
      <c r="AX147" s="624">
        <v>41745</v>
      </c>
      <c r="AY147" s="355">
        <v>2.7810000000000001E-2</v>
      </c>
      <c r="AZ147" s="624">
        <v>41745</v>
      </c>
      <c r="BA147" s="355">
        <v>1.2E-2</v>
      </c>
      <c r="BB147" s="624">
        <v>41745</v>
      </c>
      <c r="BC147" s="355">
        <v>0.32979999999999998</v>
      </c>
      <c r="BD147" s="624">
        <v>41745</v>
      </c>
      <c r="BE147" s="355">
        <v>9.6290000000000001E-2</v>
      </c>
      <c r="BF147" s="624">
        <v>41746</v>
      </c>
      <c r="BG147" s="355">
        <v>1.6567999999999999E-2</v>
      </c>
      <c r="BH147" s="624">
        <v>41745</v>
      </c>
      <c r="BI147" s="355">
        <v>8.7455000000000005E-2</v>
      </c>
      <c r="BJ147" s="624">
        <v>41745</v>
      </c>
      <c r="BK147" s="355">
        <v>3.1029999999999999E-2</v>
      </c>
    </row>
    <row r="148" spans="3:63" x14ac:dyDescent="0.15">
      <c r="C148" s="624"/>
      <c r="D148" s="355">
        <v>3.6060000000000002E-2</v>
      </c>
      <c r="AV148" s="624">
        <v>41752</v>
      </c>
      <c r="AW148" s="355">
        <v>0.4496</v>
      </c>
      <c r="AX148" s="624">
        <v>41746</v>
      </c>
      <c r="AY148" s="355">
        <v>2.818E-2</v>
      </c>
      <c r="AZ148" s="624">
        <v>41746</v>
      </c>
      <c r="BA148" s="355">
        <v>1.2E-2</v>
      </c>
      <c r="BB148" s="624">
        <v>41746</v>
      </c>
      <c r="BC148" s="355">
        <v>0.33029999999999998</v>
      </c>
      <c r="BD148" s="624">
        <v>41746</v>
      </c>
      <c r="BE148" s="355">
        <v>9.6280000000000004E-2</v>
      </c>
      <c r="BF148" s="624">
        <v>41747</v>
      </c>
      <c r="BG148" s="355">
        <v>1.6562E-2</v>
      </c>
      <c r="BH148" s="624">
        <v>41746</v>
      </c>
      <c r="BI148" s="355">
        <v>8.7515999999999997E-2</v>
      </c>
      <c r="BJ148" s="624">
        <v>41746</v>
      </c>
      <c r="BK148" s="355">
        <v>3.1060999999999998E-2</v>
      </c>
    </row>
    <row r="149" spans="3:63" x14ac:dyDescent="0.15">
      <c r="C149" s="624"/>
      <c r="D149" s="355">
        <v>3.6089999999999997E-2</v>
      </c>
      <c r="AV149" s="624">
        <v>41753</v>
      </c>
      <c r="AW149" s="355">
        <v>0.45179999999999998</v>
      </c>
      <c r="AX149" s="624">
        <v>41747</v>
      </c>
      <c r="AY149" s="355">
        <v>2.809E-2</v>
      </c>
      <c r="AZ149" s="624">
        <v>41747</v>
      </c>
      <c r="BA149" s="355">
        <v>1.2E-2</v>
      </c>
      <c r="BB149" s="624">
        <v>41747</v>
      </c>
      <c r="BC149" s="355">
        <v>0.33050000000000002</v>
      </c>
      <c r="BD149" s="624">
        <v>41747</v>
      </c>
      <c r="BE149" s="355">
        <v>9.6280000000000004E-2</v>
      </c>
      <c r="BF149" s="624">
        <v>41750</v>
      </c>
      <c r="BG149" s="355">
        <v>1.6528000000000001E-2</v>
      </c>
      <c r="BH149" s="624">
        <v>41747</v>
      </c>
      <c r="BI149" s="355">
        <v>8.7515999999999997E-2</v>
      </c>
      <c r="BJ149" s="624">
        <v>41747</v>
      </c>
      <c r="BK149" s="355">
        <v>3.107E-2</v>
      </c>
    </row>
    <row r="150" spans="3:63" x14ac:dyDescent="0.15">
      <c r="C150" s="624"/>
      <c r="D150" s="355">
        <v>3.6089999999999997E-2</v>
      </c>
      <c r="AV150" s="624">
        <v>41754</v>
      </c>
      <c r="AW150" s="355">
        <v>0.44590000000000002</v>
      </c>
      <c r="AX150" s="624">
        <v>41750</v>
      </c>
      <c r="AY150" s="355">
        <v>2.8000000000000001E-2</v>
      </c>
      <c r="AZ150" s="624">
        <v>41750</v>
      </c>
      <c r="BA150" s="355">
        <v>1.2E-2</v>
      </c>
      <c r="BB150" s="624">
        <v>41750</v>
      </c>
      <c r="BC150" s="355">
        <v>0.3301</v>
      </c>
      <c r="BD150" s="624">
        <v>41750</v>
      </c>
      <c r="BE150" s="355">
        <v>9.6140000000000003E-2</v>
      </c>
      <c r="BF150" s="624">
        <v>41751</v>
      </c>
      <c r="BG150" s="355">
        <v>1.6416E-2</v>
      </c>
      <c r="BH150" s="624">
        <v>41750</v>
      </c>
      <c r="BI150" s="355">
        <v>8.7355000000000002E-2</v>
      </c>
      <c r="BJ150" s="624">
        <v>41750</v>
      </c>
      <c r="BK150" s="355">
        <v>3.1019999999999999E-2</v>
      </c>
    </row>
    <row r="151" spans="3:63" x14ac:dyDescent="0.15">
      <c r="C151" s="624"/>
      <c r="D151" s="355">
        <v>3.603E-2</v>
      </c>
      <c r="AV151" s="624">
        <v>41757</v>
      </c>
      <c r="AW151" s="355">
        <v>0.44969999999999999</v>
      </c>
      <c r="AX151" s="624">
        <v>41751</v>
      </c>
      <c r="AY151" s="355">
        <v>2.8060000000000002E-2</v>
      </c>
      <c r="AZ151" s="624">
        <v>41751</v>
      </c>
      <c r="BA151" s="355">
        <v>1.1900000000000001E-2</v>
      </c>
      <c r="BB151" s="624">
        <v>41751</v>
      </c>
      <c r="BC151" s="355">
        <v>0.32950000000000002</v>
      </c>
      <c r="BD151" s="624">
        <v>41751</v>
      </c>
      <c r="BE151" s="355">
        <v>9.6170000000000005E-2</v>
      </c>
      <c r="BF151" s="624">
        <v>41752</v>
      </c>
      <c r="BG151" s="355">
        <v>1.6355000000000001E-2</v>
      </c>
      <c r="BH151" s="624">
        <v>41751</v>
      </c>
      <c r="BI151" s="355">
        <v>8.6805999999999994E-2</v>
      </c>
      <c r="BJ151" s="624">
        <v>41751</v>
      </c>
      <c r="BK151" s="355">
        <v>3.0931E-2</v>
      </c>
    </row>
    <row r="152" spans="3:63" x14ac:dyDescent="0.15">
      <c r="C152" s="624"/>
      <c r="D152" s="355">
        <v>3.5990000000000001E-2</v>
      </c>
      <c r="AV152" s="624">
        <v>41758</v>
      </c>
      <c r="AW152" s="355">
        <v>0.4476</v>
      </c>
      <c r="AX152" s="624">
        <v>41752</v>
      </c>
      <c r="AY152" s="355">
        <v>2.8029999999999999E-2</v>
      </c>
      <c r="AZ152" s="624">
        <v>41752</v>
      </c>
      <c r="BA152" s="355">
        <v>1.2E-2</v>
      </c>
      <c r="BB152" s="624">
        <v>41752</v>
      </c>
      <c r="BC152" s="355">
        <v>0.32990000000000003</v>
      </c>
      <c r="BD152" s="624">
        <v>41752</v>
      </c>
      <c r="BE152" s="355">
        <v>9.6180000000000002E-2</v>
      </c>
      <c r="BF152" s="624">
        <v>41753</v>
      </c>
      <c r="BG152" s="355">
        <v>1.6362999999999999E-2</v>
      </c>
      <c r="BH152" s="624">
        <v>41752</v>
      </c>
      <c r="BI152" s="355">
        <v>8.6002999999999996E-2</v>
      </c>
      <c r="BJ152" s="624">
        <v>41752</v>
      </c>
      <c r="BK152" s="355">
        <v>3.0914000000000001E-2</v>
      </c>
    </row>
    <row r="153" spans="3:63" x14ac:dyDescent="0.15">
      <c r="C153" s="624"/>
      <c r="D153" s="355">
        <v>3.6060000000000002E-2</v>
      </c>
      <c r="AV153" s="624">
        <v>41759</v>
      </c>
      <c r="AW153" s="355">
        <v>0.44869999999999999</v>
      </c>
      <c r="AX153" s="624">
        <v>41753</v>
      </c>
      <c r="AY153" s="355">
        <v>2.7949999999999999E-2</v>
      </c>
      <c r="AZ153" s="624">
        <v>41753</v>
      </c>
      <c r="BA153" s="355">
        <v>1.2E-2</v>
      </c>
      <c r="BB153" s="624">
        <v>41753</v>
      </c>
      <c r="BC153" s="355">
        <v>0.3296</v>
      </c>
      <c r="BD153" s="624">
        <v>41753</v>
      </c>
      <c r="BE153" s="355">
        <v>9.6329999999999999E-2</v>
      </c>
      <c r="BF153" s="624">
        <v>41754</v>
      </c>
      <c r="BG153" s="355">
        <v>1.6483000000000001E-2</v>
      </c>
      <c r="BH153" s="624">
        <v>41753</v>
      </c>
      <c r="BI153" s="355">
        <v>8.6188000000000001E-2</v>
      </c>
      <c r="BJ153" s="624">
        <v>41753</v>
      </c>
      <c r="BK153" s="355">
        <v>3.0869000000000001E-2</v>
      </c>
    </row>
    <row r="154" spans="3:63" x14ac:dyDescent="0.15">
      <c r="C154" s="624"/>
      <c r="D154" s="355">
        <v>3.5959999999999999E-2</v>
      </c>
      <c r="AV154" s="624">
        <v>41760</v>
      </c>
      <c r="AW154" s="355">
        <v>0.44790000000000002</v>
      </c>
      <c r="AX154" s="624">
        <v>41754</v>
      </c>
      <c r="AY154" s="355">
        <v>2.7779999999999999E-2</v>
      </c>
      <c r="AZ154" s="624">
        <v>41754</v>
      </c>
      <c r="BA154" s="355">
        <v>1.1900000000000001E-2</v>
      </c>
      <c r="BB154" s="624">
        <v>41754</v>
      </c>
      <c r="BC154" s="355">
        <v>0.3286</v>
      </c>
      <c r="BD154" s="624">
        <v>41754</v>
      </c>
      <c r="BE154" s="355">
        <v>9.6019999999999994E-2</v>
      </c>
      <c r="BF154" s="624">
        <v>41757</v>
      </c>
      <c r="BG154" s="355">
        <v>1.6508999999999999E-2</v>
      </c>
      <c r="BH154" s="624">
        <v>41754</v>
      </c>
      <c r="BI154" s="355">
        <v>8.6459999999999995E-2</v>
      </c>
      <c r="BJ154" s="624">
        <v>41754</v>
      </c>
      <c r="BK154" s="355">
        <v>3.1031E-2</v>
      </c>
    </row>
    <row r="155" spans="3:63" x14ac:dyDescent="0.15">
      <c r="C155" s="624"/>
      <c r="D155" s="355">
        <v>3.5979999999999998E-2</v>
      </c>
      <c r="AV155" s="624">
        <v>41761</v>
      </c>
      <c r="AW155" s="355">
        <v>0.4501</v>
      </c>
      <c r="AX155" s="624">
        <v>41757</v>
      </c>
      <c r="AY155" s="355">
        <v>2.7879999999999999E-2</v>
      </c>
      <c r="AZ155" s="624">
        <v>41757</v>
      </c>
      <c r="BA155" s="355">
        <v>1.2E-2</v>
      </c>
      <c r="BB155" s="624">
        <v>41757</v>
      </c>
      <c r="BC155" s="355">
        <v>0.32919999999999999</v>
      </c>
      <c r="BD155" s="624">
        <v>41757</v>
      </c>
      <c r="BE155" s="355">
        <v>9.6689999999999998E-2</v>
      </c>
      <c r="BF155" s="624">
        <v>41758</v>
      </c>
      <c r="BG155" s="355">
        <v>1.6590000000000001E-2</v>
      </c>
      <c r="BH155" s="624">
        <v>41757</v>
      </c>
      <c r="BI155" s="355">
        <v>8.6306999999999995E-2</v>
      </c>
      <c r="BJ155" s="624">
        <v>41757</v>
      </c>
      <c r="BK155" s="355">
        <v>3.1011E-2</v>
      </c>
    </row>
    <row r="156" spans="3:63" x14ac:dyDescent="0.15">
      <c r="C156" s="624"/>
      <c r="D156" s="355">
        <v>3.5999999999999997E-2</v>
      </c>
      <c r="AV156" s="624">
        <v>41764</v>
      </c>
      <c r="AW156" s="355">
        <v>0.44579999999999997</v>
      </c>
      <c r="AX156" s="624">
        <v>41758</v>
      </c>
      <c r="AY156" s="355">
        <v>2.8070000000000001E-2</v>
      </c>
      <c r="AZ156" s="624">
        <v>41758</v>
      </c>
      <c r="BA156" s="355">
        <v>1.1900000000000001E-2</v>
      </c>
      <c r="BB156" s="624">
        <v>41758</v>
      </c>
      <c r="BC156" s="355">
        <v>0.32929999999999998</v>
      </c>
      <c r="BD156" s="624">
        <v>41758</v>
      </c>
      <c r="BE156" s="355">
        <v>9.7040000000000001E-2</v>
      </c>
      <c r="BF156" s="624">
        <v>41759</v>
      </c>
      <c r="BG156" s="355">
        <v>1.6580999999999999E-2</v>
      </c>
      <c r="BH156" s="624">
        <v>41758</v>
      </c>
      <c r="BI156" s="355">
        <v>8.6580000000000004E-2</v>
      </c>
      <c r="BJ156" s="624">
        <v>41758</v>
      </c>
      <c r="BK156" s="355">
        <v>3.1008000000000001E-2</v>
      </c>
    </row>
    <row r="157" spans="3:63" x14ac:dyDescent="0.15">
      <c r="C157" s="624"/>
      <c r="D157" s="355">
        <v>3.5929999999999997E-2</v>
      </c>
      <c r="AV157" s="624">
        <v>41765</v>
      </c>
      <c r="AW157" s="355">
        <v>0.44890000000000002</v>
      </c>
      <c r="AX157" s="624">
        <v>41759</v>
      </c>
      <c r="AY157" s="355">
        <v>2.8070000000000001E-2</v>
      </c>
      <c r="AZ157" s="624">
        <v>41759</v>
      </c>
      <c r="BA157" s="355">
        <v>1.2E-2</v>
      </c>
      <c r="BB157" s="624">
        <v>41759</v>
      </c>
      <c r="BC157" s="355">
        <v>0.32990000000000003</v>
      </c>
      <c r="BD157" s="624">
        <v>41759</v>
      </c>
      <c r="BE157" s="355">
        <v>9.6799999999999997E-2</v>
      </c>
      <c r="BF157" s="624">
        <v>41760</v>
      </c>
      <c r="BG157" s="355">
        <v>1.6625000000000001E-2</v>
      </c>
      <c r="BH157" s="624">
        <v>41759</v>
      </c>
      <c r="BI157" s="355">
        <v>8.6457000000000006E-2</v>
      </c>
      <c r="BJ157" s="624">
        <v>41759</v>
      </c>
      <c r="BK157" s="355">
        <v>3.0880999999999999E-2</v>
      </c>
    </row>
    <row r="158" spans="3:63" x14ac:dyDescent="0.15">
      <c r="C158" s="624"/>
      <c r="D158" s="355">
        <v>3.5990000000000001E-2</v>
      </c>
      <c r="AV158" s="624">
        <v>41766</v>
      </c>
      <c r="AW158" s="355">
        <v>0.45100000000000001</v>
      </c>
      <c r="AX158" s="624">
        <v>41760</v>
      </c>
      <c r="AY158" s="355">
        <v>2.809E-2</v>
      </c>
      <c r="AZ158" s="624">
        <v>41760</v>
      </c>
      <c r="BA158" s="355">
        <v>1.2E-2</v>
      </c>
      <c r="BB158" s="624">
        <v>41760</v>
      </c>
      <c r="BC158" s="355">
        <v>0.33050000000000002</v>
      </c>
      <c r="BD158" s="624">
        <v>41760</v>
      </c>
      <c r="BE158" s="355">
        <v>9.6750000000000003E-2</v>
      </c>
      <c r="BF158" s="624">
        <v>41761</v>
      </c>
      <c r="BG158" s="355">
        <v>1.6653999999999999E-2</v>
      </c>
      <c r="BH158" s="624">
        <v>41760</v>
      </c>
      <c r="BI158" s="355">
        <v>8.6494000000000001E-2</v>
      </c>
      <c r="BJ158" s="624">
        <v>41760</v>
      </c>
      <c r="BK158" s="355">
        <v>3.0894999999999999E-2</v>
      </c>
    </row>
    <row r="159" spans="3:63" x14ac:dyDescent="0.15">
      <c r="C159" s="624"/>
      <c r="D159" s="355">
        <v>3.5970000000000002E-2</v>
      </c>
      <c r="AV159" s="624">
        <v>41767</v>
      </c>
      <c r="AW159" s="355">
        <v>0.4516</v>
      </c>
      <c r="AX159" s="624">
        <v>41761</v>
      </c>
      <c r="AY159" s="355">
        <v>2.7910000000000001E-2</v>
      </c>
      <c r="AZ159" s="624">
        <v>41761</v>
      </c>
      <c r="BA159" s="355">
        <v>1.2E-2</v>
      </c>
      <c r="BB159" s="624">
        <v>41761</v>
      </c>
      <c r="BC159" s="355">
        <v>0.32979999999999998</v>
      </c>
      <c r="BD159" s="624">
        <v>41761</v>
      </c>
      <c r="BE159" s="355">
        <v>9.7129999999999994E-2</v>
      </c>
      <c r="BF159" s="624">
        <v>41764</v>
      </c>
      <c r="BG159" s="355">
        <v>1.6636999999999999E-2</v>
      </c>
      <c r="BH159" s="624">
        <v>41761</v>
      </c>
      <c r="BI159" s="355">
        <v>8.6693000000000006E-2</v>
      </c>
      <c r="BJ159" s="624">
        <v>41761</v>
      </c>
      <c r="BK159" s="355">
        <v>3.0863000000000002E-2</v>
      </c>
    </row>
    <row r="160" spans="3:63" x14ac:dyDescent="0.15">
      <c r="C160" s="624"/>
      <c r="D160" s="355">
        <v>3.5950000000000003E-2</v>
      </c>
      <c r="AV160" s="624">
        <v>41768</v>
      </c>
      <c r="AW160" s="355">
        <v>0.45179999999999998</v>
      </c>
      <c r="AX160" s="624">
        <v>41764</v>
      </c>
      <c r="AY160" s="355">
        <v>2.7990000000000001E-2</v>
      </c>
      <c r="AZ160" s="624">
        <v>41764</v>
      </c>
      <c r="BA160" s="355">
        <v>1.2E-2</v>
      </c>
      <c r="BB160" s="624">
        <v>41764</v>
      </c>
      <c r="BC160" s="355">
        <v>0.33</v>
      </c>
      <c r="BD160" s="624">
        <v>41764</v>
      </c>
      <c r="BE160" s="355">
        <v>9.7290000000000001E-2</v>
      </c>
      <c r="BF160" s="624">
        <v>41765</v>
      </c>
      <c r="BG160" s="355">
        <v>1.6662E-2</v>
      </c>
      <c r="BH160" s="624">
        <v>41764</v>
      </c>
      <c r="BI160" s="355">
        <v>8.6787000000000003E-2</v>
      </c>
      <c r="BJ160" s="624">
        <v>41764</v>
      </c>
      <c r="BK160" s="355">
        <v>3.0911999999999999E-2</v>
      </c>
    </row>
    <row r="161" spans="3:63" x14ac:dyDescent="0.15">
      <c r="C161" s="624"/>
      <c r="D161" s="355">
        <v>3.5950000000000003E-2</v>
      </c>
      <c r="AV161" s="624">
        <v>41771</v>
      </c>
      <c r="AW161" s="355">
        <v>0.45140000000000002</v>
      </c>
      <c r="AX161" s="624">
        <v>41765</v>
      </c>
      <c r="AY161" s="355">
        <v>2.8219999999999999E-2</v>
      </c>
      <c r="AZ161" s="624">
        <v>41765</v>
      </c>
      <c r="BA161" s="355">
        <v>1.21E-2</v>
      </c>
      <c r="BB161" s="624">
        <v>41765</v>
      </c>
      <c r="BC161" s="355">
        <v>0.33169999999999999</v>
      </c>
      <c r="BD161" s="624">
        <v>41765</v>
      </c>
      <c r="BE161" s="355">
        <v>9.7479999999999997E-2</v>
      </c>
      <c r="BF161" s="624">
        <v>41766</v>
      </c>
      <c r="BG161" s="355">
        <v>1.6695000000000002E-2</v>
      </c>
      <c r="BH161" s="624">
        <v>41765</v>
      </c>
      <c r="BI161" s="355">
        <v>8.6881E-2</v>
      </c>
      <c r="BJ161" s="624">
        <v>41765</v>
      </c>
      <c r="BK161" s="355">
        <v>3.091E-2</v>
      </c>
    </row>
    <row r="162" spans="3:63" x14ac:dyDescent="0.15">
      <c r="C162" s="624"/>
      <c r="D162" s="355">
        <v>3.5950000000000003E-2</v>
      </c>
      <c r="AV162" s="624">
        <v>41772</v>
      </c>
      <c r="AW162" s="355">
        <v>0.45150000000000001</v>
      </c>
      <c r="AX162" s="624">
        <v>41766</v>
      </c>
      <c r="AY162" s="355">
        <v>2.8629999999999999E-2</v>
      </c>
      <c r="AZ162" s="624">
        <v>41766</v>
      </c>
      <c r="BA162" s="355">
        <v>1.2E-2</v>
      </c>
      <c r="BB162" s="624">
        <v>41766</v>
      </c>
      <c r="BC162" s="355">
        <v>0.33210000000000001</v>
      </c>
      <c r="BD162" s="624">
        <v>41766</v>
      </c>
      <c r="BE162" s="355">
        <v>9.7769999999999996E-2</v>
      </c>
      <c r="BF162" s="624">
        <v>41767</v>
      </c>
      <c r="BG162" s="355">
        <v>1.6684999999999998E-2</v>
      </c>
      <c r="BH162" s="624">
        <v>41766</v>
      </c>
      <c r="BI162" s="355">
        <v>8.6524000000000004E-2</v>
      </c>
      <c r="BJ162" s="624">
        <v>41766</v>
      </c>
      <c r="BK162" s="355">
        <v>3.0880999999999999E-2</v>
      </c>
    </row>
    <row r="163" spans="3:63" x14ac:dyDescent="0.15">
      <c r="C163" s="624"/>
      <c r="D163" s="355">
        <v>3.5909999999999997E-2</v>
      </c>
      <c r="AV163" s="624">
        <v>41773</v>
      </c>
      <c r="AW163" s="355">
        <v>0.4541</v>
      </c>
      <c r="AX163" s="624">
        <v>41767</v>
      </c>
      <c r="AY163" s="355">
        <v>2.852E-2</v>
      </c>
      <c r="AZ163" s="624">
        <v>41767</v>
      </c>
      <c r="BA163" s="355">
        <v>1.2E-2</v>
      </c>
      <c r="BB163" s="624">
        <v>41767</v>
      </c>
      <c r="BC163" s="355">
        <v>0.33119999999999999</v>
      </c>
      <c r="BD163" s="624">
        <v>41767</v>
      </c>
      <c r="BE163" s="355">
        <v>9.7790000000000002E-2</v>
      </c>
      <c r="BF163" s="624">
        <v>41768</v>
      </c>
      <c r="BG163" s="355">
        <v>1.6711E-2</v>
      </c>
      <c r="BH163" s="624">
        <v>41767</v>
      </c>
      <c r="BI163" s="355">
        <v>8.6560999999999999E-2</v>
      </c>
      <c r="BJ163" s="624">
        <v>41767</v>
      </c>
      <c r="BK163" s="355">
        <v>3.0778E-2</v>
      </c>
    </row>
    <row r="164" spans="3:63" x14ac:dyDescent="0.15">
      <c r="C164" s="624"/>
      <c r="D164" s="355">
        <v>3.5860000000000003E-2</v>
      </c>
      <c r="AV164" s="624">
        <v>41774</v>
      </c>
      <c r="AW164" s="355">
        <v>0.45069999999999999</v>
      </c>
      <c r="AX164" s="624">
        <v>41768</v>
      </c>
      <c r="AY164" s="355">
        <v>2.8400000000000002E-2</v>
      </c>
      <c r="AZ164" s="624">
        <v>41768</v>
      </c>
      <c r="BA164" s="355">
        <v>1.1900000000000001E-2</v>
      </c>
      <c r="BB164" s="624">
        <v>41768</v>
      </c>
      <c r="BC164" s="355">
        <v>0.3291</v>
      </c>
      <c r="BD164" s="624">
        <v>41768</v>
      </c>
      <c r="BE164" s="355">
        <v>9.7460000000000005E-2</v>
      </c>
      <c r="BF164" s="624">
        <v>41771</v>
      </c>
      <c r="BG164" s="355">
        <v>1.6788000000000001E-2</v>
      </c>
      <c r="BH164" s="624">
        <v>41768</v>
      </c>
      <c r="BI164" s="355">
        <v>8.6693000000000006E-2</v>
      </c>
      <c r="BJ164" s="624">
        <v>41768</v>
      </c>
      <c r="BK164" s="355">
        <v>3.0648999999999999E-2</v>
      </c>
    </row>
    <row r="165" spans="3:63" x14ac:dyDescent="0.15">
      <c r="C165" s="624"/>
      <c r="D165" s="355">
        <v>3.5779999999999999E-2</v>
      </c>
      <c r="AV165" s="624">
        <v>41775</v>
      </c>
      <c r="AW165" s="355">
        <v>0.4516</v>
      </c>
      <c r="AX165" s="624">
        <v>41771</v>
      </c>
      <c r="AY165" s="355">
        <v>2.8549999999999999E-2</v>
      </c>
      <c r="AZ165" s="624">
        <v>41771</v>
      </c>
      <c r="BA165" s="355">
        <v>1.1900000000000001E-2</v>
      </c>
      <c r="BB165" s="624">
        <v>41771</v>
      </c>
      <c r="BC165" s="355">
        <v>0.32900000000000001</v>
      </c>
      <c r="BD165" s="624">
        <v>41771</v>
      </c>
      <c r="BE165" s="355">
        <v>9.7600000000000006E-2</v>
      </c>
      <c r="BF165" s="624">
        <v>41772</v>
      </c>
      <c r="BG165" s="355">
        <v>1.6816999999999999E-2</v>
      </c>
      <c r="BH165" s="624">
        <v>41771</v>
      </c>
      <c r="BI165" s="355">
        <v>8.6787000000000003E-2</v>
      </c>
      <c r="BJ165" s="624">
        <v>41771</v>
      </c>
      <c r="BK165" s="355">
        <v>3.0665000000000001E-2</v>
      </c>
    </row>
    <row r="166" spans="3:63" x14ac:dyDescent="0.15">
      <c r="C166" s="624"/>
      <c r="D166" s="355">
        <v>3.5700000000000003E-2</v>
      </c>
      <c r="AV166" s="624">
        <v>41778</v>
      </c>
      <c r="AW166" s="355">
        <v>0.45290000000000002</v>
      </c>
      <c r="AX166" s="624">
        <v>41772</v>
      </c>
      <c r="AY166" s="355">
        <v>2.8649999999999998E-2</v>
      </c>
      <c r="AZ166" s="624">
        <v>41772</v>
      </c>
      <c r="BA166" s="355">
        <v>1.1900000000000001E-2</v>
      </c>
      <c r="BB166" s="624">
        <v>41772</v>
      </c>
      <c r="BC166" s="355">
        <v>0.32729999999999998</v>
      </c>
      <c r="BD166" s="624">
        <v>41772</v>
      </c>
      <c r="BE166" s="355">
        <v>9.7780000000000006E-2</v>
      </c>
      <c r="BF166" s="624">
        <v>41773</v>
      </c>
      <c r="BG166" s="355">
        <v>1.6813000000000002E-2</v>
      </c>
      <c r="BH166" s="624">
        <v>41772</v>
      </c>
      <c r="BI166" s="355">
        <v>8.6693000000000006E-2</v>
      </c>
      <c r="BJ166" s="624">
        <v>41772</v>
      </c>
      <c r="BK166" s="355">
        <v>3.0665999999999999E-2</v>
      </c>
    </row>
    <row r="167" spans="3:63" x14ac:dyDescent="0.15">
      <c r="C167" s="624"/>
      <c r="D167" s="355">
        <v>3.5720000000000002E-2</v>
      </c>
      <c r="AV167" s="624">
        <v>41779</v>
      </c>
      <c r="AW167" s="355">
        <v>0.45129999999999998</v>
      </c>
      <c r="AX167" s="624">
        <v>41773</v>
      </c>
      <c r="AY167" s="355">
        <v>2.8850000000000001E-2</v>
      </c>
      <c r="AZ167" s="624">
        <v>41773</v>
      </c>
      <c r="BA167" s="355">
        <v>1.1900000000000001E-2</v>
      </c>
      <c r="BB167" s="624">
        <v>41773</v>
      </c>
      <c r="BC167" s="355">
        <v>0.32729999999999998</v>
      </c>
      <c r="BD167" s="624">
        <v>41773</v>
      </c>
      <c r="BE167" s="355">
        <v>9.7299999999999998E-2</v>
      </c>
      <c r="BF167" s="624">
        <v>41774</v>
      </c>
      <c r="BG167" s="355">
        <v>1.6816999999999999E-2</v>
      </c>
      <c r="BH167" s="624">
        <v>41773</v>
      </c>
      <c r="BI167" s="355">
        <v>8.7335999999999997E-2</v>
      </c>
      <c r="BJ167" s="624">
        <v>41773</v>
      </c>
      <c r="BK167" s="355">
        <v>3.0844E-2</v>
      </c>
    </row>
    <row r="168" spans="3:63" x14ac:dyDescent="0.15">
      <c r="C168" s="624"/>
      <c r="D168" s="355">
        <v>3.5709999999999999E-2</v>
      </c>
      <c r="AV168" s="624">
        <v>41780</v>
      </c>
      <c r="AW168" s="355">
        <v>0.45269999999999999</v>
      </c>
      <c r="AX168" s="624">
        <v>41774</v>
      </c>
      <c r="AY168" s="355">
        <v>2.8760000000000001E-2</v>
      </c>
      <c r="AZ168" s="624">
        <v>41774</v>
      </c>
      <c r="BA168" s="355">
        <v>1.1900000000000001E-2</v>
      </c>
      <c r="BB168" s="624">
        <v>41774</v>
      </c>
      <c r="BC168" s="355">
        <v>0.32700000000000001</v>
      </c>
      <c r="BD168" s="624">
        <v>41774</v>
      </c>
      <c r="BE168" s="355">
        <v>9.7170000000000006E-2</v>
      </c>
      <c r="BF168" s="624">
        <v>41775</v>
      </c>
      <c r="BG168" s="355">
        <v>1.7080999999999999E-2</v>
      </c>
      <c r="BH168" s="624">
        <v>41774</v>
      </c>
      <c r="BI168" s="355">
        <v>8.7335999999999997E-2</v>
      </c>
      <c r="BJ168" s="624">
        <v>41774</v>
      </c>
      <c r="BK168" s="355">
        <v>3.074E-2</v>
      </c>
    </row>
    <row r="169" spans="3:63" x14ac:dyDescent="0.15">
      <c r="C169" s="624"/>
      <c r="D169" s="355">
        <v>3.5749999999999997E-2</v>
      </c>
      <c r="AV169" s="624">
        <v>41781</v>
      </c>
      <c r="AW169" s="355">
        <v>0.45140000000000002</v>
      </c>
      <c r="AX169" s="624">
        <v>41775</v>
      </c>
      <c r="AY169" s="355">
        <v>2.8819999999999998E-2</v>
      </c>
      <c r="AZ169" s="624">
        <v>41775</v>
      </c>
      <c r="BA169" s="355">
        <v>1.1900000000000001E-2</v>
      </c>
      <c r="BB169" s="624">
        <v>41775</v>
      </c>
      <c r="BC169" s="355">
        <v>0.32669999999999999</v>
      </c>
      <c r="BD169" s="624">
        <v>41775</v>
      </c>
      <c r="BE169" s="355">
        <v>9.7670000000000007E-2</v>
      </c>
      <c r="BF169" s="624">
        <v>41778</v>
      </c>
      <c r="BG169" s="355">
        <v>1.7111999999999999E-2</v>
      </c>
      <c r="BH169" s="624">
        <v>41775</v>
      </c>
      <c r="BI169" s="355">
        <v>8.7584999999999996E-2</v>
      </c>
      <c r="BJ169" s="624">
        <v>41775</v>
      </c>
      <c r="BK169" s="355">
        <v>3.0759999999999999E-2</v>
      </c>
    </row>
    <row r="170" spans="3:63" x14ac:dyDescent="0.15">
      <c r="C170" s="624"/>
      <c r="D170" s="355">
        <v>3.5680000000000003E-2</v>
      </c>
      <c r="AV170" s="624">
        <v>41782</v>
      </c>
      <c r="AW170" s="355">
        <v>0.44979999999999998</v>
      </c>
      <c r="AX170" s="624">
        <v>41778</v>
      </c>
      <c r="AY170" s="355">
        <v>2.8920000000000001E-2</v>
      </c>
      <c r="AZ170" s="624">
        <v>41778</v>
      </c>
      <c r="BA170" s="355">
        <v>1.18E-2</v>
      </c>
      <c r="BB170" s="624">
        <v>41778</v>
      </c>
      <c r="BC170" s="355">
        <v>0.32729999999999998</v>
      </c>
      <c r="BD170" s="624">
        <v>41778</v>
      </c>
      <c r="BE170" s="355">
        <v>9.7869999999999999E-2</v>
      </c>
      <c r="BF170" s="624">
        <v>41779</v>
      </c>
      <c r="BG170" s="355">
        <v>1.7056999999999999E-2</v>
      </c>
      <c r="BH170" s="624">
        <v>41778</v>
      </c>
      <c r="BI170" s="355">
        <v>8.7566000000000005E-2</v>
      </c>
      <c r="BJ170" s="624">
        <v>41778</v>
      </c>
      <c r="BK170" s="355">
        <v>3.0780999999999999E-2</v>
      </c>
    </row>
    <row r="171" spans="3:63" x14ac:dyDescent="0.15">
      <c r="C171" s="624"/>
      <c r="D171" s="355">
        <v>3.5659999999999997E-2</v>
      </c>
      <c r="AV171" s="624">
        <v>41785</v>
      </c>
      <c r="AW171" s="355">
        <v>0.44950000000000001</v>
      </c>
      <c r="AX171" s="624">
        <v>41779</v>
      </c>
      <c r="AY171" s="355">
        <v>2.896E-2</v>
      </c>
      <c r="AZ171" s="624">
        <v>41779</v>
      </c>
      <c r="BA171" s="355">
        <v>1.1900000000000001E-2</v>
      </c>
      <c r="BB171" s="624">
        <v>41779</v>
      </c>
      <c r="BC171" s="355">
        <v>0.3271</v>
      </c>
      <c r="BD171" s="624">
        <v>41779</v>
      </c>
      <c r="BE171" s="355">
        <v>9.7540000000000002E-2</v>
      </c>
      <c r="BF171" s="624">
        <v>41780</v>
      </c>
      <c r="BG171" s="355">
        <v>1.7052999999999999E-2</v>
      </c>
      <c r="BH171" s="624">
        <v>41779</v>
      </c>
      <c r="BI171" s="355">
        <v>8.7031999999999998E-2</v>
      </c>
      <c r="BJ171" s="624">
        <v>41779</v>
      </c>
      <c r="BK171" s="355">
        <v>3.0735999999999999E-2</v>
      </c>
    </row>
    <row r="172" spans="3:63" x14ac:dyDescent="0.15">
      <c r="C172" s="624"/>
      <c r="D172" s="355">
        <v>3.5700000000000003E-2</v>
      </c>
      <c r="AV172" s="624">
        <v>41786</v>
      </c>
      <c r="AW172" s="355">
        <v>0.44650000000000001</v>
      </c>
      <c r="AX172" s="624">
        <v>41780</v>
      </c>
      <c r="AY172" s="355">
        <v>2.9170000000000001E-2</v>
      </c>
      <c r="AZ172" s="624">
        <v>41780</v>
      </c>
      <c r="BA172" s="355">
        <v>1.1900000000000001E-2</v>
      </c>
      <c r="BB172" s="624">
        <v>41780</v>
      </c>
      <c r="BC172" s="355">
        <v>0.3276</v>
      </c>
      <c r="BD172" s="624">
        <v>41780</v>
      </c>
      <c r="BE172" s="355">
        <v>9.74E-2</v>
      </c>
      <c r="BF172" s="624">
        <v>41781</v>
      </c>
      <c r="BG172" s="355">
        <v>1.7132999999999999E-2</v>
      </c>
      <c r="BH172" s="624">
        <v>41780</v>
      </c>
      <c r="BI172" s="355">
        <v>8.6861999999999995E-2</v>
      </c>
      <c r="BJ172" s="624">
        <v>41780</v>
      </c>
      <c r="BK172" s="355">
        <v>3.0800999999999999E-2</v>
      </c>
    </row>
    <row r="173" spans="3:63" x14ac:dyDescent="0.15">
      <c r="C173" s="624"/>
      <c r="D173" s="355">
        <v>3.5680000000000003E-2</v>
      </c>
      <c r="AV173" s="624">
        <v>41787</v>
      </c>
      <c r="AW173" s="355">
        <v>0.44769999999999999</v>
      </c>
      <c r="AX173" s="624">
        <v>41781</v>
      </c>
      <c r="AY173" s="355">
        <v>2.9149999999999999E-2</v>
      </c>
      <c r="AZ173" s="624">
        <v>41781</v>
      </c>
      <c r="BA173" s="355">
        <v>1.18E-2</v>
      </c>
      <c r="BB173" s="624">
        <v>41781</v>
      </c>
      <c r="BC173" s="355">
        <v>0.32819999999999999</v>
      </c>
      <c r="BD173" s="624">
        <v>41781</v>
      </c>
      <c r="BE173" s="355">
        <v>9.7619999999999998E-2</v>
      </c>
      <c r="BF173" s="624">
        <v>41782</v>
      </c>
      <c r="BG173" s="355">
        <v>1.7114999999999998E-2</v>
      </c>
      <c r="BH173" s="624">
        <v>41781</v>
      </c>
      <c r="BI173" s="355">
        <v>8.6742E-2</v>
      </c>
      <c r="BJ173" s="624">
        <v>41781</v>
      </c>
      <c r="BK173" s="355">
        <v>3.0696999999999999E-2</v>
      </c>
    </row>
    <row r="174" spans="3:63" x14ac:dyDescent="0.15">
      <c r="C174" s="624"/>
      <c r="D174" s="355">
        <v>3.56E-2</v>
      </c>
      <c r="AV174" s="624">
        <v>41788</v>
      </c>
      <c r="AW174" s="355">
        <v>0.4496</v>
      </c>
      <c r="AX174" s="624">
        <v>41782</v>
      </c>
      <c r="AY174" s="355">
        <v>2.93E-2</v>
      </c>
      <c r="AZ174" s="624">
        <v>41782</v>
      </c>
      <c r="BA174" s="355">
        <v>1.18E-2</v>
      </c>
      <c r="BB174" s="624">
        <v>41782</v>
      </c>
      <c r="BC174" s="355">
        <v>0.3281</v>
      </c>
      <c r="BD174" s="624">
        <v>41782</v>
      </c>
      <c r="BE174" s="355">
        <v>9.7600000000000006E-2</v>
      </c>
      <c r="BF174" s="624">
        <v>41785</v>
      </c>
      <c r="BG174" s="355">
        <v>1.7038000000000001E-2</v>
      </c>
      <c r="BH174" s="624">
        <v>41782</v>
      </c>
      <c r="BI174" s="355">
        <v>8.6096000000000006E-2</v>
      </c>
      <c r="BJ174" s="624">
        <v>41782</v>
      </c>
      <c r="BK174" s="355">
        <v>3.0731000000000001E-2</v>
      </c>
    </row>
    <row r="175" spans="3:63" x14ac:dyDescent="0.15">
      <c r="C175" s="624"/>
      <c r="D175" s="355">
        <v>3.5610000000000003E-2</v>
      </c>
      <c r="AV175" s="624">
        <v>41789</v>
      </c>
      <c r="AW175" s="355">
        <v>0.44619999999999999</v>
      </c>
      <c r="AX175" s="624">
        <v>41785</v>
      </c>
      <c r="AY175" s="355">
        <v>2.9219999999999999E-2</v>
      </c>
      <c r="AZ175" s="624">
        <v>41785</v>
      </c>
      <c r="BA175" s="355">
        <v>1.18E-2</v>
      </c>
      <c r="BB175" s="624">
        <v>41785</v>
      </c>
      <c r="BC175" s="355">
        <v>0.32779999999999998</v>
      </c>
      <c r="BD175" s="624">
        <v>41785</v>
      </c>
      <c r="BE175" s="355">
        <v>9.7689999999999999E-2</v>
      </c>
      <c r="BF175" s="624">
        <v>41786</v>
      </c>
      <c r="BG175" s="355">
        <v>1.6962999999999999E-2</v>
      </c>
      <c r="BH175" s="624">
        <v>41785</v>
      </c>
      <c r="BI175" s="355">
        <v>8.6336999999999997E-2</v>
      </c>
      <c r="BJ175" s="624">
        <v>41785</v>
      </c>
      <c r="BK175" s="355">
        <v>3.0696000000000001E-2</v>
      </c>
    </row>
    <row r="176" spans="3:63" x14ac:dyDescent="0.15">
      <c r="C176" s="624"/>
      <c r="D176" s="355">
        <v>3.5560000000000001E-2</v>
      </c>
      <c r="AV176" s="624">
        <v>41792</v>
      </c>
      <c r="AW176" s="355">
        <v>0.43930000000000002</v>
      </c>
      <c r="AX176" s="624">
        <v>41786</v>
      </c>
      <c r="AY176" s="355">
        <v>2.9049999999999999E-2</v>
      </c>
      <c r="AZ176" s="624">
        <v>41786</v>
      </c>
      <c r="BA176" s="355">
        <v>1.18E-2</v>
      </c>
      <c r="BB176" s="624">
        <v>41786</v>
      </c>
      <c r="BC176" s="355">
        <v>0.32740000000000002</v>
      </c>
      <c r="BD176" s="624">
        <v>41786</v>
      </c>
      <c r="BE176" s="355">
        <v>9.7589999999999996E-2</v>
      </c>
      <c r="BF176" s="624">
        <v>41787</v>
      </c>
      <c r="BG176" s="355">
        <v>1.6975000000000001E-2</v>
      </c>
      <c r="BH176" s="624">
        <v>41786</v>
      </c>
      <c r="BI176" s="355">
        <v>8.6336999999999997E-2</v>
      </c>
      <c r="BJ176" s="624">
        <v>41786</v>
      </c>
      <c r="BK176" s="355">
        <v>3.0658000000000001E-2</v>
      </c>
    </row>
    <row r="177" spans="3:63" x14ac:dyDescent="0.15">
      <c r="C177" s="624"/>
      <c r="D177" s="355">
        <v>3.5409999999999997E-2</v>
      </c>
      <c r="AV177" s="624">
        <v>41793</v>
      </c>
      <c r="AW177" s="355">
        <v>0.43859999999999999</v>
      </c>
      <c r="AX177" s="624">
        <v>41787</v>
      </c>
      <c r="AY177" s="355">
        <v>2.8930000000000001E-2</v>
      </c>
      <c r="AZ177" s="624">
        <v>41787</v>
      </c>
      <c r="BA177" s="355">
        <v>1.18E-2</v>
      </c>
      <c r="BB177" s="624">
        <v>41787</v>
      </c>
      <c r="BC177" s="355">
        <v>0.32740000000000002</v>
      </c>
      <c r="BD177" s="624">
        <v>41787</v>
      </c>
      <c r="BE177" s="355">
        <v>9.776E-2</v>
      </c>
      <c r="BF177" s="624">
        <v>41788</v>
      </c>
      <c r="BG177" s="355">
        <v>1.6971E-2</v>
      </c>
      <c r="BH177" s="624">
        <v>41787</v>
      </c>
      <c r="BI177" s="355">
        <v>8.6169999999999997E-2</v>
      </c>
      <c r="BJ177" s="624">
        <v>41787</v>
      </c>
      <c r="BK177" s="355">
        <v>3.0588000000000001E-2</v>
      </c>
    </row>
    <row r="178" spans="3:63" x14ac:dyDescent="0.15">
      <c r="C178" s="624"/>
      <c r="D178" s="355">
        <v>3.5220000000000001E-2</v>
      </c>
      <c r="AV178" s="624">
        <v>41794</v>
      </c>
      <c r="AW178" s="355">
        <v>0.43830000000000002</v>
      </c>
      <c r="AX178" s="624">
        <v>41788</v>
      </c>
      <c r="AY178" s="355">
        <v>2.8830000000000001E-2</v>
      </c>
      <c r="AZ178" s="624">
        <v>41788</v>
      </c>
      <c r="BA178" s="355">
        <v>1.18E-2</v>
      </c>
      <c r="BB178" s="624">
        <v>41788</v>
      </c>
      <c r="BC178" s="355">
        <v>0.3286</v>
      </c>
      <c r="BD178" s="624">
        <v>41788</v>
      </c>
      <c r="BE178" s="355">
        <v>9.8169999999999993E-2</v>
      </c>
      <c r="BF178" s="624">
        <v>41789</v>
      </c>
      <c r="BG178" s="355">
        <v>1.6861999999999999E-2</v>
      </c>
      <c r="BH178" s="624">
        <v>41788</v>
      </c>
      <c r="BI178" s="355">
        <v>8.6169999999999997E-2</v>
      </c>
      <c r="BJ178" s="624">
        <v>41788</v>
      </c>
      <c r="BK178" s="355">
        <v>3.0484000000000001E-2</v>
      </c>
    </row>
    <row r="179" spans="3:63" x14ac:dyDescent="0.15">
      <c r="C179" s="624"/>
      <c r="D179" s="355">
        <v>3.524E-2</v>
      </c>
      <c r="AV179" s="624">
        <v>41795</v>
      </c>
      <c r="AW179" s="355">
        <v>0.4415</v>
      </c>
      <c r="AX179" s="624">
        <v>41789</v>
      </c>
      <c r="AY179" s="355">
        <v>2.8649999999999998E-2</v>
      </c>
      <c r="AZ179" s="624">
        <v>41789</v>
      </c>
      <c r="BA179" s="355">
        <v>1.18E-2</v>
      </c>
      <c r="BB179" s="624">
        <v>41789</v>
      </c>
      <c r="BC179" s="355">
        <v>0.32900000000000001</v>
      </c>
      <c r="BD179" s="624">
        <v>41789</v>
      </c>
      <c r="BE179" s="355">
        <v>9.7890000000000005E-2</v>
      </c>
      <c r="BF179" s="624">
        <v>41792</v>
      </c>
      <c r="BG179" s="355">
        <v>1.6898E-2</v>
      </c>
      <c r="BH179" s="624">
        <v>41789</v>
      </c>
      <c r="BI179" s="355">
        <v>8.5653000000000007E-2</v>
      </c>
      <c r="BJ179" s="624">
        <v>41789</v>
      </c>
      <c r="BK179" s="355">
        <v>3.0474000000000001E-2</v>
      </c>
    </row>
    <row r="180" spans="3:63" x14ac:dyDescent="0.15">
      <c r="C180" s="624"/>
      <c r="D180" s="355">
        <v>3.524E-2</v>
      </c>
      <c r="AV180" s="624">
        <v>41796</v>
      </c>
      <c r="AW180" s="355">
        <v>0.44479999999999997</v>
      </c>
      <c r="AX180" s="624">
        <v>41792</v>
      </c>
      <c r="AY180" s="355">
        <v>2.8580000000000001E-2</v>
      </c>
      <c r="AZ180" s="624">
        <v>41792</v>
      </c>
      <c r="BA180" s="355">
        <v>1.18E-2</v>
      </c>
      <c r="BB180" s="624">
        <v>41792</v>
      </c>
      <c r="BC180" s="355">
        <v>0.32819999999999999</v>
      </c>
      <c r="BD180" s="624">
        <v>41792</v>
      </c>
      <c r="BE180" s="355">
        <v>9.7589999999999996E-2</v>
      </c>
      <c r="BF180" s="624">
        <v>41793</v>
      </c>
      <c r="BG180" s="355">
        <v>1.686E-2</v>
      </c>
      <c r="BH180" s="624">
        <v>41792</v>
      </c>
      <c r="BI180" s="355">
        <v>8.4998000000000004E-2</v>
      </c>
      <c r="BJ180" s="624">
        <v>41792</v>
      </c>
      <c r="BK180" s="355">
        <v>3.0454999999999999E-2</v>
      </c>
    </row>
    <row r="181" spans="3:63" x14ac:dyDescent="0.15">
      <c r="C181" s="624"/>
      <c r="D181" s="355">
        <v>3.5200000000000002E-2</v>
      </c>
      <c r="AV181" s="624">
        <v>41799</v>
      </c>
      <c r="AW181" s="355">
        <v>0.4486</v>
      </c>
      <c r="AX181" s="624">
        <v>41793</v>
      </c>
      <c r="AY181" s="355">
        <v>2.852E-2</v>
      </c>
      <c r="AZ181" s="624">
        <v>41793</v>
      </c>
      <c r="BA181" s="355">
        <v>1.18E-2</v>
      </c>
      <c r="BB181" s="624">
        <v>41793</v>
      </c>
      <c r="BC181" s="355">
        <v>0.32790000000000002</v>
      </c>
      <c r="BD181" s="624">
        <v>41793</v>
      </c>
      <c r="BE181" s="355">
        <v>9.7710000000000005E-2</v>
      </c>
      <c r="BF181" s="624">
        <v>41794</v>
      </c>
      <c r="BG181" s="355">
        <v>1.6872000000000002E-2</v>
      </c>
      <c r="BH181" s="624">
        <v>41793</v>
      </c>
      <c r="BI181" s="355">
        <v>8.4814000000000001E-2</v>
      </c>
      <c r="BJ181" s="624">
        <v>41793</v>
      </c>
      <c r="BK181" s="355">
        <v>3.0661999999999998E-2</v>
      </c>
    </row>
    <row r="182" spans="3:63" x14ac:dyDescent="0.15">
      <c r="C182" s="624"/>
      <c r="D182" s="355">
        <v>3.5189999999999999E-2</v>
      </c>
      <c r="AV182" s="624">
        <v>41800</v>
      </c>
      <c r="AW182" s="355">
        <v>0.44979999999999998</v>
      </c>
      <c r="AX182" s="624">
        <v>41794</v>
      </c>
      <c r="AY182" s="355">
        <v>2.8559999999999999E-2</v>
      </c>
      <c r="AZ182" s="624">
        <v>41794</v>
      </c>
      <c r="BA182" s="355">
        <v>1.18E-2</v>
      </c>
      <c r="BB182" s="624">
        <v>41794</v>
      </c>
      <c r="BC182" s="355">
        <v>0.32929999999999998</v>
      </c>
      <c r="BD182" s="624">
        <v>41794</v>
      </c>
      <c r="BE182" s="355">
        <v>9.7470000000000001E-2</v>
      </c>
      <c r="BF182" s="624">
        <v>41795</v>
      </c>
      <c r="BG182" s="355">
        <v>1.6934999999999999E-2</v>
      </c>
      <c r="BH182" s="624">
        <v>41794</v>
      </c>
      <c r="BI182" s="355">
        <v>8.4103999999999998E-2</v>
      </c>
      <c r="BJ182" s="624">
        <v>41794</v>
      </c>
      <c r="BK182" s="355">
        <v>3.0609000000000001E-2</v>
      </c>
    </row>
    <row r="183" spans="3:63" x14ac:dyDescent="0.15">
      <c r="C183" s="624"/>
      <c r="D183" s="355">
        <v>3.5249999999999997E-2</v>
      </c>
      <c r="AV183" s="624">
        <v>41801</v>
      </c>
      <c r="AW183" s="355">
        <v>0.44729999999999998</v>
      </c>
      <c r="AX183" s="624">
        <v>41795</v>
      </c>
      <c r="AY183" s="355">
        <v>2.8830000000000001E-2</v>
      </c>
      <c r="AZ183" s="624">
        <v>41795</v>
      </c>
      <c r="BA183" s="355">
        <v>1.18E-2</v>
      </c>
      <c r="BB183" s="624">
        <v>41795</v>
      </c>
      <c r="BC183" s="355">
        <v>0.33050000000000002</v>
      </c>
      <c r="BD183" s="624">
        <v>41795</v>
      </c>
      <c r="BE183" s="355">
        <v>9.8059999999999994E-2</v>
      </c>
      <c r="BF183" s="624">
        <v>41796</v>
      </c>
      <c r="BG183" s="355">
        <v>1.6958000000000001E-2</v>
      </c>
      <c r="BH183" s="624">
        <v>41795</v>
      </c>
      <c r="BI183" s="355">
        <v>8.4317000000000003E-2</v>
      </c>
      <c r="BJ183" s="624">
        <v>41795</v>
      </c>
      <c r="BK183" s="355">
        <v>3.0641999999999999E-2</v>
      </c>
    </row>
    <row r="184" spans="3:63" x14ac:dyDescent="0.15">
      <c r="C184" s="624"/>
      <c r="D184" s="355">
        <v>3.5150000000000001E-2</v>
      </c>
      <c r="AV184" s="624">
        <v>41802</v>
      </c>
      <c r="AW184" s="355">
        <v>0.44729999999999998</v>
      </c>
      <c r="AX184" s="624">
        <v>41796</v>
      </c>
      <c r="AY184" s="355">
        <v>2.9069999999999999E-2</v>
      </c>
      <c r="AZ184" s="624">
        <v>41796</v>
      </c>
      <c r="BA184" s="355">
        <v>1.18E-2</v>
      </c>
      <c r="BB184" s="624">
        <v>41796</v>
      </c>
      <c r="BC184" s="355">
        <v>0.33310000000000001</v>
      </c>
      <c r="BD184" s="624">
        <v>41796</v>
      </c>
      <c r="BE184" s="355">
        <v>9.8049999999999998E-2</v>
      </c>
      <c r="BF184" s="624">
        <v>41799</v>
      </c>
      <c r="BG184" s="355">
        <v>1.6892999999999998E-2</v>
      </c>
      <c r="BH184" s="624">
        <v>41796</v>
      </c>
      <c r="BI184" s="355">
        <v>8.4501999999999994E-2</v>
      </c>
      <c r="BJ184" s="624">
        <v>41796</v>
      </c>
      <c r="BK184" s="355">
        <v>3.0787999999999999E-2</v>
      </c>
    </row>
    <row r="185" spans="3:63" x14ac:dyDescent="0.15">
      <c r="C185" s="624"/>
      <c r="D185" s="355">
        <v>3.5110000000000002E-2</v>
      </c>
      <c r="AV185" s="624">
        <v>41803</v>
      </c>
      <c r="AW185" s="355">
        <v>0.4496</v>
      </c>
      <c r="AX185" s="624">
        <v>41799</v>
      </c>
      <c r="AY185" s="355">
        <v>2.911E-2</v>
      </c>
      <c r="AZ185" s="624">
        <v>41799</v>
      </c>
      <c r="BA185" s="355">
        <v>1.18E-2</v>
      </c>
      <c r="BB185" s="624">
        <v>41799</v>
      </c>
      <c r="BC185" s="355">
        <v>0.33129999999999998</v>
      </c>
      <c r="BD185" s="624">
        <v>41799</v>
      </c>
      <c r="BE185" s="355">
        <v>9.8360000000000003E-2</v>
      </c>
      <c r="BF185" s="624">
        <v>41800</v>
      </c>
      <c r="BG185" s="355">
        <v>1.6896000000000001E-2</v>
      </c>
      <c r="BH185" s="624">
        <v>41799</v>
      </c>
      <c r="BI185" s="355">
        <v>8.4530999999999995E-2</v>
      </c>
      <c r="BJ185" s="624">
        <v>41799</v>
      </c>
      <c r="BK185" s="355">
        <v>3.0842999999999999E-2</v>
      </c>
    </row>
    <row r="186" spans="3:63" x14ac:dyDescent="0.15">
      <c r="C186" s="624"/>
      <c r="D186" s="355">
        <v>3.5099999999999999E-2</v>
      </c>
      <c r="AV186" s="624">
        <v>41806</v>
      </c>
      <c r="AW186" s="355">
        <v>0.44740000000000002</v>
      </c>
      <c r="AX186" s="624">
        <v>41800</v>
      </c>
      <c r="AY186" s="355">
        <v>2.913E-2</v>
      </c>
      <c r="AZ186" s="624">
        <v>41800</v>
      </c>
      <c r="BA186" s="355">
        <v>1.17E-2</v>
      </c>
      <c r="BB186" s="624">
        <v>41800</v>
      </c>
      <c r="BC186" s="355">
        <v>0.32990000000000003</v>
      </c>
      <c r="BD186" s="624">
        <v>41800</v>
      </c>
      <c r="BE186" s="355">
        <v>9.8330000000000001E-2</v>
      </c>
      <c r="BF186" s="624">
        <v>41801</v>
      </c>
      <c r="BG186" s="355">
        <v>1.6837999999999999E-2</v>
      </c>
      <c r="BH186" s="624">
        <v>41800</v>
      </c>
      <c r="BI186" s="355">
        <v>8.4692000000000003E-2</v>
      </c>
      <c r="BJ186" s="624">
        <v>41800</v>
      </c>
      <c r="BK186" s="355">
        <v>3.0797999999999999E-2</v>
      </c>
    </row>
    <row r="187" spans="3:63" x14ac:dyDescent="0.15">
      <c r="C187" s="624"/>
      <c r="D187" s="355">
        <v>3.4970000000000001E-2</v>
      </c>
      <c r="AV187" s="624">
        <v>41807</v>
      </c>
      <c r="AW187" s="355">
        <v>0.44209999999999999</v>
      </c>
      <c r="AX187" s="624">
        <v>41801</v>
      </c>
      <c r="AY187" s="355">
        <v>2.9080000000000002E-2</v>
      </c>
      <c r="AZ187" s="624">
        <v>41801</v>
      </c>
      <c r="BA187" s="355">
        <v>1.17E-2</v>
      </c>
      <c r="BB187" s="624">
        <v>41801</v>
      </c>
      <c r="BC187" s="355">
        <v>0.32940000000000003</v>
      </c>
      <c r="BD187" s="624">
        <v>41801</v>
      </c>
      <c r="BE187" s="355">
        <v>9.8269999999999996E-2</v>
      </c>
      <c r="BF187" s="624">
        <v>41802</v>
      </c>
      <c r="BG187" s="355">
        <v>1.6863E-2</v>
      </c>
      <c r="BH187" s="624">
        <v>41801</v>
      </c>
      <c r="BI187" s="355">
        <v>8.4673999999999999E-2</v>
      </c>
      <c r="BJ187" s="624">
        <v>41801</v>
      </c>
      <c r="BK187" s="355">
        <v>3.0790000000000001E-2</v>
      </c>
    </row>
    <row r="188" spans="3:63" x14ac:dyDescent="0.15">
      <c r="C188" s="624"/>
      <c r="D188" s="355">
        <v>3.5000000000000003E-2</v>
      </c>
      <c r="AV188" s="624">
        <v>41808</v>
      </c>
      <c r="AW188" s="355">
        <v>0.44890000000000002</v>
      </c>
      <c r="AX188" s="624">
        <v>41802</v>
      </c>
      <c r="AY188" s="355">
        <v>2.9090000000000001E-2</v>
      </c>
      <c r="AZ188" s="624">
        <v>41802</v>
      </c>
      <c r="BA188" s="355">
        <v>1.18E-2</v>
      </c>
      <c r="BB188" s="624">
        <v>41802</v>
      </c>
      <c r="BC188" s="355">
        <v>0.32929999999999998</v>
      </c>
      <c r="BD188" s="624">
        <v>41802</v>
      </c>
      <c r="BE188" s="355">
        <v>9.8229999999999998E-2</v>
      </c>
      <c r="BF188" s="624">
        <v>41803</v>
      </c>
      <c r="BG188" s="355">
        <v>1.6747999999999999E-2</v>
      </c>
      <c r="BH188" s="624">
        <v>41802</v>
      </c>
      <c r="BI188" s="355">
        <v>8.4667000000000006E-2</v>
      </c>
      <c r="BJ188" s="624">
        <v>41802</v>
      </c>
      <c r="BK188" s="355">
        <v>3.082E-2</v>
      </c>
    </row>
    <row r="189" spans="3:63" x14ac:dyDescent="0.15">
      <c r="C189" s="624"/>
      <c r="D189" s="355">
        <v>3.5009999999999999E-2</v>
      </c>
      <c r="AV189" s="624">
        <v>41809</v>
      </c>
      <c r="AW189" s="355">
        <v>0.44769999999999999</v>
      </c>
      <c r="AX189" s="624">
        <v>41803</v>
      </c>
      <c r="AY189" s="355">
        <v>2.9069999999999999E-2</v>
      </c>
      <c r="AZ189" s="624">
        <v>41803</v>
      </c>
      <c r="BA189" s="355">
        <v>1.17E-2</v>
      </c>
      <c r="BB189" s="624">
        <v>41803</v>
      </c>
      <c r="BC189" s="355">
        <v>0.32869999999999999</v>
      </c>
      <c r="BD189" s="624">
        <v>41803</v>
      </c>
      <c r="BE189" s="355">
        <v>9.7979999999999998E-2</v>
      </c>
      <c r="BF189" s="624">
        <v>41806</v>
      </c>
      <c r="BG189" s="355">
        <v>1.6605000000000002E-2</v>
      </c>
      <c r="BH189" s="624">
        <v>41803</v>
      </c>
      <c r="BI189" s="355">
        <v>8.4818000000000005E-2</v>
      </c>
      <c r="BJ189" s="624">
        <v>41803</v>
      </c>
      <c r="BK189" s="355">
        <v>3.0883000000000001E-2</v>
      </c>
    </row>
    <row r="190" spans="3:63" x14ac:dyDescent="0.15">
      <c r="C190" s="624"/>
      <c r="D190" s="355">
        <v>3.5060000000000001E-2</v>
      </c>
      <c r="AV190" s="624">
        <v>41810</v>
      </c>
      <c r="AW190" s="355">
        <v>0.44819999999999999</v>
      </c>
      <c r="AX190" s="624">
        <v>41806</v>
      </c>
      <c r="AY190" s="355">
        <v>2.8889999999999999E-2</v>
      </c>
      <c r="AZ190" s="624">
        <v>41806</v>
      </c>
      <c r="BA190" s="355">
        <v>1.18E-2</v>
      </c>
      <c r="BB190" s="624">
        <v>41806</v>
      </c>
      <c r="BC190" s="355">
        <v>0.32779999999999998</v>
      </c>
      <c r="BD190" s="624">
        <v>41806</v>
      </c>
      <c r="BE190" s="355">
        <v>9.8019999999999996E-2</v>
      </c>
      <c r="BF190" s="624">
        <v>41807</v>
      </c>
      <c r="BG190" s="355">
        <v>1.6590000000000001E-2</v>
      </c>
      <c r="BH190" s="624">
        <v>41806</v>
      </c>
      <c r="BI190" s="355">
        <v>8.4601999999999997E-2</v>
      </c>
      <c r="BJ190" s="624">
        <v>41806</v>
      </c>
      <c r="BK190" s="355">
        <v>3.0905999999999999E-2</v>
      </c>
    </row>
    <row r="191" spans="3:63" x14ac:dyDescent="0.15">
      <c r="C191" s="624"/>
      <c r="D191" s="355">
        <v>3.5040000000000002E-2</v>
      </c>
      <c r="AV191" s="624">
        <v>41813</v>
      </c>
      <c r="AW191" s="355">
        <v>0.45100000000000001</v>
      </c>
      <c r="AX191" s="624">
        <v>41807</v>
      </c>
      <c r="AY191" s="355">
        <v>2.8719999999999999E-2</v>
      </c>
      <c r="AZ191" s="624">
        <v>41807</v>
      </c>
      <c r="BA191" s="355">
        <v>1.17E-2</v>
      </c>
      <c r="BB191" s="624">
        <v>41807</v>
      </c>
      <c r="BC191" s="355">
        <v>0.32700000000000001</v>
      </c>
      <c r="BD191" s="624">
        <v>41807</v>
      </c>
      <c r="BE191" s="355">
        <v>9.7820000000000004E-2</v>
      </c>
      <c r="BF191" s="624">
        <v>41808</v>
      </c>
      <c r="BG191" s="355">
        <v>1.6721E-2</v>
      </c>
      <c r="BH191" s="624">
        <v>41807</v>
      </c>
      <c r="BI191" s="355">
        <v>8.4122000000000002E-2</v>
      </c>
      <c r="BJ191" s="624">
        <v>41807</v>
      </c>
      <c r="BK191" s="355">
        <v>3.0772000000000001E-2</v>
      </c>
    </row>
    <row r="192" spans="3:63" x14ac:dyDescent="0.15">
      <c r="C192" s="624"/>
      <c r="D192" s="355">
        <v>3.4970000000000001E-2</v>
      </c>
      <c r="AV192" s="624">
        <v>41814</v>
      </c>
      <c r="AW192" s="355">
        <v>0.4496</v>
      </c>
      <c r="AX192" s="624">
        <v>41808</v>
      </c>
      <c r="AY192" s="355">
        <v>2.9100000000000001E-2</v>
      </c>
      <c r="AZ192" s="624">
        <v>41808</v>
      </c>
      <c r="BA192" s="355">
        <v>1.18E-2</v>
      </c>
      <c r="BB192" s="624">
        <v>41808</v>
      </c>
      <c r="BC192" s="355">
        <v>0.32929999999999998</v>
      </c>
      <c r="BD192" s="624">
        <v>41808</v>
      </c>
      <c r="BE192" s="355">
        <v>9.8199999999999996E-2</v>
      </c>
      <c r="BF192" s="624">
        <v>41809</v>
      </c>
      <c r="BG192" s="355">
        <v>1.6617E-2</v>
      </c>
      <c r="BH192" s="624">
        <v>41808</v>
      </c>
      <c r="BI192" s="355">
        <v>8.3350999999999995E-2</v>
      </c>
      <c r="BJ192" s="624">
        <v>41808</v>
      </c>
      <c r="BK192" s="355">
        <v>3.0845000000000001E-2</v>
      </c>
    </row>
    <row r="193" spans="3:63" x14ac:dyDescent="0.15">
      <c r="C193" s="624"/>
      <c r="D193" s="355">
        <v>3.4970000000000001E-2</v>
      </c>
      <c r="AV193" s="624">
        <v>41815</v>
      </c>
      <c r="AW193" s="355">
        <v>0.45290000000000002</v>
      </c>
      <c r="AX193" s="624">
        <v>41809</v>
      </c>
      <c r="AY193" s="355">
        <v>2.9069999999999999E-2</v>
      </c>
      <c r="AZ193" s="624">
        <v>41809</v>
      </c>
      <c r="BA193" s="355">
        <v>1.18E-2</v>
      </c>
      <c r="BB193" s="624">
        <v>41809</v>
      </c>
      <c r="BC193" s="355">
        <v>0.32790000000000002</v>
      </c>
      <c r="BD193" s="624">
        <v>41809</v>
      </c>
      <c r="BE193" s="355">
        <v>9.8129999999999995E-2</v>
      </c>
      <c r="BF193" s="624">
        <v>41810</v>
      </c>
      <c r="BG193" s="355">
        <v>1.6622000000000001E-2</v>
      </c>
      <c r="BH193" s="624">
        <v>41809</v>
      </c>
      <c r="BI193" s="355">
        <v>8.3793999999999993E-2</v>
      </c>
      <c r="BJ193" s="624">
        <v>41809</v>
      </c>
      <c r="BK193" s="355">
        <v>3.0800000000000001E-2</v>
      </c>
    </row>
    <row r="194" spans="3:63" x14ac:dyDescent="0.15">
      <c r="C194" s="624"/>
      <c r="D194" s="355">
        <v>3.4889999999999997E-2</v>
      </c>
      <c r="AV194" s="624">
        <v>41816</v>
      </c>
      <c r="AW194" s="355">
        <v>0.45490000000000003</v>
      </c>
      <c r="AX194" s="624">
        <v>41810</v>
      </c>
      <c r="AY194" s="355">
        <v>2.903E-2</v>
      </c>
      <c r="AZ194" s="624">
        <v>41810</v>
      </c>
      <c r="BA194" s="355">
        <v>1.18E-2</v>
      </c>
      <c r="BB194" s="624">
        <v>41810</v>
      </c>
      <c r="BC194" s="355">
        <v>0.32619999999999999</v>
      </c>
      <c r="BD194" s="624">
        <v>41810</v>
      </c>
      <c r="BE194" s="355">
        <v>9.8049999999999998E-2</v>
      </c>
      <c r="BF194" s="624">
        <v>41813</v>
      </c>
      <c r="BG194" s="355">
        <v>1.6648E-2</v>
      </c>
      <c r="BH194" s="624">
        <v>41810</v>
      </c>
      <c r="BI194" s="355">
        <v>8.3492999999999998E-2</v>
      </c>
      <c r="BJ194" s="624">
        <v>41810</v>
      </c>
      <c r="BK194" s="355">
        <v>3.0802E-2</v>
      </c>
    </row>
    <row r="195" spans="3:63" x14ac:dyDescent="0.15">
      <c r="C195" s="624"/>
      <c r="D195" s="355">
        <v>3.492E-2</v>
      </c>
      <c r="AV195" s="624">
        <v>41817</v>
      </c>
      <c r="AW195" s="355">
        <v>0.45569999999999999</v>
      </c>
      <c r="AX195" s="624">
        <v>41813</v>
      </c>
      <c r="AY195" s="355">
        <v>2.9360000000000001E-2</v>
      </c>
      <c r="AZ195" s="624">
        <v>41813</v>
      </c>
      <c r="BA195" s="355">
        <v>1.18E-2</v>
      </c>
      <c r="BB195" s="624">
        <v>41813</v>
      </c>
      <c r="BC195" s="355">
        <v>0.32690000000000002</v>
      </c>
      <c r="BD195" s="624">
        <v>41813</v>
      </c>
      <c r="BE195" s="355">
        <v>9.8140000000000005E-2</v>
      </c>
      <c r="BF195" s="624">
        <v>41814</v>
      </c>
      <c r="BG195" s="355">
        <v>1.6615999999999999E-2</v>
      </c>
      <c r="BH195" s="624">
        <v>41813</v>
      </c>
      <c r="BI195" s="355">
        <v>8.3472000000000005E-2</v>
      </c>
      <c r="BJ195" s="624">
        <v>41813</v>
      </c>
      <c r="BK195" s="355">
        <v>3.0828999999999999E-2</v>
      </c>
    </row>
    <row r="196" spans="3:63" x14ac:dyDescent="0.15">
      <c r="C196" s="624"/>
      <c r="D196" s="355">
        <v>3.5009999999999999E-2</v>
      </c>
      <c r="AV196" s="624">
        <v>41820</v>
      </c>
      <c r="AW196" s="355">
        <v>0.45179999999999998</v>
      </c>
      <c r="AX196" s="624">
        <v>41814</v>
      </c>
      <c r="AY196" s="355">
        <v>2.9579999999999999E-2</v>
      </c>
      <c r="AZ196" s="624">
        <v>41814</v>
      </c>
      <c r="BA196" s="355">
        <v>1.18E-2</v>
      </c>
      <c r="BB196" s="624">
        <v>41814</v>
      </c>
      <c r="BC196" s="355">
        <v>0.32769999999999999</v>
      </c>
      <c r="BD196" s="624">
        <v>41814</v>
      </c>
      <c r="BE196" s="355">
        <v>9.8159999999999997E-2</v>
      </c>
      <c r="BF196" s="624">
        <v>41815</v>
      </c>
      <c r="BG196" s="355">
        <v>1.6650999999999999E-2</v>
      </c>
      <c r="BH196" s="624">
        <v>41814</v>
      </c>
      <c r="BI196" s="355">
        <v>8.3409999999999998E-2</v>
      </c>
      <c r="BJ196" s="624">
        <v>41814</v>
      </c>
      <c r="BK196" s="355">
        <v>3.0817000000000001E-2</v>
      </c>
    </row>
    <row r="197" spans="3:63" x14ac:dyDescent="0.15">
      <c r="C197" s="624"/>
      <c r="D197" s="355">
        <v>3.492E-2</v>
      </c>
      <c r="AV197" s="624">
        <v>41821</v>
      </c>
      <c r="AW197" s="355">
        <v>0.45419999999999999</v>
      </c>
      <c r="AX197" s="624">
        <v>41815</v>
      </c>
      <c r="AY197" s="355">
        <v>2.962E-2</v>
      </c>
      <c r="AZ197" s="624">
        <v>41815</v>
      </c>
      <c r="BA197" s="355">
        <v>1.18E-2</v>
      </c>
      <c r="BB197" s="624">
        <v>41815</v>
      </c>
      <c r="BC197" s="355">
        <v>0.32940000000000003</v>
      </c>
      <c r="BD197" s="624">
        <v>41815</v>
      </c>
      <c r="BE197" s="355">
        <v>9.8080000000000001E-2</v>
      </c>
      <c r="BF197" s="624">
        <v>41816</v>
      </c>
      <c r="BG197" s="355">
        <v>1.6618999999999998E-2</v>
      </c>
      <c r="BH197" s="624">
        <v>41815</v>
      </c>
      <c r="BI197" s="355">
        <v>8.2712999999999995E-2</v>
      </c>
      <c r="BJ197" s="624">
        <v>41815</v>
      </c>
      <c r="BK197" s="355">
        <v>3.0817000000000001E-2</v>
      </c>
    </row>
    <row r="198" spans="3:63" x14ac:dyDescent="0.15">
      <c r="C198" s="624"/>
      <c r="D198" s="355">
        <v>3.4869999999999998E-2</v>
      </c>
      <c r="AV198" s="624">
        <v>41822</v>
      </c>
      <c r="AW198" s="355">
        <v>0.45</v>
      </c>
      <c r="AX198" s="624">
        <v>41816</v>
      </c>
      <c r="AY198" s="355">
        <v>2.9690000000000001E-2</v>
      </c>
      <c r="AZ198" s="624">
        <v>41816</v>
      </c>
      <c r="BA198" s="355">
        <v>1.18E-2</v>
      </c>
      <c r="BB198" s="624">
        <v>41816</v>
      </c>
      <c r="BC198" s="355">
        <v>0.32790000000000002</v>
      </c>
      <c r="BD198" s="624">
        <v>41816</v>
      </c>
      <c r="BE198" s="355">
        <v>9.8369999999999999E-2</v>
      </c>
      <c r="BF198" s="624">
        <v>41817</v>
      </c>
      <c r="BG198" s="355">
        <v>1.6669E-2</v>
      </c>
      <c r="BH198" s="624">
        <v>41816</v>
      </c>
      <c r="BI198" s="355">
        <v>8.2651000000000002E-2</v>
      </c>
      <c r="BJ198" s="624">
        <v>41816</v>
      </c>
      <c r="BK198" s="355">
        <v>3.0797000000000001E-2</v>
      </c>
    </row>
    <row r="199" spans="3:63" x14ac:dyDescent="0.15">
      <c r="C199" s="624"/>
      <c r="D199" s="355">
        <v>3.4930000000000003E-2</v>
      </c>
      <c r="AV199" s="624">
        <v>41823</v>
      </c>
      <c r="AW199" s="355">
        <v>0.4521</v>
      </c>
      <c r="AX199" s="624">
        <v>41817</v>
      </c>
      <c r="AY199" s="355">
        <v>2.963E-2</v>
      </c>
      <c r="AZ199" s="624">
        <v>41817</v>
      </c>
      <c r="BA199" s="355">
        <v>1.18E-2</v>
      </c>
      <c r="BB199" s="624">
        <v>41817</v>
      </c>
      <c r="BC199" s="355">
        <v>0.32869999999999999</v>
      </c>
      <c r="BD199" s="624">
        <v>41817</v>
      </c>
      <c r="BE199" s="355">
        <v>9.8619999999999999E-2</v>
      </c>
      <c r="BF199" s="624">
        <v>41820</v>
      </c>
      <c r="BG199" s="355">
        <v>1.6655E-2</v>
      </c>
      <c r="BH199" s="624">
        <v>41817</v>
      </c>
      <c r="BI199" s="355">
        <v>8.3367999999999998E-2</v>
      </c>
      <c r="BJ199" s="624">
        <v>41817</v>
      </c>
      <c r="BK199" s="355">
        <v>3.0810000000000001E-2</v>
      </c>
    </row>
    <row r="200" spans="3:63" x14ac:dyDescent="0.15">
      <c r="C200" s="624"/>
      <c r="D200" s="355">
        <v>3.4889999999999997E-2</v>
      </c>
      <c r="AV200" s="624">
        <v>41824</v>
      </c>
      <c r="AW200" s="355">
        <v>0.45190000000000002</v>
      </c>
      <c r="AX200" s="624">
        <v>41820</v>
      </c>
      <c r="AY200" s="355">
        <v>2.9420000000000002E-2</v>
      </c>
      <c r="AZ200" s="624">
        <v>41820</v>
      </c>
      <c r="BA200" s="355">
        <v>1.18E-2</v>
      </c>
      <c r="BB200" s="624">
        <v>41820</v>
      </c>
      <c r="BC200" s="355">
        <v>0.32929999999999998</v>
      </c>
      <c r="BD200" s="624">
        <v>41820</v>
      </c>
      <c r="BE200" s="355">
        <v>9.8820000000000005E-2</v>
      </c>
      <c r="BF200" s="624">
        <v>41821</v>
      </c>
      <c r="BG200" s="355">
        <v>1.6688000000000001E-2</v>
      </c>
      <c r="BH200" s="624">
        <v>41820</v>
      </c>
      <c r="BI200" s="355">
        <v>8.4281999999999996E-2</v>
      </c>
      <c r="BJ200" s="624">
        <v>41820</v>
      </c>
      <c r="BK200" s="355">
        <v>3.0825999999999999E-2</v>
      </c>
    </row>
    <row r="201" spans="3:63" x14ac:dyDescent="0.15">
      <c r="C201" s="624"/>
      <c r="D201" s="355">
        <v>3.4729999999999997E-2</v>
      </c>
      <c r="AV201" s="624">
        <v>41827</v>
      </c>
      <c r="AW201" s="355">
        <v>0.4501</v>
      </c>
      <c r="AX201" s="624">
        <v>41821</v>
      </c>
      <c r="AY201" s="355">
        <v>2.9139999999999999E-2</v>
      </c>
      <c r="AZ201" s="624">
        <v>41821</v>
      </c>
      <c r="BA201" s="355">
        <v>1.18E-2</v>
      </c>
      <c r="BB201" s="624">
        <v>41821</v>
      </c>
      <c r="BC201" s="355">
        <v>0.32879999999999998</v>
      </c>
      <c r="BD201" s="624">
        <v>41821</v>
      </c>
      <c r="BE201" s="355">
        <v>9.8919999999999994E-2</v>
      </c>
      <c r="BF201" s="624">
        <v>41822</v>
      </c>
      <c r="BG201" s="355">
        <v>1.6788999999999998E-2</v>
      </c>
      <c r="BH201" s="624">
        <v>41821</v>
      </c>
      <c r="BI201" s="355">
        <v>8.4298999999999999E-2</v>
      </c>
      <c r="BJ201" s="624">
        <v>41821</v>
      </c>
      <c r="BK201" s="355">
        <v>3.0870000000000002E-2</v>
      </c>
    </row>
    <row r="202" spans="3:63" x14ac:dyDescent="0.15">
      <c r="C202" s="624"/>
      <c r="D202" s="355">
        <v>3.4689999999999999E-2</v>
      </c>
      <c r="AV202" s="624">
        <v>41828</v>
      </c>
      <c r="AW202" s="355">
        <v>0.45150000000000001</v>
      </c>
      <c r="AX202" s="624">
        <v>41822</v>
      </c>
      <c r="AY202" s="355">
        <v>2.9170000000000001E-2</v>
      </c>
      <c r="AZ202" s="624">
        <v>41822</v>
      </c>
      <c r="BA202" s="355">
        <v>1.18E-2</v>
      </c>
      <c r="BB202" s="624">
        <v>41822</v>
      </c>
      <c r="BC202" s="355">
        <v>0.32950000000000002</v>
      </c>
      <c r="BD202" s="624">
        <v>41822</v>
      </c>
      <c r="BE202" s="355">
        <v>9.9040000000000003E-2</v>
      </c>
      <c r="BF202" s="624">
        <v>41823</v>
      </c>
      <c r="BG202" s="355">
        <v>1.6791E-2</v>
      </c>
      <c r="BH202" s="624">
        <v>41822</v>
      </c>
      <c r="BI202" s="355">
        <v>8.4069000000000005E-2</v>
      </c>
      <c r="BJ202" s="624">
        <v>41822</v>
      </c>
      <c r="BK202" s="355">
        <v>3.0887999999999999E-2</v>
      </c>
    </row>
    <row r="203" spans="3:63" x14ac:dyDescent="0.15">
      <c r="C203" s="624"/>
      <c r="D203" s="355">
        <v>3.4689999999999999E-2</v>
      </c>
      <c r="AV203" s="624">
        <v>41829</v>
      </c>
      <c r="AW203" s="355">
        <v>0.45150000000000001</v>
      </c>
      <c r="AX203" s="624">
        <v>41823</v>
      </c>
      <c r="AY203" s="355">
        <v>2.9170000000000001E-2</v>
      </c>
      <c r="AZ203" s="624">
        <v>41823</v>
      </c>
      <c r="BA203" s="355">
        <v>1.17E-2</v>
      </c>
      <c r="BB203" s="624">
        <v>41823</v>
      </c>
      <c r="BC203" s="355">
        <v>0.3286</v>
      </c>
      <c r="BD203" s="624">
        <v>41823</v>
      </c>
      <c r="BE203" s="355">
        <v>9.9070000000000005E-2</v>
      </c>
      <c r="BF203" s="624">
        <v>41824</v>
      </c>
      <c r="BG203" s="355">
        <v>1.6729000000000001E-2</v>
      </c>
      <c r="BH203" s="624">
        <v>41823</v>
      </c>
      <c r="BI203" s="355">
        <v>8.3892999999999995E-2</v>
      </c>
      <c r="BJ203" s="624">
        <v>41823</v>
      </c>
      <c r="BK203" s="355">
        <v>3.0859000000000001E-2</v>
      </c>
    </row>
    <row r="204" spans="3:63" x14ac:dyDescent="0.15">
      <c r="C204" s="624"/>
      <c r="D204" s="355">
        <v>3.4689999999999999E-2</v>
      </c>
      <c r="AV204" s="624">
        <v>41830</v>
      </c>
      <c r="AW204" s="355">
        <v>0.4506</v>
      </c>
      <c r="AX204" s="624">
        <v>41824</v>
      </c>
      <c r="AY204" s="355">
        <v>2.9069999999999999E-2</v>
      </c>
      <c r="AZ204" s="624">
        <v>41824</v>
      </c>
      <c r="BA204" s="355">
        <v>1.17E-2</v>
      </c>
      <c r="BB204" s="624">
        <v>41824</v>
      </c>
      <c r="BC204" s="355">
        <v>0.32750000000000001</v>
      </c>
      <c r="BD204" s="624">
        <v>41824</v>
      </c>
      <c r="BE204" s="355">
        <v>9.9070000000000005E-2</v>
      </c>
      <c r="BF204" s="624">
        <v>41827</v>
      </c>
      <c r="BG204" s="355">
        <v>1.6670999999999998E-2</v>
      </c>
      <c r="BH204" s="624">
        <v>41824</v>
      </c>
      <c r="BI204" s="355">
        <v>8.4210999999999994E-2</v>
      </c>
      <c r="BJ204" s="624">
        <v>41824</v>
      </c>
      <c r="BK204" s="355">
        <v>3.0886E-2</v>
      </c>
    </row>
    <row r="205" spans="3:63" x14ac:dyDescent="0.15">
      <c r="C205" s="624"/>
      <c r="D205" s="355">
        <v>3.474E-2</v>
      </c>
      <c r="AV205" s="624">
        <v>41831</v>
      </c>
      <c r="AW205" s="355">
        <v>0.4501</v>
      </c>
      <c r="AX205" s="624">
        <v>41827</v>
      </c>
      <c r="AY205" s="355">
        <v>2.9020000000000001E-2</v>
      </c>
      <c r="AZ205" s="624">
        <v>41827</v>
      </c>
      <c r="BA205" s="355">
        <v>1.17E-2</v>
      </c>
      <c r="BB205" s="624">
        <v>41827</v>
      </c>
      <c r="BC205" s="355">
        <v>0.32840000000000003</v>
      </c>
      <c r="BD205" s="624">
        <v>41827</v>
      </c>
      <c r="BE205" s="355">
        <v>9.887E-2</v>
      </c>
      <c r="BF205" s="624">
        <v>41828</v>
      </c>
      <c r="BG205" s="355">
        <v>1.6705000000000001E-2</v>
      </c>
      <c r="BH205" s="624">
        <v>41827</v>
      </c>
      <c r="BI205" s="355">
        <v>8.5580000000000003E-2</v>
      </c>
      <c r="BJ205" s="624">
        <v>41827</v>
      </c>
      <c r="BK205" s="355">
        <v>3.0855E-2</v>
      </c>
    </row>
    <row r="206" spans="3:63" x14ac:dyDescent="0.15">
      <c r="C206" s="624"/>
      <c r="D206" s="355">
        <v>3.483E-2</v>
      </c>
      <c r="AV206" s="624">
        <v>41834</v>
      </c>
      <c r="AW206" s="355">
        <v>0.45179999999999998</v>
      </c>
      <c r="AX206" s="624">
        <v>41828</v>
      </c>
      <c r="AY206" s="355">
        <v>2.92E-2</v>
      </c>
      <c r="AZ206" s="624">
        <v>41828</v>
      </c>
      <c r="BA206" s="355">
        <v>1.18E-2</v>
      </c>
      <c r="BB206" s="624">
        <v>41828</v>
      </c>
      <c r="BC206" s="355">
        <v>0.32990000000000003</v>
      </c>
      <c r="BD206" s="624">
        <v>41828</v>
      </c>
      <c r="BE206" s="355">
        <v>9.8809999999999995E-2</v>
      </c>
      <c r="BF206" s="624">
        <v>41829</v>
      </c>
      <c r="BG206" s="355">
        <v>1.6760000000000001E-2</v>
      </c>
      <c r="BH206" s="624">
        <v>41828</v>
      </c>
      <c r="BI206" s="355">
        <v>8.6022000000000001E-2</v>
      </c>
      <c r="BJ206" s="624">
        <v>41828</v>
      </c>
      <c r="BK206" s="355">
        <v>3.0880999999999999E-2</v>
      </c>
    </row>
    <row r="207" spans="3:63" x14ac:dyDescent="0.15">
      <c r="C207" s="624"/>
      <c r="D207" s="355">
        <v>3.499E-2</v>
      </c>
      <c r="AV207" s="624">
        <v>41835</v>
      </c>
      <c r="AW207" s="355">
        <v>0.45069999999999999</v>
      </c>
      <c r="AX207" s="624">
        <v>41829</v>
      </c>
      <c r="AY207" s="355">
        <v>2.9479999999999999E-2</v>
      </c>
      <c r="AZ207" s="624">
        <v>41829</v>
      </c>
      <c r="BA207" s="355">
        <v>1.18E-2</v>
      </c>
      <c r="BB207" s="624">
        <v>41829</v>
      </c>
      <c r="BC207" s="355">
        <v>0.33069999999999999</v>
      </c>
      <c r="BD207" s="624">
        <v>41829</v>
      </c>
      <c r="BE207" s="355">
        <v>9.8979999999999999E-2</v>
      </c>
      <c r="BF207" s="624">
        <v>41830</v>
      </c>
      <c r="BG207" s="355">
        <v>1.6646999999999999E-2</v>
      </c>
      <c r="BH207" s="624">
        <v>41829</v>
      </c>
      <c r="BI207" s="355">
        <v>8.6022000000000001E-2</v>
      </c>
      <c r="BJ207" s="624">
        <v>41829</v>
      </c>
      <c r="BK207" s="355">
        <v>3.107E-2</v>
      </c>
    </row>
    <row r="208" spans="3:63" x14ac:dyDescent="0.15">
      <c r="C208" s="624"/>
      <c r="D208" s="355">
        <v>3.4909999999999997E-2</v>
      </c>
      <c r="AV208" s="624">
        <v>41836</v>
      </c>
      <c r="AW208" s="355">
        <v>0.44969999999999999</v>
      </c>
      <c r="AX208" s="624">
        <v>41830</v>
      </c>
      <c r="AY208" s="355">
        <v>2.9409999999999999E-2</v>
      </c>
      <c r="AZ208" s="624">
        <v>41830</v>
      </c>
      <c r="BA208" s="355">
        <v>1.18E-2</v>
      </c>
      <c r="BB208" s="624">
        <v>41830</v>
      </c>
      <c r="BC208" s="355">
        <v>0.32840000000000003</v>
      </c>
      <c r="BD208" s="624">
        <v>41830</v>
      </c>
      <c r="BE208" s="355">
        <v>9.8669999999999994E-2</v>
      </c>
      <c r="BF208" s="624">
        <v>41831</v>
      </c>
      <c r="BG208" s="355">
        <v>1.6631E-2</v>
      </c>
      <c r="BH208" s="624">
        <v>41830</v>
      </c>
      <c r="BI208" s="355">
        <v>8.6336999999999997E-2</v>
      </c>
      <c r="BJ208" s="624">
        <v>41830</v>
      </c>
      <c r="BK208" s="355">
        <v>3.1067999999999998E-2</v>
      </c>
    </row>
    <row r="209" spans="3:63" x14ac:dyDescent="0.15">
      <c r="C209" s="624"/>
      <c r="D209" s="355">
        <v>3.4889999999999997E-2</v>
      </c>
      <c r="AV209" s="624">
        <v>41837</v>
      </c>
      <c r="AW209" s="355">
        <v>0.44390000000000002</v>
      </c>
      <c r="AX209" s="624">
        <v>41831</v>
      </c>
      <c r="AY209" s="355">
        <v>2.9250000000000002E-2</v>
      </c>
      <c r="AZ209" s="624">
        <v>41831</v>
      </c>
      <c r="BA209" s="355">
        <v>1.17E-2</v>
      </c>
      <c r="BB209" s="624">
        <v>41831</v>
      </c>
      <c r="BC209" s="355">
        <v>0.3286</v>
      </c>
      <c r="BD209" s="624">
        <v>41831</v>
      </c>
      <c r="BE209" s="355">
        <v>9.7979999999999998E-2</v>
      </c>
      <c r="BF209" s="624">
        <v>41834</v>
      </c>
      <c r="BG209" s="355">
        <v>1.6643000000000002E-2</v>
      </c>
      <c r="BH209" s="624">
        <v>41831</v>
      </c>
      <c r="BI209" s="355">
        <v>8.6169999999999997E-2</v>
      </c>
      <c r="BJ209" s="624">
        <v>41831</v>
      </c>
      <c r="BK209" s="355">
        <v>3.1113999999999999E-2</v>
      </c>
    </row>
    <row r="210" spans="3:63" x14ac:dyDescent="0.15">
      <c r="C210" s="624"/>
      <c r="D210" s="355">
        <v>3.4860000000000002E-2</v>
      </c>
      <c r="AV210" s="624">
        <v>41838</v>
      </c>
      <c r="AW210" s="355">
        <v>0.4491</v>
      </c>
      <c r="AX210" s="624">
        <v>41834</v>
      </c>
      <c r="AY210" s="355">
        <v>2.911E-2</v>
      </c>
      <c r="AZ210" s="624">
        <v>41834</v>
      </c>
      <c r="BA210" s="355">
        <v>1.17E-2</v>
      </c>
      <c r="BB210" s="624">
        <v>41834</v>
      </c>
      <c r="BC210" s="355">
        <v>0.3291</v>
      </c>
      <c r="BD210" s="624">
        <v>41834</v>
      </c>
      <c r="BE210" s="355">
        <v>9.8019999999999996E-2</v>
      </c>
      <c r="BF210" s="624">
        <v>41835</v>
      </c>
      <c r="BG210" s="355">
        <v>1.6615999999999999E-2</v>
      </c>
      <c r="BH210" s="624">
        <v>41834</v>
      </c>
      <c r="BI210" s="355">
        <v>8.5751999999999995E-2</v>
      </c>
      <c r="BJ210" s="624">
        <v>41834</v>
      </c>
      <c r="BK210" s="355">
        <v>3.1116999999999999E-2</v>
      </c>
    </row>
    <row r="211" spans="3:63" x14ac:dyDescent="0.15">
      <c r="C211" s="624"/>
      <c r="D211" s="355">
        <v>3.4869999999999998E-2</v>
      </c>
      <c r="AV211" s="624">
        <v>41841</v>
      </c>
      <c r="AW211" s="355">
        <v>0.45</v>
      </c>
      <c r="AX211" s="624">
        <v>41835</v>
      </c>
      <c r="AY211" s="355">
        <v>2.9080000000000002E-2</v>
      </c>
      <c r="AZ211" s="624">
        <v>41835</v>
      </c>
      <c r="BA211" s="355">
        <v>1.17E-2</v>
      </c>
      <c r="BB211" s="624">
        <v>41835</v>
      </c>
      <c r="BC211" s="355">
        <v>0.32800000000000001</v>
      </c>
      <c r="BD211" s="624">
        <v>41835</v>
      </c>
      <c r="BE211" s="355">
        <v>9.7320000000000004E-2</v>
      </c>
      <c r="BF211" s="624">
        <v>41836</v>
      </c>
      <c r="BG211" s="355">
        <v>1.6643999999999999E-2</v>
      </c>
      <c r="BH211" s="624">
        <v>41835</v>
      </c>
      <c r="BI211" s="355">
        <v>8.5214999999999999E-2</v>
      </c>
      <c r="BJ211" s="624">
        <v>41835</v>
      </c>
      <c r="BK211" s="355">
        <v>3.1133999999999998E-2</v>
      </c>
    </row>
    <row r="212" spans="3:63" x14ac:dyDescent="0.15">
      <c r="C212" s="624"/>
      <c r="D212" s="355">
        <v>3.4840000000000003E-2</v>
      </c>
      <c r="AV212" s="624">
        <v>41842</v>
      </c>
      <c r="AW212" s="355">
        <v>0.45200000000000001</v>
      </c>
      <c r="AX212" s="624">
        <v>41836</v>
      </c>
      <c r="AY212" s="355">
        <v>2.8899999999999999E-2</v>
      </c>
      <c r="AZ212" s="624">
        <v>41836</v>
      </c>
      <c r="BA212" s="355">
        <v>1.1599999999999999E-2</v>
      </c>
      <c r="BB212" s="624">
        <v>41836</v>
      </c>
      <c r="BC212" s="355">
        <v>0.32719999999999999</v>
      </c>
      <c r="BD212" s="624">
        <v>41836</v>
      </c>
      <c r="BE212" s="355">
        <v>9.7059999999999994E-2</v>
      </c>
      <c r="BF212" s="624">
        <v>41837</v>
      </c>
      <c r="BG212" s="355">
        <v>1.6483999999999999E-2</v>
      </c>
      <c r="BH212" s="624">
        <v>41836</v>
      </c>
      <c r="BI212" s="355">
        <v>8.5470000000000004E-2</v>
      </c>
      <c r="BJ212" s="624">
        <v>41836</v>
      </c>
      <c r="BK212" s="355">
        <v>3.1144999999999999E-2</v>
      </c>
    </row>
    <row r="213" spans="3:63" x14ac:dyDescent="0.15">
      <c r="C213" s="624"/>
      <c r="D213" s="355">
        <v>3.4889999999999997E-2</v>
      </c>
      <c r="AV213" s="624">
        <v>41843</v>
      </c>
      <c r="AW213" s="355">
        <v>0.4506</v>
      </c>
      <c r="AX213" s="624">
        <v>41837</v>
      </c>
      <c r="AY213" s="355">
        <v>2.835E-2</v>
      </c>
      <c r="AZ213" s="624">
        <v>41837</v>
      </c>
      <c r="BA213" s="355">
        <v>1.17E-2</v>
      </c>
      <c r="BB213" s="624">
        <v>41837</v>
      </c>
      <c r="BC213" s="355">
        <v>0.32540000000000002</v>
      </c>
      <c r="BD213" s="624">
        <v>41837</v>
      </c>
      <c r="BE213" s="355">
        <v>9.6759999999999999E-2</v>
      </c>
      <c r="BF213" s="624">
        <v>41838</v>
      </c>
      <c r="BG213" s="355">
        <v>1.6573999999999998E-2</v>
      </c>
      <c r="BH213" s="624">
        <v>41837</v>
      </c>
      <c r="BI213" s="355">
        <v>8.5525000000000004E-2</v>
      </c>
      <c r="BJ213" s="624">
        <v>41837</v>
      </c>
      <c r="BK213" s="355">
        <v>3.1067999999999998E-2</v>
      </c>
    </row>
    <row r="214" spans="3:63" x14ac:dyDescent="0.15">
      <c r="C214" s="624"/>
      <c r="D214" s="355">
        <v>3.4950000000000002E-2</v>
      </c>
      <c r="AV214" s="624">
        <v>41844</v>
      </c>
      <c r="AW214" s="355">
        <v>0.4501</v>
      </c>
      <c r="AX214" s="624">
        <v>41838</v>
      </c>
      <c r="AY214" s="355">
        <v>2.843E-2</v>
      </c>
      <c r="AZ214" s="624">
        <v>41838</v>
      </c>
      <c r="BA214" s="355">
        <v>1.1599999999999999E-2</v>
      </c>
      <c r="BB214" s="624">
        <v>41838</v>
      </c>
      <c r="BC214" s="355">
        <v>0.32600000000000001</v>
      </c>
      <c r="BD214" s="624">
        <v>41838</v>
      </c>
      <c r="BE214" s="355">
        <v>9.7129999999999994E-2</v>
      </c>
      <c r="BF214" s="624">
        <v>41841</v>
      </c>
      <c r="BG214" s="355">
        <v>1.6584999999999999E-2</v>
      </c>
      <c r="BH214" s="624">
        <v>41838</v>
      </c>
      <c r="BI214" s="355">
        <v>8.6077000000000001E-2</v>
      </c>
      <c r="BJ214" s="624">
        <v>41838</v>
      </c>
      <c r="BK214" s="355">
        <v>3.1104E-2</v>
      </c>
    </row>
    <row r="215" spans="3:63" x14ac:dyDescent="0.15">
      <c r="C215" s="624"/>
      <c r="D215" s="355">
        <v>3.4909999999999997E-2</v>
      </c>
      <c r="AV215" s="624">
        <v>41845</v>
      </c>
      <c r="AW215" s="355">
        <v>0.44850000000000001</v>
      </c>
      <c r="AX215" s="624">
        <v>41841</v>
      </c>
      <c r="AY215" s="355">
        <v>2.8420000000000001E-2</v>
      </c>
      <c r="AZ215" s="624">
        <v>41841</v>
      </c>
      <c r="BA215" s="355">
        <v>1.1599999999999999E-2</v>
      </c>
      <c r="BB215" s="624">
        <v>41841</v>
      </c>
      <c r="BC215" s="355">
        <v>0.32619999999999999</v>
      </c>
      <c r="BD215" s="624">
        <v>41841</v>
      </c>
      <c r="BE215" s="355">
        <v>9.7360000000000002E-2</v>
      </c>
      <c r="BF215" s="624">
        <v>41842</v>
      </c>
      <c r="BG215" s="355">
        <v>1.6632999999999998E-2</v>
      </c>
      <c r="BH215" s="624">
        <v>41841</v>
      </c>
      <c r="BI215" s="355">
        <v>8.6468000000000003E-2</v>
      </c>
      <c r="BJ215" s="624">
        <v>41841</v>
      </c>
      <c r="BK215" s="355">
        <v>3.1352999999999999E-2</v>
      </c>
    </row>
    <row r="216" spans="3:63" x14ac:dyDescent="0.15">
      <c r="C216" s="624"/>
      <c r="D216" s="355">
        <v>3.4880000000000001E-2</v>
      </c>
      <c r="AV216" s="624">
        <v>41848</v>
      </c>
      <c r="AW216" s="355">
        <v>0.44979999999999998</v>
      </c>
      <c r="AX216" s="624">
        <v>41842</v>
      </c>
      <c r="AY216" s="355">
        <v>2.86E-2</v>
      </c>
      <c r="AZ216" s="624">
        <v>41842</v>
      </c>
      <c r="BA216" s="355">
        <v>1.15E-2</v>
      </c>
      <c r="BB216" s="624">
        <v>41842</v>
      </c>
      <c r="BC216" s="355">
        <v>0.32540000000000002</v>
      </c>
      <c r="BD216" s="624">
        <v>41842</v>
      </c>
      <c r="BE216" s="355">
        <v>9.7629999999999995E-2</v>
      </c>
      <c r="BF216" s="624">
        <v>41843</v>
      </c>
      <c r="BG216" s="355">
        <v>1.6674999999999999E-2</v>
      </c>
      <c r="BH216" s="624">
        <v>41842</v>
      </c>
      <c r="BI216" s="355">
        <v>8.6280999999999997E-2</v>
      </c>
      <c r="BJ216" s="624">
        <v>41842</v>
      </c>
      <c r="BK216" s="355">
        <v>3.1488000000000002E-2</v>
      </c>
    </row>
    <row r="217" spans="3:63" x14ac:dyDescent="0.15">
      <c r="C217" s="624"/>
      <c r="D217" s="355">
        <v>3.4790000000000001E-2</v>
      </c>
      <c r="AV217" s="624">
        <v>41849</v>
      </c>
      <c r="AW217" s="355">
        <v>0.44829999999999998</v>
      </c>
      <c r="AX217" s="624">
        <v>41843</v>
      </c>
      <c r="AY217" s="355">
        <v>2.8660000000000001E-2</v>
      </c>
      <c r="AZ217" s="624">
        <v>41843</v>
      </c>
      <c r="BA217" s="355">
        <v>1.15E-2</v>
      </c>
      <c r="BB217" s="624">
        <v>41843</v>
      </c>
      <c r="BC217" s="355">
        <v>0.3256</v>
      </c>
      <c r="BD217" s="624">
        <v>41843</v>
      </c>
      <c r="BE217" s="355">
        <v>9.7650000000000001E-2</v>
      </c>
      <c r="BF217" s="624">
        <v>41844</v>
      </c>
      <c r="BG217" s="355">
        <v>1.6645E-2</v>
      </c>
      <c r="BH217" s="624">
        <v>41843</v>
      </c>
      <c r="BI217" s="355">
        <v>8.6881E-2</v>
      </c>
      <c r="BJ217" s="624">
        <v>41843</v>
      </c>
      <c r="BK217" s="355">
        <v>3.1474000000000002E-2</v>
      </c>
    </row>
    <row r="218" spans="3:63" x14ac:dyDescent="0.15">
      <c r="C218" s="624"/>
      <c r="D218" s="355">
        <v>3.4840000000000003E-2</v>
      </c>
      <c r="AV218" s="624">
        <v>41850</v>
      </c>
      <c r="AW218" s="355">
        <v>0.44540000000000002</v>
      </c>
      <c r="AX218" s="624">
        <v>41844</v>
      </c>
      <c r="AY218" s="355">
        <v>2.8510000000000001E-2</v>
      </c>
      <c r="AZ218" s="624">
        <v>41844</v>
      </c>
      <c r="BA218" s="355">
        <v>1.1599999999999999E-2</v>
      </c>
      <c r="BB218" s="624">
        <v>41844</v>
      </c>
      <c r="BC218" s="355">
        <v>0.32529999999999998</v>
      </c>
      <c r="BD218" s="624">
        <v>41844</v>
      </c>
      <c r="BE218" s="355">
        <v>9.7110000000000002E-2</v>
      </c>
      <c r="BF218" s="624">
        <v>41845</v>
      </c>
      <c r="BG218" s="355">
        <v>1.6649000000000001E-2</v>
      </c>
      <c r="BH218" s="624">
        <v>41844</v>
      </c>
      <c r="BI218" s="355">
        <v>8.6468000000000003E-2</v>
      </c>
      <c r="BJ218" s="624">
        <v>41844</v>
      </c>
      <c r="BK218" s="355">
        <v>3.1403E-2</v>
      </c>
    </row>
    <row r="219" spans="3:63" x14ac:dyDescent="0.15">
      <c r="C219" s="624"/>
      <c r="D219" s="355">
        <v>3.4909999999999997E-2</v>
      </c>
      <c r="AV219" s="624">
        <v>41851</v>
      </c>
      <c r="AW219" s="355">
        <v>0.44180000000000003</v>
      </c>
      <c r="AX219" s="624">
        <v>41845</v>
      </c>
      <c r="AY219" s="355">
        <v>2.8469999999999999E-2</v>
      </c>
      <c r="AZ219" s="624">
        <v>41845</v>
      </c>
      <c r="BA219" s="355">
        <v>1.15E-2</v>
      </c>
      <c r="BB219" s="624">
        <v>41845</v>
      </c>
      <c r="BC219" s="355">
        <v>0.32390000000000002</v>
      </c>
      <c r="BD219" s="624">
        <v>41845</v>
      </c>
      <c r="BE219" s="355">
        <v>9.7420000000000007E-2</v>
      </c>
      <c r="BF219" s="624">
        <v>41848</v>
      </c>
      <c r="BG219" s="355">
        <v>1.6643999999999999E-2</v>
      </c>
      <c r="BH219" s="624">
        <v>41845</v>
      </c>
      <c r="BI219" s="355">
        <v>8.6374000000000006E-2</v>
      </c>
      <c r="BJ219" s="624">
        <v>41845</v>
      </c>
      <c r="BK219" s="355">
        <v>3.1397000000000001E-2</v>
      </c>
    </row>
    <row r="220" spans="3:63" x14ac:dyDescent="0.15">
      <c r="C220" s="624"/>
      <c r="D220" s="355">
        <v>3.492E-2</v>
      </c>
      <c r="AV220" s="624">
        <v>41852</v>
      </c>
      <c r="AW220" s="355">
        <v>0.44280000000000003</v>
      </c>
      <c r="AX220" s="624">
        <v>41848</v>
      </c>
      <c r="AY220" s="355">
        <v>2.811E-2</v>
      </c>
      <c r="AZ220" s="624">
        <v>41848</v>
      </c>
      <c r="BA220" s="355">
        <v>1.15E-2</v>
      </c>
      <c r="BB220" s="624">
        <v>41848</v>
      </c>
      <c r="BC220" s="355">
        <v>0.32429999999999998</v>
      </c>
      <c r="BD220" s="624">
        <v>41848</v>
      </c>
      <c r="BE220" s="355">
        <v>9.7460000000000005E-2</v>
      </c>
      <c r="BF220" s="624">
        <v>41849</v>
      </c>
      <c r="BG220" s="355">
        <v>1.6598999999999999E-2</v>
      </c>
      <c r="BH220" s="624">
        <v>41848</v>
      </c>
      <c r="BI220" s="355">
        <v>8.6374000000000006E-2</v>
      </c>
      <c r="BJ220" s="624">
        <v>41848</v>
      </c>
      <c r="BK220" s="355">
        <v>3.1437E-2</v>
      </c>
    </row>
    <row r="221" spans="3:63" x14ac:dyDescent="0.15">
      <c r="C221" s="624"/>
      <c r="D221" s="355">
        <v>3.4970000000000001E-2</v>
      </c>
      <c r="AV221" s="624">
        <v>41855</v>
      </c>
      <c r="AW221" s="355">
        <v>0.44259999999999999</v>
      </c>
      <c r="AX221" s="624">
        <v>41849</v>
      </c>
      <c r="AY221" s="355">
        <v>2.7969999999999998E-2</v>
      </c>
      <c r="AZ221" s="624">
        <v>41849</v>
      </c>
      <c r="BA221" s="355">
        <v>1.15E-2</v>
      </c>
      <c r="BB221" s="624">
        <v>41849</v>
      </c>
      <c r="BC221" s="355">
        <v>0.32290000000000002</v>
      </c>
      <c r="BD221" s="624">
        <v>41849</v>
      </c>
      <c r="BE221" s="355">
        <v>9.7430000000000003E-2</v>
      </c>
      <c r="BF221" s="624">
        <v>41850</v>
      </c>
      <c r="BG221" s="355">
        <v>1.6565E-2</v>
      </c>
      <c r="BH221" s="624">
        <v>41849</v>
      </c>
      <c r="BI221" s="355">
        <v>8.6374000000000006E-2</v>
      </c>
      <c r="BJ221" s="624">
        <v>41849</v>
      </c>
      <c r="BK221" s="355">
        <v>3.1407999999999998E-2</v>
      </c>
    </row>
    <row r="222" spans="3:63" x14ac:dyDescent="0.15">
      <c r="C222" s="624"/>
      <c r="D222" s="355">
        <v>3.4979999999999997E-2</v>
      </c>
      <c r="AV222" s="624">
        <v>41856</v>
      </c>
      <c r="AW222" s="355">
        <v>0.438</v>
      </c>
      <c r="AX222" s="624">
        <v>41850</v>
      </c>
      <c r="AY222" s="355">
        <v>2.811E-2</v>
      </c>
      <c r="AZ222" s="624">
        <v>41850</v>
      </c>
      <c r="BA222" s="355">
        <v>1.15E-2</v>
      </c>
      <c r="BB222" s="624">
        <v>41850</v>
      </c>
      <c r="BC222" s="355">
        <v>0.32229999999999998</v>
      </c>
      <c r="BD222" s="624">
        <v>41850</v>
      </c>
      <c r="BE222" s="355">
        <v>9.7220000000000001E-2</v>
      </c>
      <c r="BF222" s="624">
        <v>41851</v>
      </c>
      <c r="BG222" s="355">
        <v>1.6414000000000002E-2</v>
      </c>
      <c r="BH222" s="624">
        <v>41850</v>
      </c>
      <c r="BI222" s="355">
        <v>8.6374000000000006E-2</v>
      </c>
      <c r="BJ222" s="624">
        <v>41850</v>
      </c>
      <c r="BK222" s="355">
        <v>3.1283999999999999E-2</v>
      </c>
    </row>
    <row r="223" spans="3:63" x14ac:dyDescent="0.15">
      <c r="C223" s="624"/>
      <c r="D223" s="355">
        <v>3.5090000000000003E-2</v>
      </c>
      <c r="AV223" s="624">
        <v>41857</v>
      </c>
      <c r="AW223" s="355">
        <v>0.44</v>
      </c>
      <c r="AX223" s="624">
        <v>41851</v>
      </c>
      <c r="AY223" s="355">
        <v>2.7990000000000001E-2</v>
      </c>
      <c r="AZ223" s="624">
        <v>41851</v>
      </c>
      <c r="BA223" s="355">
        <v>1.15E-2</v>
      </c>
      <c r="BB223" s="624">
        <v>41851</v>
      </c>
      <c r="BC223" s="355">
        <v>0.32050000000000001</v>
      </c>
      <c r="BD223" s="624">
        <v>41851</v>
      </c>
      <c r="BE223" s="355">
        <v>9.6839999999999996E-2</v>
      </c>
      <c r="BF223" s="624">
        <v>41852</v>
      </c>
      <c r="BG223" s="355">
        <v>1.6448999999999998E-2</v>
      </c>
      <c r="BH223" s="624">
        <v>41851</v>
      </c>
      <c r="BI223" s="355">
        <v>8.6374000000000006E-2</v>
      </c>
      <c r="BJ223" s="624">
        <v>41851</v>
      </c>
      <c r="BK223" s="355">
        <v>3.1063E-2</v>
      </c>
    </row>
    <row r="224" spans="3:63" x14ac:dyDescent="0.15">
      <c r="C224" s="624"/>
      <c r="D224" s="355">
        <v>3.5189999999999999E-2</v>
      </c>
      <c r="AV224" s="624">
        <v>41858</v>
      </c>
      <c r="AW224" s="355">
        <v>0.43580000000000002</v>
      </c>
      <c r="AX224" s="624">
        <v>41852</v>
      </c>
      <c r="AY224" s="355">
        <v>2.7969999999999998E-2</v>
      </c>
      <c r="AZ224" s="624">
        <v>41852</v>
      </c>
      <c r="BA224" s="355">
        <v>1.15E-2</v>
      </c>
      <c r="BB224" s="624">
        <v>41852</v>
      </c>
      <c r="BC224" s="355">
        <v>0.32090000000000002</v>
      </c>
      <c r="BD224" s="624">
        <v>41852</v>
      </c>
      <c r="BE224" s="355">
        <v>9.6960000000000005E-2</v>
      </c>
      <c r="BF224" s="624">
        <v>41855</v>
      </c>
      <c r="BG224" s="355">
        <v>1.6419E-2</v>
      </c>
      <c r="BH224" s="624">
        <v>41852</v>
      </c>
      <c r="BI224" s="355">
        <v>8.4567000000000003E-2</v>
      </c>
      <c r="BJ224" s="624">
        <v>41852</v>
      </c>
      <c r="BK224" s="355">
        <v>3.1113999999999999E-2</v>
      </c>
    </row>
    <row r="225" spans="3:63" x14ac:dyDescent="0.15">
      <c r="C225" s="624"/>
      <c r="D225" s="355">
        <v>3.517E-2</v>
      </c>
      <c r="AV225" s="624">
        <v>41859</v>
      </c>
      <c r="AW225" s="355">
        <v>0.43809999999999999</v>
      </c>
      <c r="AX225" s="624">
        <v>41855</v>
      </c>
      <c r="AY225" s="355">
        <v>2.7859999999999999E-2</v>
      </c>
      <c r="AZ225" s="624">
        <v>41855</v>
      </c>
      <c r="BA225" s="355">
        <v>1.15E-2</v>
      </c>
      <c r="BB225" s="624">
        <v>41855</v>
      </c>
      <c r="BC225" s="355">
        <v>0.3216</v>
      </c>
      <c r="BD225" s="624">
        <v>41855</v>
      </c>
      <c r="BE225" s="355">
        <v>9.6799999999999997E-2</v>
      </c>
      <c r="BF225" s="624">
        <v>41856</v>
      </c>
      <c r="BG225" s="355">
        <v>1.6369000000000002E-2</v>
      </c>
      <c r="BH225" s="624">
        <v>41855</v>
      </c>
      <c r="BI225" s="355">
        <v>8.5033999999999998E-2</v>
      </c>
      <c r="BJ225" s="624">
        <v>41855</v>
      </c>
      <c r="BK225" s="355">
        <v>3.1104E-2</v>
      </c>
    </row>
    <row r="226" spans="3:63" x14ac:dyDescent="0.15">
      <c r="C226" s="624"/>
      <c r="D226" s="355">
        <v>3.5209999999999998E-2</v>
      </c>
      <c r="AV226" s="624">
        <v>41862</v>
      </c>
      <c r="AW226" s="355">
        <v>0.43959999999999999</v>
      </c>
      <c r="AX226" s="624">
        <v>41856</v>
      </c>
      <c r="AY226" s="355">
        <v>2.7709999999999999E-2</v>
      </c>
      <c r="AZ226" s="624">
        <v>41856</v>
      </c>
      <c r="BA226" s="355">
        <v>1.14E-2</v>
      </c>
      <c r="BB226" s="624">
        <v>41856</v>
      </c>
      <c r="BC226" s="355">
        <v>0.31940000000000002</v>
      </c>
      <c r="BD226" s="624">
        <v>41856</v>
      </c>
      <c r="BE226" s="355">
        <v>9.6579999999999999E-2</v>
      </c>
      <c r="BF226" s="624">
        <v>41857</v>
      </c>
      <c r="BG226" s="355">
        <v>1.6330999999999998E-2</v>
      </c>
      <c r="BH226" s="624">
        <v>41856</v>
      </c>
      <c r="BI226" s="355">
        <v>8.5415000000000005E-2</v>
      </c>
      <c r="BJ226" s="624">
        <v>41856</v>
      </c>
      <c r="BK226" s="355">
        <v>3.1050000000000001E-2</v>
      </c>
    </row>
    <row r="227" spans="3:63" x14ac:dyDescent="0.15">
      <c r="C227" s="624"/>
      <c r="D227" s="355">
        <v>3.5209999999999998E-2</v>
      </c>
      <c r="AV227" s="624">
        <v>41863</v>
      </c>
      <c r="AW227" s="355">
        <v>0.43980000000000002</v>
      </c>
      <c r="AX227" s="624">
        <v>41857</v>
      </c>
      <c r="AY227" s="355">
        <v>2.7629999999999998E-2</v>
      </c>
      <c r="AZ227" s="624">
        <v>41857</v>
      </c>
      <c r="BA227" s="355">
        <v>1.14E-2</v>
      </c>
      <c r="BB227" s="624">
        <v>41857</v>
      </c>
      <c r="BC227" s="355">
        <v>0.31850000000000001</v>
      </c>
      <c r="BD227" s="624">
        <v>41857</v>
      </c>
      <c r="BE227" s="355">
        <v>9.6729999999999997E-2</v>
      </c>
      <c r="BF227" s="624">
        <v>41858</v>
      </c>
      <c r="BG227" s="355">
        <v>1.626E-2</v>
      </c>
      <c r="BH227" s="624">
        <v>41857</v>
      </c>
      <c r="BI227" s="355">
        <v>8.5214999999999999E-2</v>
      </c>
      <c r="BJ227" s="624">
        <v>41857</v>
      </c>
      <c r="BK227" s="355">
        <v>3.1067999999999998E-2</v>
      </c>
    </row>
    <row r="228" spans="3:63" x14ac:dyDescent="0.15">
      <c r="C228" s="624"/>
      <c r="D228" s="355">
        <v>3.5220000000000001E-2</v>
      </c>
      <c r="AV228" s="624">
        <v>41864</v>
      </c>
      <c r="AW228" s="355">
        <v>0.43840000000000001</v>
      </c>
      <c r="AX228" s="624">
        <v>41858</v>
      </c>
      <c r="AY228" s="355">
        <v>2.7550000000000002E-2</v>
      </c>
      <c r="AZ228" s="624">
        <v>41858</v>
      </c>
      <c r="BA228" s="355">
        <v>1.14E-2</v>
      </c>
      <c r="BB228" s="624">
        <v>41858</v>
      </c>
      <c r="BC228" s="355">
        <v>0.317</v>
      </c>
      <c r="BD228" s="624">
        <v>41858</v>
      </c>
      <c r="BE228" s="355">
        <v>9.6439999999999998E-2</v>
      </c>
      <c r="BF228" s="624">
        <v>41859</v>
      </c>
      <c r="BG228" s="355">
        <v>1.6361000000000001E-2</v>
      </c>
      <c r="BH228" s="624">
        <v>41858</v>
      </c>
      <c r="BI228" s="355">
        <v>8.4735000000000005E-2</v>
      </c>
      <c r="BJ228" s="624">
        <v>41858</v>
      </c>
      <c r="BK228" s="355">
        <v>3.1014E-2</v>
      </c>
    </row>
    <row r="229" spans="3:63" x14ac:dyDescent="0.15">
      <c r="C229" s="624"/>
      <c r="D229" s="355">
        <v>3.5279999999999999E-2</v>
      </c>
      <c r="AV229" s="624">
        <v>41865</v>
      </c>
      <c r="AW229" s="355">
        <v>0.44109999999999999</v>
      </c>
      <c r="AX229" s="624">
        <v>41859</v>
      </c>
      <c r="AY229" s="355">
        <v>2.7650000000000001E-2</v>
      </c>
      <c r="AZ229" s="624">
        <v>41859</v>
      </c>
      <c r="BA229" s="355">
        <v>1.14E-2</v>
      </c>
      <c r="BB229" s="624">
        <v>41859</v>
      </c>
      <c r="BC229" s="355">
        <v>0.31929999999999997</v>
      </c>
      <c r="BD229" s="624">
        <v>41859</v>
      </c>
      <c r="BE229" s="355">
        <v>9.6979999999999997E-2</v>
      </c>
      <c r="BF229" s="624">
        <v>41862</v>
      </c>
      <c r="BG229" s="355">
        <v>1.6358999999999999E-2</v>
      </c>
      <c r="BH229" s="624">
        <v>41859</v>
      </c>
      <c r="BI229" s="355">
        <v>8.4907999999999997E-2</v>
      </c>
      <c r="BJ229" s="624">
        <v>41859</v>
      </c>
      <c r="BK229" s="355">
        <v>3.1137000000000001E-2</v>
      </c>
    </row>
    <row r="230" spans="3:63" x14ac:dyDescent="0.15">
      <c r="C230" s="624"/>
      <c r="D230" s="355">
        <v>3.5270000000000003E-2</v>
      </c>
      <c r="AV230" s="624">
        <v>41866</v>
      </c>
      <c r="AW230" s="355">
        <v>0.44230000000000003</v>
      </c>
      <c r="AX230" s="624">
        <v>41862</v>
      </c>
      <c r="AY230" s="355">
        <v>2.784E-2</v>
      </c>
      <c r="AZ230" s="624">
        <v>41862</v>
      </c>
      <c r="BA230" s="355">
        <v>1.14E-2</v>
      </c>
      <c r="BB230" s="624">
        <v>41862</v>
      </c>
      <c r="BC230" s="355">
        <v>0.31900000000000001</v>
      </c>
      <c r="BD230" s="624">
        <v>41862</v>
      </c>
      <c r="BE230" s="355">
        <v>9.7040000000000001E-2</v>
      </c>
      <c r="BF230" s="624">
        <v>41863</v>
      </c>
      <c r="BG230" s="355">
        <v>1.6327999999999999E-2</v>
      </c>
      <c r="BH230" s="624">
        <v>41862</v>
      </c>
      <c r="BI230" s="355">
        <v>8.5726999999999998E-2</v>
      </c>
      <c r="BJ230" s="624">
        <v>41862</v>
      </c>
      <c r="BK230" s="355">
        <v>3.1171000000000001E-2</v>
      </c>
    </row>
    <row r="231" spans="3:63" x14ac:dyDescent="0.15">
      <c r="C231" s="624"/>
      <c r="D231" s="355">
        <v>3.5209999999999998E-2</v>
      </c>
      <c r="AV231" s="624">
        <v>41869</v>
      </c>
      <c r="AW231" s="355">
        <v>0.44259999999999999</v>
      </c>
      <c r="AX231" s="624">
        <v>41863</v>
      </c>
      <c r="AY231" s="355">
        <v>2.7640000000000001E-2</v>
      </c>
      <c r="AZ231" s="624">
        <v>41863</v>
      </c>
      <c r="BA231" s="355">
        <v>1.14E-2</v>
      </c>
      <c r="BB231" s="624">
        <v>41863</v>
      </c>
      <c r="BC231" s="355">
        <v>0.31830000000000003</v>
      </c>
      <c r="BD231" s="624">
        <v>41863</v>
      </c>
      <c r="BE231" s="355">
        <v>9.733E-2</v>
      </c>
      <c r="BF231" s="624">
        <v>41864</v>
      </c>
      <c r="BG231" s="355">
        <v>1.6362999999999999E-2</v>
      </c>
      <c r="BH231" s="624">
        <v>41863</v>
      </c>
      <c r="BI231" s="355">
        <v>8.5561999999999999E-2</v>
      </c>
      <c r="BJ231" s="624">
        <v>41863</v>
      </c>
      <c r="BK231" s="355">
        <v>3.1158000000000002E-2</v>
      </c>
    </row>
    <row r="232" spans="3:63" x14ac:dyDescent="0.15">
      <c r="C232" s="624"/>
      <c r="D232" s="355">
        <v>3.5139999999999998E-2</v>
      </c>
      <c r="AV232" s="624">
        <v>41870</v>
      </c>
      <c r="AW232" s="355">
        <v>0.44450000000000001</v>
      </c>
      <c r="AX232" s="624">
        <v>41864</v>
      </c>
      <c r="AY232" s="355">
        <v>2.7779999999999999E-2</v>
      </c>
      <c r="AZ232" s="624">
        <v>41864</v>
      </c>
      <c r="BA232" s="355">
        <v>1.14E-2</v>
      </c>
      <c r="BB232" s="624">
        <v>41864</v>
      </c>
      <c r="BC232" s="355">
        <v>0.31909999999999999</v>
      </c>
      <c r="BD232" s="624">
        <v>41864</v>
      </c>
      <c r="BE232" s="355">
        <v>9.708E-2</v>
      </c>
      <c r="BF232" s="624">
        <v>41865</v>
      </c>
      <c r="BG232" s="355">
        <v>1.643E-2</v>
      </c>
      <c r="BH232" s="624">
        <v>41864</v>
      </c>
      <c r="BI232" s="355">
        <v>8.5536000000000001E-2</v>
      </c>
      <c r="BJ232" s="624">
        <v>41864</v>
      </c>
      <c r="BK232" s="355">
        <v>3.1304999999999999E-2</v>
      </c>
    </row>
    <row r="233" spans="3:63" x14ac:dyDescent="0.15">
      <c r="C233" s="624"/>
      <c r="D233" s="355">
        <v>3.5110000000000002E-2</v>
      </c>
      <c r="AV233" s="624">
        <v>41871</v>
      </c>
      <c r="AW233" s="355">
        <v>0.442</v>
      </c>
      <c r="AX233" s="624">
        <v>41865</v>
      </c>
      <c r="AY233" s="355">
        <v>2.776E-2</v>
      </c>
      <c r="AZ233" s="624">
        <v>41865</v>
      </c>
      <c r="BA233" s="355">
        <v>1.14E-2</v>
      </c>
      <c r="BB233" s="624">
        <v>41865</v>
      </c>
      <c r="BC233" s="355">
        <v>0.31979999999999997</v>
      </c>
      <c r="BD233" s="624">
        <v>41865</v>
      </c>
      <c r="BE233" s="355">
        <v>9.8000000000000004E-2</v>
      </c>
      <c r="BF233" s="624">
        <v>41866</v>
      </c>
      <c r="BG233" s="355">
        <v>1.6413000000000001E-2</v>
      </c>
      <c r="BH233" s="624">
        <v>41865</v>
      </c>
      <c r="BI233" s="355">
        <v>8.5635000000000003E-2</v>
      </c>
      <c r="BJ233" s="624">
        <v>41865</v>
      </c>
      <c r="BK233" s="355">
        <v>3.1401999999999999E-2</v>
      </c>
    </row>
    <row r="234" spans="3:63" x14ac:dyDescent="0.15">
      <c r="C234" s="624"/>
      <c r="D234" s="355">
        <v>3.499E-2</v>
      </c>
      <c r="AV234" s="624">
        <v>41872</v>
      </c>
      <c r="AW234" s="355">
        <v>0.44069999999999998</v>
      </c>
      <c r="AX234" s="624">
        <v>41866</v>
      </c>
      <c r="AY234" s="355">
        <v>2.7689999999999999E-2</v>
      </c>
      <c r="AZ234" s="624">
        <v>41866</v>
      </c>
      <c r="BA234" s="355">
        <v>1.15E-2</v>
      </c>
      <c r="BB234" s="624">
        <v>41866</v>
      </c>
      <c r="BC234" s="355">
        <v>0.31850000000000001</v>
      </c>
      <c r="BD234" s="624">
        <v>41866</v>
      </c>
      <c r="BE234" s="355">
        <v>9.826E-2</v>
      </c>
      <c r="BF234" s="624">
        <v>41869</v>
      </c>
      <c r="BG234" s="355">
        <v>1.6452999999999999E-2</v>
      </c>
      <c r="BH234" s="624">
        <v>41866</v>
      </c>
      <c r="BI234" s="355">
        <v>8.5664000000000004E-2</v>
      </c>
      <c r="BJ234" s="624">
        <v>41866</v>
      </c>
      <c r="BK234" s="355">
        <v>3.1372999999999998E-2</v>
      </c>
    </row>
    <row r="235" spans="3:63" x14ac:dyDescent="0.15">
      <c r="C235" s="624"/>
      <c r="D235" s="355">
        <v>3.4950000000000002E-2</v>
      </c>
      <c r="AV235" s="624">
        <v>41873</v>
      </c>
      <c r="AW235" s="355">
        <v>0.43880000000000002</v>
      </c>
      <c r="AX235" s="624">
        <v>41869</v>
      </c>
      <c r="AY235" s="355">
        <v>2.7720000000000002E-2</v>
      </c>
      <c r="AZ235" s="624">
        <v>41869</v>
      </c>
      <c r="BA235" s="355">
        <v>1.14E-2</v>
      </c>
      <c r="BB235" s="624">
        <v>41869</v>
      </c>
      <c r="BC235" s="355">
        <v>0.31950000000000001</v>
      </c>
      <c r="BD235" s="624">
        <v>41869</v>
      </c>
      <c r="BE235" s="355">
        <v>9.8299999999999998E-2</v>
      </c>
      <c r="BF235" s="624">
        <v>41870</v>
      </c>
      <c r="BG235" s="355">
        <v>1.6465E-2</v>
      </c>
      <c r="BH235" s="624">
        <v>41869</v>
      </c>
      <c r="BI235" s="355">
        <v>8.5635000000000003E-2</v>
      </c>
      <c r="BJ235" s="624">
        <v>41869</v>
      </c>
      <c r="BK235" s="355">
        <v>3.1411000000000001E-2</v>
      </c>
    </row>
    <row r="236" spans="3:63" x14ac:dyDescent="0.15">
      <c r="C236" s="624"/>
      <c r="D236" s="355">
        <v>3.5029999999999999E-2</v>
      </c>
      <c r="AV236" s="624">
        <v>41876</v>
      </c>
      <c r="AW236" s="355">
        <v>0.437</v>
      </c>
      <c r="AX236" s="624">
        <v>41870</v>
      </c>
      <c r="AY236" s="355">
        <v>2.7650000000000001E-2</v>
      </c>
      <c r="AZ236" s="624">
        <v>41870</v>
      </c>
      <c r="BA236" s="355">
        <v>1.1299999999999999E-2</v>
      </c>
      <c r="BB236" s="624">
        <v>41870</v>
      </c>
      <c r="BC236" s="355">
        <v>0.31840000000000002</v>
      </c>
      <c r="BD236" s="624">
        <v>41870</v>
      </c>
      <c r="BE236" s="355">
        <v>9.8030000000000006E-2</v>
      </c>
      <c r="BF236" s="624">
        <v>41871</v>
      </c>
      <c r="BG236" s="355">
        <v>1.6476000000000001E-2</v>
      </c>
      <c r="BH236" s="624">
        <v>41870</v>
      </c>
      <c r="BI236" s="355">
        <v>8.5624000000000006E-2</v>
      </c>
      <c r="BJ236" s="624">
        <v>41870</v>
      </c>
      <c r="BK236" s="355">
        <v>3.1341000000000001E-2</v>
      </c>
    </row>
    <row r="237" spans="3:63" x14ac:dyDescent="0.15">
      <c r="C237" s="624"/>
      <c r="D237" s="355">
        <v>3.5009999999999999E-2</v>
      </c>
      <c r="AV237" s="624">
        <v>41877</v>
      </c>
      <c r="AW237" s="355">
        <v>0.442</v>
      </c>
      <c r="AX237" s="624">
        <v>41871</v>
      </c>
      <c r="AY237" s="355">
        <v>2.7539999999999999E-2</v>
      </c>
      <c r="AZ237" s="624">
        <v>41871</v>
      </c>
      <c r="BA237" s="355">
        <v>1.1299999999999999E-2</v>
      </c>
      <c r="BB237" s="624">
        <v>41871</v>
      </c>
      <c r="BC237" s="355">
        <v>0.3165</v>
      </c>
      <c r="BD237" s="624">
        <v>41871</v>
      </c>
      <c r="BE237" s="355">
        <v>9.7720000000000001E-2</v>
      </c>
      <c r="BF237" s="624">
        <v>41872</v>
      </c>
      <c r="BG237" s="355">
        <v>1.6513E-2</v>
      </c>
      <c r="BH237" s="624">
        <v>41871</v>
      </c>
      <c r="BI237" s="355">
        <v>8.5487999999999995E-2</v>
      </c>
      <c r="BJ237" s="624">
        <v>41871</v>
      </c>
      <c r="BK237" s="355">
        <v>3.124E-2</v>
      </c>
    </row>
    <row r="238" spans="3:63" x14ac:dyDescent="0.15">
      <c r="C238" s="624"/>
      <c r="D238" s="355">
        <v>3.5090000000000003E-2</v>
      </c>
      <c r="AV238" s="624">
        <v>41878</v>
      </c>
      <c r="AW238" s="355">
        <v>0.44240000000000002</v>
      </c>
      <c r="AX238" s="624">
        <v>41872</v>
      </c>
      <c r="AY238" s="355">
        <v>2.777E-2</v>
      </c>
      <c r="AZ238" s="624">
        <v>41872</v>
      </c>
      <c r="BA238" s="355">
        <v>1.1299999999999999E-2</v>
      </c>
      <c r="BB238" s="624">
        <v>41872</v>
      </c>
      <c r="BC238" s="355">
        <v>0.31719999999999998</v>
      </c>
      <c r="BD238" s="624">
        <v>41872</v>
      </c>
      <c r="BE238" s="355">
        <v>9.7680000000000003E-2</v>
      </c>
      <c r="BF238" s="624">
        <v>41873</v>
      </c>
      <c r="BG238" s="355">
        <v>1.6549000000000001E-2</v>
      </c>
      <c r="BH238" s="624">
        <v>41872</v>
      </c>
      <c r="BI238" s="355">
        <v>8.5525000000000004E-2</v>
      </c>
      <c r="BJ238" s="624">
        <v>41872</v>
      </c>
      <c r="BK238" s="355">
        <v>3.1269999999999999E-2</v>
      </c>
    </row>
    <row r="239" spans="3:63" x14ac:dyDescent="0.15">
      <c r="C239" s="624"/>
      <c r="D239" s="355">
        <v>3.5150000000000001E-2</v>
      </c>
      <c r="AV239" s="624">
        <v>41879</v>
      </c>
      <c r="AW239" s="355">
        <v>0.44629999999999997</v>
      </c>
      <c r="AX239" s="624">
        <v>41873</v>
      </c>
      <c r="AY239" s="355">
        <v>2.767E-2</v>
      </c>
      <c r="AZ239" s="624">
        <v>41873</v>
      </c>
      <c r="BA239" s="355">
        <v>1.1299999999999999E-2</v>
      </c>
      <c r="BB239" s="624">
        <v>41873</v>
      </c>
      <c r="BC239" s="355">
        <v>0.31590000000000001</v>
      </c>
      <c r="BD239" s="624">
        <v>41873</v>
      </c>
      <c r="BE239" s="355">
        <v>9.8199999999999996E-2</v>
      </c>
      <c r="BF239" s="624">
        <v>41876</v>
      </c>
      <c r="BG239" s="355">
        <v>1.6522999999999999E-2</v>
      </c>
      <c r="BH239" s="624">
        <v>41873</v>
      </c>
      <c r="BI239" s="355">
        <v>8.5605000000000001E-2</v>
      </c>
      <c r="BJ239" s="624">
        <v>41873</v>
      </c>
      <c r="BK239" s="355">
        <v>3.1310999999999999E-2</v>
      </c>
    </row>
    <row r="240" spans="3:63" x14ac:dyDescent="0.15">
      <c r="C240" s="624"/>
      <c r="D240" s="355">
        <v>3.5139999999999998E-2</v>
      </c>
      <c r="AV240" s="624">
        <v>41880</v>
      </c>
      <c r="AW240" s="355">
        <v>0.44669999999999999</v>
      </c>
      <c r="AX240" s="624">
        <v>41876</v>
      </c>
      <c r="AY240" s="355">
        <v>2.7660000000000001E-2</v>
      </c>
      <c r="AZ240" s="624">
        <v>41876</v>
      </c>
      <c r="BA240" s="355">
        <v>1.1299999999999999E-2</v>
      </c>
      <c r="BB240" s="624">
        <v>41876</v>
      </c>
      <c r="BC240" s="355">
        <v>0.31519999999999998</v>
      </c>
      <c r="BD240" s="624">
        <v>41876</v>
      </c>
      <c r="BE240" s="355">
        <v>9.8030000000000006E-2</v>
      </c>
      <c r="BF240" s="624">
        <v>41877</v>
      </c>
      <c r="BG240" s="355">
        <v>1.6531000000000001E-2</v>
      </c>
      <c r="BH240" s="624">
        <v>41876</v>
      </c>
      <c r="BI240" s="355">
        <v>8.5349999999999995E-2</v>
      </c>
      <c r="BJ240" s="624">
        <v>41876</v>
      </c>
      <c r="BK240" s="355">
        <v>3.1281000000000003E-2</v>
      </c>
    </row>
    <row r="241" spans="3:63" x14ac:dyDescent="0.15">
      <c r="C241" s="624"/>
      <c r="D241" s="355">
        <v>3.508E-2</v>
      </c>
      <c r="AV241" s="624">
        <v>41883</v>
      </c>
      <c r="AW241" s="355">
        <v>0.44519999999999998</v>
      </c>
      <c r="AX241" s="624">
        <v>41877</v>
      </c>
      <c r="AY241" s="355">
        <v>2.7660000000000001E-2</v>
      </c>
      <c r="AZ241" s="624">
        <v>41877</v>
      </c>
      <c r="BA241" s="355">
        <v>1.12E-2</v>
      </c>
      <c r="BB241" s="624">
        <v>41877</v>
      </c>
      <c r="BC241" s="355">
        <v>0.3145</v>
      </c>
      <c r="BD241" s="624">
        <v>41877</v>
      </c>
      <c r="BE241" s="355">
        <v>9.8390000000000005E-2</v>
      </c>
      <c r="BF241" s="624">
        <v>41878</v>
      </c>
      <c r="BG241" s="355">
        <v>1.6573000000000001E-2</v>
      </c>
      <c r="BH241" s="624">
        <v>41877</v>
      </c>
      <c r="BI241" s="355">
        <v>8.5378999999999997E-2</v>
      </c>
      <c r="BJ241" s="624">
        <v>41877</v>
      </c>
      <c r="BK241" s="355">
        <v>3.1320000000000001E-2</v>
      </c>
    </row>
    <row r="242" spans="3:63" x14ac:dyDescent="0.15">
      <c r="C242" s="624"/>
      <c r="D242" s="355">
        <v>3.5000000000000003E-2</v>
      </c>
      <c r="AV242" s="624">
        <v>41884</v>
      </c>
      <c r="AW242" s="355">
        <v>0.44569999999999999</v>
      </c>
      <c r="AX242" s="624">
        <v>41878</v>
      </c>
      <c r="AY242" s="355">
        <v>2.7640000000000001E-2</v>
      </c>
      <c r="AZ242" s="624">
        <v>41878</v>
      </c>
      <c r="BA242" s="355">
        <v>1.12E-2</v>
      </c>
      <c r="BB242" s="624">
        <v>41878</v>
      </c>
      <c r="BC242" s="355">
        <v>0.31409999999999999</v>
      </c>
      <c r="BD242" s="624">
        <v>41878</v>
      </c>
      <c r="BE242" s="355">
        <v>9.8580000000000001E-2</v>
      </c>
      <c r="BF242" s="624">
        <v>41879</v>
      </c>
      <c r="BG242" s="355">
        <v>1.6490999999999999E-2</v>
      </c>
      <c r="BH242" s="624">
        <v>41878</v>
      </c>
      <c r="BI242" s="355">
        <v>8.5615999999999998E-2</v>
      </c>
      <c r="BJ242" s="624">
        <v>41878</v>
      </c>
      <c r="BK242" s="355">
        <v>3.134E-2</v>
      </c>
    </row>
    <row r="243" spans="3:63" x14ac:dyDescent="0.15">
      <c r="C243" s="624"/>
      <c r="D243" s="355">
        <v>3.5110000000000002E-2</v>
      </c>
      <c r="AV243" s="624">
        <v>41885</v>
      </c>
      <c r="AW243" s="355">
        <v>0.4471</v>
      </c>
      <c r="AX243" s="624">
        <v>41879</v>
      </c>
      <c r="AY243" s="355">
        <v>2.7199999999999998E-2</v>
      </c>
      <c r="AZ243" s="624">
        <v>41879</v>
      </c>
      <c r="BA243" s="355">
        <v>1.12E-2</v>
      </c>
      <c r="BB243" s="624">
        <v>41879</v>
      </c>
      <c r="BC243" s="355">
        <v>0.31219999999999998</v>
      </c>
      <c r="BD243" s="624">
        <v>41879</v>
      </c>
      <c r="BE243" s="355">
        <v>9.8449999999999996E-2</v>
      </c>
      <c r="BF243" s="624">
        <v>41880</v>
      </c>
      <c r="BG243" s="355">
        <v>1.6497999999999999E-2</v>
      </c>
      <c r="BH243" s="624">
        <v>41879</v>
      </c>
      <c r="BI243" s="355">
        <v>8.5487999999999995E-2</v>
      </c>
      <c r="BJ243" s="624">
        <v>41879</v>
      </c>
      <c r="BK243" s="355">
        <v>3.1302000000000003E-2</v>
      </c>
    </row>
    <row r="244" spans="3:63" x14ac:dyDescent="0.15">
      <c r="C244" s="624"/>
      <c r="D244" s="355">
        <v>3.5180000000000003E-2</v>
      </c>
      <c r="AV244" s="624">
        <v>41886</v>
      </c>
      <c r="AW244" s="355">
        <v>0.4461</v>
      </c>
      <c r="AX244" s="624">
        <v>41880</v>
      </c>
      <c r="AY244" s="355">
        <v>2.699E-2</v>
      </c>
      <c r="AZ244" s="624">
        <v>41880</v>
      </c>
      <c r="BA244" s="355">
        <v>1.11E-2</v>
      </c>
      <c r="BB244" s="624">
        <v>41880</v>
      </c>
      <c r="BC244" s="355">
        <v>0.31180000000000002</v>
      </c>
      <c r="BD244" s="624">
        <v>41880</v>
      </c>
      <c r="BE244" s="355">
        <v>9.8570000000000005E-2</v>
      </c>
      <c r="BF244" s="624">
        <v>41883</v>
      </c>
      <c r="BG244" s="355">
        <v>1.6521000000000001E-2</v>
      </c>
      <c r="BH244" s="624">
        <v>41880</v>
      </c>
      <c r="BI244" s="355">
        <v>8.5436999999999999E-2</v>
      </c>
      <c r="BJ244" s="624">
        <v>41880</v>
      </c>
      <c r="BK244" s="355">
        <v>3.1301000000000002E-2</v>
      </c>
    </row>
    <row r="245" spans="3:63" x14ac:dyDescent="0.15">
      <c r="C245" s="624"/>
      <c r="D245" s="355">
        <v>3.5340000000000003E-2</v>
      </c>
      <c r="AV245" s="624">
        <v>41887</v>
      </c>
      <c r="AW245" s="355">
        <v>0.4456</v>
      </c>
      <c r="AX245" s="624">
        <v>41883</v>
      </c>
      <c r="AY245" s="355">
        <v>2.6790000000000001E-2</v>
      </c>
      <c r="AZ245" s="624">
        <v>41883</v>
      </c>
      <c r="BA245" s="355">
        <v>1.11E-2</v>
      </c>
      <c r="BB245" s="624">
        <v>41883</v>
      </c>
      <c r="BC245" s="355">
        <v>0.31230000000000002</v>
      </c>
      <c r="BD245" s="624">
        <v>41883</v>
      </c>
      <c r="BE245" s="355">
        <v>9.8699999999999996E-2</v>
      </c>
      <c r="BF245" s="624">
        <v>41884</v>
      </c>
      <c r="BG245" s="355">
        <v>1.6497999999999999E-2</v>
      </c>
      <c r="BH245" s="624">
        <v>41883</v>
      </c>
      <c r="BI245" s="355">
        <v>8.5397000000000001E-2</v>
      </c>
      <c r="BJ245" s="624">
        <v>41883</v>
      </c>
      <c r="BK245" s="355">
        <v>3.1272000000000001E-2</v>
      </c>
    </row>
    <row r="246" spans="3:63" x14ac:dyDescent="0.15">
      <c r="C246" s="624"/>
      <c r="D246" s="355">
        <v>3.551E-2</v>
      </c>
      <c r="AV246" s="624">
        <v>41890</v>
      </c>
      <c r="AW246" s="355">
        <v>0.44090000000000001</v>
      </c>
      <c r="AX246" s="624">
        <v>41884</v>
      </c>
      <c r="AY246" s="355">
        <v>2.6710000000000001E-2</v>
      </c>
      <c r="AZ246" s="624">
        <v>41884</v>
      </c>
      <c r="BA246" s="355">
        <v>1.11E-2</v>
      </c>
      <c r="BB246" s="624">
        <v>41884</v>
      </c>
      <c r="BC246" s="355">
        <v>0.31209999999999999</v>
      </c>
      <c r="BD246" s="624">
        <v>41884</v>
      </c>
      <c r="BE246" s="355">
        <v>9.8250000000000004E-2</v>
      </c>
      <c r="BF246" s="624">
        <v>41885</v>
      </c>
      <c r="BG246" s="355">
        <v>1.6546999999999999E-2</v>
      </c>
      <c r="BH246" s="624">
        <v>41884</v>
      </c>
      <c r="BI246" s="355">
        <v>8.5283999999999999E-2</v>
      </c>
      <c r="BJ246" s="624">
        <v>41884</v>
      </c>
      <c r="BK246" s="355">
        <v>3.1119000000000001E-2</v>
      </c>
    </row>
    <row r="247" spans="3:63" x14ac:dyDescent="0.15">
      <c r="C247" s="624"/>
      <c r="D247" s="355">
        <v>3.542E-2</v>
      </c>
      <c r="AV247" s="624">
        <v>41891</v>
      </c>
      <c r="AW247" s="355">
        <v>0.43759999999999999</v>
      </c>
      <c r="AX247" s="624">
        <v>41885</v>
      </c>
      <c r="AY247" s="355">
        <v>2.7140000000000001E-2</v>
      </c>
      <c r="AZ247" s="624">
        <v>41885</v>
      </c>
      <c r="BA247" s="355">
        <v>1.11E-2</v>
      </c>
      <c r="BB247" s="624">
        <v>41885</v>
      </c>
      <c r="BC247" s="355">
        <v>0.3135</v>
      </c>
      <c r="BD247" s="624">
        <v>41885</v>
      </c>
      <c r="BE247" s="355">
        <v>9.801E-2</v>
      </c>
      <c r="BF247" s="624">
        <v>41886</v>
      </c>
      <c r="BG247" s="355">
        <v>1.6531000000000001E-2</v>
      </c>
      <c r="BH247" s="624">
        <v>41885</v>
      </c>
      <c r="BI247" s="355">
        <v>8.4907999999999997E-2</v>
      </c>
      <c r="BJ247" s="624">
        <v>41885</v>
      </c>
      <c r="BK247" s="355">
        <v>3.1220999999999999E-2</v>
      </c>
    </row>
    <row r="248" spans="3:63" x14ac:dyDescent="0.15">
      <c r="C248" s="624"/>
      <c r="D248" s="355">
        <v>3.5400000000000001E-2</v>
      </c>
      <c r="AV248" s="624">
        <v>41892</v>
      </c>
      <c r="AW248" s="355">
        <v>0.43569999999999998</v>
      </c>
      <c r="AX248" s="624">
        <v>41886</v>
      </c>
      <c r="AY248" s="355">
        <v>2.7040000000000002E-2</v>
      </c>
      <c r="AZ248" s="624">
        <v>41886</v>
      </c>
      <c r="BA248" s="355">
        <v>1.0999999999999999E-2</v>
      </c>
      <c r="BB248" s="624">
        <v>41886</v>
      </c>
      <c r="BC248" s="355">
        <v>0.30880000000000002</v>
      </c>
      <c r="BD248" s="624">
        <v>41886</v>
      </c>
      <c r="BE248" s="355">
        <v>9.7900000000000001E-2</v>
      </c>
      <c r="BF248" s="624">
        <v>41887</v>
      </c>
      <c r="BG248" s="355">
        <v>1.66E-2</v>
      </c>
      <c r="BH248" s="624">
        <v>41886</v>
      </c>
      <c r="BI248" s="355">
        <v>8.5004999999999997E-2</v>
      </c>
      <c r="BJ248" s="624">
        <v>41886</v>
      </c>
      <c r="BK248" s="355">
        <v>3.1171000000000001E-2</v>
      </c>
    </row>
    <row r="249" spans="3:63" x14ac:dyDescent="0.15">
      <c r="C249" s="624"/>
      <c r="D249" s="355">
        <v>3.5340000000000003E-2</v>
      </c>
      <c r="AV249" s="624">
        <v>41893</v>
      </c>
      <c r="AW249" s="355">
        <v>0.43530000000000002</v>
      </c>
      <c r="AX249" s="624">
        <v>41887</v>
      </c>
      <c r="AY249" s="355">
        <v>2.707E-2</v>
      </c>
      <c r="AZ249" s="624">
        <v>41887</v>
      </c>
      <c r="BA249" s="355">
        <v>1.09E-2</v>
      </c>
      <c r="BB249" s="624">
        <v>41887</v>
      </c>
      <c r="BC249" s="355">
        <v>0.31</v>
      </c>
      <c r="BD249" s="624">
        <v>41887</v>
      </c>
      <c r="BE249" s="355">
        <v>9.7619999999999998E-2</v>
      </c>
      <c r="BF249" s="624">
        <v>41890</v>
      </c>
      <c r="BG249" s="355">
        <v>1.6541E-2</v>
      </c>
      <c r="BH249" s="624">
        <v>41887</v>
      </c>
      <c r="BI249" s="355">
        <v>8.5081000000000004E-2</v>
      </c>
      <c r="BJ249" s="624">
        <v>41887</v>
      </c>
      <c r="BK249" s="355">
        <v>3.1260000000000003E-2</v>
      </c>
    </row>
    <row r="250" spans="3:63" x14ac:dyDescent="0.15">
      <c r="C250" s="624"/>
      <c r="D250" s="355">
        <v>3.5369999999999999E-2</v>
      </c>
      <c r="AV250" s="624">
        <v>41894</v>
      </c>
      <c r="AW250" s="355">
        <v>0.42759999999999998</v>
      </c>
      <c r="AX250" s="624">
        <v>41890</v>
      </c>
      <c r="AY250" s="355">
        <v>2.7E-2</v>
      </c>
      <c r="AZ250" s="624">
        <v>41890</v>
      </c>
      <c r="BA250" s="355">
        <v>1.09E-2</v>
      </c>
      <c r="BB250" s="624">
        <v>41890</v>
      </c>
      <c r="BC250" s="355">
        <v>0.3085</v>
      </c>
      <c r="BD250" s="624">
        <v>41890</v>
      </c>
      <c r="BE250" s="355">
        <v>9.7059999999999994E-2</v>
      </c>
      <c r="BF250" s="624">
        <v>41891</v>
      </c>
      <c r="BG250" s="355">
        <v>1.6431000000000001E-2</v>
      </c>
      <c r="BH250" s="624">
        <v>41890</v>
      </c>
      <c r="BI250" s="355">
        <v>8.5288000000000003E-2</v>
      </c>
      <c r="BJ250" s="624">
        <v>41890</v>
      </c>
      <c r="BK250" s="355">
        <v>3.1184E-2</v>
      </c>
    </row>
    <row r="251" spans="3:63" x14ac:dyDescent="0.15">
      <c r="C251" s="624"/>
      <c r="D251" s="355">
        <v>3.5209999999999998E-2</v>
      </c>
      <c r="AV251" s="624">
        <v>41897</v>
      </c>
      <c r="AW251" s="355">
        <v>0.4274</v>
      </c>
      <c r="AX251" s="624">
        <v>41891</v>
      </c>
      <c r="AY251" s="355">
        <v>2.6960000000000001E-2</v>
      </c>
      <c r="AZ251" s="624">
        <v>41891</v>
      </c>
      <c r="BA251" s="355">
        <v>1.09E-2</v>
      </c>
      <c r="BB251" s="624">
        <v>41891</v>
      </c>
      <c r="BC251" s="355">
        <v>0.30780000000000002</v>
      </c>
      <c r="BD251" s="624">
        <v>41891</v>
      </c>
      <c r="BE251" s="355">
        <v>9.6600000000000005E-2</v>
      </c>
      <c r="BF251" s="624">
        <v>41892</v>
      </c>
      <c r="BG251" s="355">
        <v>1.6454E-2</v>
      </c>
      <c r="BH251" s="624">
        <v>41891</v>
      </c>
      <c r="BI251" s="355">
        <v>8.498E-2</v>
      </c>
      <c r="BJ251" s="624">
        <v>41891</v>
      </c>
      <c r="BK251" s="355">
        <v>3.1171999999999998E-2</v>
      </c>
    </row>
    <row r="252" spans="3:63" x14ac:dyDescent="0.15">
      <c r="C252" s="624"/>
      <c r="D252" s="355">
        <v>3.5220000000000001E-2</v>
      </c>
      <c r="AV252" s="624">
        <v>41898</v>
      </c>
      <c r="AW252" s="355">
        <v>0.43</v>
      </c>
      <c r="AX252" s="624">
        <v>41892</v>
      </c>
      <c r="AY252" s="355">
        <v>2.681E-2</v>
      </c>
      <c r="AZ252" s="624">
        <v>41892</v>
      </c>
      <c r="BA252" s="355">
        <v>1.09E-2</v>
      </c>
      <c r="BB252" s="624">
        <v>41892</v>
      </c>
      <c r="BC252" s="355">
        <v>0.30790000000000001</v>
      </c>
      <c r="BD252" s="624">
        <v>41892</v>
      </c>
      <c r="BE252" s="355">
        <v>9.6839999999999996E-2</v>
      </c>
      <c r="BF252" s="624">
        <v>41893</v>
      </c>
      <c r="BG252" s="355">
        <v>1.6409E-2</v>
      </c>
      <c r="BH252" s="624">
        <v>41892</v>
      </c>
      <c r="BI252" s="355">
        <v>8.4655999999999995E-2</v>
      </c>
      <c r="BJ252" s="624">
        <v>41892</v>
      </c>
      <c r="BK252" s="355">
        <v>3.108E-2</v>
      </c>
    </row>
    <row r="253" spans="3:63" x14ac:dyDescent="0.15">
      <c r="C253" s="624"/>
      <c r="D253" s="355">
        <v>3.5319999999999997E-2</v>
      </c>
      <c r="AV253" s="624">
        <v>41899</v>
      </c>
      <c r="AW253" s="355">
        <v>0.42420000000000002</v>
      </c>
      <c r="AX253" s="624">
        <v>41893</v>
      </c>
      <c r="AY253" s="355">
        <v>2.6630000000000001E-2</v>
      </c>
      <c r="AZ253" s="624">
        <v>41893</v>
      </c>
      <c r="BA253" s="355">
        <v>1.09E-2</v>
      </c>
      <c r="BB253" s="624">
        <v>41893</v>
      </c>
      <c r="BC253" s="355">
        <v>0.30790000000000001</v>
      </c>
      <c r="BD253" s="624">
        <v>41893</v>
      </c>
      <c r="BE253" s="355">
        <v>9.6449999999999994E-2</v>
      </c>
      <c r="BF253" s="624">
        <v>41894</v>
      </c>
      <c r="BG253" s="355">
        <v>1.6382000000000001E-2</v>
      </c>
      <c r="BH253" s="624">
        <v>41893</v>
      </c>
      <c r="BI253" s="355">
        <v>8.4533999999999998E-2</v>
      </c>
      <c r="BJ253" s="624">
        <v>41893</v>
      </c>
      <c r="BK253" s="355">
        <v>3.1060999999999998E-2</v>
      </c>
    </row>
    <row r="254" spans="3:63" x14ac:dyDescent="0.15">
      <c r="C254" s="624"/>
      <c r="D254" s="355">
        <v>3.524E-2</v>
      </c>
      <c r="AV254" s="624">
        <v>41900</v>
      </c>
      <c r="AW254" s="355">
        <v>0.42280000000000001</v>
      </c>
      <c r="AX254" s="624">
        <v>41894</v>
      </c>
      <c r="AY254" s="355">
        <v>2.647E-2</v>
      </c>
      <c r="AZ254" s="624">
        <v>41894</v>
      </c>
      <c r="BA254" s="355">
        <v>1.09E-2</v>
      </c>
      <c r="BB254" s="624">
        <v>41894</v>
      </c>
      <c r="BC254" s="355">
        <v>0.30830000000000002</v>
      </c>
      <c r="BD254" s="624">
        <v>41894</v>
      </c>
      <c r="BE254" s="355">
        <v>9.6589999999999995E-2</v>
      </c>
      <c r="BF254" s="624">
        <v>41897</v>
      </c>
      <c r="BG254" s="355">
        <v>1.6358000000000001E-2</v>
      </c>
      <c r="BH254" s="624">
        <v>41894</v>
      </c>
      <c r="BI254" s="355">
        <v>8.4610000000000005E-2</v>
      </c>
      <c r="BJ254" s="624">
        <v>41894</v>
      </c>
      <c r="BK254" s="355">
        <v>3.1008000000000001E-2</v>
      </c>
    </row>
    <row r="255" spans="3:63" x14ac:dyDescent="0.15">
      <c r="C255" s="624"/>
      <c r="D255" s="355">
        <v>3.5249999999999997E-2</v>
      </c>
      <c r="AV255" s="624">
        <v>41901</v>
      </c>
      <c r="AW255" s="355">
        <v>0.42230000000000001</v>
      </c>
      <c r="AX255" s="624">
        <v>41897</v>
      </c>
      <c r="AY255" s="355">
        <v>2.6069999999999999E-2</v>
      </c>
      <c r="AZ255" s="624">
        <v>41897</v>
      </c>
      <c r="BA255" s="355">
        <v>1.09E-2</v>
      </c>
      <c r="BB255" s="624">
        <v>41897</v>
      </c>
      <c r="BC255" s="355">
        <v>0.30840000000000001</v>
      </c>
      <c r="BD255" s="624">
        <v>41897</v>
      </c>
      <c r="BE255" s="355">
        <v>9.6299999999999997E-2</v>
      </c>
      <c r="BF255" s="624">
        <v>41898</v>
      </c>
      <c r="BG255" s="355">
        <v>1.6399E-2</v>
      </c>
      <c r="BH255" s="624">
        <v>41897</v>
      </c>
      <c r="BI255" s="355">
        <v>8.3839999999999998E-2</v>
      </c>
      <c r="BJ255" s="624">
        <v>41897</v>
      </c>
      <c r="BK255" s="355">
        <v>3.0977999999999999E-2</v>
      </c>
    </row>
    <row r="256" spans="3:63" x14ac:dyDescent="0.15">
      <c r="C256" s="624"/>
      <c r="D256" s="355">
        <v>3.5159999999999997E-2</v>
      </c>
      <c r="AV256" s="624">
        <v>41904</v>
      </c>
      <c r="AW256" s="355">
        <v>0.41699999999999998</v>
      </c>
      <c r="AX256" s="624">
        <v>41898</v>
      </c>
      <c r="AY256" s="355">
        <v>2.6100000000000002E-2</v>
      </c>
      <c r="AZ256" s="624">
        <v>41898</v>
      </c>
      <c r="BA256" s="355">
        <v>1.09E-2</v>
      </c>
      <c r="BB256" s="624">
        <v>41898</v>
      </c>
      <c r="BC256" s="355">
        <v>0.3095</v>
      </c>
      <c r="BD256" s="624">
        <v>41898</v>
      </c>
      <c r="BE256" s="355">
        <v>9.6850000000000006E-2</v>
      </c>
      <c r="BF256" s="624">
        <v>41899</v>
      </c>
      <c r="BG256" s="355">
        <v>1.6382000000000001E-2</v>
      </c>
      <c r="BH256" s="624">
        <v>41898</v>
      </c>
      <c r="BI256" s="355">
        <v>8.3671999999999996E-2</v>
      </c>
      <c r="BJ256" s="624">
        <v>41898</v>
      </c>
      <c r="BK256" s="355">
        <v>3.1049E-2</v>
      </c>
    </row>
    <row r="257" spans="3:63" x14ac:dyDescent="0.15">
      <c r="C257" s="624"/>
      <c r="D257" s="355">
        <v>3.5200000000000002E-2</v>
      </c>
      <c r="AV257" s="624">
        <v>41905</v>
      </c>
      <c r="AW257" s="355">
        <v>0.41460000000000002</v>
      </c>
      <c r="AX257" s="624">
        <v>41899</v>
      </c>
      <c r="AY257" s="355">
        <v>2.598E-2</v>
      </c>
      <c r="AZ257" s="624">
        <v>41899</v>
      </c>
      <c r="BA257" s="355">
        <v>1.0800000000000001E-2</v>
      </c>
      <c r="BB257" s="624">
        <v>41899</v>
      </c>
      <c r="BC257" s="355">
        <v>0.30719999999999997</v>
      </c>
      <c r="BD257" s="624">
        <v>41899</v>
      </c>
      <c r="BE257" s="355">
        <v>9.597E-2</v>
      </c>
      <c r="BF257" s="624">
        <v>41900</v>
      </c>
      <c r="BG257" s="355">
        <v>1.6455999999999998E-2</v>
      </c>
      <c r="BH257" s="624">
        <v>41899</v>
      </c>
      <c r="BI257" s="355">
        <v>8.3682000000000006E-2</v>
      </c>
      <c r="BJ257" s="624">
        <v>41899</v>
      </c>
      <c r="BK257" s="355">
        <v>3.0956999999999998E-2</v>
      </c>
    </row>
    <row r="258" spans="3:63" x14ac:dyDescent="0.15">
      <c r="C258" s="624"/>
      <c r="D258" s="355">
        <v>3.526E-2</v>
      </c>
      <c r="AV258" s="624">
        <v>41906</v>
      </c>
      <c r="AW258" s="355">
        <v>0.41870000000000002</v>
      </c>
      <c r="AX258" s="624">
        <v>41900</v>
      </c>
      <c r="AY258" s="355">
        <v>2.6020000000000001E-2</v>
      </c>
      <c r="AZ258" s="624">
        <v>41900</v>
      </c>
      <c r="BA258" s="355">
        <v>1.09E-2</v>
      </c>
      <c r="BB258" s="624">
        <v>41900</v>
      </c>
      <c r="BC258" s="355">
        <v>0.30759999999999998</v>
      </c>
      <c r="BD258" s="624">
        <v>41900</v>
      </c>
      <c r="BE258" s="355">
        <v>9.5750000000000002E-2</v>
      </c>
      <c r="BF258" s="624">
        <v>41901</v>
      </c>
      <c r="BG258" s="355">
        <v>1.6416E-2</v>
      </c>
      <c r="BH258" s="624">
        <v>41900</v>
      </c>
      <c r="BI258" s="355">
        <v>8.3455000000000001E-2</v>
      </c>
      <c r="BJ258" s="624">
        <v>41900</v>
      </c>
      <c r="BK258" s="355">
        <v>3.1005999999999999E-2</v>
      </c>
    </row>
    <row r="259" spans="3:63" x14ac:dyDescent="0.15">
      <c r="C259" s="624"/>
      <c r="D259" s="355">
        <v>3.517E-2</v>
      </c>
      <c r="AV259" s="624">
        <v>41907</v>
      </c>
      <c r="AW259" s="355">
        <v>0.4123</v>
      </c>
      <c r="AX259" s="624">
        <v>41901</v>
      </c>
      <c r="AY259" s="355">
        <v>2.6020000000000001E-2</v>
      </c>
      <c r="AZ259" s="624">
        <v>41901</v>
      </c>
      <c r="BA259" s="355">
        <v>1.0800000000000001E-2</v>
      </c>
      <c r="BB259" s="624">
        <v>41901</v>
      </c>
      <c r="BC259" s="355">
        <v>0.30659999999999998</v>
      </c>
      <c r="BD259" s="624">
        <v>41901</v>
      </c>
      <c r="BE259" s="355">
        <v>9.5769999999999994E-2</v>
      </c>
      <c r="BF259" s="624">
        <v>41904</v>
      </c>
      <c r="BG259" s="355">
        <v>1.6385E-2</v>
      </c>
      <c r="BH259" s="624">
        <v>41901</v>
      </c>
      <c r="BI259" s="355">
        <v>8.3553000000000002E-2</v>
      </c>
      <c r="BJ259" s="624">
        <v>41901</v>
      </c>
      <c r="BK259" s="355">
        <v>3.1057999999999999E-2</v>
      </c>
    </row>
    <row r="260" spans="3:63" x14ac:dyDescent="0.15">
      <c r="C260" s="624"/>
      <c r="D260" s="355">
        <v>3.5139999999999998E-2</v>
      </c>
      <c r="AV260" s="624">
        <v>41908</v>
      </c>
      <c r="AW260" s="355">
        <v>0.4133</v>
      </c>
      <c r="AX260" s="624">
        <v>41904</v>
      </c>
      <c r="AY260" s="355">
        <v>2.5819999999999999E-2</v>
      </c>
      <c r="AZ260" s="624">
        <v>41904</v>
      </c>
      <c r="BA260" s="355">
        <v>1.09E-2</v>
      </c>
      <c r="BB260" s="624">
        <v>41904</v>
      </c>
      <c r="BC260" s="355">
        <v>0.30719999999999997</v>
      </c>
      <c r="BD260" s="624">
        <v>41904</v>
      </c>
      <c r="BE260" s="355">
        <v>9.6060000000000006E-2</v>
      </c>
      <c r="BF260" s="624">
        <v>41905</v>
      </c>
      <c r="BG260" s="355">
        <v>1.6376999999999999E-2</v>
      </c>
      <c r="BH260" s="624">
        <v>41904</v>
      </c>
      <c r="BI260" s="355">
        <v>8.3517999999999995E-2</v>
      </c>
      <c r="BJ260" s="624">
        <v>41904</v>
      </c>
      <c r="BK260" s="355">
        <v>3.0998000000000001E-2</v>
      </c>
    </row>
    <row r="261" spans="3:63" x14ac:dyDescent="0.15">
      <c r="C261" s="624"/>
      <c r="D261" s="355">
        <v>3.5020000000000003E-2</v>
      </c>
      <c r="AV261" s="624">
        <v>41911</v>
      </c>
      <c r="AW261" s="355">
        <v>0.40799999999999997</v>
      </c>
      <c r="AX261" s="624">
        <v>41905</v>
      </c>
      <c r="AY261" s="355">
        <v>2.5909999999999999E-2</v>
      </c>
      <c r="AZ261" s="624">
        <v>41905</v>
      </c>
      <c r="BA261" s="355">
        <v>1.09E-2</v>
      </c>
      <c r="BB261" s="624">
        <v>41905</v>
      </c>
      <c r="BC261" s="355">
        <v>0.30780000000000002</v>
      </c>
      <c r="BD261" s="624">
        <v>41905</v>
      </c>
      <c r="BE261" s="355">
        <v>9.6140000000000003E-2</v>
      </c>
      <c r="BF261" s="624">
        <v>41906</v>
      </c>
      <c r="BG261" s="355">
        <v>1.6441999999999998E-2</v>
      </c>
      <c r="BH261" s="624">
        <v>41905</v>
      </c>
      <c r="BI261" s="355">
        <v>8.3551E-2</v>
      </c>
      <c r="BJ261" s="624">
        <v>41905</v>
      </c>
      <c r="BK261" s="355">
        <v>3.1008000000000001E-2</v>
      </c>
    </row>
    <row r="262" spans="3:63" x14ac:dyDescent="0.15">
      <c r="C262" s="624"/>
      <c r="D262" s="355">
        <v>3.5029999999999999E-2</v>
      </c>
      <c r="AV262" s="624">
        <v>41912</v>
      </c>
      <c r="AW262" s="355">
        <v>0.40899999999999997</v>
      </c>
      <c r="AX262" s="624">
        <v>41906</v>
      </c>
      <c r="AY262" s="355">
        <v>2.6179999999999998E-2</v>
      </c>
      <c r="AZ262" s="624">
        <v>41906</v>
      </c>
      <c r="BA262" s="355">
        <v>1.0800000000000001E-2</v>
      </c>
      <c r="BB262" s="624">
        <v>41906</v>
      </c>
      <c r="BC262" s="355">
        <v>0.30620000000000003</v>
      </c>
      <c r="BD262" s="624">
        <v>41906</v>
      </c>
      <c r="BE262" s="355">
        <v>9.6170000000000005E-2</v>
      </c>
      <c r="BF262" s="624">
        <v>41907</v>
      </c>
      <c r="BG262" s="355">
        <v>1.6261999999999999E-2</v>
      </c>
      <c r="BH262" s="624">
        <v>41906</v>
      </c>
      <c r="BI262" s="355">
        <v>8.3755999999999997E-2</v>
      </c>
      <c r="BJ262" s="624">
        <v>41906</v>
      </c>
      <c r="BK262" s="355">
        <v>3.1033999999999999E-2</v>
      </c>
    </row>
    <row r="263" spans="3:63" x14ac:dyDescent="0.15">
      <c r="C263" s="624"/>
      <c r="D263" s="355">
        <v>3.5020000000000003E-2</v>
      </c>
      <c r="AV263" s="624">
        <v>41913</v>
      </c>
      <c r="AW263" s="355">
        <v>0.40289999999999998</v>
      </c>
      <c r="AX263" s="624">
        <v>41907</v>
      </c>
      <c r="AY263" s="355">
        <v>2.5989999999999999E-2</v>
      </c>
      <c r="AZ263" s="624">
        <v>41907</v>
      </c>
      <c r="BA263" s="355">
        <v>1.0699999999999999E-2</v>
      </c>
      <c r="BB263" s="624">
        <v>41907</v>
      </c>
      <c r="BC263" s="355">
        <v>0.3049</v>
      </c>
      <c r="BD263" s="624">
        <v>41907</v>
      </c>
      <c r="BE263" s="355">
        <v>9.5810000000000006E-2</v>
      </c>
      <c r="BF263" s="624">
        <v>41908</v>
      </c>
      <c r="BG263" s="355">
        <v>1.6292000000000001E-2</v>
      </c>
      <c r="BH263" s="624">
        <v>41907</v>
      </c>
      <c r="BI263" s="355">
        <v>8.3228999999999997E-2</v>
      </c>
      <c r="BJ263" s="624">
        <v>41907</v>
      </c>
      <c r="BK263" s="355">
        <v>3.0973000000000001E-2</v>
      </c>
    </row>
    <row r="264" spans="3:63" x14ac:dyDescent="0.15">
      <c r="C264" s="624"/>
      <c r="D264" s="355">
        <v>3.5040000000000002E-2</v>
      </c>
      <c r="AV264" s="624">
        <v>41914</v>
      </c>
      <c r="AW264" s="355">
        <v>0.4007</v>
      </c>
      <c r="AX264" s="624">
        <v>41908</v>
      </c>
      <c r="AY264" s="355">
        <v>2.554E-2</v>
      </c>
      <c r="AZ264" s="624">
        <v>41908</v>
      </c>
      <c r="BA264" s="355">
        <v>1.0699999999999999E-2</v>
      </c>
      <c r="BB264" s="624">
        <v>41908</v>
      </c>
      <c r="BC264" s="355">
        <v>0.30320000000000003</v>
      </c>
      <c r="BD264" s="624">
        <v>41908</v>
      </c>
      <c r="BE264" s="355">
        <v>9.5310000000000006E-2</v>
      </c>
      <c r="BF264" s="624">
        <v>41911</v>
      </c>
      <c r="BG264" s="355">
        <v>1.6216000000000001E-2</v>
      </c>
      <c r="BH264" s="624">
        <v>41908</v>
      </c>
      <c r="BI264" s="355">
        <v>8.2558999999999994E-2</v>
      </c>
      <c r="BJ264" s="624">
        <v>41908</v>
      </c>
      <c r="BK264" s="355">
        <v>3.0931E-2</v>
      </c>
    </row>
    <row r="265" spans="3:63" x14ac:dyDescent="0.15">
      <c r="C265" s="624"/>
      <c r="D265" s="355">
        <v>3.5029999999999999E-2</v>
      </c>
      <c r="AV265" s="624">
        <v>41915</v>
      </c>
      <c r="AW265" s="355">
        <v>0.4042</v>
      </c>
      <c r="AX265" s="624">
        <v>41911</v>
      </c>
      <c r="AY265" s="355">
        <v>2.5340000000000001E-2</v>
      </c>
      <c r="AZ265" s="624">
        <v>41911</v>
      </c>
      <c r="BA265" s="355">
        <v>1.0699999999999999E-2</v>
      </c>
      <c r="BB265" s="624">
        <v>41911</v>
      </c>
      <c r="BC265" s="355">
        <v>0.30330000000000001</v>
      </c>
      <c r="BD265" s="624">
        <v>41911</v>
      </c>
      <c r="BE265" s="355">
        <v>9.468E-2</v>
      </c>
      <c r="BF265" s="624">
        <v>41912</v>
      </c>
      <c r="BG265" s="355">
        <v>1.6150999999999999E-2</v>
      </c>
      <c r="BH265" s="624">
        <v>41911</v>
      </c>
      <c r="BI265" s="355">
        <v>8.2405999999999993E-2</v>
      </c>
      <c r="BJ265" s="624">
        <v>41911</v>
      </c>
      <c r="BK265" s="355">
        <v>3.0863999999999999E-2</v>
      </c>
    </row>
    <row r="266" spans="3:63" x14ac:dyDescent="0.15">
      <c r="C266" s="624"/>
      <c r="D266" s="355">
        <v>3.4869999999999998E-2</v>
      </c>
      <c r="AV266" s="624">
        <v>41918</v>
      </c>
      <c r="AW266" s="355">
        <v>0.41199999999999998</v>
      </c>
      <c r="AX266" s="624">
        <v>41912</v>
      </c>
      <c r="AY266" s="355">
        <v>2.5260000000000001E-2</v>
      </c>
      <c r="AZ266" s="624">
        <v>41912</v>
      </c>
      <c r="BA266" s="355">
        <v>1.0699999999999999E-2</v>
      </c>
      <c r="BB266" s="624">
        <v>41912</v>
      </c>
      <c r="BC266" s="355">
        <v>0.30199999999999999</v>
      </c>
      <c r="BD266" s="624">
        <v>41912</v>
      </c>
      <c r="BE266" s="355">
        <v>9.4469999999999998E-2</v>
      </c>
      <c r="BF266" s="624">
        <v>41913</v>
      </c>
      <c r="BG266" s="355">
        <v>1.6177E-2</v>
      </c>
      <c r="BH266" s="624">
        <v>41912</v>
      </c>
      <c r="BI266" s="355">
        <v>8.2020999999999997E-2</v>
      </c>
      <c r="BJ266" s="624">
        <v>41912</v>
      </c>
      <c r="BK266" s="355">
        <v>3.0838999999999998E-2</v>
      </c>
    </row>
    <row r="267" spans="3:63" x14ac:dyDescent="0.15">
      <c r="C267" s="624"/>
      <c r="D267" s="355">
        <v>3.4930000000000003E-2</v>
      </c>
      <c r="AV267" s="624">
        <v>41919</v>
      </c>
      <c r="AW267" s="355">
        <v>0.41649999999999998</v>
      </c>
      <c r="AX267" s="624">
        <v>41913</v>
      </c>
      <c r="AY267" s="355">
        <v>2.52E-2</v>
      </c>
      <c r="AZ267" s="624">
        <v>41913</v>
      </c>
      <c r="BA267" s="355">
        <v>1.06E-2</v>
      </c>
      <c r="BB267" s="624">
        <v>41913</v>
      </c>
      <c r="BC267" s="355">
        <v>0.3024</v>
      </c>
      <c r="BD267" s="624">
        <v>41913</v>
      </c>
      <c r="BE267" s="355">
        <v>9.4149999999999998E-2</v>
      </c>
      <c r="BF267" s="624">
        <v>41915</v>
      </c>
      <c r="BG267" s="355">
        <v>1.6211E-2</v>
      </c>
      <c r="BH267" s="624">
        <v>41913</v>
      </c>
      <c r="BI267" s="355">
        <v>8.2185999999999995E-2</v>
      </c>
      <c r="BJ267" s="624">
        <v>41913</v>
      </c>
      <c r="BK267" s="355">
        <v>3.0842000000000001E-2</v>
      </c>
    </row>
    <row r="268" spans="3:63" x14ac:dyDescent="0.15">
      <c r="C268" s="624"/>
      <c r="D268" s="355">
        <v>3.5009999999999999E-2</v>
      </c>
      <c r="AV268" s="624">
        <v>41920</v>
      </c>
      <c r="AW268" s="355">
        <v>0.41959999999999997</v>
      </c>
      <c r="AX268" s="624">
        <v>41914</v>
      </c>
      <c r="AY268" s="355">
        <v>2.528E-2</v>
      </c>
      <c r="AZ268" s="624">
        <v>41914</v>
      </c>
      <c r="BA268" s="355">
        <v>1.0699999999999999E-2</v>
      </c>
      <c r="BB268" s="624">
        <v>41914</v>
      </c>
      <c r="BC268" s="355">
        <v>0.30359999999999998</v>
      </c>
      <c r="BD268" s="624">
        <v>41914</v>
      </c>
      <c r="BE268" s="355">
        <v>9.4350000000000003E-2</v>
      </c>
      <c r="BF268" s="624">
        <v>41918</v>
      </c>
      <c r="BG268" s="355">
        <v>1.6317999999999999E-2</v>
      </c>
      <c r="BH268" s="624">
        <v>41914</v>
      </c>
      <c r="BI268" s="355">
        <v>8.2439999999999999E-2</v>
      </c>
      <c r="BJ268" s="624">
        <v>41914</v>
      </c>
      <c r="BK268" s="355">
        <v>3.0814000000000001E-2</v>
      </c>
    </row>
    <row r="269" spans="3:63" x14ac:dyDescent="0.15">
      <c r="C269" s="624"/>
      <c r="D269" s="355">
        <v>3.5139999999999998E-2</v>
      </c>
      <c r="AV269" s="624">
        <v>41921</v>
      </c>
      <c r="AW269" s="355">
        <v>0.4173</v>
      </c>
      <c r="AX269" s="624">
        <v>41915</v>
      </c>
      <c r="AY269" s="355">
        <v>2.4920000000000001E-2</v>
      </c>
      <c r="AZ269" s="624">
        <v>41915</v>
      </c>
      <c r="BA269" s="355">
        <v>1.0500000000000001E-2</v>
      </c>
      <c r="BB269" s="624">
        <v>41915</v>
      </c>
      <c r="BC269" s="355">
        <v>0.29859999999999998</v>
      </c>
      <c r="BD269" s="624">
        <v>41915</v>
      </c>
      <c r="BE269" s="355">
        <v>9.3729999999999994E-2</v>
      </c>
      <c r="BF269" s="624">
        <v>41919</v>
      </c>
      <c r="BG269" s="355">
        <v>1.6306000000000001E-2</v>
      </c>
      <c r="BH269" s="624">
        <v>41915</v>
      </c>
      <c r="BI269" s="355">
        <v>8.2101999999999994E-2</v>
      </c>
      <c r="BJ269" s="624">
        <v>41915</v>
      </c>
      <c r="BK269" s="355">
        <v>3.0637000000000001E-2</v>
      </c>
    </row>
    <row r="270" spans="3:63" x14ac:dyDescent="0.15">
      <c r="C270" s="624"/>
      <c r="D270" s="355">
        <v>3.508E-2</v>
      </c>
      <c r="AV270" s="624">
        <v>41922</v>
      </c>
      <c r="AW270" s="355">
        <v>0.41389999999999999</v>
      </c>
      <c r="AX270" s="624">
        <v>41918</v>
      </c>
      <c r="AY270" s="355">
        <v>2.5180000000000001E-2</v>
      </c>
      <c r="AZ270" s="624">
        <v>41918</v>
      </c>
      <c r="BA270" s="355">
        <v>1.06E-2</v>
      </c>
      <c r="BB270" s="624">
        <v>41918</v>
      </c>
      <c r="BC270" s="355">
        <v>0.30280000000000001</v>
      </c>
      <c r="BD270" s="624">
        <v>41918</v>
      </c>
      <c r="BE270" s="355">
        <v>9.393E-2</v>
      </c>
      <c r="BF270" s="624">
        <v>41920</v>
      </c>
      <c r="BG270" s="355">
        <v>1.6386999999999999E-2</v>
      </c>
      <c r="BH270" s="624">
        <v>41918</v>
      </c>
      <c r="BI270" s="355">
        <v>8.2202999999999998E-2</v>
      </c>
      <c r="BJ270" s="624">
        <v>41918</v>
      </c>
      <c r="BK270" s="355">
        <v>3.0693999999999999E-2</v>
      </c>
    </row>
    <row r="271" spans="3:63" x14ac:dyDescent="0.15">
      <c r="C271" s="624"/>
      <c r="D271" s="355">
        <v>3.5020000000000003E-2</v>
      </c>
      <c r="AV271" s="624">
        <v>41925</v>
      </c>
      <c r="AW271" s="355">
        <v>0.41770000000000002</v>
      </c>
      <c r="AX271" s="624">
        <v>41919</v>
      </c>
      <c r="AY271" s="355">
        <v>2.5049999999999999E-2</v>
      </c>
      <c r="AZ271" s="624">
        <v>41919</v>
      </c>
      <c r="BA271" s="355">
        <v>1.06E-2</v>
      </c>
      <c r="BB271" s="624">
        <v>41919</v>
      </c>
      <c r="BC271" s="355">
        <v>0.30280000000000001</v>
      </c>
      <c r="BD271" s="624">
        <v>41919</v>
      </c>
      <c r="BE271" s="355">
        <v>9.375E-2</v>
      </c>
      <c r="BF271" s="624">
        <v>41921</v>
      </c>
      <c r="BG271" s="355">
        <v>1.6362000000000002E-2</v>
      </c>
      <c r="BH271" s="624">
        <v>41919</v>
      </c>
      <c r="BI271" s="355">
        <v>8.1997E-2</v>
      </c>
      <c r="BJ271" s="624">
        <v>41919</v>
      </c>
      <c r="BK271" s="355">
        <v>3.0689000000000001E-2</v>
      </c>
    </row>
    <row r="272" spans="3:63" x14ac:dyDescent="0.15">
      <c r="C272" s="624"/>
      <c r="D272" s="355">
        <v>3.4970000000000001E-2</v>
      </c>
      <c r="AV272" s="624">
        <v>41926</v>
      </c>
      <c r="AW272" s="355">
        <v>0.41649999999999998</v>
      </c>
      <c r="AX272" s="624">
        <v>41920</v>
      </c>
      <c r="AY272" s="355">
        <v>2.5020000000000001E-2</v>
      </c>
      <c r="AZ272" s="624">
        <v>41920</v>
      </c>
      <c r="BA272" s="355">
        <v>1.0699999999999999E-2</v>
      </c>
      <c r="BB272" s="624">
        <v>41920</v>
      </c>
      <c r="BC272" s="355">
        <v>0.3049</v>
      </c>
      <c r="BD272" s="624">
        <v>41920</v>
      </c>
      <c r="BE272" s="355">
        <v>9.3560000000000004E-2</v>
      </c>
      <c r="BF272" s="624">
        <v>41922</v>
      </c>
      <c r="BG272" s="355">
        <v>1.6324999999999999E-2</v>
      </c>
      <c r="BH272" s="624">
        <v>41920</v>
      </c>
      <c r="BI272" s="355">
        <v>8.1958000000000003E-2</v>
      </c>
      <c r="BJ272" s="624">
        <v>41920</v>
      </c>
      <c r="BK272" s="355">
        <v>3.0731999999999999E-2</v>
      </c>
    </row>
    <row r="273" spans="3:63" x14ac:dyDescent="0.15">
      <c r="C273" s="624"/>
      <c r="D273" s="355">
        <v>3.5009999999999999E-2</v>
      </c>
      <c r="AV273" s="624">
        <v>41927</v>
      </c>
      <c r="AW273" s="355">
        <v>0.40699999999999997</v>
      </c>
      <c r="AX273" s="624">
        <v>41921</v>
      </c>
      <c r="AY273" s="355">
        <v>2.4930000000000001E-2</v>
      </c>
      <c r="AZ273" s="624">
        <v>41921</v>
      </c>
      <c r="BA273" s="355">
        <v>1.06E-2</v>
      </c>
      <c r="BB273" s="624">
        <v>41921</v>
      </c>
      <c r="BC273" s="355">
        <v>0.3034</v>
      </c>
      <c r="BD273" s="624">
        <v>41921</v>
      </c>
      <c r="BE273" s="355">
        <v>9.3539999999999998E-2</v>
      </c>
      <c r="BF273" s="624">
        <v>41925</v>
      </c>
      <c r="BG273" s="355">
        <v>1.6386999999999999E-2</v>
      </c>
      <c r="BH273" s="624">
        <v>41921</v>
      </c>
      <c r="BI273" s="355">
        <v>8.2136000000000001E-2</v>
      </c>
      <c r="BJ273" s="624">
        <v>41921</v>
      </c>
      <c r="BK273" s="355">
        <v>3.0839999999999999E-2</v>
      </c>
    </row>
    <row r="274" spans="3:63" x14ac:dyDescent="0.15">
      <c r="C274" s="624"/>
      <c r="D274" s="355">
        <v>3.5009999999999999E-2</v>
      </c>
      <c r="AV274" s="624">
        <v>41928</v>
      </c>
      <c r="AW274" s="355">
        <v>0.40450000000000003</v>
      </c>
      <c r="AX274" s="624">
        <v>41922</v>
      </c>
      <c r="AY274" s="355">
        <v>2.479E-2</v>
      </c>
      <c r="AZ274" s="624">
        <v>41922</v>
      </c>
      <c r="BA274" s="355">
        <v>1.06E-2</v>
      </c>
      <c r="BB274" s="624">
        <v>41922</v>
      </c>
      <c r="BC274" s="355">
        <v>0.30170000000000002</v>
      </c>
      <c r="BD274" s="624">
        <v>41922</v>
      </c>
      <c r="BE274" s="355">
        <v>9.3149999999999997E-2</v>
      </c>
      <c r="BF274" s="624">
        <v>41926</v>
      </c>
      <c r="BG274" s="355">
        <v>1.6292000000000001E-2</v>
      </c>
      <c r="BH274" s="624">
        <v>41922</v>
      </c>
      <c r="BI274" s="355">
        <v>8.1833000000000003E-2</v>
      </c>
      <c r="BJ274" s="624">
        <v>41922</v>
      </c>
      <c r="BK274" s="355">
        <v>3.0800000000000001E-2</v>
      </c>
    </row>
    <row r="275" spans="3:63" x14ac:dyDescent="0.15">
      <c r="C275" s="624"/>
      <c r="D275" s="355">
        <v>3.5029999999999999E-2</v>
      </c>
      <c r="AV275" s="624">
        <v>41929</v>
      </c>
      <c r="AW275" s="355">
        <v>0.40970000000000001</v>
      </c>
      <c r="AX275" s="624">
        <v>41925</v>
      </c>
      <c r="AY275" s="355">
        <v>2.469E-2</v>
      </c>
      <c r="AZ275" s="624">
        <v>41925</v>
      </c>
      <c r="BA275" s="355">
        <v>1.0699999999999999E-2</v>
      </c>
      <c r="BB275" s="624">
        <v>41925</v>
      </c>
      <c r="BC275" s="355">
        <v>0.30420000000000003</v>
      </c>
      <c r="BD275" s="624">
        <v>41925</v>
      </c>
      <c r="BE275" s="355">
        <v>9.3710000000000002E-2</v>
      </c>
      <c r="BF275" s="624">
        <v>41927</v>
      </c>
      <c r="BG275" s="355">
        <v>1.6234999999999999E-2</v>
      </c>
      <c r="BH275" s="624">
        <v>41925</v>
      </c>
      <c r="BI275" s="355">
        <v>8.1900000000000001E-2</v>
      </c>
      <c r="BJ275" s="624">
        <v>41925</v>
      </c>
      <c r="BK275" s="355">
        <v>3.0863999999999999E-2</v>
      </c>
    </row>
    <row r="276" spans="3:63" x14ac:dyDescent="0.15">
      <c r="C276" s="624"/>
      <c r="D276" s="355">
        <v>3.499E-2</v>
      </c>
      <c r="AV276" s="624">
        <v>41932</v>
      </c>
      <c r="AW276" s="355">
        <v>0.40570000000000001</v>
      </c>
      <c r="AX276" s="624">
        <v>41926</v>
      </c>
      <c r="AY276" s="355">
        <v>2.444E-2</v>
      </c>
      <c r="AZ276" s="624">
        <v>41926</v>
      </c>
      <c r="BA276" s="355">
        <v>1.06E-2</v>
      </c>
      <c r="BB276" s="624">
        <v>41926</v>
      </c>
      <c r="BC276" s="355">
        <v>0.30109999999999998</v>
      </c>
      <c r="BD276" s="624">
        <v>41926</v>
      </c>
      <c r="BE276" s="355">
        <v>9.3840000000000007E-2</v>
      </c>
      <c r="BF276" s="624">
        <v>41928</v>
      </c>
      <c r="BG276" s="355">
        <v>1.6225E-2</v>
      </c>
      <c r="BH276" s="624">
        <v>41926</v>
      </c>
      <c r="BI276" s="355">
        <v>8.1934000000000007E-2</v>
      </c>
      <c r="BJ276" s="624">
        <v>41926</v>
      </c>
      <c r="BK276" s="355">
        <v>3.0773999999999999E-2</v>
      </c>
    </row>
    <row r="277" spans="3:63" x14ac:dyDescent="0.15">
      <c r="C277" s="624"/>
      <c r="D277" s="355">
        <v>3.4930000000000003E-2</v>
      </c>
      <c r="AV277" s="624">
        <v>41933</v>
      </c>
      <c r="AW277" s="355">
        <v>0.4032</v>
      </c>
      <c r="AX277" s="624">
        <v>41927</v>
      </c>
      <c r="AY277" s="355">
        <v>2.4760000000000001E-2</v>
      </c>
      <c r="AZ277" s="624">
        <v>41927</v>
      </c>
      <c r="BA277" s="355">
        <v>1.0800000000000001E-2</v>
      </c>
      <c r="BB277" s="624">
        <v>41927</v>
      </c>
      <c r="BC277" s="355">
        <v>0.30409999999999998</v>
      </c>
      <c r="BD277" s="624">
        <v>41927</v>
      </c>
      <c r="BE277" s="355">
        <v>9.425E-2</v>
      </c>
      <c r="BF277" s="624">
        <v>41929</v>
      </c>
      <c r="BG277" s="355">
        <v>1.6315E-2</v>
      </c>
      <c r="BH277" s="624">
        <v>41927</v>
      </c>
      <c r="BI277" s="355">
        <v>8.1766000000000005E-2</v>
      </c>
      <c r="BJ277" s="624">
        <v>41927</v>
      </c>
      <c r="BK277" s="355">
        <v>3.0839999999999999E-2</v>
      </c>
    </row>
    <row r="278" spans="3:63" x14ac:dyDescent="0.15">
      <c r="C278" s="624"/>
      <c r="D278" s="355">
        <v>3.4970000000000001E-2</v>
      </c>
      <c r="AV278" s="624">
        <v>41934</v>
      </c>
      <c r="AW278" s="355">
        <v>0.4017</v>
      </c>
      <c r="AX278" s="624">
        <v>41928</v>
      </c>
      <c r="AY278" s="355">
        <v>2.4479999999999998E-2</v>
      </c>
      <c r="AZ278" s="624">
        <v>41928</v>
      </c>
      <c r="BA278" s="355">
        <v>1.0699999999999999E-2</v>
      </c>
      <c r="BB278" s="624">
        <v>41928</v>
      </c>
      <c r="BC278" s="355">
        <v>0.30280000000000001</v>
      </c>
      <c r="BD278" s="624">
        <v>41928</v>
      </c>
      <c r="BE278" s="355">
        <v>9.4240000000000004E-2</v>
      </c>
      <c r="BF278" s="624">
        <v>41932</v>
      </c>
      <c r="BG278" s="355">
        <v>1.6351999999999998E-2</v>
      </c>
      <c r="BH278" s="624">
        <v>41928</v>
      </c>
      <c r="BI278" s="355">
        <v>8.1666000000000002E-2</v>
      </c>
      <c r="BJ278" s="624">
        <v>41928</v>
      </c>
      <c r="BK278" s="355">
        <v>3.0845000000000001E-2</v>
      </c>
    </row>
    <row r="279" spans="3:63" x14ac:dyDescent="0.15">
      <c r="C279" s="624"/>
      <c r="D279" s="355">
        <v>3.499E-2</v>
      </c>
      <c r="AV279" s="624">
        <v>41935</v>
      </c>
      <c r="AW279" s="355">
        <v>0.39810000000000001</v>
      </c>
      <c r="AX279" s="624">
        <v>41929</v>
      </c>
      <c r="AY279" s="355">
        <v>2.4549999999999999E-2</v>
      </c>
      <c r="AZ279" s="624">
        <v>41929</v>
      </c>
      <c r="BA279" s="355">
        <v>1.0699999999999999E-2</v>
      </c>
      <c r="BB279" s="624">
        <v>41929</v>
      </c>
      <c r="BC279" s="355">
        <v>0.30249999999999999</v>
      </c>
      <c r="BD279" s="624">
        <v>41929</v>
      </c>
      <c r="BE279" s="355">
        <v>9.4049999999999995E-2</v>
      </c>
      <c r="BF279" s="624">
        <v>41933</v>
      </c>
      <c r="BG279" s="355">
        <v>1.6367E-2</v>
      </c>
      <c r="BH279" s="624">
        <v>41929</v>
      </c>
      <c r="BI279" s="355">
        <v>8.2816000000000001E-2</v>
      </c>
      <c r="BJ279" s="624">
        <v>41929</v>
      </c>
      <c r="BK279" s="355">
        <v>3.0859000000000001E-2</v>
      </c>
    </row>
    <row r="280" spans="3:63" x14ac:dyDescent="0.15">
      <c r="C280" s="624"/>
      <c r="D280" s="355">
        <v>3.4889999999999997E-2</v>
      </c>
      <c r="AV280" s="624">
        <v>41936</v>
      </c>
      <c r="AW280" s="355">
        <v>0.4052</v>
      </c>
      <c r="AX280" s="624">
        <v>41932</v>
      </c>
      <c r="AY280" s="355">
        <v>2.4369999999999999E-2</v>
      </c>
      <c r="AZ280" s="624">
        <v>41932</v>
      </c>
      <c r="BA280" s="355">
        <v>1.0699999999999999E-2</v>
      </c>
      <c r="BB280" s="624">
        <v>41932</v>
      </c>
      <c r="BC280" s="355">
        <v>0.30309999999999998</v>
      </c>
      <c r="BD280" s="624">
        <v>41932</v>
      </c>
      <c r="BE280" s="355">
        <v>9.4659999999999994E-2</v>
      </c>
      <c r="BF280" s="624">
        <v>41934</v>
      </c>
      <c r="BG280" s="355">
        <v>1.6341000000000001E-2</v>
      </c>
      <c r="BH280" s="624">
        <v>41932</v>
      </c>
      <c r="BI280" s="355">
        <v>8.3612000000000006E-2</v>
      </c>
      <c r="BJ280" s="624">
        <v>41932</v>
      </c>
      <c r="BK280" s="355">
        <v>3.0988999999999999E-2</v>
      </c>
    </row>
    <row r="281" spans="3:63" x14ac:dyDescent="0.15">
      <c r="C281" s="624"/>
      <c r="D281" s="355">
        <v>3.4970000000000001E-2</v>
      </c>
      <c r="AV281" s="624">
        <v>41939</v>
      </c>
      <c r="AW281" s="355">
        <v>0.39650000000000002</v>
      </c>
      <c r="AX281" s="624">
        <v>41933</v>
      </c>
      <c r="AY281" s="355">
        <v>2.4420000000000001E-2</v>
      </c>
      <c r="AZ281" s="624">
        <v>41933</v>
      </c>
      <c r="BA281" s="355">
        <v>1.0699999999999999E-2</v>
      </c>
      <c r="BB281" s="624">
        <v>41933</v>
      </c>
      <c r="BC281" s="355">
        <v>0.30130000000000001</v>
      </c>
      <c r="BD281" s="624">
        <v>41933</v>
      </c>
      <c r="BE281" s="355">
        <v>9.4759999999999997E-2</v>
      </c>
      <c r="BF281" s="624">
        <v>41936</v>
      </c>
      <c r="BG281" s="355">
        <v>1.6364E-2</v>
      </c>
      <c r="BH281" s="624">
        <v>41933</v>
      </c>
      <c r="BI281" s="355">
        <v>8.3506999999999998E-2</v>
      </c>
      <c r="BJ281" s="624">
        <v>41933</v>
      </c>
      <c r="BK281" s="355">
        <v>3.0981999999999999E-2</v>
      </c>
    </row>
    <row r="282" spans="3:63" x14ac:dyDescent="0.15">
      <c r="C282" s="624"/>
      <c r="D282" s="355">
        <v>3.5110000000000002E-2</v>
      </c>
      <c r="AV282" s="624">
        <v>41940</v>
      </c>
      <c r="AW282" s="355">
        <v>0.4032</v>
      </c>
      <c r="AX282" s="624">
        <v>41934</v>
      </c>
      <c r="AY282" s="355">
        <v>2.4170000000000001E-2</v>
      </c>
      <c r="AZ282" s="624">
        <v>41934</v>
      </c>
      <c r="BA282" s="355">
        <v>1.06E-2</v>
      </c>
      <c r="BB282" s="624">
        <v>41934</v>
      </c>
      <c r="BC282" s="355">
        <v>0.29880000000000001</v>
      </c>
      <c r="BD282" s="624">
        <v>41934</v>
      </c>
      <c r="BE282" s="355">
        <v>9.4899999999999998E-2</v>
      </c>
      <c r="BF282" s="624">
        <v>41939</v>
      </c>
      <c r="BG282" s="355">
        <v>1.6303999999999999E-2</v>
      </c>
      <c r="BH282" s="624">
        <v>41934</v>
      </c>
      <c r="BI282" s="355">
        <v>8.3264000000000005E-2</v>
      </c>
      <c r="BJ282" s="624">
        <v>41934</v>
      </c>
      <c r="BK282" s="355">
        <v>3.0917E-2</v>
      </c>
    </row>
    <row r="283" spans="3:63" x14ac:dyDescent="0.15">
      <c r="C283" s="624"/>
      <c r="D283" s="355">
        <v>3.508E-2</v>
      </c>
      <c r="AV283" s="624">
        <v>41941</v>
      </c>
      <c r="AW283" s="355">
        <v>0.40749999999999997</v>
      </c>
      <c r="AX283" s="624">
        <v>41935</v>
      </c>
      <c r="AY283" s="355">
        <v>2.3980000000000001E-2</v>
      </c>
      <c r="AZ283" s="624">
        <v>41935</v>
      </c>
      <c r="BA283" s="355">
        <v>1.06E-2</v>
      </c>
      <c r="BB283" s="624">
        <v>41935</v>
      </c>
      <c r="BC283" s="355">
        <v>0.29909999999999998</v>
      </c>
      <c r="BD283" s="624">
        <v>41935</v>
      </c>
      <c r="BE283" s="355">
        <v>9.4329999999999997E-2</v>
      </c>
      <c r="BF283" s="624">
        <v>41940</v>
      </c>
      <c r="BG283" s="355">
        <v>1.6348000000000001E-2</v>
      </c>
      <c r="BH283" s="624">
        <v>41935</v>
      </c>
      <c r="BI283" s="355">
        <v>8.2970000000000002E-2</v>
      </c>
      <c r="BJ283" s="624">
        <v>41935</v>
      </c>
      <c r="BK283" s="355">
        <v>3.0901000000000001E-2</v>
      </c>
    </row>
    <row r="284" spans="3:63" x14ac:dyDescent="0.15">
      <c r="C284" s="624"/>
      <c r="D284" s="355">
        <v>3.5159999999999997E-2</v>
      </c>
      <c r="AV284" s="624">
        <v>41942</v>
      </c>
      <c r="AW284" s="355">
        <v>0.41589999999999999</v>
      </c>
      <c r="AX284" s="624">
        <v>41936</v>
      </c>
      <c r="AY284" s="355">
        <v>2.3869999999999999E-2</v>
      </c>
      <c r="AZ284" s="624">
        <v>41936</v>
      </c>
      <c r="BA284" s="355">
        <v>1.06E-2</v>
      </c>
      <c r="BB284" s="624">
        <v>41936</v>
      </c>
      <c r="BC284" s="355">
        <v>0.30070000000000002</v>
      </c>
      <c r="BD284" s="624">
        <v>41936</v>
      </c>
      <c r="BE284" s="355">
        <v>9.4600000000000004E-2</v>
      </c>
      <c r="BF284" s="624">
        <v>41941</v>
      </c>
      <c r="BG284" s="355">
        <v>1.6261999999999999E-2</v>
      </c>
      <c r="BH284" s="624">
        <v>41936</v>
      </c>
      <c r="BI284" s="355">
        <v>8.2991999999999996E-2</v>
      </c>
      <c r="BJ284" s="624">
        <v>41936</v>
      </c>
      <c r="BK284" s="355">
        <v>3.0856000000000001E-2</v>
      </c>
    </row>
    <row r="285" spans="3:63" x14ac:dyDescent="0.15">
      <c r="C285" s="624"/>
      <c r="D285" s="355">
        <v>3.5119999999999998E-2</v>
      </c>
      <c r="AV285" s="624">
        <v>41943</v>
      </c>
      <c r="AW285" s="355">
        <v>0.40489999999999998</v>
      </c>
      <c r="AX285" s="624">
        <v>41939</v>
      </c>
      <c r="AY285" s="355">
        <v>2.367E-2</v>
      </c>
      <c r="AZ285" s="624">
        <v>41939</v>
      </c>
      <c r="BA285" s="355">
        <v>1.06E-2</v>
      </c>
      <c r="BB285" s="624">
        <v>41939</v>
      </c>
      <c r="BC285" s="355">
        <v>0.30049999999999999</v>
      </c>
      <c r="BD285" s="624">
        <v>41939</v>
      </c>
      <c r="BE285" s="355">
        <v>9.5070000000000002E-2</v>
      </c>
      <c r="BF285" s="624">
        <v>41942</v>
      </c>
      <c r="BG285" s="355">
        <v>1.6303000000000002E-2</v>
      </c>
      <c r="BH285" s="624">
        <v>41939</v>
      </c>
      <c r="BI285" s="355">
        <v>8.2747000000000001E-2</v>
      </c>
      <c r="BJ285" s="624">
        <v>41939</v>
      </c>
      <c r="BK285" s="355">
        <v>3.083E-2</v>
      </c>
    </row>
    <row r="286" spans="3:63" x14ac:dyDescent="0.15">
      <c r="C286" s="624"/>
      <c r="D286" s="355">
        <v>3.4979999999999997E-2</v>
      </c>
      <c r="AV286" s="624">
        <v>41946</v>
      </c>
      <c r="AW286" s="355">
        <v>0.40050000000000002</v>
      </c>
      <c r="AX286" s="624">
        <v>41940</v>
      </c>
      <c r="AY286" s="355">
        <v>2.3560000000000001E-2</v>
      </c>
      <c r="AZ286" s="624">
        <v>41940</v>
      </c>
      <c r="BA286" s="355">
        <v>1.0699999999999999E-2</v>
      </c>
      <c r="BB286" s="624">
        <v>41940</v>
      </c>
      <c r="BC286" s="355">
        <v>0.30209999999999998</v>
      </c>
      <c r="BD286" s="624">
        <v>41940</v>
      </c>
      <c r="BE286" s="355">
        <v>9.5420000000000005E-2</v>
      </c>
      <c r="BF286" s="624">
        <v>41943</v>
      </c>
      <c r="BG286" s="355">
        <v>1.6284E-2</v>
      </c>
      <c r="BH286" s="624">
        <v>41940</v>
      </c>
      <c r="BI286" s="355">
        <v>8.2152000000000003E-2</v>
      </c>
      <c r="BJ286" s="624">
        <v>41940</v>
      </c>
      <c r="BK286" s="355">
        <v>3.0828999999999999E-2</v>
      </c>
    </row>
    <row r="287" spans="3:63" x14ac:dyDescent="0.15">
      <c r="C287" s="624"/>
      <c r="D287" s="355">
        <v>3.5000000000000003E-2</v>
      </c>
      <c r="AV287" s="624">
        <v>41947</v>
      </c>
      <c r="AW287" s="355">
        <v>0.39850000000000002</v>
      </c>
      <c r="AX287" s="624">
        <v>41941</v>
      </c>
      <c r="AY287" s="355">
        <v>2.316E-2</v>
      </c>
      <c r="AZ287" s="624">
        <v>41941</v>
      </c>
      <c r="BA287" s="355">
        <v>1.06E-2</v>
      </c>
      <c r="BB287" s="624">
        <v>41941</v>
      </c>
      <c r="BC287" s="355">
        <v>0.29899999999999999</v>
      </c>
      <c r="BD287" s="624">
        <v>41941</v>
      </c>
      <c r="BE287" s="355">
        <v>9.486E-2</v>
      </c>
      <c r="BF287" s="624">
        <v>41946</v>
      </c>
      <c r="BG287" s="355">
        <v>1.6277E-2</v>
      </c>
      <c r="BH287" s="624">
        <v>41941</v>
      </c>
      <c r="BI287" s="355">
        <v>8.2237000000000005E-2</v>
      </c>
      <c r="BJ287" s="624">
        <v>41941</v>
      </c>
      <c r="BK287" s="355">
        <v>3.0742999999999999E-2</v>
      </c>
    </row>
    <row r="288" spans="3:63" x14ac:dyDescent="0.15">
      <c r="C288" s="624"/>
      <c r="D288" s="355">
        <v>3.5020000000000003E-2</v>
      </c>
      <c r="AV288" s="624">
        <v>41948</v>
      </c>
      <c r="AW288" s="355">
        <v>0.39900000000000002</v>
      </c>
      <c r="AX288" s="624">
        <v>41942</v>
      </c>
      <c r="AY288" s="355">
        <v>2.4049999999999998E-2</v>
      </c>
      <c r="AZ288" s="624">
        <v>41942</v>
      </c>
      <c r="BA288" s="355">
        <v>1.06E-2</v>
      </c>
      <c r="BB288" s="624">
        <v>41942</v>
      </c>
      <c r="BC288" s="355">
        <v>0.29949999999999999</v>
      </c>
      <c r="BD288" s="624">
        <v>41942</v>
      </c>
      <c r="BE288" s="355">
        <v>9.4820000000000002E-2</v>
      </c>
      <c r="BF288" s="624">
        <v>41947</v>
      </c>
      <c r="BG288" s="355">
        <v>1.6308E-2</v>
      </c>
      <c r="BH288" s="624">
        <v>41942</v>
      </c>
      <c r="BI288" s="355">
        <v>8.2542000000000004E-2</v>
      </c>
      <c r="BJ288" s="624">
        <v>41942</v>
      </c>
      <c r="BK288" s="355">
        <v>3.0723E-2</v>
      </c>
    </row>
    <row r="289" spans="3:63" x14ac:dyDescent="0.15">
      <c r="C289" s="624"/>
      <c r="D289" s="355">
        <v>3.4970000000000001E-2</v>
      </c>
      <c r="AV289" s="624">
        <v>41949</v>
      </c>
      <c r="AW289" s="355">
        <v>0.3921</v>
      </c>
      <c r="AX289" s="624">
        <v>41943</v>
      </c>
      <c r="AY289" s="355">
        <v>2.325E-2</v>
      </c>
      <c r="AZ289" s="624">
        <v>41943</v>
      </c>
      <c r="BA289" s="355">
        <v>1.0500000000000001E-2</v>
      </c>
      <c r="BB289" s="624">
        <v>41943</v>
      </c>
      <c r="BC289" s="355">
        <v>0.2964</v>
      </c>
      <c r="BD289" s="624">
        <v>41943</v>
      </c>
      <c r="BE289" s="355">
        <v>9.3130000000000004E-2</v>
      </c>
      <c r="BF289" s="624">
        <v>41948</v>
      </c>
      <c r="BG289" s="355">
        <v>1.6285999999999998E-2</v>
      </c>
      <c r="BH289" s="624">
        <v>41943</v>
      </c>
      <c r="BI289" s="355">
        <v>8.2821000000000006E-2</v>
      </c>
      <c r="BJ289" s="624">
        <v>41943</v>
      </c>
      <c r="BK289" s="355">
        <v>3.0672999999999999E-2</v>
      </c>
    </row>
    <row r="290" spans="3:63" x14ac:dyDescent="0.15">
      <c r="C290" s="624"/>
      <c r="D290" s="355">
        <v>3.499E-2</v>
      </c>
      <c r="AV290" s="624">
        <v>41950</v>
      </c>
      <c r="AW290" s="355">
        <v>0.39090000000000003</v>
      </c>
      <c r="AX290" s="624">
        <v>41946</v>
      </c>
      <c r="AY290" s="355">
        <v>2.2939999999999999E-2</v>
      </c>
      <c r="AZ290" s="624">
        <v>41946</v>
      </c>
      <c r="BA290" s="355">
        <v>1.0500000000000001E-2</v>
      </c>
      <c r="BB290" s="624">
        <v>41946</v>
      </c>
      <c r="BC290" s="355">
        <v>0.29549999999999998</v>
      </c>
      <c r="BD290" s="624">
        <v>41946</v>
      </c>
      <c r="BE290" s="355">
        <v>9.2270000000000005E-2</v>
      </c>
      <c r="BF290" s="624">
        <v>41949</v>
      </c>
      <c r="BG290" s="355">
        <v>1.6250000000000001E-2</v>
      </c>
      <c r="BH290" s="624">
        <v>41946</v>
      </c>
      <c r="BI290" s="355">
        <v>8.2474000000000006E-2</v>
      </c>
      <c r="BJ290" s="624">
        <v>41946</v>
      </c>
      <c r="BK290" s="355">
        <v>3.0571999999999998E-2</v>
      </c>
    </row>
    <row r="291" spans="3:63" x14ac:dyDescent="0.15">
      <c r="C291" s="624"/>
      <c r="D291" s="355">
        <v>3.4750000000000003E-2</v>
      </c>
      <c r="AV291" s="624">
        <v>41953</v>
      </c>
      <c r="AW291" s="355">
        <v>0.3926</v>
      </c>
      <c r="AX291" s="624">
        <v>41947</v>
      </c>
      <c r="AY291" s="355">
        <v>2.2950000000000002E-2</v>
      </c>
      <c r="AZ291" s="624">
        <v>41947</v>
      </c>
      <c r="BA291" s="355">
        <v>1.0500000000000001E-2</v>
      </c>
      <c r="BB291" s="624">
        <v>41947</v>
      </c>
      <c r="BC291" s="355">
        <v>0.29680000000000001</v>
      </c>
      <c r="BD291" s="624">
        <v>41947</v>
      </c>
      <c r="BE291" s="355">
        <v>9.2740000000000003E-2</v>
      </c>
      <c r="BF291" s="624">
        <v>41950</v>
      </c>
      <c r="BG291" s="355">
        <v>1.6288E-2</v>
      </c>
      <c r="BH291" s="624">
        <v>41947</v>
      </c>
      <c r="BI291" s="355">
        <v>8.2712999999999995E-2</v>
      </c>
      <c r="BJ291" s="624">
        <v>41947</v>
      </c>
      <c r="BK291" s="355">
        <v>3.0601E-2</v>
      </c>
    </row>
    <row r="292" spans="3:63" x14ac:dyDescent="0.15">
      <c r="C292" s="624"/>
      <c r="D292" s="355">
        <v>3.4669999999999999E-2</v>
      </c>
      <c r="AV292" s="624">
        <v>41954</v>
      </c>
      <c r="AW292" s="355">
        <v>0.39100000000000001</v>
      </c>
      <c r="AX292" s="624">
        <v>41948</v>
      </c>
      <c r="AY292" s="355">
        <v>2.2280000000000001E-2</v>
      </c>
      <c r="AZ292" s="624">
        <v>41948</v>
      </c>
      <c r="BA292" s="355">
        <v>1.0500000000000001E-2</v>
      </c>
      <c r="BB292" s="624">
        <v>41948</v>
      </c>
      <c r="BC292" s="355">
        <v>0.29530000000000001</v>
      </c>
      <c r="BD292" s="624">
        <v>41948</v>
      </c>
      <c r="BE292" s="355">
        <v>9.1700000000000004E-2</v>
      </c>
      <c r="BF292" s="624">
        <v>41953</v>
      </c>
      <c r="BG292" s="355">
        <v>1.6254000000000001E-2</v>
      </c>
      <c r="BH292" s="624">
        <v>41948</v>
      </c>
      <c r="BI292" s="355">
        <v>8.2101999999999994E-2</v>
      </c>
      <c r="BJ292" s="624">
        <v>41948</v>
      </c>
      <c r="BK292" s="355">
        <v>3.0519999999999999E-2</v>
      </c>
    </row>
    <row r="293" spans="3:63" x14ac:dyDescent="0.15">
      <c r="C293" s="624"/>
      <c r="D293" s="355">
        <v>3.4700000000000002E-2</v>
      </c>
      <c r="AV293" s="624">
        <v>41955</v>
      </c>
      <c r="AW293" s="355">
        <v>0.39069999999999999</v>
      </c>
      <c r="AX293" s="624">
        <v>41949</v>
      </c>
      <c r="AY293" s="355">
        <v>2.137E-2</v>
      </c>
      <c r="AZ293" s="624">
        <v>41949</v>
      </c>
      <c r="BA293" s="355">
        <v>1.04E-2</v>
      </c>
      <c r="BB293" s="624">
        <v>41949</v>
      </c>
      <c r="BC293" s="355">
        <v>0.29320000000000002</v>
      </c>
      <c r="BD293" s="624">
        <v>41949</v>
      </c>
      <c r="BE293" s="355">
        <v>9.1539999999999996E-2</v>
      </c>
      <c r="BF293" s="624">
        <v>41954</v>
      </c>
      <c r="BG293" s="355">
        <v>1.6263E-2</v>
      </c>
      <c r="BH293" s="624">
        <v>41949</v>
      </c>
      <c r="BI293" s="355">
        <v>8.2033999999999996E-2</v>
      </c>
      <c r="BJ293" s="624">
        <v>41949</v>
      </c>
      <c r="BK293" s="355">
        <v>3.0484000000000001E-2</v>
      </c>
    </row>
    <row r="294" spans="3:63" x14ac:dyDescent="0.15">
      <c r="C294" s="624"/>
      <c r="D294" s="355">
        <v>3.4660000000000003E-2</v>
      </c>
      <c r="AV294" s="624">
        <v>41956</v>
      </c>
      <c r="AW294" s="355">
        <v>0.3856</v>
      </c>
      <c r="AX294" s="624">
        <v>41950</v>
      </c>
      <c r="AY294" s="355">
        <v>2.1420000000000002E-2</v>
      </c>
      <c r="AZ294" s="624">
        <v>41950</v>
      </c>
      <c r="BA294" s="355">
        <v>1.04E-2</v>
      </c>
      <c r="BB294" s="624">
        <v>41950</v>
      </c>
      <c r="BC294" s="355">
        <v>0.29470000000000002</v>
      </c>
      <c r="BD294" s="624">
        <v>41950</v>
      </c>
      <c r="BE294" s="355">
        <v>9.1980000000000006E-2</v>
      </c>
      <c r="BF294" s="624">
        <v>41955</v>
      </c>
      <c r="BG294" s="355">
        <v>1.6288E-2</v>
      </c>
      <c r="BH294" s="624">
        <v>41950</v>
      </c>
      <c r="BI294" s="355">
        <v>8.2354999999999998E-2</v>
      </c>
      <c r="BJ294" s="624">
        <v>41950</v>
      </c>
      <c r="BK294" s="355">
        <v>3.0511E-2</v>
      </c>
    </row>
    <row r="295" spans="3:63" x14ac:dyDescent="0.15">
      <c r="C295" s="624"/>
      <c r="D295" s="355">
        <v>3.4660000000000003E-2</v>
      </c>
      <c r="AV295" s="624">
        <v>41957</v>
      </c>
      <c r="AW295" s="355">
        <v>0.38440000000000002</v>
      </c>
      <c r="AX295" s="624">
        <v>41953</v>
      </c>
      <c r="AY295" s="355">
        <v>2.18E-2</v>
      </c>
      <c r="AZ295" s="624">
        <v>41953</v>
      </c>
      <c r="BA295" s="355">
        <v>1.03E-2</v>
      </c>
      <c r="BB295" s="624">
        <v>41953</v>
      </c>
      <c r="BC295" s="355">
        <v>0.2944</v>
      </c>
      <c r="BD295" s="624">
        <v>41953</v>
      </c>
      <c r="BE295" s="355">
        <v>9.1700000000000004E-2</v>
      </c>
      <c r="BF295" s="624">
        <v>41956</v>
      </c>
      <c r="BG295" s="355">
        <v>1.6265000000000002E-2</v>
      </c>
      <c r="BH295" s="624">
        <v>41953</v>
      </c>
      <c r="BI295" s="355">
        <v>8.2270999999999997E-2</v>
      </c>
      <c r="BJ295" s="624">
        <v>41953</v>
      </c>
      <c r="BK295" s="355">
        <v>3.0499999999999999E-2</v>
      </c>
    </row>
    <row r="296" spans="3:63" x14ac:dyDescent="0.15">
      <c r="C296" s="624"/>
      <c r="D296" s="355">
        <v>3.4639999999999997E-2</v>
      </c>
      <c r="AV296" s="624">
        <v>41960</v>
      </c>
      <c r="AW296" s="355">
        <v>0.38340000000000002</v>
      </c>
      <c r="AX296" s="624">
        <v>41954</v>
      </c>
      <c r="AY296" s="355">
        <v>2.1579999999999998E-2</v>
      </c>
      <c r="AZ296" s="624">
        <v>41954</v>
      </c>
      <c r="BA296" s="355">
        <v>1.04E-2</v>
      </c>
      <c r="BB296" s="624">
        <v>41954</v>
      </c>
      <c r="BC296" s="355">
        <v>0.29570000000000002</v>
      </c>
      <c r="BD296" s="624">
        <v>41954</v>
      </c>
      <c r="BE296" s="355">
        <v>9.1329999999999995E-2</v>
      </c>
      <c r="BF296" s="624">
        <v>41957</v>
      </c>
      <c r="BG296" s="355">
        <v>1.6219000000000001E-2</v>
      </c>
      <c r="BH296" s="624">
        <v>41954</v>
      </c>
      <c r="BI296" s="355">
        <v>8.1934000000000007E-2</v>
      </c>
      <c r="BJ296" s="624">
        <v>41954</v>
      </c>
      <c r="BK296" s="355">
        <v>3.0432000000000001E-2</v>
      </c>
    </row>
    <row r="297" spans="3:63" x14ac:dyDescent="0.15">
      <c r="C297" s="624"/>
      <c r="D297" s="355">
        <v>3.4700000000000002E-2</v>
      </c>
      <c r="AV297" s="624">
        <v>41961</v>
      </c>
      <c r="AW297" s="355">
        <v>0.38690000000000002</v>
      </c>
      <c r="AX297" s="624">
        <v>41955</v>
      </c>
      <c r="AY297" s="355">
        <v>2.2179999999999998E-2</v>
      </c>
      <c r="AZ297" s="624">
        <v>41955</v>
      </c>
      <c r="BA297" s="355">
        <v>1.03E-2</v>
      </c>
      <c r="BB297" s="624">
        <v>41955</v>
      </c>
      <c r="BC297" s="355">
        <v>0.2949</v>
      </c>
      <c r="BD297" s="624">
        <v>41955</v>
      </c>
      <c r="BE297" s="355">
        <v>9.1350000000000001E-2</v>
      </c>
      <c r="BF297" s="624">
        <v>41960</v>
      </c>
      <c r="BG297" s="355">
        <v>1.6182999999999999E-2</v>
      </c>
      <c r="BH297" s="624">
        <v>41955</v>
      </c>
      <c r="BI297" s="355">
        <v>8.2020999999999997E-2</v>
      </c>
      <c r="BJ297" s="624">
        <v>41955</v>
      </c>
      <c r="BK297" s="355">
        <v>3.0442E-2</v>
      </c>
    </row>
    <row r="298" spans="3:63" x14ac:dyDescent="0.15">
      <c r="C298" s="624"/>
      <c r="D298" s="355">
        <v>3.465E-2</v>
      </c>
      <c r="AV298" s="624">
        <v>41962</v>
      </c>
      <c r="AW298" s="355">
        <v>0.38869999999999999</v>
      </c>
      <c r="AX298" s="624">
        <v>41956</v>
      </c>
      <c r="AY298" s="355">
        <v>2.138E-2</v>
      </c>
      <c r="AZ298" s="624">
        <v>41956</v>
      </c>
      <c r="BA298" s="355">
        <v>1.04E-2</v>
      </c>
      <c r="BB298" s="624">
        <v>41956</v>
      </c>
      <c r="BC298" s="355">
        <v>0.2944</v>
      </c>
      <c r="BD298" s="624">
        <v>41956</v>
      </c>
      <c r="BE298" s="355">
        <v>9.1179999999999997E-2</v>
      </c>
      <c r="BF298" s="624">
        <v>41961</v>
      </c>
      <c r="BG298" s="355">
        <v>1.6195999999999999E-2</v>
      </c>
      <c r="BH298" s="624">
        <v>41956</v>
      </c>
      <c r="BI298" s="355">
        <v>8.2001000000000004E-2</v>
      </c>
      <c r="BJ298" s="624">
        <v>41956</v>
      </c>
      <c r="BK298" s="355">
        <v>3.0488000000000001E-2</v>
      </c>
    </row>
    <row r="299" spans="3:63" x14ac:dyDescent="0.15">
      <c r="C299" s="624"/>
      <c r="D299" s="355">
        <v>3.4729999999999997E-2</v>
      </c>
      <c r="AV299" s="624">
        <v>41963</v>
      </c>
      <c r="AW299" s="355">
        <v>0.3886</v>
      </c>
      <c r="AX299" s="624">
        <v>41957</v>
      </c>
      <c r="AY299" s="355">
        <v>2.1190000000000001E-2</v>
      </c>
      <c r="AZ299" s="624">
        <v>41957</v>
      </c>
      <c r="BA299" s="355">
        <v>1.04E-2</v>
      </c>
      <c r="BB299" s="624">
        <v>41957</v>
      </c>
      <c r="BC299" s="355">
        <v>0.29609999999999997</v>
      </c>
      <c r="BD299" s="624">
        <v>41957</v>
      </c>
      <c r="BE299" s="355">
        <v>9.0840000000000004E-2</v>
      </c>
      <c r="BF299" s="624">
        <v>41962</v>
      </c>
      <c r="BG299" s="355">
        <v>1.6111E-2</v>
      </c>
      <c r="BH299" s="624">
        <v>41957</v>
      </c>
      <c r="BI299" s="355">
        <v>8.2202999999999998E-2</v>
      </c>
      <c r="BJ299" s="624">
        <v>41957</v>
      </c>
      <c r="BK299" s="355">
        <v>3.0485000000000002E-2</v>
      </c>
    </row>
    <row r="300" spans="3:63" x14ac:dyDescent="0.15">
      <c r="C300" s="624"/>
      <c r="D300" s="355">
        <v>3.4779999999999998E-2</v>
      </c>
      <c r="AV300" s="624">
        <v>41964</v>
      </c>
      <c r="AW300" s="355">
        <v>0.39760000000000001</v>
      </c>
      <c r="AX300" s="624">
        <v>41960</v>
      </c>
      <c r="AY300" s="355">
        <v>2.1190000000000001E-2</v>
      </c>
      <c r="AZ300" s="624">
        <v>41960</v>
      </c>
      <c r="BA300" s="355">
        <v>1.04E-2</v>
      </c>
      <c r="BB300" s="624">
        <v>41960</v>
      </c>
      <c r="BC300" s="355">
        <v>0.2949</v>
      </c>
      <c r="BD300" s="624">
        <v>41960</v>
      </c>
      <c r="BE300" s="355">
        <v>9.0819999999999998E-2</v>
      </c>
      <c r="BF300" s="624">
        <v>41963</v>
      </c>
      <c r="BG300" s="355">
        <v>1.6150999999999999E-2</v>
      </c>
      <c r="BH300" s="624">
        <v>41960</v>
      </c>
      <c r="BI300" s="355">
        <v>8.2435999999999995E-2</v>
      </c>
      <c r="BJ300" s="624">
        <v>41960</v>
      </c>
      <c r="BK300" s="355">
        <v>3.0491999999999998E-2</v>
      </c>
    </row>
    <row r="301" spans="3:63" x14ac:dyDescent="0.15">
      <c r="C301" s="624"/>
      <c r="D301" s="355">
        <v>3.4700000000000002E-2</v>
      </c>
      <c r="AV301" s="624">
        <v>41967</v>
      </c>
      <c r="AW301" s="355">
        <v>0.39219999999999999</v>
      </c>
      <c r="AX301" s="624">
        <v>41961</v>
      </c>
      <c r="AY301" s="355">
        <v>2.1319999999999999E-2</v>
      </c>
      <c r="AZ301" s="624">
        <v>41961</v>
      </c>
      <c r="BA301" s="355">
        <v>1.04E-2</v>
      </c>
      <c r="BB301" s="624">
        <v>41961</v>
      </c>
      <c r="BC301" s="355">
        <v>0.29730000000000001</v>
      </c>
      <c r="BD301" s="624">
        <v>41961</v>
      </c>
      <c r="BE301" s="355">
        <v>9.0829999999999994E-2</v>
      </c>
      <c r="BF301" s="624">
        <v>41964</v>
      </c>
      <c r="BG301" s="355">
        <v>1.6209000000000001E-2</v>
      </c>
      <c r="BH301" s="624">
        <v>41961</v>
      </c>
      <c r="BI301" s="355">
        <v>8.2897999999999999E-2</v>
      </c>
      <c r="BJ301" s="624">
        <v>41961</v>
      </c>
      <c r="BK301" s="355">
        <v>3.0526999999999999E-2</v>
      </c>
    </row>
    <row r="302" spans="3:63" x14ac:dyDescent="0.15">
      <c r="C302" s="624"/>
      <c r="D302" s="355">
        <v>3.483E-2</v>
      </c>
      <c r="AV302" s="624">
        <v>41968</v>
      </c>
      <c r="AW302" s="355">
        <v>0.39500000000000002</v>
      </c>
      <c r="AX302" s="624">
        <v>41962</v>
      </c>
      <c r="AY302" s="355">
        <v>2.1340000000000001E-2</v>
      </c>
      <c r="AZ302" s="624">
        <v>41962</v>
      </c>
      <c r="BA302" s="355">
        <v>1.04E-2</v>
      </c>
      <c r="BB302" s="624">
        <v>41962</v>
      </c>
      <c r="BC302" s="355">
        <v>0.29749999999999999</v>
      </c>
      <c r="BD302" s="624">
        <v>41962</v>
      </c>
      <c r="BE302" s="355">
        <v>8.9789999999999995E-2</v>
      </c>
      <c r="BF302" s="624">
        <v>41967</v>
      </c>
      <c r="BG302" s="355">
        <v>1.6161999999999999E-2</v>
      </c>
      <c r="BH302" s="624">
        <v>41962</v>
      </c>
      <c r="BI302" s="355">
        <v>8.2507999999999998E-2</v>
      </c>
      <c r="BJ302" s="624">
        <v>41962</v>
      </c>
      <c r="BK302" s="355">
        <v>3.0453000000000001E-2</v>
      </c>
    </row>
    <row r="303" spans="3:63" x14ac:dyDescent="0.15">
      <c r="C303" s="624"/>
      <c r="D303" s="355">
        <v>3.4799999999999998E-2</v>
      </c>
      <c r="AV303" s="624">
        <v>41969</v>
      </c>
      <c r="AW303" s="355">
        <v>0.39979999999999999</v>
      </c>
      <c r="AX303" s="624">
        <v>41963</v>
      </c>
      <c r="AY303" s="355">
        <v>2.1669999999999998E-2</v>
      </c>
      <c r="AZ303" s="624">
        <v>41963</v>
      </c>
      <c r="BA303" s="355">
        <v>1.0500000000000001E-2</v>
      </c>
      <c r="BB303" s="624">
        <v>41963</v>
      </c>
      <c r="BC303" s="355">
        <v>0.29759999999999998</v>
      </c>
      <c r="BD303" s="624">
        <v>41963</v>
      </c>
      <c r="BE303" s="355">
        <v>8.9950000000000002E-2</v>
      </c>
      <c r="BF303" s="624">
        <v>41968</v>
      </c>
      <c r="BG303" s="355">
        <v>1.6174999999999998E-2</v>
      </c>
      <c r="BH303" s="624">
        <v>41963</v>
      </c>
      <c r="BI303" s="355">
        <v>8.2305000000000003E-2</v>
      </c>
      <c r="BJ303" s="624">
        <v>41963</v>
      </c>
      <c r="BK303" s="355">
        <v>3.049E-2</v>
      </c>
    </row>
    <row r="304" spans="3:63" x14ac:dyDescent="0.15">
      <c r="C304" s="624"/>
      <c r="D304" s="355">
        <v>3.4759999999999999E-2</v>
      </c>
      <c r="AV304" s="624">
        <v>41970</v>
      </c>
      <c r="AW304" s="355">
        <v>0.39479999999999998</v>
      </c>
      <c r="AX304" s="624">
        <v>41964</v>
      </c>
      <c r="AY304" s="355">
        <v>2.188E-2</v>
      </c>
      <c r="AZ304" s="624">
        <v>41964</v>
      </c>
      <c r="BA304" s="355">
        <v>1.03E-2</v>
      </c>
      <c r="BB304" s="624">
        <v>41964</v>
      </c>
      <c r="BC304" s="355">
        <v>0.29499999999999998</v>
      </c>
      <c r="BD304" s="624">
        <v>41964</v>
      </c>
      <c r="BE304" s="355">
        <v>8.9969999999999994E-2</v>
      </c>
      <c r="BF304" s="624">
        <v>41969</v>
      </c>
      <c r="BG304" s="355">
        <v>1.6185000000000001E-2</v>
      </c>
      <c r="BH304" s="624">
        <v>41964</v>
      </c>
      <c r="BI304" s="355">
        <v>8.2542000000000004E-2</v>
      </c>
      <c r="BJ304" s="624">
        <v>41964</v>
      </c>
      <c r="BK304" s="355">
        <v>3.0504E-2</v>
      </c>
    </row>
    <row r="305" spans="3:63" x14ac:dyDescent="0.15">
      <c r="C305" s="624"/>
      <c r="D305" s="355">
        <v>3.465E-2</v>
      </c>
      <c r="AV305" s="624">
        <v>41971</v>
      </c>
      <c r="AW305" s="355">
        <v>0.38979999999999998</v>
      </c>
      <c r="AX305" s="624">
        <v>41967</v>
      </c>
      <c r="AY305" s="355">
        <v>2.223E-2</v>
      </c>
      <c r="AZ305" s="624">
        <v>41967</v>
      </c>
      <c r="BA305" s="355">
        <v>1.03E-2</v>
      </c>
      <c r="BB305" s="624">
        <v>41967</v>
      </c>
      <c r="BC305" s="355">
        <v>0.29649999999999999</v>
      </c>
      <c r="BD305" s="624">
        <v>41967</v>
      </c>
      <c r="BE305" s="355">
        <v>8.9770000000000003E-2</v>
      </c>
      <c r="BF305" s="624">
        <v>41970</v>
      </c>
      <c r="BG305" s="355">
        <v>1.6168999999999999E-2</v>
      </c>
      <c r="BH305" s="624">
        <v>41967</v>
      </c>
      <c r="BI305" s="355">
        <v>8.2337999999999995E-2</v>
      </c>
      <c r="BJ305" s="624">
        <v>41967</v>
      </c>
      <c r="BK305" s="355">
        <v>3.0461999999999999E-2</v>
      </c>
    </row>
    <row r="306" spans="3:63" x14ac:dyDescent="0.15">
      <c r="C306" s="624"/>
      <c r="D306" s="355">
        <v>3.4869999999999998E-2</v>
      </c>
      <c r="AV306" s="624">
        <v>41974</v>
      </c>
      <c r="AW306" s="355">
        <v>0.39119999999999999</v>
      </c>
      <c r="AX306" s="624">
        <v>41968</v>
      </c>
      <c r="AY306" s="355">
        <v>2.1610000000000001E-2</v>
      </c>
      <c r="AZ306" s="624">
        <v>41968</v>
      </c>
      <c r="BA306" s="355">
        <v>1.04E-2</v>
      </c>
      <c r="BB306" s="624">
        <v>41968</v>
      </c>
      <c r="BC306" s="355">
        <v>0.29870000000000002</v>
      </c>
      <c r="BD306" s="624">
        <v>41968</v>
      </c>
      <c r="BE306" s="355">
        <v>9.0050000000000005E-2</v>
      </c>
      <c r="BF306" s="624">
        <v>41971</v>
      </c>
      <c r="BG306" s="355">
        <v>1.6064999999999999E-2</v>
      </c>
      <c r="BH306" s="624">
        <v>41968</v>
      </c>
      <c r="BI306" s="355">
        <v>8.2304000000000002E-2</v>
      </c>
      <c r="BJ306" s="624">
        <v>41968</v>
      </c>
      <c r="BK306" s="355">
        <v>3.0504E-2</v>
      </c>
    </row>
    <row r="307" spans="3:63" x14ac:dyDescent="0.15">
      <c r="C307" s="624"/>
      <c r="D307" s="355">
        <v>3.4770000000000002E-2</v>
      </c>
      <c r="AV307" s="624">
        <v>41975</v>
      </c>
      <c r="AW307" s="355">
        <v>0.3891</v>
      </c>
      <c r="AX307" s="624">
        <v>41969</v>
      </c>
      <c r="AY307" s="355">
        <v>2.1090000000000001E-2</v>
      </c>
      <c r="AZ307" s="624">
        <v>41969</v>
      </c>
      <c r="BA307" s="355">
        <v>1.04E-2</v>
      </c>
      <c r="BB307" s="624">
        <v>41969</v>
      </c>
      <c r="BC307" s="355">
        <v>0.29930000000000001</v>
      </c>
      <c r="BD307" s="624">
        <v>41969</v>
      </c>
      <c r="BE307" s="355">
        <v>9.06E-2</v>
      </c>
      <c r="BF307" s="624">
        <v>41974</v>
      </c>
      <c r="BG307" s="355">
        <v>1.6150000000000001E-2</v>
      </c>
      <c r="BH307" s="624">
        <v>41969</v>
      </c>
      <c r="BI307" s="355">
        <v>8.2197999999999993E-2</v>
      </c>
      <c r="BJ307" s="624">
        <v>41969</v>
      </c>
      <c r="BK307" s="355">
        <v>3.0526999999999999E-2</v>
      </c>
    </row>
    <row r="308" spans="3:63" x14ac:dyDescent="0.15">
      <c r="C308" s="624"/>
      <c r="D308" s="355">
        <v>3.4720000000000001E-2</v>
      </c>
      <c r="AV308" s="624">
        <v>41976</v>
      </c>
      <c r="AW308" s="355">
        <v>0.39169999999999999</v>
      </c>
      <c r="AX308" s="624">
        <v>41970</v>
      </c>
      <c r="AY308" s="355">
        <v>2.0559999999999998E-2</v>
      </c>
      <c r="AZ308" s="624">
        <v>41970</v>
      </c>
      <c r="BA308" s="355">
        <v>1.03E-2</v>
      </c>
      <c r="BB308" s="624">
        <v>41970</v>
      </c>
      <c r="BC308" s="355">
        <v>0.2984</v>
      </c>
      <c r="BD308" s="624">
        <v>41970</v>
      </c>
      <c r="BE308" s="355">
        <v>9.0880000000000002E-2</v>
      </c>
      <c r="BF308" s="624">
        <v>41975</v>
      </c>
      <c r="BG308" s="355">
        <v>1.6173E-2</v>
      </c>
      <c r="BH308" s="624">
        <v>41970</v>
      </c>
      <c r="BI308" s="355">
        <v>8.2324999999999995E-2</v>
      </c>
      <c r="BJ308" s="624">
        <v>41970</v>
      </c>
      <c r="BK308" s="355">
        <v>3.0519000000000001E-2</v>
      </c>
    </row>
    <row r="309" spans="3:63" x14ac:dyDescent="0.15">
      <c r="C309" s="624"/>
      <c r="D309" s="355">
        <v>3.4639999999999997E-2</v>
      </c>
      <c r="AV309" s="624">
        <v>41977</v>
      </c>
      <c r="AW309" s="355">
        <v>0.38600000000000001</v>
      </c>
      <c r="AX309" s="624">
        <v>41971</v>
      </c>
      <c r="AY309" s="355">
        <v>1.983E-2</v>
      </c>
      <c r="AZ309" s="624">
        <v>41971</v>
      </c>
      <c r="BA309" s="355">
        <v>1.03E-2</v>
      </c>
      <c r="BB309" s="624">
        <v>41971</v>
      </c>
      <c r="BC309" s="355">
        <v>0.29759999999999998</v>
      </c>
      <c r="BD309" s="624">
        <v>41971</v>
      </c>
      <c r="BE309" s="355">
        <v>8.9829999999999993E-2</v>
      </c>
      <c r="BF309" s="624">
        <v>41976</v>
      </c>
      <c r="BG309" s="355">
        <v>1.6143000000000001E-2</v>
      </c>
      <c r="BH309" s="624">
        <v>41971</v>
      </c>
      <c r="BI309" s="355">
        <v>8.1953999999999999E-2</v>
      </c>
      <c r="BJ309" s="624">
        <v>41971</v>
      </c>
      <c r="BK309" s="355">
        <v>3.0440999999999999E-2</v>
      </c>
    </row>
    <row r="310" spans="3:63" x14ac:dyDescent="0.15">
      <c r="C310" s="624"/>
      <c r="D310" s="355">
        <v>3.4520000000000002E-2</v>
      </c>
      <c r="AV310" s="624">
        <v>41978</v>
      </c>
      <c r="AW310" s="355">
        <v>0.38619999999999999</v>
      </c>
      <c r="AX310" s="624">
        <v>41974</v>
      </c>
      <c r="AY310" s="355">
        <v>1.9539999999999998E-2</v>
      </c>
      <c r="AZ310" s="624">
        <v>41974</v>
      </c>
      <c r="BA310" s="355">
        <v>1.03E-2</v>
      </c>
      <c r="BB310" s="624">
        <v>41974</v>
      </c>
      <c r="BC310" s="355">
        <v>0.29849999999999999</v>
      </c>
      <c r="BD310" s="624">
        <v>41974</v>
      </c>
      <c r="BE310" s="355">
        <v>9.0109999999999996E-2</v>
      </c>
      <c r="BF310" s="624">
        <v>41977</v>
      </c>
      <c r="BG310" s="355">
        <v>1.6232E-2</v>
      </c>
      <c r="BH310" s="624">
        <v>41974</v>
      </c>
      <c r="BI310" s="355">
        <v>8.1466999999999998E-2</v>
      </c>
      <c r="BJ310" s="624">
        <v>41974</v>
      </c>
      <c r="BK310" s="355">
        <v>3.0499999999999999E-2</v>
      </c>
    </row>
    <row r="311" spans="3:63" x14ac:dyDescent="0.15">
      <c r="C311" s="624"/>
      <c r="D311" s="355">
        <v>3.4599999999999999E-2</v>
      </c>
      <c r="AV311" s="624">
        <v>41981</v>
      </c>
      <c r="AW311" s="355">
        <v>0.3846</v>
      </c>
      <c r="AX311" s="624">
        <v>41975</v>
      </c>
      <c r="AY311" s="355">
        <v>1.856E-2</v>
      </c>
      <c r="AZ311" s="624">
        <v>41975</v>
      </c>
      <c r="BA311" s="355">
        <v>1.03E-2</v>
      </c>
      <c r="BB311" s="624">
        <v>41975</v>
      </c>
      <c r="BC311" s="355">
        <v>0.2974</v>
      </c>
      <c r="BD311" s="624">
        <v>41975</v>
      </c>
      <c r="BE311" s="355">
        <v>8.9660000000000004E-2</v>
      </c>
      <c r="BF311" s="624">
        <v>41978</v>
      </c>
      <c r="BG311" s="355">
        <v>1.6132000000000001E-2</v>
      </c>
      <c r="BH311" s="624">
        <v>41975</v>
      </c>
      <c r="BI311" s="355">
        <v>8.1500000000000003E-2</v>
      </c>
      <c r="BJ311" s="624">
        <v>41975</v>
      </c>
      <c r="BK311" s="355">
        <v>3.0414E-2</v>
      </c>
    </row>
    <row r="312" spans="3:63" x14ac:dyDescent="0.15">
      <c r="C312" s="624"/>
      <c r="D312" s="355">
        <v>3.4610000000000002E-2</v>
      </c>
      <c r="AV312" s="624">
        <v>41982</v>
      </c>
      <c r="AW312" s="355">
        <v>0.38569999999999999</v>
      </c>
      <c r="AX312" s="624">
        <v>41976</v>
      </c>
      <c r="AY312" s="355">
        <v>1.8780000000000002E-2</v>
      </c>
      <c r="AZ312" s="624">
        <v>41976</v>
      </c>
      <c r="BA312" s="355">
        <v>1.0200000000000001E-2</v>
      </c>
      <c r="BB312" s="624">
        <v>41976</v>
      </c>
      <c r="BC312" s="355">
        <v>0.2964</v>
      </c>
      <c r="BD312" s="624">
        <v>41976</v>
      </c>
      <c r="BE312" s="355">
        <v>8.9599999999999999E-2</v>
      </c>
      <c r="BF312" s="624">
        <v>41981</v>
      </c>
      <c r="BG312" s="355">
        <v>1.6171000000000001E-2</v>
      </c>
      <c r="BH312" s="624">
        <v>41976</v>
      </c>
      <c r="BI312" s="355">
        <v>8.1254999999999994E-2</v>
      </c>
      <c r="BJ312" s="624">
        <v>41976</v>
      </c>
      <c r="BK312" s="355">
        <v>3.0418000000000001E-2</v>
      </c>
    </row>
    <row r="313" spans="3:63" x14ac:dyDescent="0.15">
      <c r="C313" s="624"/>
      <c r="D313" s="355">
        <v>3.4500000000000003E-2</v>
      </c>
      <c r="AV313" s="624">
        <v>41983</v>
      </c>
      <c r="AW313" s="355">
        <v>0.38219999999999998</v>
      </c>
      <c r="AX313" s="624">
        <v>41977</v>
      </c>
      <c r="AY313" s="355">
        <v>1.839E-2</v>
      </c>
      <c r="AZ313" s="624">
        <v>41977</v>
      </c>
      <c r="BA313" s="355">
        <v>1.0200000000000001E-2</v>
      </c>
      <c r="BB313" s="624">
        <v>41977</v>
      </c>
      <c r="BC313" s="355">
        <v>0.29780000000000001</v>
      </c>
      <c r="BD313" s="624">
        <v>41977</v>
      </c>
      <c r="BE313" s="355">
        <v>8.9899999999999994E-2</v>
      </c>
      <c r="BF313" s="624">
        <v>41982</v>
      </c>
      <c r="BG313" s="355">
        <v>1.6115999999999998E-2</v>
      </c>
      <c r="BH313" s="624">
        <v>41977</v>
      </c>
      <c r="BI313" s="355">
        <v>8.1350000000000006E-2</v>
      </c>
      <c r="BJ313" s="624">
        <v>41977</v>
      </c>
      <c r="BK313" s="355">
        <v>3.0393E-2</v>
      </c>
    </row>
    <row r="314" spans="3:63" x14ac:dyDescent="0.15">
      <c r="C314" s="624"/>
      <c r="D314" s="355">
        <v>3.4540000000000001E-2</v>
      </c>
      <c r="AV314" s="624">
        <v>41984</v>
      </c>
      <c r="AW314" s="355">
        <v>0.37740000000000001</v>
      </c>
      <c r="AX314" s="624">
        <v>41978</v>
      </c>
      <c r="AY314" s="355">
        <v>1.898E-2</v>
      </c>
      <c r="AZ314" s="624">
        <v>41978</v>
      </c>
      <c r="BA314" s="355">
        <v>1.01E-2</v>
      </c>
      <c r="BB314" s="624">
        <v>41978</v>
      </c>
      <c r="BC314" s="355">
        <v>0.2954</v>
      </c>
      <c r="BD314" s="624">
        <v>41978</v>
      </c>
      <c r="BE314" s="355">
        <v>8.9149999999999993E-2</v>
      </c>
      <c r="BF314" s="624">
        <v>41983</v>
      </c>
      <c r="BG314" s="355">
        <v>1.6064999999999999E-2</v>
      </c>
      <c r="BH314" s="624">
        <v>41978</v>
      </c>
      <c r="BI314" s="355">
        <v>8.0750000000000002E-2</v>
      </c>
      <c r="BJ314" s="624">
        <v>41978</v>
      </c>
      <c r="BK314" s="355">
        <v>3.0280000000000001E-2</v>
      </c>
    </row>
    <row r="315" spans="3:63" x14ac:dyDescent="0.15">
      <c r="C315" s="624"/>
      <c r="D315" s="355">
        <v>3.4639999999999997E-2</v>
      </c>
      <c r="AV315" s="624">
        <v>41985</v>
      </c>
      <c r="AW315" s="355">
        <v>0.37669999999999998</v>
      </c>
      <c r="AX315" s="624">
        <v>41981</v>
      </c>
      <c r="AY315" s="355">
        <v>1.8610000000000002E-2</v>
      </c>
      <c r="AZ315" s="624">
        <v>41981</v>
      </c>
      <c r="BA315" s="355">
        <v>1.01E-2</v>
      </c>
      <c r="BB315" s="624">
        <v>41981</v>
      </c>
      <c r="BC315" s="355">
        <v>0.29599999999999999</v>
      </c>
      <c r="BD315" s="624">
        <v>41981</v>
      </c>
      <c r="BE315" s="355">
        <v>8.9889999999999998E-2</v>
      </c>
      <c r="BF315" s="624">
        <v>41984</v>
      </c>
      <c r="BG315" s="355">
        <v>1.5990999999999998E-2</v>
      </c>
      <c r="BH315" s="624">
        <v>41981</v>
      </c>
      <c r="BI315" s="355">
        <v>8.0823999999999993E-2</v>
      </c>
      <c r="BJ315" s="624">
        <v>41981</v>
      </c>
      <c r="BK315" s="355">
        <v>3.0296E-2</v>
      </c>
    </row>
    <row r="316" spans="3:63" x14ac:dyDescent="0.15">
      <c r="C316" s="624"/>
      <c r="D316" s="355">
        <v>3.4810000000000001E-2</v>
      </c>
      <c r="AV316" s="624">
        <v>41988</v>
      </c>
      <c r="AW316" s="355">
        <v>0.37109999999999999</v>
      </c>
      <c r="AX316" s="624">
        <v>41982</v>
      </c>
      <c r="AY316" s="355">
        <v>1.8499999999999999E-2</v>
      </c>
      <c r="AZ316" s="624">
        <v>41982</v>
      </c>
      <c r="BA316" s="355">
        <v>1.0200000000000001E-2</v>
      </c>
      <c r="BB316" s="624">
        <v>41982</v>
      </c>
      <c r="BC316" s="355">
        <v>0.29759999999999998</v>
      </c>
      <c r="BD316" s="624">
        <v>41982</v>
      </c>
      <c r="BE316" s="355">
        <v>9.0509999999999993E-2</v>
      </c>
      <c r="BF316" s="624">
        <v>41985</v>
      </c>
      <c r="BG316" s="355">
        <v>1.5966000000000001E-2</v>
      </c>
      <c r="BH316" s="624">
        <v>41982</v>
      </c>
      <c r="BI316" s="355">
        <v>8.0775E-2</v>
      </c>
      <c r="BJ316" s="624">
        <v>41982</v>
      </c>
      <c r="BK316" s="355">
        <v>3.0457000000000001E-2</v>
      </c>
    </row>
    <row r="317" spans="3:63" x14ac:dyDescent="0.15">
      <c r="C317" s="624"/>
      <c r="D317" s="355">
        <v>3.4819999999999997E-2</v>
      </c>
      <c r="AV317" s="624">
        <v>41989</v>
      </c>
      <c r="AW317" s="355">
        <v>0.36530000000000001</v>
      </c>
      <c r="AX317" s="624">
        <v>41983</v>
      </c>
      <c r="AY317" s="355">
        <v>1.822E-2</v>
      </c>
      <c r="AZ317" s="624">
        <v>41983</v>
      </c>
      <c r="BA317" s="355">
        <v>1.0200000000000001E-2</v>
      </c>
      <c r="BB317" s="624">
        <v>41983</v>
      </c>
      <c r="BC317" s="355">
        <v>0.29799999999999999</v>
      </c>
      <c r="BD317" s="624">
        <v>41983</v>
      </c>
      <c r="BE317" s="355">
        <v>9.0749999999999997E-2</v>
      </c>
      <c r="BF317" s="624">
        <v>41988</v>
      </c>
      <c r="BG317" s="355">
        <v>1.5723000000000001E-2</v>
      </c>
      <c r="BH317" s="624">
        <v>41983</v>
      </c>
      <c r="BI317" s="355">
        <v>8.1049999999999997E-2</v>
      </c>
      <c r="BJ317" s="624">
        <v>41983</v>
      </c>
      <c r="BK317" s="355">
        <v>3.0509000000000001E-2</v>
      </c>
    </row>
    <row r="318" spans="3:63" x14ac:dyDescent="0.15">
      <c r="C318" s="624"/>
      <c r="D318" s="355">
        <v>3.4880000000000001E-2</v>
      </c>
      <c r="AV318" s="624">
        <v>41990</v>
      </c>
      <c r="AW318" s="355">
        <v>0.36919999999999997</v>
      </c>
      <c r="AX318" s="624">
        <v>41984</v>
      </c>
      <c r="AY318" s="355">
        <v>1.772E-2</v>
      </c>
      <c r="AZ318" s="624">
        <v>41984</v>
      </c>
      <c r="BA318" s="355">
        <v>1.0200000000000001E-2</v>
      </c>
      <c r="BB318" s="624">
        <v>41984</v>
      </c>
      <c r="BC318" s="355">
        <v>0.2974</v>
      </c>
      <c r="BD318" s="624">
        <v>41984</v>
      </c>
      <c r="BE318" s="355">
        <v>9.0670000000000001E-2</v>
      </c>
      <c r="BF318" s="624">
        <v>41989</v>
      </c>
      <c r="BG318" s="355">
        <v>1.567E-2</v>
      </c>
      <c r="BH318" s="624">
        <v>41984</v>
      </c>
      <c r="BI318" s="355">
        <v>8.0321000000000004E-2</v>
      </c>
      <c r="BJ318" s="624">
        <v>41984</v>
      </c>
      <c r="BK318" s="355">
        <v>3.0464999999999999E-2</v>
      </c>
    </row>
    <row r="319" spans="3:63" x14ac:dyDescent="0.15">
      <c r="C319" s="624"/>
      <c r="D319" s="355">
        <v>3.4840000000000003E-2</v>
      </c>
      <c r="AV319" s="624">
        <v>41991</v>
      </c>
      <c r="AW319" s="355">
        <v>0.3765</v>
      </c>
      <c r="AX319" s="624">
        <v>41985</v>
      </c>
      <c r="AY319" s="355">
        <v>1.7180000000000001E-2</v>
      </c>
      <c r="AZ319" s="624">
        <v>41985</v>
      </c>
      <c r="BA319" s="355">
        <v>1.0200000000000001E-2</v>
      </c>
      <c r="BB319" s="624">
        <v>41985</v>
      </c>
      <c r="BC319" s="355">
        <v>0.29780000000000001</v>
      </c>
      <c r="BD319" s="624">
        <v>41985</v>
      </c>
      <c r="BE319" s="355">
        <v>9.0550000000000005E-2</v>
      </c>
      <c r="BF319" s="624">
        <v>41990</v>
      </c>
      <c r="BG319" s="355">
        <v>1.5788E-2</v>
      </c>
      <c r="BH319" s="624">
        <v>41985</v>
      </c>
      <c r="BI319" s="355">
        <v>7.9334000000000002E-2</v>
      </c>
      <c r="BJ319" s="624">
        <v>41985</v>
      </c>
      <c r="BK319" s="355">
        <v>3.0401000000000001E-2</v>
      </c>
    </row>
    <row r="320" spans="3:63" x14ac:dyDescent="0.15">
      <c r="C320" s="624"/>
      <c r="D320" s="355">
        <v>3.4909999999999997E-2</v>
      </c>
      <c r="AV320" s="624">
        <v>41992</v>
      </c>
      <c r="AW320" s="355">
        <v>0.376</v>
      </c>
      <c r="AX320" s="624">
        <v>41988</v>
      </c>
      <c r="AY320" s="355">
        <v>1.528E-2</v>
      </c>
      <c r="AZ320" s="624">
        <v>41988</v>
      </c>
      <c r="BA320" s="355">
        <v>1.0200000000000001E-2</v>
      </c>
      <c r="BB320" s="624">
        <v>41988</v>
      </c>
      <c r="BC320" s="355">
        <v>0.29709999999999998</v>
      </c>
      <c r="BD320" s="624">
        <v>41988</v>
      </c>
      <c r="BE320" s="355">
        <v>9.1109999999999997E-2</v>
      </c>
      <c r="BF320" s="624">
        <v>41991</v>
      </c>
      <c r="BG320" s="355">
        <v>1.5872000000000001E-2</v>
      </c>
      <c r="BH320" s="624">
        <v>41988</v>
      </c>
      <c r="BI320" s="355">
        <v>7.7280000000000001E-2</v>
      </c>
      <c r="BJ320" s="624">
        <v>41988</v>
      </c>
      <c r="BK320" s="355">
        <v>3.0327E-2</v>
      </c>
    </row>
    <row r="321" spans="3:63" x14ac:dyDescent="0.15">
      <c r="C321" s="624"/>
      <c r="D321" s="355">
        <v>3.4909999999999997E-2</v>
      </c>
      <c r="AV321" s="624">
        <v>41995</v>
      </c>
      <c r="AW321" s="355">
        <v>0.37530000000000002</v>
      </c>
      <c r="AX321" s="624">
        <v>41989</v>
      </c>
      <c r="AY321" s="355">
        <v>1.465E-2</v>
      </c>
      <c r="AZ321" s="624">
        <v>41989</v>
      </c>
      <c r="BA321" s="355">
        <v>1.0200000000000001E-2</v>
      </c>
      <c r="BB321" s="624">
        <v>41989</v>
      </c>
      <c r="BC321" s="355">
        <v>0.29680000000000001</v>
      </c>
      <c r="BD321" s="624">
        <v>41989</v>
      </c>
      <c r="BE321" s="355">
        <v>9.2509999999999995E-2</v>
      </c>
      <c r="BF321" s="624">
        <v>41992</v>
      </c>
      <c r="BG321" s="355">
        <v>1.5782999999999998E-2</v>
      </c>
      <c r="BH321" s="624">
        <v>41989</v>
      </c>
      <c r="BI321" s="355">
        <v>7.8548000000000007E-2</v>
      </c>
      <c r="BJ321" s="624">
        <v>41989</v>
      </c>
      <c r="BK321" s="355">
        <v>3.0322000000000002E-2</v>
      </c>
    </row>
    <row r="322" spans="3:63" x14ac:dyDescent="0.15">
      <c r="C322" s="624"/>
      <c r="D322" s="355">
        <v>3.4750000000000003E-2</v>
      </c>
      <c r="AV322" s="624">
        <v>41996</v>
      </c>
      <c r="AW322" s="355">
        <v>0.36959999999999998</v>
      </c>
      <c r="AX322" s="624">
        <v>41990</v>
      </c>
      <c r="AY322" s="355">
        <v>1.651E-2</v>
      </c>
      <c r="AZ322" s="624">
        <v>41990</v>
      </c>
      <c r="BA322" s="355">
        <v>1.01E-2</v>
      </c>
      <c r="BB322" s="624">
        <v>41990</v>
      </c>
      <c r="BC322" s="355">
        <v>0.29160000000000003</v>
      </c>
      <c r="BD322" s="624">
        <v>41990</v>
      </c>
      <c r="BE322" s="355">
        <v>9.1090000000000004E-2</v>
      </c>
      <c r="BF322" s="624">
        <v>41995</v>
      </c>
      <c r="BG322" s="355">
        <v>1.5806000000000001E-2</v>
      </c>
      <c r="BH322" s="624">
        <v>41990</v>
      </c>
      <c r="BI322" s="355">
        <v>7.8601000000000004E-2</v>
      </c>
      <c r="BJ322" s="624">
        <v>41990</v>
      </c>
      <c r="BK322" s="355">
        <v>3.0367999999999999E-2</v>
      </c>
    </row>
    <row r="323" spans="3:63" x14ac:dyDescent="0.15">
      <c r="C323" s="624"/>
      <c r="D323" s="355">
        <v>3.4709999999999998E-2</v>
      </c>
      <c r="AV323" s="624">
        <v>41997</v>
      </c>
      <c r="AW323" s="355">
        <v>0.37109999999999999</v>
      </c>
      <c r="AX323" s="624">
        <v>41991</v>
      </c>
      <c r="AY323" s="355">
        <v>1.6140000000000002E-2</v>
      </c>
      <c r="AZ323" s="624">
        <v>41991</v>
      </c>
      <c r="BA323" s="355">
        <v>0.01</v>
      </c>
      <c r="BB323" s="624">
        <v>41991</v>
      </c>
      <c r="BC323" s="355">
        <v>0.28910000000000002</v>
      </c>
      <c r="BD323" s="624">
        <v>41991</v>
      </c>
      <c r="BE323" s="355">
        <v>9.0969999999999995E-2</v>
      </c>
      <c r="BF323" s="624">
        <v>41996</v>
      </c>
      <c r="BG323" s="355">
        <v>1.5762000000000002E-2</v>
      </c>
      <c r="BH323" s="624">
        <v>41991</v>
      </c>
      <c r="BI323" s="355">
        <v>8.0007999999999996E-2</v>
      </c>
      <c r="BJ323" s="624">
        <v>41991</v>
      </c>
      <c r="BK323" s="355">
        <v>3.0384999999999999E-2</v>
      </c>
    </row>
    <row r="324" spans="3:63" x14ac:dyDescent="0.15">
      <c r="C324" s="624"/>
      <c r="D324" s="355">
        <v>3.474E-2</v>
      </c>
      <c r="AV324" s="624">
        <v>41999</v>
      </c>
      <c r="AW324" s="355">
        <v>0.37469999999999998</v>
      </c>
      <c r="AX324" s="624">
        <v>41992</v>
      </c>
      <c r="AY324" s="355">
        <v>1.6799999999999999E-2</v>
      </c>
      <c r="AZ324" s="624">
        <v>41992</v>
      </c>
      <c r="BA324" s="355">
        <v>0.01</v>
      </c>
      <c r="BB324" s="624">
        <v>41992</v>
      </c>
      <c r="BC324" s="355">
        <v>0.2868</v>
      </c>
      <c r="BD324" s="624">
        <v>41992</v>
      </c>
      <c r="BE324" s="355">
        <v>9.0920000000000001E-2</v>
      </c>
      <c r="BF324" s="624">
        <v>41997</v>
      </c>
      <c r="BG324" s="355">
        <v>1.5741999999999999E-2</v>
      </c>
      <c r="BH324" s="624">
        <v>41992</v>
      </c>
      <c r="BI324" s="355">
        <v>8.0633999999999997E-2</v>
      </c>
      <c r="BJ324" s="624">
        <v>41992</v>
      </c>
      <c r="BK324" s="355">
        <v>3.0429000000000001E-2</v>
      </c>
    </row>
    <row r="325" spans="3:63" x14ac:dyDescent="0.15">
      <c r="C325" s="624"/>
      <c r="D325" s="355">
        <v>3.4759999999999999E-2</v>
      </c>
      <c r="AV325" s="624">
        <v>42002</v>
      </c>
      <c r="AW325" s="355">
        <v>0.37</v>
      </c>
      <c r="AX325" s="624">
        <v>41995</v>
      </c>
      <c r="AY325" s="355">
        <v>1.7919999999999998E-2</v>
      </c>
      <c r="AZ325" s="624">
        <v>41995</v>
      </c>
      <c r="BA325" s="355">
        <v>1.01E-2</v>
      </c>
      <c r="BB325" s="624">
        <v>41995</v>
      </c>
      <c r="BC325" s="355">
        <v>0.28699999999999998</v>
      </c>
      <c r="BD325" s="624">
        <v>41995</v>
      </c>
      <c r="BE325" s="355">
        <v>9.0899999999999995E-2</v>
      </c>
      <c r="BF325" s="624">
        <v>41999</v>
      </c>
      <c r="BG325" s="355">
        <v>1.5708E-2</v>
      </c>
      <c r="BH325" s="624">
        <v>41995</v>
      </c>
      <c r="BI325" s="355">
        <v>8.0172999999999994E-2</v>
      </c>
      <c r="BJ325" s="624">
        <v>41995</v>
      </c>
      <c r="BK325" s="355">
        <v>3.0393E-2</v>
      </c>
    </row>
    <row r="326" spans="3:63" x14ac:dyDescent="0.15">
      <c r="C326" s="624"/>
      <c r="D326" s="355">
        <v>3.474E-2</v>
      </c>
      <c r="AV326" s="624">
        <v>42003</v>
      </c>
      <c r="AW326" s="355">
        <v>0.37780000000000002</v>
      </c>
      <c r="AX326" s="624">
        <v>41996</v>
      </c>
      <c r="AY326" s="355">
        <v>1.83E-2</v>
      </c>
      <c r="AZ326" s="624">
        <v>41996</v>
      </c>
      <c r="BA326" s="355">
        <v>0.01</v>
      </c>
      <c r="BB326" s="624">
        <v>41996</v>
      </c>
      <c r="BC326" s="355">
        <v>0.28299999999999997</v>
      </c>
      <c r="BD326" s="624">
        <v>41996</v>
      </c>
      <c r="BE326" s="355">
        <v>9.0359999999999996E-2</v>
      </c>
      <c r="BF326" s="624">
        <v>42002</v>
      </c>
      <c r="BG326" s="355">
        <v>1.5706999999999999E-2</v>
      </c>
      <c r="BH326" s="624">
        <v>41996</v>
      </c>
      <c r="BI326" s="355">
        <v>7.9751000000000002E-2</v>
      </c>
      <c r="BJ326" s="624">
        <v>41996</v>
      </c>
      <c r="BK326" s="355">
        <v>3.0391000000000001E-2</v>
      </c>
    </row>
    <row r="327" spans="3:63" x14ac:dyDescent="0.15">
      <c r="C327" s="624"/>
      <c r="D327" s="355">
        <v>3.4689999999999999E-2</v>
      </c>
      <c r="AV327" s="624">
        <v>42004</v>
      </c>
      <c r="AW327" s="355">
        <v>0.37730000000000002</v>
      </c>
      <c r="AX327" s="624">
        <v>41997</v>
      </c>
      <c r="AY327" s="355">
        <v>1.8759999999999999E-2</v>
      </c>
      <c r="AZ327" s="624">
        <v>41997</v>
      </c>
      <c r="BA327" s="355">
        <v>0.01</v>
      </c>
      <c r="BB327" s="624">
        <v>41997</v>
      </c>
      <c r="BC327" s="355">
        <v>0.28079999999999999</v>
      </c>
      <c r="BD327" s="624">
        <v>41997</v>
      </c>
      <c r="BE327" s="355">
        <v>9.0499999999999997E-2</v>
      </c>
      <c r="BF327" s="624">
        <v>42003</v>
      </c>
      <c r="BG327" s="355">
        <v>1.5789000000000001E-2</v>
      </c>
      <c r="BH327" s="624">
        <v>41997</v>
      </c>
      <c r="BI327" s="355">
        <v>8.0366000000000007E-2</v>
      </c>
      <c r="BJ327" s="624">
        <v>41997</v>
      </c>
      <c r="BK327" s="355">
        <v>3.0412000000000002E-2</v>
      </c>
    </row>
    <row r="328" spans="3:63" x14ac:dyDescent="0.15">
      <c r="C328" s="624"/>
      <c r="D328" s="355">
        <v>3.4700000000000002E-2</v>
      </c>
      <c r="AV328" s="624">
        <v>42005</v>
      </c>
      <c r="AW328" s="355">
        <v>0.37780000000000002</v>
      </c>
      <c r="AX328" s="624">
        <v>41998</v>
      </c>
      <c r="AY328" s="355">
        <v>1.8890000000000001E-2</v>
      </c>
      <c r="AZ328" s="624">
        <v>41998</v>
      </c>
      <c r="BA328" s="355">
        <v>1.01E-2</v>
      </c>
      <c r="BB328" s="624">
        <v>41998</v>
      </c>
      <c r="BC328" s="355">
        <v>0.28170000000000001</v>
      </c>
      <c r="BD328" s="624">
        <v>41998</v>
      </c>
      <c r="BE328" s="355">
        <v>9.0759999999999993E-2</v>
      </c>
      <c r="BF328" s="624">
        <v>42004</v>
      </c>
      <c r="BG328" s="355">
        <v>1.5813000000000001E-2</v>
      </c>
      <c r="BH328" s="624">
        <v>41998</v>
      </c>
      <c r="BI328" s="355">
        <v>8.0191999999999999E-2</v>
      </c>
      <c r="BJ328" s="624">
        <v>41998</v>
      </c>
      <c r="BK328" s="355">
        <v>3.0429999999999999E-2</v>
      </c>
    </row>
    <row r="329" spans="3:63" x14ac:dyDescent="0.15">
      <c r="C329" s="624"/>
      <c r="D329" s="355">
        <v>3.4720000000000001E-2</v>
      </c>
      <c r="AV329" s="624">
        <v>42006</v>
      </c>
      <c r="AW329" s="355">
        <v>0.371</v>
      </c>
      <c r="AX329" s="624">
        <v>41999</v>
      </c>
      <c r="AY329" s="355">
        <v>1.8519999999999998E-2</v>
      </c>
      <c r="AZ329" s="624">
        <v>41999</v>
      </c>
      <c r="BA329" s="355">
        <v>1.01E-2</v>
      </c>
      <c r="BB329" s="624">
        <v>41999</v>
      </c>
      <c r="BC329" s="355">
        <v>0.2777</v>
      </c>
      <c r="BD329" s="624">
        <v>41999</v>
      </c>
      <c r="BE329" s="355">
        <v>9.0410000000000004E-2</v>
      </c>
      <c r="BF329" s="624">
        <v>42005</v>
      </c>
      <c r="BG329" s="355">
        <v>1.583E-2</v>
      </c>
      <c r="BH329" s="624">
        <v>41999</v>
      </c>
      <c r="BI329" s="355">
        <v>8.0436999999999995E-2</v>
      </c>
      <c r="BJ329" s="624">
        <v>41999</v>
      </c>
      <c r="BK329" s="355">
        <v>3.0388999999999999E-2</v>
      </c>
    </row>
    <row r="330" spans="3:63" x14ac:dyDescent="0.15">
      <c r="C330" s="624"/>
      <c r="D330" s="355">
        <v>3.4759999999999999E-2</v>
      </c>
      <c r="AV330" s="624">
        <v>42009</v>
      </c>
      <c r="AW330" s="355">
        <v>0.3669</v>
      </c>
      <c r="AX330" s="624">
        <v>42002</v>
      </c>
      <c r="AY330" s="355">
        <v>1.6930000000000001E-2</v>
      </c>
      <c r="AZ330" s="624">
        <v>42002</v>
      </c>
      <c r="BA330" s="355">
        <v>0.01</v>
      </c>
      <c r="BB330" s="624">
        <v>42002</v>
      </c>
      <c r="BC330" s="355">
        <v>0.28189999999999998</v>
      </c>
      <c r="BD330" s="624">
        <v>42002</v>
      </c>
      <c r="BE330" s="355">
        <v>9.0880000000000002E-2</v>
      </c>
      <c r="BF330" s="624">
        <v>42006</v>
      </c>
      <c r="BG330" s="355">
        <v>1.5817000000000001E-2</v>
      </c>
      <c r="BH330" s="624">
        <v>42002</v>
      </c>
      <c r="BI330" s="355">
        <v>8.0463000000000007E-2</v>
      </c>
      <c r="BJ330" s="624">
        <v>42002</v>
      </c>
      <c r="BK330" s="355">
        <v>3.0348E-2</v>
      </c>
    </row>
    <row r="331" spans="3:63" x14ac:dyDescent="0.15">
      <c r="C331" s="624"/>
      <c r="D331" s="355">
        <v>3.4790000000000001E-2</v>
      </c>
      <c r="AV331" s="624">
        <v>42010</v>
      </c>
      <c r="AW331" s="355">
        <v>0.37069999999999997</v>
      </c>
      <c r="AX331" s="624">
        <v>42003</v>
      </c>
      <c r="AY331" s="355">
        <v>1.8030000000000001E-2</v>
      </c>
      <c r="AZ331" s="624">
        <v>42003</v>
      </c>
      <c r="BA331" s="355">
        <v>1.01E-2</v>
      </c>
      <c r="BB331" s="624">
        <v>42003</v>
      </c>
      <c r="BC331" s="355">
        <v>0.28420000000000001</v>
      </c>
      <c r="BD331" s="624">
        <v>42003</v>
      </c>
      <c r="BE331" s="355">
        <v>9.1170000000000001E-2</v>
      </c>
      <c r="BF331" s="624">
        <v>42009</v>
      </c>
      <c r="BG331" s="355">
        <v>1.5755000000000002E-2</v>
      </c>
      <c r="BH331" s="624">
        <v>42003</v>
      </c>
      <c r="BI331" s="355">
        <v>8.0561999999999995E-2</v>
      </c>
      <c r="BJ331" s="624">
        <v>42003</v>
      </c>
      <c r="BK331" s="355">
        <v>3.0426999999999999E-2</v>
      </c>
    </row>
    <row r="332" spans="3:63" x14ac:dyDescent="0.15">
      <c r="C332" s="624"/>
      <c r="D332" s="355">
        <v>3.4790000000000001E-2</v>
      </c>
      <c r="AV332" s="624">
        <v>42011</v>
      </c>
      <c r="AW332" s="355">
        <v>0.37119999999999997</v>
      </c>
      <c r="AX332" s="624">
        <v>42004</v>
      </c>
      <c r="AY332" s="355">
        <v>1.7229999999999999E-2</v>
      </c>
      <c r="AZ332" s="624">
        <v>42004</v>
      </c>
      <c r="BA332" s="355">
        <v>0.01</v>
      </c>
      <c r="BB332" s="624">
        <v>42004</v>
      </c>
      <c r="BC332" s="355">
        <v>0.2823</v>
      </c>
      <c r="BD332" s="624">
        <v>42004</v>
      </c>
      <c r="BE332" s="355">
        <v>9.1410000000000005E-2</v>
      </c>
      <c r="BF332" s="624">
        <v>42010</v>
      </c>
      <c r="BG332" s="355">
        <v>1.5758999999999999E-2</v>
      </c>
      <c r="BH332" s="624">
        <v>42004</v>
      </c>
      <c r="BI332" s="355">
        <v>8.0421000000000006E-2</v>
      </c>
      <c r="BJ332" s="624">
        <v>42004</v>
      </c>
      <c r="BK332" s="355">
        <v>3.0391000000000001E-2</v>
      </c>
    </row>
    <row r="333" spans="3:63" x14ac:dyDescent="0.15">
      <c r="C333" s="624"/>
      <c r="D333" s="355">
        <v>3.4790000000000001E-2</v>
      </c>
      <c r="AV333" s="624">
        <v>42012</v>
      </c>
      <c r="AW333" s="355">
        <v>0.37459999999999999</v>
      </c>
      <c r="AX333" s="624">
        <v>42005</v>
      </c>
      <c r="AY333" s="355">
        <v>1.7229999999999999E-2</v>
      </c>
      <c r="AZ333" s="624">
        <v>42005</v>
      </c>
      <c r="BA333" s="355">
        <v>0.01</v>
      </c>
      <c r="BB333" s="624">
        <v>42005</v>
      </c>
      <c r="BC333" s="355">
        <v>0.28249999999999997</v>
      </c>
      <c r="BD333" s="624">
        <v>42005</v>
      </c>
      <c r="BE333" s="355">
        <v>9.1469999999999996E-2</v>
      </c>
      <c r="BF333" s="624">
        <v>42011</v>
      </c>
      <c r="BG333" s="355">
        <v>1.5833E-2</v>
      </c>
      <c r="BH333" s="624">
        <v>42005</v>
      </c>
      <c r="BI333" s="355">
        <v>8.0411999999999997E-2</v>
      </c>
      <c r="BJ333" s="624">
        <v>42005</v>
      </c>
      <c r="BK333" s="355">
        <v>3.0379E-2</v>
      </c>
    </row>
    <row r="334" spans="3:63" x14ac:dyDescent="0.15">
      <c r="C334" s="624"/>
      <c r="D334" s="355">
        <v>3.4869999999999998E-2</v>
      </c>
      <c r="AV334" s="624">
        <v>42013</v>
      </c>
      <c r="AW334" s="355">
        <v>0.37919999999999998</v>
      </c>
      <c r="AX334" s="624">
        <v>42006</v>
      </c>
      <c r="AY334" s="355">
        <v>1.6969999999999999E-2</v>
      </c>
      <c r="AZ334" s="624">
        <v>42006</v>
      </c>
      <c r="BA334" s="355">
        <v>9.9000000000000008E-3</v>
      </c>
      <c r="BB334" s="624">
        <v>42006</v>
      </c>
      <c r="BC334" s="355">
        <v>0.27879999999999999</v>
      </c>
      <c r="BD334" s="624">
        <v>42006</v>
      </c>
      <c r="BE334" s="355">
        <v>9.0319999999999998E-2</v>
      </c>
      <c r="BF334" s="624">
        <v>42012</v>
      </c>
      <c r="BG334" s="355">
        <v>1.6007E-2</v>
      </c>
      <c r="BH334" s="624">
        <v>42006</v>
      </c>
      <c r="BI334" s="355">
        <v>7.9834000000000002E-2</v>
      </c>
      <c r="BJ334" s="624">
        <v>42006</v>
      </c>
      <c r="BK334" s="355">
        <v>3.0339999999999999E-2</v>
      </c>
    </row>
    <row r="335" spans="3:63" x14ac:dyDescent="0.15">
      <c r="C335" s="624"/>
      <c r="D335" s="355">
        <v>3.4869999999999998E-2</v>
      </c>
      <c r="AV335" s="624">
        <v>42016</v>
      </c>
      <c r="AW335" s="355">
        <v>0.37509999999999999</v>
      </c>
      <c r="AX335" s="624">
        <v>42009</v>
      </c>
      <c r="AY335" s="355">
        <v>1.652E-2</v>
      </c>
      <c r="AZ335" s="624">
        <v>42009</v>
      </c>
      <c r="BA335" s="355">
        <v>9.7999999999999997E-3</v>
      </c>
      <c r="BB335" s="624">
        <v>42009</v>
      </c>
      <c r="BC335" s="355">
        <v>0.2782</v>
      </c>
      <c r="BD335" s="624">
        <v>42009</v>
      </c>
      <c r="BE335" s="355">
        <v>9.01E-2</v>
      </c>
      <c r="BF335" s="624">
        <v>42013</v>
      </c>
      <c r="BG335" s="355">
        <v>1.6108999999999998E-2</v>
      </c>
      <c r="BH335" s="624">
        <v>42009</v>
      </c>
      <c r="BI335" s="355">
        <v>7.9228999999999994E-2</v>
      </c>
      <c r="BJ335" s="624">
        <v>42009</v>
      </c>
      <c r="BK335" s="355">
        <v>3.0332000000000001E-2</v>
      </c>
    </row>
    <row r="336" spans="3:63" x14ac:dyDescent="0.15">
      <c r="C336" s="624"/>
      <c r="D336" s="355">
        <v>3.4880000000000001E-2</v>
      </c>
      <c r="AV336" s="624">
        <v>42017</v>
      </c>
      <c r="AW336" s="355">
        <v>0.37859999999999999</v>
      </c>
      <c r="AX336" s="624">
        <v>42010</v>
      </c>
      <c r="AY336" s="355">
        <v>1.584E-2</v>
      </c>
      <c r="AZ336" s="624">
        <v>42010</v>
      </c>
      <c r="BA336" s="355">
        <v>9.7000000000000003E-3</v>
      </c>
      <c r="BB336" s="624">
        <v>42010</v>
      </c>
      <c r="BC336" s="355">
        <v>0.27529999999999999</v>
      </c>
      <c r="BD336" s="624">
        <v>42010</v>
      </c>
      <c r="BE336" s="355">
        <v>9.0980000000000005E-2</v>
      </c>
      <c r="BF336" s="624">
        <v>42016</v>
      </c>
      <c r="BG336" s="355">
        <v>1.6111E-2</v>
      </c>
      <c r="BH336" s="624">
        <v>42010</v>
      </c>
      <c r="BI336" s="355">
        <v>7.9036999999999996E-2</v>
      </c>
      <c r="BJ336" s="624">
        <v>42010</v>
      </c>
      <c r="BK336" s="355">
        <v>3.0425000000000001E-2</v>
      </c>
    </row>
    <row r="337" spans="3:63" x14ac:dyDescent="0.15">
      <c r="C337" s="624"/>
      <c r="D337" s="355">
        <v>3.508E-2</v>
      </c>
      <c r="AV337" s="624">
        <v>42018</v>
      </c>
      <c r="AW337" s="355">
        <v>0.38229999999999997</v>
      </c>
      <c r="AX337" s="624">
        <v>42011</v>
      </c>
      <c r="AY337" s="355">
        <v>1.5939999999999999E-2</v>
      </c>
      <c r="AZ337" s="624">
        <v>42011</v>
      </c>
      <c r="BA337" s="355">
        <v>9.7000000000000003E-3</v>
      </c>
      <c r="BB337" s="624">
        <v>42011</v>
      </c>
      <c r="BC337" s="355">
        <v>0.2757</v>
      </c>
      <c r="BD337" s="624">
        <v>42011</v>
      </c>
      <c r="BE337" s="355">
        <v>9.1020000000000004E-2</v>
      </c>
      <c r="BF337" s="624">
        <v>42017</v>
      </c>
      <c r="BG337" s="355">
        <v>1.6136000000000001E-2</v>
      </c>
      <c r="BH337" s="624">
        <v>42011</v>
      </c>
      <c r="BI337" s="355">
        <v>7.8864000000000004E-2</v>
      </c>
      <c r="BJ337" s="624">
        <v>42011</v>
      </c>
      <c r="BK337" s="355">
        <v>3.0432000000000001E-2</v>
      </c>
    </row>
    <row r="338" spans="3:63" x14ac:dyDescent="0.15">
      <c r="C338" s="624"/>
      <c r="D338" s="355">
        <v>3.517E-2</v>
      </c>
      <c r="AV338" s="624">
        <v>42019</v>
      </c>
      <c r="AW338" s="355">
        <v>0.37909999999999999</v>
      </c>
      <c r="AX338" s="624">
        <v>42012</v>
      </c>
      <c r="AY338" s="355">
        <v>1.661E-2</v>
      </c>
      <c r="AZ338" s="624">
        <v>42012</v>
      </c>
      <c r="BA338" s="355">
        <v>9.5999999999999992E-3</v>
      </c>
      <c r="BB338" s="624">
        <v>42012</v>
      </c>
      <c r="BC338" s="355">
        <v>0.27539999999999998</v>
      </c>
      <c r="BD338" s="624">
        <v>42012</v>
      </c>
      <c r="BE338" s="355">
        <v>9.128E-2</v>
      </c>
      <c r="BF338" s="624">
        <v>42018</v>
      </c>
      <c r="BG338" s="355">
        <v>1.6081999999999999E-2</v>
      </c>
      <c r="BH338" s="624">
        <v>42012</v>
      </c>
      <c r="BI338" s="355">
        <v>7.8958E-2</v>
      </c>
      <c r="BJ338" s="624">
        <v>42012</v>
      </c>
      <c r="BK338" s="355">
        <v>3.0425000000000001E-2</v>
      </c>
    </row>
    <row r="339" spans="3:63" x14ac:dyDescent="0.15">
      <c r="C339" s="624"/>
      <c r="D339" s="355">
        <v>3.508E-2</v>
      </c>
      <c r="AV339" s="624">
        <v>42020</v>
      </c>
      <c r="AW339" s="355">
        <v>0.38150000000000001</v>
      </c>
      <c r="AX339" s="624">
        <v>42013</v>
      </c>
      <c r="AY339" s="355">
        <v>1.6140000000000002E-2</v>
      </c>
      <c r="AZ339" s="624">
        <v>42013</v>
      </c>
      <c r="BA339" s="355">
        <v>9.5999999999999992E-3</v>
      </c>
      <c r="BB339" s="624">
        <v>42013</v>
      </c>
      <c r="BC339" s="355">
        <v>0.27760000000000001</v>
      </c>
      <c r="BD339" s="624">
        <v>42013</v>
      </c>
      <c r="BE339" s="355">
        <v>9.214E-2</v>
      </c>
      <c r="BF339" s="624">
        <v>42019</v>
      </c>
      <c r="BG339" s="355">
        <v>1.6149E-2</v>
      </c>
      <c r="BH339" s="624">
        <v>42013</v>
      </c>
      <c r="BI339" s="355">
        <v>7.9468999999999998E-2</v>
      </c>
      <c r="BJ339" s="624">
        <v>42013</v>
      </c>
      <c r="BK339" s="355">
        <v>3.0414E-2</v>
      </c>
    </row>
    <row r="340" spans="3:63" x14ac:dyDescent="0.15">
      <c r="C340" s="624"/>
      <c r="D340" s="355">
        <v>3.5200000000000002E-2</v>
      </c>
      <c r="AV340" s="624">
        <v>42023</v>
      </c>
      <c r="AW340" s="355">
        <v>0.377</v>
      </c>
      <c r="AX340" s="624">
        <v>42016</v>
      </c>
      <c r="AY340" s="355">
        <v>1.584E-2</v>
      </c>
      <c r="AZ340" s="624">
        <v>42016</v>
      </c>
      <c r="BA340" s="355">
        <v>9.5999999999999992E-3</v>
      </c>
      <c r="BB340" s="624">
        <v>42016</v>
      </c>
      <c r="BC340" s="355">
        <v>0.27679999999999999</v>
      </c>
      <c r="BD340" s="624">
        <v>42016</v>
      </c>
      <c r="BE340" s="355">
        <v>9.2359999999999998E-2</v>
      </c>
      <c r="BF340" s="624">
        <v>42020</v>
      </c>
      <c r="BG340" s="355">
        <v>1.6227999999999999E-2</v>
      </c>
      <c r="BH340" s="624">
        <v>42016</v>
      </c>
      <c r="BI340" s="355">
        <v>7.9566999999999999E-2</v>
      </c>
      <c r="BJ340" s="624">
        <v>42016</v>
      </c>
      <c r="BK340" s="355">
        <v>3.0415999999999999E-2</v>
      </c>
    </row>
    <row r="341" spans="3:63" x14ac:dyDescent="0.15">
      <c r="C341" s="624"/>
      <c r="D341" s="355">
        <v>3.5349999999999999E-2</v>
      </c>
      <c r="AV341" s="624">
        <v>42024</v>
      </c>
      <c r="AW341" s="355">
        <v>0.38250000000000001</v>
      </c>
      <c r="AX341" s="624">
        <v>42017</v>
      </c>
      <c r="AY341" s="355">
        <v>1.529E-2</v>
      </c>
      <c r="AZ341" s="624">
        <v>42017</v>
      </c>
      <c r="BA341" s="355">
        <v>9.5999999999999992E-3</v>
      </c>
      <c r="BB341" s="624">
        <v>42017</v>
      </c>
      <c r="BC341" s="355">
        <v>0.27479999999999999</v>
      </c>
      <c r="BD341" s="624">
        <v>42017</v>
      </c>
      <c r="BE341" s="355">
        <v>9.2689999999999995E-2</v>
      </c>
      <c r="BF341" s="624">
        <v>42023</v>
      </c>
      <c r="BG341" s="355">
        <v>1.6212000000000001E-2</v>
      </c>
      <c r="BH341" s="624">
        <v>42017</v>
      </c>
      <c r="BI341" s="355">
        <v>7.9289999999999999E-2</v>
      </c>
      <c r="BJ341" s="624">
        <v>42017</v>
      </c>
      <c r="BK341" s="355">
        <v>3.0476E-2</v>
      </c>
    </row>
    <row r="342" spans="3:63" x14ac:dyDescent="0.15">
      <c r="C342" s="624"/>
      <c r="D342" s="355">
        <v>3.5279999999999999E-2</v>
      </c>
      <c r="AV342" s="624">
        <v>42025</v>
      </c>
      <c r="AW342" s="355">
        <v>0.38329999999999997</v>
      </c>
      <c r="AX342" s="624">
        <v>42018</v>
      </c>
      <c r="AY342" s="355">
        <v>1.5469999999999999E-2</v>
      </c>
      <c r="AZ342" s="624">
        <v>42018</v>
      </c>
      <c r="BA342" s="355">
        <v>9.5999999999999992E-3</v>
      </c>
      <c r="BB342" s="624">
        <v>42018</v>
      </c>
      <c r="BC342" s="355">
        <v>0.27689999999999998</v>
      </c>
      <c r="BD342" s="624">
        <v>42018</v>
      </c>
      <c r="BE342" s="355">
        <v>9.2329999999999995E-2</v>
      </c>
      <c r="BF342" s="624">
        <v>42024</v>
      </c>
      <c r="BG342" s="355">
        <v>1.6199000000000002E-2</v>
      </c>
      <c r="BH342" s="624">
        <v>42018</v>
      </c>
      <c r="BI342" s="355">
        <v>7.9485E-2</v>
      </c>
      <c r="BJ342" s="624">
        <v>42018</v>
      </c>
      <c r="BK342" s="355">
        <v>3.0525E-2</v>
      </c>
    </row>
    <row r="343" spans="3:63" x14ac:dyDescent="0.15">
      <c r="C343" s="624"/>
      <c r="D343" s="355">
        <v>3.5319999999999997E-2</v>
      </c>
      <c r="AV343" s="624">
        <v>42026</v>
      </c>
      <c r="AW343" s="355">
        <v>0.38929999999999998</v>
      </c>
      <c r="AX343" s="624">
        <v>42019</v>
      </c>
      <c r="AY343" s="355">
        <v>1.533E-2</v>
      </c>
      <c r="AZ343" s="624">
        <v>42019</v>
      </c>
      <c r="BA343" s="355">
        <v>9.4999999999999998E-3</v>
      </c>
      <c r="BB343" s="624">
        <v>42019</v>
      </c>
      <c r="BC343" s="355">
        <v>0.26960000000000001</v>
      </c>
      <c r="BD343" s="624">
        <v>42019</v>
      </c>
      <c r="BE343" s="355">
        <v>9.2960000000000001E-2</v>
      </c>
      <c r="BF343" s="624">
        <v>42025</v>
      </c>
      <c r="BG343" s="355">
        <v>1.6251000000000002E-2</v>
      </c>
      <c r="BH343" s="624">
        <v>42019</v>
      </c>
      <c r="BI343" s="355">
        <v>7.9757999999999996E-2</v>
      </c>
      <c r="BJ343" s="624">
        <v>42019</v>
      </c>
      <c r="BK343" s="355">
        <v>3.0543000000000001E-2</v>
      </c>
    </row>
    <row r="344" spans="3:63" x14ac:dyDescent="0.15">
      <c r="C344" s="624"/>
      <c r="D344" s="355">
        <v>3.5369999999999999E-2</v>
      </c>
      <c r="AV344" s="624">
        <v>42027</v>
      </c>
      <c r="AW344" s="355">
        <v>0.38719999999999999</v>
      </c>
      <c r="AX344" s="624">
        <v>42020</v>
      </c>
      <c r="AY344" s="355">
        <v>1.532E-2</v>
      </c>
      <c r="AZ344" s="624">
        <v>42020</v>
      </c>
      <c r="BA344" s="355">
        <v>9.4999999999999998E-3</v>
      </c>
      <c r="BB344" s="624">
        <v>42020</v>
      </c>
      <c r="BC344" s="355">
        <v>0.26869999999999999</v>
      </c>
      <c r="BD344" s="624">
        <v>42020</v>
      </c>
      <c r="BE344" s="355">
        <v>9.2619999999999994E-2</v>
      </c>
      <c r="BF344" s="624">
        <v>42026</v>
      </c>
      <c r="BG344" s="355">
        <v>1.6288E-2</v>
      </c>
      <c r="BH344" s="624">
        <v>42020</v>
      </c>
      <c r="BI344" s="355">
        <v>7.9346E-2</v>
      </c>
      <c r="BJ344" s="624">
        <v>42020</v>
      </c>
      <c r="BK344" s="355">
        <v>3.0713000000000001E-2</v>
      </c>
    </row>
    <row r="345" spans="3:63" x14ac:dyDescent="0.15">
      <c r="C345" s="624"/>
      <c r="D345" s="355">
        <v>3.5389999999999998E-2</v>
      </c>
      <c r="AV345" s="624">
        <v>42030</v>
      </c>
      <c r="AW345" s="355">
        <v>0.38690000000000002</v>
      </c>
      <c r="AX345" s="624">
        <v>42023</v>
      </c>
      <c r="AY345" s="355">
        <v>1.54E-2</v>
      </c>
      <c r="AZ345" s="624">
        <v>42023</v>
      </c>
      <c r="BA345" s="355">
        <v>9.4999999999999998E-3</v>
      </c>
      <c r="BB345" s="624">
        <v>42023</v>
      </c>
      <c r="BC345" s="355">
        <v>0.2681</v>
      </c>
      <c r="BD345" s="624">
        <v>42023</v>
      </c>
      <c r="BE345" s="355">
        <v>9.2649999999999996E-2</v>
      </c>
      <c r="BF345" s="624">
        <v>42027</v>
      </c>
      <c r="BG345" s="355">
        <v>1.6277E-2</v>
      </c>
      <c r="BH345" s="624">
        <v>42023</v>
      </c>
      <c r="BI345" s="355">
        <v>7.9089000000000007E-2</v>
      </c>
      <c r="BJ345" s="624">
        <v>42023</v>
      </c>
      <c r="BK345" s="355">
        <v>3.0692000000000001E-2</v>
      </c>
    </row>
    <row r="346" spans="3:63" x14ac:dyDescent="0.15">
      <c r="C346" s="624"/>
      <c r="D346" s="355">
        <v>3.5729999999999998E-2</v>
      </c>
      <c r="AV346" s="624">
        <v>42031</v>
      </c>
      <c r="AW346" s="355">
        <v>0.3886</v>
      </c>
      <c r="AX346" s="624">
        <v>42024</v>
      </c>
      <c r="AY346" s="355">
        <v>1.533E-2</v>
      </c>
      <c r="AZ346" s="624">
        <v>42024</v>
      </c>
      <c r="BA346" s="355">
        <v>9.4000000000000004E-3</v>
      </c>
      <c r="BB346" s="624">
        <v>42024</v>
      </c>
      <c r="BC346" s="355">
        <v>0.26669999999999999</v>
      </c>
      <c r="BD346" s="624">
        <v>42024</v>
      </c>
      <c r="BE346" s="355">
        <v>9.1920000000000002E-2</v>
      </c>
      <c r="BF346" s="624">
        <v>42030</v>
      </c>
      <c r="BG346" s="355">
        <v>1.6279999999999999E-2</v>
      </c>
      <c r="BH346" s="624">
        <v>42024</v>
      </c>
      <c r="BI346" s="355">
        <v>7.9504000000000005E-2</v>
      </c>
      <c r="BJ346" s="624">
        <v>42024</v>
      </c>
      <c r="BK346" s="355">
        <v>3.0575999999999999E-2</v>
      </c>
    </row>
    <row r="347" spans="3:63" x14ac:dyDescent="0.15">
      <c r="C347" s="624"/>
      <c r="D347" s="355">
        <v>3.5740000000000001E-2</v>
      </c>
      <c r="AV347" s="624">
        <v>42032</v>
      </c>
      <c r="AW347" s="355">
        <v>0.38800000000000001</v>
      </c>
      <c r="AX347" s="624">
        <v>42025</v>
      </c>
      <c r="AY347" s="355">
        <v>1.5339999999999999E-2</v>
      </c>
      <c r="AZ347" s="624">
        <v>42025</v>
      </c>
      <c r="BA347" s="355">
        <v>9.4999999999999998E-3</v>
      </c>
      <c r="BB347" s="624">
        <v>42025</v>
      </c>
      <c r="BC347" s="355">
        <v>0.27</v>
      </c>
      <c r="BD347" s="624">
        <v>42025</v>
      </c>
      <c r="BE347" s="355">
        <v>9.2399999999999996E-2</v>
      </c>
      <c r="BF347" s="624">
        <v>42031</v>
      </c>
      <c r="BG347" s="355">
        <v>1.6271999999999998E-2</v>
      </c>
      <c r="BH347" s="624">
        <v>42025</v>
      </c>
      <c r="BI347" s="355">
        <v>8.0180000000000001E-2</v>
      </c>
      <c r="BJ347" s="624">
        <v>42025</v>
      </c>
      <c r="BK347" s="355">
        <v>3.0686000000000001E-2</v>
      </c>
    </row>
    <row r="348" spans="3:63" x14ac:dyDescent="0.15">
      <c r="C348" s="624"/>
      <c r="D348" s="355">
        <v>3.576E-2</v>
      </c>
      <c r="AV348" s="624">
        <v>42033</v>
      </c>
      <c r="AW348" s="355">
        <v>0.38350000000000001</v>
      </c>
      <c r="AX348" s="624">
        <v>42026</v>
      </c>
      <c r="AY348" s="355">
        <v>1.5570000000000001E-2</v>
      </c>
      <c r="AZ348" s="624">
        <v>42026</v>
      </c>
      <c r="BA348" s="355">
        <v>9.2999999999999992E-3</v>
      </c>
      <c r="BB348" s="624">
        <v>42026</v>
      </c>
      <c r="BC348" s="355">
        <v>0.2671</v>
      </c>
      <c r="BD348" s="624">
        <v>42026</v>
      </c>
      <c r="BE348" s="355">
        <v>9.2149999999999996E-2</v>
      </c>
      <c r="BF348" s="624">
        <v>42032</v>
      </c>
      <c r="BG348" s="355">
        <v>1.6295E-2</v>
      </c>
      <c r="BH348" s="624">
        <v>42026</v>
      </c>
      <c r="BI348" s="355">
        <v>8.0574000000000007E-2</v>
      </c>
      <c r="BJ348" s="624">
        <v>42026</v>
      </c>
      <c r="BK348" s="355">
        <v>3.0669999999999999E-2</v>
      </c>
    </row>
    <row r="349" spans="3:63" x14ac:dyDescent="0.15">
      <c r="C349" s="624"/>
      <c r="D349" s="355">
        <v>3.5729999999999998E-2</v>
      </c>
      <c r="AV349" s="624">
        <v>42034</v>
      </c>
      <c r="AW349" s="355">
        <v>0.37280000000000002</v>
      </c>
      <c r="AX349" s="624">
        <v>42027</v>
      </c>
      <c r="AY349" s="355">
        <v>1.545E-2</v>
      </c>
      <c r="AZ349" s="624">
        <v>42027</v>
      </c>
      <c r="BA349" s="355">
        <v>9.1000000000000004E-3</v>
      </c>
      <c r="BB349" s="624">
        <v>42027</v>
      </c>
      <c r="BC349" s="355">
        <v>0.26640000000000003</v>
      </c>
      <c r="BD349" s="624">
        <v>42027</v>
      </c>
      <c r="BE349" s="355">
        <v>9.2799999999999994E-2</v>
      </c>
      <c r="BF349" s="624">
        <v>42033</v>
      </c>
      <c r="BG349" s="355">
        <v>1.6181000000000001E-2</v>
      </c>
      <c r="BH349" s="624">
        <v>42027</v>
      </c>
      <c r="BI349" s="355">
        <v>8.0227999999999994E-2</v>
      </c>
      <c r="BJ349" s="624">
        <v>42027</v>
      </c>
      <c r="BK349" s="355">
        <v>3.0721999999999999E-2</v>
      </c>
    </row>
    <row r="350" spans="3:63" x14ac:dyDescent="0.15">
      <c r="C350" s="624"/>
      <c r="D350" s="355">
        <v>3.56E-2</v>
      </c>
      <c r="AV350" s="624">
        <v>42037</v>
      </c>
      <c r="AW350" s="355">
        <v>0.36680000000000001</v>
      </c>
      <c r="AX350" s="624">
        <v>42030</v>
      </c>
      <c r="AY350" s="355">
        <v>1.5089999999999999E-2</v>
      </c>
      <c r="AZ350" s="624">
        <v>42030</v>
      </c>
      <c r="BA350" s="355">
        <v>9.1000000000000004E-3</v>
      </c>
      <c r="BB350" s="624">
        <v>42030</v>
      </c>
      <c r="BC350" s="355">
        <v>0.2666</v>
      </c>
      <c r="BD350" s="624">
        <v>42030</v>
      </c>
      <c r="BE350" s="355">
        <v>9.2530000000000001E-2</v>
      </c>
      <c r="BF350" s="624">
        <v>42034</v>
      </c>
      <c r="BG350" s="355">
        <v>1.6095999999999999E-2</v>
      </c>
      <c r="BH350" s="624">
        <v>42030</v>
      </c>
      <c r="BI350" s="355">
        <v>8.0037999999999998E-2</v>
      </c>
      <c r="BJ350" s="624">
        <v>42030</v>
      </c>
      <c r="BK350" s="355">
        <v>3.0713000000000001E-2</v>
      </c>
    </row>
    <row r="351" spans="3:63" x14ac:dyDescent="0.15">
      <c r="C351" s="624"/>
      <c r="D351" s="355">
        <v>3.5529999999999999E-2</v>
      </c>
      <c r="AV351" s="624">
        <v>42038</v>
      </c>
      <c r="AW351" s="355">
        <v>0.37109999999999999</v>
      </c>
      <c r="AX351" s="624">
        <v>42031</v>
      </c>
      <c r="AY351" s="355">
        <v>1.477E-2</v>
      </c>
      <c r="AZ351" s="624">
        <v>42031</v>
      </c>
      <c r="BA351" s="355">
        <v>9.1999999999999998E-3</v>
      </c>
      <c r="BB351" s="624">
        <v>42031</v>
      </c>
      <c r="BC351" s="355">
        <v>0.26840000000000003</v>
      </c>
      <c r="BD351" s="624">
        <v>42031</v>
      </c>
      <c r="BE351" s="355">
        <v>9.2759999999999995E-2</v>
      </c>
      <c r="BF351" s="624">
        <v>42037</v>
      </c>
      <c r="BG351" s="355">
        <v>1.6208E-2</v>
      </c>
      <c r="BH351" s="624">
        <v>42031</v>
      </c>
      <c r="BI351" s="355">
        <v>8.0217999999999998E-2</v>
      </c>
      <c r="BJ351" s="624">
        <v>42031</v>
      </c>
      <c r="BK351" s="355">
        <v>3.0765000000000001E-2</v>
      </c>
    </row>
    <row r="352" spans="3:63" x14ac:dyDescent="0.15">
      <c r="C352" s="624"/>
      <c r="D352" s="355">
        <v>3.5560000000000001E-2</v>
      </c>
      <c r="AV352" s="624">
        <v>42039</v>
      </c>
      <c r="AW352" s="355">
        <v>0.3644</v>
      </c>
      <c r="AX352" s="624">
        <v>42032</v>
      </c>
      <c r="AY352" s="355">
        <v>1.4749999999999999E-2</v>
      </c>
      <c r="AZ352" s="624">
        <v>42032</v>
      </c>
      <c r="BA352" s="355">
        <v>9.1000000000000004E-3</v>
      </c>
      <c r="BB352" s="624">
        <v>42032</v>
      </c>
      <c r="BC352" s="355">
        <v>0.26579999999999998</v>
      </c>
      <c r="BD352" s="624">
        <v>42032</v>
      </c>
      <c r="BE352" s="355">
        <v>9.2090000000000005E-2</v>
      </c>
      <c r="BF352" s="624">
        <v>42038</v>
      </c>
      <c r="BG352" s="355">
        <v>1.6232E-2</v>
      </c>
      <c r="BH352" s="624">
        <v>42032</v>
      </c>
      <c r="BI352" s="355">
        <v>7.9930000000000001E-2</v>
      </c>
      <c r="BJ352" s="624">
        <v>42032</v>
      </c>
      <c r="BK352" s="355">
        <v>3.0707999999999999E-2</v>
      </c>
    </row>
    <row r="353" spans="3:63" x14ac:dyDescent="0.15">
      <c r="C353" s="624"/>
      <c r="D353" s="355">
        <v>3.5499999999999997E-2</v>
      </c>
      <c r="AV353" s="624">
        <v>42040</v>
      </c>
      <c r="AW353" s="355">
        <v>0.36480000000000001</v>
      </c>
      <c r="AX353" s="624">
        <v>42033</v>
      </c>
      <c r="AY353" s="355">
        <v>1.453E-2</v>
      </c>
      <c r="AZ353" s="624">
        <v>42033</v>
      </c>
      <c r="BA353" s="355">
        <v>9.1999999999999998E-3</v>
      </c>
      <c r="BB353" s="624">
        <v>42033</v>
      </c>
      <c r="BC353" s="355">
        <v>0.26860000000000001</v>
      </c>
      <c r="BD353" s="624">
        <v>42033</v>
      </c>
      <c r="BE353" s="355">
        <v>9.0910000000000005E-2</v>
      </c>
      <c r="BF353" s="624">
        <v>42039</v>
      </c>
      <c r="BG353" s="355">
        <v>1.6173E-2</v>
      </c>
      <c r="BH353" s="624">
        <v>42033</v>
      </c>
      <c r="BI353" s="355">
        <v>7.9201999999999995E-2</v>
      </c>
      <c r="BJ353" s="624">
        <v>42033</v>
      </c>
      <c r="BK353" s="355">
        <v>3.0509000000000001E-2</v>
      </c>
    </row>
    <row r="354" spans="3:63" x14ac:dyDescent="0.15">
      <c r="C354" s="624"/>
      <c r="D354" s="355">
        <v>3.5520000000000003E-2</v>
      </c>
      <c r="AV354" s="624">
        <v>42041</v>
      </c>
      <c r="AW354" s="355">
        <v>0.3599</v>
      </c>
      <c r="AX354" s="624">
        <v>42034</v>
      </c>
      <c r="AY354" s="355">
        <v>1.4420000000000001E-2</v>
      </c>
      <c r="AZ354" s="624">
        <v>42034</v>
      </c>
      <c r="BA354" s="355">
        <v>9.1999999999999998E-3</v>
      </c>
      <c r="BB354" s="624">
        <v>42034</v>
      </c>
      <c r="BC354" s="355">
        <v>0.26960000000000001</v>
      </c>
      <c r="BD354" s="624">
        <v>42034</v>
      </c>
      <c r="BE354" s="355">
        <v>9.0700000000000003E-2</v>
      </c>
      <c r="BF354" s="624">
        <v>42040</v>
      </c>
      <c r="BG354" s="355">
        <v>1.6201E-2</v>
      </c>
      <c r="BH354" s="624">
        <v>42034</v>
      </c>
      <c r="BI354" s="355">
        <v>7.8498999999999999E-2</v>
      </c>
      <c r="BJ354" s="624">
        <v>42034</v>
      </c>
      <c r="BK354" s="355">
        <v>3.0589000000000002E-2</v>
      </c>
    </row>
    <row r="355" spans="3:63" x14ac:dyDescent="0.15">
      <c r="C355" s="624"/>
      <c r="D355" s="355">
        <v>3.542E-2</v>
      </c>
      <c r="AV355" s="624">
        <v>42044</v>
      </c>
      <c r="AW355" s="355">
        <v>0.3609</v>
      </c>
      <c r="AX355" s="624">
        <v>42037</v>
      </c>
      <c r="AY355" s="355">
        <v>1.464E-2</v>
      </c>
      <c r="AZ355" s="624">
        <v>42037</v>
      </c>
      <c r="BA355" s="355">
        <v>9.2999999999999992E-3</v>
      </c>
      <c r="BB355" s="624">
        <v>42037</v>
      </c>
      <c r="BC355" s="355">
        <v>0.27060000000000001</v>
      </c>
      <c r="BD355" s="624">
        <v>42037</v>
      </c>
      <c r="BE355" s="355">
        <v>9.0950000000000003E-2</v>
      </c>
      <c r="BF355" s="624">
        <v>42041</v>
      </c>
      <c r="BG355" s="355">
        <v>1.6129000000000001E-2</v>
      </c>
      <c r="BH355" s="624">
        <v>42037</v>
      </c>
      <c r="BI355" s="355">
        <v>7.8920000000000004E-2</v>
      </c>
      <c r="BJ355" s="624">
        <v>42037</v>
      </c>
      <c r="BK355" s="355">
        <v>3.0693999999999999E-2</v>
      </c>
    </row>
    <row r="356" spans="3:63" x14ac:dyDescent="0.15">
      <c r="C356" s="624"/>
      <c r="D356" s="355">
        <v>3.5369999999999999E-2</v>
      </c>
      <c r="AV356" s="624">
        <v>42045</v>
      </c>
      <c r="AW356" s="355">
        <v>0.3528</v>
      </c>
      <c r="AX356" s="624">
        <v>42038</v>
      </c>
      <c r="AY356" s="355">
        <v>1.5339999999999999E-2</v>
      </c>
      <c r="AZ356" s="624">
        <v>42038</v>
      </c>
      <c r="BA356" s="355">
        <v>9.4000000000000004E-3</v>
      </c>
      <c r="BB356" s="624">
        <v>42038</v>
      </c>
      <c r="BC356" s="355">
        <v>0.27510000000000001</v>
      </c>
      <c r="BD356" s="624">
        <v>42038</v>
      </c>
      <c r="BE356" s="355">
        <v>9.1490000000000002E-2</v>
      </c>
      <c r="BF356" s="624">
        <v>42044</v>
      </c>
      <c r="BG356" s="355">
        <v>1.6093E-2</v>
      </c>
      <c r="BH356" s="624">
        <v>42038</v>
      </c>
      <c r="BI356" s="355">
        <v>7.9465999999999995E-2</v>
      </c>
      <c r="BJ356" s="624">
        <v>42038</v>
      </c>
      <c r="BK356" s="355">
        <v>3.0678E-2</v>
      </c>
    </row>
    <row r="357" spans="3:63" x14ac:dyDescent="0.15">
      <c r="C357" s="624"/>
      <c r="D357" s="355">
        <v>3.5369999999999999E-2</v>
      </c>
      <c r="AV357" s="624">
        <v>42046</v>
      </c>
      <c r="AW357" s="355">
        <v>0.34849999999999998</v>
      </c>
      <c r="AX357" s="624">
        <v>42039</v>
      </c>
      <c r="AY357" s="355">
        <v>1.468E-2</v>
      </c>
      <c r="AZ357" s="624">
        <v>42039</v>
      </c>
      <c r="BA357" s="355">
        <v>9.2999999999999992E-3</v>
      </c>
      <c r="BB357" s="624">
        <v>42039</v>
      </c>
      <c r="BC357" s="355">
        <v>0.27189999999999998</v>
      </c>
      <c r="BD357" s="624">
        <v>42039</v>
      </c>
      <c r="BE357" s="355">
        <v>9.1929999999999998E-2</v>
      </c>
      <c r="BF357" s="624">
        <v>42045</v>
      </c>
      <c r="BG357" s="355">
        <v>1.6043999999999999E-2</v>
      </c>
      <c r="BH357" s="624">
        <v>42039</v>
      </c>
      <c r="BI357" s="355">
        <v>7.9114000000000004E-2</v>
      </c>
      <c r="BJ357" s="624">
        <v>42039</v>
      </c>
      <c r="BK357" s="355">
        <v>3.0630000000000001E-2</v>
      </c>
    </row>
    <row r="358" spans="3:63" x14ac:dyDescent="0.15">
      <c r="C358" s="624"/>
      <c r="D358" s="355">
        <v>3.5349999999999999E-2</v>
      </c>
      <c r="AV358" s="624">
        <v>42047</v>
      </c>
      <c r="AW358" s="355">
        <v>0.35439999999999999</v>
      </c>
      <c r="AX358" s="624">
        <v>42040</v>
      </c>
      <c r="AY358" s="355">
        <v>1.502E-2</v>
      </c>
      <c r="AZ358" s="624">
        <v>42040</v>
      </c>
      <c r="BA358" s="355">
        <v>9.4000000000000004E-3</v>
      </c>
      <c r="BB358" s="624">
        <v>42040</v>
      </c>
      <c r="BC358" s="355">
        <v>0.27539999999999998</v>
      </c>
      <c r="BD358" s="624">
        <v>42040</v>
      </c>
      <c r="BE358" s="355">
        <v>9.2020000000000005E-2</v>
      </c>
      <c r="BF358" s="624">
        <v>42046</v>
      </c>
      <c r="BG358" s="355">
        <v>1.6029999999999999E-2</v>
      </c>
      <c r="BH358" s="624">
        <v>42040</v>
      </c>
      <c r="BI358" s="355">
        <v>7.9416E-2</v>
      </c>
      <c r="BJ358" s="624">
        <v>42040</v>
      </c>
      <c r="BK358" s="355">
        <v>3.0675000000000001E-2</v>
      </c>
    </row>
    <row r="359" spans="3:63" x14ac:dyDescent="0.15">
      <c r="C359" s="624"/>
      <c r="D359" s="355">
        <v>3.5389999999999998E-2</v>
      </c>
      <c r="AV359" s="624">
        <v>42048</v>
      </c>
      <c r="AW359" s="355">
        <v>0.3528</v>
      </c>
      <c r="AX359" s="624">
        <v>42041</v>
      </c>
      <c r="AY359" s="355">
        <v>1.5010000000000001E-2</v>
      </c>
      <c r="AZ359" s="624">
        <v>42041</v>
      </c>
      <c r="BA359" s="355">
        <v>9.2999999999999992E-3</v>
      </c>
      <c r="BB359" s="624">
        <v>42041</v>
      </c>
      <c r="BC359" s="355">
        <v>0.2722</v>
      </c>
      <c r="BD359" s="624">
        <v>42041</v>
      </c>
      <c r="BE359" s="355">
        <v>9.1079999999999994E-2</v>
      </c>
      <c r="BF359" s="624">
        <v>42047</v>
      </c>
      <c r="BG359" s="355">
        <v>1.609E-2</v>
      </c>
      <c r="BH359" s="624">
        <v>42041</v>
      </c>
      <c r="BI359" s="355">
        <v>7.9050999999999996E-2</v>
      </c>
      <c r="BJ359" s="624">
        <v>42041</v>
      </c>
      <c r="BK359" s="355">
        <v>3.0623999999999998E-2</v>
      </c>
    </row>
    <row r="360" spans="3:63" x14ac:dyDescent="0.15">
      <c r="C360" s="624"/>
      <c r="D360" s="355">
        <v>3.5340000000000003E-2</v>
      </c>
      <c r="AV360" s="624">
        <v>42053</v>
      </c>
      <c r="AW360" s="355">
        <v>0.35239999999999999</v>
      </c>
      <c r="AX360" s="624">
        <v>42044</v>
      </c>
      <c r="AY360" s="355">
        <v>1.521E-2</v>
      </c>
      <c r="AZ360" s="624">
        <v>42044</v>
      </c>
      <c r="BA360" s="355">
        <v>9.2999999999999992E-3</v>
      </c>
      <c r="BB360" s="624">
        <v>42044</v>
      </c>
      <c r="BC360" s="355">
        <v>0.2707</v>
      </c>
      <c r="BD360" s="624">
        <v>42044</v>
      </c>
      <c r="BE360" s="355">
        <v>9.1310000000000002E-2</v>
      </c>
      <c r="BF360" s="624">
        <v>42048</v>
      </c>
      <c r="BG360" s="355">
        <v>1.6107E-2</v>
      </c>
      <c r="BH360" s="624">
        <v>42044</v>
      </c>
      <c r="BI360" s="355">
        <v>7.8865000000000005E-2</v>
      </c>
      <c r="BJ360" s="624">
        <v>42044</v>
      </c>
      <c r="BK360" s="355">
        <v>3.0689000000000001E-2</v>
      </c>
    </row>
    <row r="361" spans="3:63" x14ac:dyDescent="0.15">
      <c r="C361" s="624"/>
      <c r="D361" s="355">
        <v>3.5459999999999998E-2</v>
      </c>
      <c r="AV361" s="624">
        <v>42054</v>
      </c>
      <c r="AW361" s="355">
        <v>0.34889999999999999</v>
      </c>
      <c r="AX361" s="624">
        <v>42045</v>
      </c>
      <c r="AY361" s="355">
        <v>1.528E-2</v>
      </c>
      <c r="AZ361" s="624">
        <v>42045</v>
      </c>
      <c r="BA361" s="355">
        <v>9.2999999999999992E-3</v>
      </c>
      <c r="BB361" s="624">
        <v>42045</v>
      </c>
      <c r="BC361" s="355">
        <v>0.26950000000000002</v>
      </c>
      <c r="BD361" s="624">
        <v>42045</v>
      </c>
      <c r="BE361" s="355">
        <v>9.0959999999999999E-2</v>
      </c>
      <c r="BF361" s="624">
        <v>42051</v>
      </c>
      <c r="BG361" s="355">
        <v>1.6079E-2</v>
      </c>
      <c r="BH361" s="624">
        <v>42045</v>
      </c>
      <c r="BI361" s="355">
        <v>7.8529000000000002E-2</v>
      </c>
      <c r="BJ361" s="624">
        <v>42045</v>
      </c>
      <c r="BK361" s="355">
        <v>3.0639E-2</v>
      </c>
    </row>
    <row r="362" spans="3:63" x14ac:dyDescent="0.15">
      <c r="C362" s="624"/>
      <c r="D362" s="355">
        <v>3.5450000000000002E-2</v>
      </c>
      <c r="AV362" s="624">
        <v>42055</v>
      </c>
      <c r="AW362" s="355">
        <v>0.34870000000000001</v>
      </c>
      <c r="AX362" s="624">
        <v>42046</v>
      </c>
      <c r="AY362" s="355">
        <v>1.533E-2</v>
      </c>
      <c r="AZ362" s="624">
        <v>42046</v>
      </c>
      <c r="BA362" s="355">
        <v>9.2999999999999992E-3</v>
      </c>
      <c r="BB362" s="624">
        <v>42046</v>
      </c>
      <c r="BC362" s="355">
        <v>0.26929999999999998</v>
      </c>
      <c r="BD362" s="624">
        <v>42046</v>
      </c>
      <c r="BE362" s="355">
        <v>9.0240000000000001E-2</v>
      </c>
      <c r="BF362" s="624">
        <v>42052</v>
      </c>
      <c r="BG362" s="355">
        <v>1.6084999999999999E-2</v>
      </c>
      <c r="BH362" s="624">
        <v>42046</v>
      </c>
      <c r="BI362" s="355">
        <v>7.7760999999999997E-2</v>
      </c>
      <c r="BJ362" s="624">
        <v>42046</v>
      </c>
      <c r="BK362" s="355">
        <v>3.0626E-2</v>
      </c>
    </row>
    <row r="363" spans="3:63" x14ac:dyDescent="0.15">
      <c r="C363" s="624"/>
      <c r="D363" s="355">
        <v>3.5430000000000003E-2</v>
      </c>
      <c r="AV363" s="624">
        <v>42058</v>
      </c>
      <c r="AW363" s="355">
        <v>0.3473</v>
      </c>
      <c r="AX363" s="624">
        <v>42047</v>
      </c>
      <c r="AY363" s="355">
        <v>1.532E-2</v>
      </c>
      <c r="AZ363" s="624">
        <v>42047</v>
      </c>
      <c r="BA363" s="355">
        <v>9.4000000000000004E-3</v>
      </c>
      <c r="BB363" s="624">
        <v>42047</v>
      </c>
      <c r="BC363" s="355">
        <v>0.2737</v>
      </c>
      <c r="BD363" s="624">
        <v>42047</v>
      </c>
      <c r="BE363" s="355">
        <v>9.078E-2</v>
      </c>
      <c r="BF363" s="624">
        <v>42053</v>
      </c>
      <c r="BG363" s="355">
        <v>1.6074000000000001E-2</v>
      </c>
      <c r="BH363" s="624">
        <v>42047</v>
      </c>
      <c r="BI363" s="355">
        <v>7.8523999999999997E-2</v>
      </c>
      <c r="BJ363" s="624">
        <v>42047</v>
      </c>
      <c r="BK363" s="355">
        <v>3.0665999999999999E-2</v>
      </c>
    </row>
    <row r="364" spans="3:63" x14ac:dyDescent="0.15">
      <c r="C364" s="624"/>
      <c r="D364" s="355">
        <v>3.542E-2</v>
      </c>
      <c r="AV364" s="624">
        <v>42059</v>
      </c>
      <c r="AW364" s="355">
        <v>0.35299999999999998</v>
      </c>
      <c r="AX364" s="624">
        <v>42048</v>
      </c>
      <c r="AY364" s="355">
        <v>1.5949999999999999E-2</v>
      </c>
      <c r="AZ364" s="624">
        <v>42048</v>
      </c>
      <c r="BA364" s="355">
        <v>9.4000000000000004E-3</v>
      </c>
      <c r="BB364" s="624">
        <v>42048</v>
      </c>
      <c r="BC364" s="355">
        <v>0.27200000000000002</v>
      </c>
      <c r="BD364" s="624">
        <v>42048</v>
      </c>
      <c r="BE364" s="355">
        <v>9.1050000000000006E-2</v>
      </c>
      <c r="BF364" s="624">
        <v>42054</v>
      </c>
      <c r="BG364" s="355">
        <v>1.6093E-2</v>
      </c>
      <c r="BH364" s="624">
        <v>42048</v>
      </c>
      <c r="BI364" s="355">
        <v>7.8529000000000002E-2</v>
      </c>
      <c r="BJ364" s="624">
        <v>42048</v>
      </c>
      <c r="BK364" s="355">
        <v>3.0676999999999999E-2</v>
      </c>
    </row>
    <row r="365" spans="3:63" x14ac:dyDescent="0.15">
      <c r="C365" s="624"/>
      <c r="D365" s="355">
        <v>3.5459999999999998E-2</v>
      </c>
      <c r="AV365" s="624">
        <v>42060</v>
      </c>
      <c r="AW365" s="355">
        <v>0.3478</v>
      </c>
      <c r="AX365" s="624">
        <v>42051</v>
      </c>
      <c r="AY365" s="355">
        <v>1.583E-2</v>
      </c>
      <c r="AZ365" s="624">
        <v>42051</v>
      </c>
      <c r="BA365" s="355">
        <v>9.4000000000000004E-3</v>
      </c>
      <c r="BB365" s="624">
        <v>42051</v>
      </c>
      <c r="BC365" s="355">
        <v>0.27200000000000002</v>
      </c>
      <c r="BD365" s="624">
        <v>42051</v>
      </c>
      <c r="BE365" s="355">
        <v>9.0759999999999993E-2</v>
      </c>
      <c r="BF365" s="624">
        <v>42055</v>
      </c>
      <c r="BG365" s="355">
        <v>1.6060000000000001E-2</v>
      </c>
      <c r="BH365" s="624">
        <v>42051</v>
      </c>
      <c r="BI365" s="355">
        <v>7.8387999999999999E-2</v>
      </c>
      <c r="BJ365" s="624">
        <v>42051</v>
      </c>
      <c r="BK365" s="355">
        <v>3.0683999999999999E-2</v>
      </c>
    </row>
    <row r="366" spans="3:63" x14ac:dyDescent="0.15">
      <c r="C366" s="624"/>
      <c r="D366" s="355">
        <v>3.551E-2</v>
      </c>
      <c r="AV366" s="624">
        <v>42061</v>
      </c>
      <c r="AW366" s="355">
        <v>0.34389999999999998</v>
      </c>
      <c r="AX366" s="624">
        <v>42052</v>
      </c>
      <c r="AY366" s="355">
        <v>1.6E-2</v>
      </c>
      <c r="AZ366" s="624">
        <v>42052</v>
      </c>
      <c r="BA366" s="355">
        <v>9.4000000000000004E-3</v>
      </c>
      <c r="BB366" s="624">
        <v>42052</v>
      </c>
      <c r="BC366" s="355">
        <v>0.27229999999999999</v>
      </c>
      <c r="BD366" s="624">
        <v>42052</v>
      </c>
      <c r="BE366" s="355">
        <v>9.0179999999999996E-2</v>
      </c>
      <c r="BF366" s="624">
        <v>42058</v>
      </c>
      <c r="BG366" s="355">
        <v>1.6087000000000001E-2</v>
      </c>
      <c r="BH366" s="624">
        <v>42052</v>
      </c>
      <c r="BI366" s="355">
        <v>7.8125E-2</v>
      </c>
      <c r="BJ366" s="624">
        <v>42052</v>
      </c>
      <c r="BK366" s="355">
        <v>3.0683999999999999E-2</v>
      </c>
    </row>
    <row r="367" spans="3:63" x14ac:dyDescent="0.15">
      <c r="C367" s="624"/>
      <c r="D367" s="355">
        <v>3.5470000000000002E-2</v>
      </c>
      <c r="AV367" s="624">
        <v>42062</v>
      </c>
      <c r="AW367" s="355">
        <v>0.35020000000000001</v>
      </c>
      <c r="AX367" s="624">
        <v>42053</v>
      </c>
      <c r="AY367" s="355">
        <v>1.6240000000000001E-2</v>
      </c>
      <c r="AZ367" s="624">
        <v>42053</v>
      </c>
      <c r="BA367" s="355">
        <v>9.4000000000000004E-3</v>
      </c>
      <c r="BB367" s="624">
        <v>42053</v>
      </c>
      <c r="BC367" s="355">
        <v>0.27239999999999998</v>
      </c>
      <c r="BD367" s="624">
        <v>42053</v>
      </c>
      <c r="BE367" s="355">
        <v>9.0200000000000002E-2</v>
      </c>
      <c r="BF367" s="624">
        <v>42059</v>
      </c>
      <c r="BG367" s="355">
        <v>1.6152E-2</v>
      </c>
      <c r="BH367" s="624">
        <v>42053</v>
      </c>
      <c r="BI367" s="355">
        <v>7.7772999999999995E-2</v>
      </c>
      <c r="BJ367" s="624">
        <v>42053</v>
      </c>
      <c r="BK367" s="355">
        <v>3.0698E-2</v>
      </c>
    </row>
    <row r="368" spans="3:63" x14ac:dyDescent="0.15">
      <c r="C368" s="624"/>
      <c r="D368" s="355">
        <v>3.5430000000000003E-2</v>
      </c>
      <c r="AV368" s="624">
        <v>42065</v>
      </c>
      <c r="AW368" s="355">
        <v>0.3453</v>
      </c>
      <c r="AX368" s="624">
        <v>42054</v>
      </c>
      <c r="AY368" s="355">
        <v>1.6160000000000001E-2</v>
      </c>
      <c r="AZ368" s="624">
        <v>42054</v>
      </c>
      <c r="BA368" s="355">
        <v>9.4000000000000004E-3</v>
      </c>
      <c r="BB368" s="624">
        <v>42054</v>
      </c>
      <c r="BC368" s="355">
        <v>0.27250000000000002</v>
      </c>
      <c r="BD368" s="624">
        <v>42054</v>
      </c>
      <c r="BE368" s="355">
        <v>8.9940000000000006E-2</v>
      </c>
      <c r="BF368" s="624">
        <v>42060</v>
      </c>
      <c r="BG368" s="355">
        <v>1.6164999999999999E-2</v>
      </c>
      <c r="BH368" s="624">
        <v>42054</v>
      </c>
      <c r="BI368" s="355">
        <v>7.7687999999999993E-2</v>
      </c>
      <c r="BJ368" s="624">
        <v>42054</v>
      </c>
      <c r="BK368" s="355">
        <v>3.0714000000000002E-2</v>
      </c>
    </row>
    <row r="369" spans="3:63" x14ac:dyDescent="0.15">
      <c r="C369" s="624"/>
      <c r="D369" s="355">
        <v>3.5459999999999998E-2</v>
      </c>
      <c r="AV369" s="624">
        <v>42066</v>
      </c>
      <c r="AW369" s="355">
        <v>0.3412</v>
      </c>
      <c r="AX369" s="624">
        <v>42055</v>
      </c>
      <c r="AY369" s="355">
        <v>1.6049999999999998E-2</v>
      </c>
      <c r="AZ369" s="624">
        <v>42055</v>
      </c>
      <c r="BA369" s="355">
        <v>9.4999999999999998E-3</v>
      </c>
      <c r="BB369" s="624">
        <v>42055</v>
      </c>
      <c r="BC369" s="355">
        <v>0.27310000000000001</v>
      </c>
      <c r="BD369" s="624">
        <v>42055</v>
      </c>
      <c r="BE369" s="355">
        <v>9.0039999999999995E-2</v>
      </c>
      <c r="BF369" s="624">
        <v>42061</v>
      </c>
      <c r="BG369" s="355">
        <v>1.6197E-2</v>
      </c>
      <c r="BH369" s="624">
        <v>42055</v>
      </c>
      <c r="BI369" s="355">
        <v>7.7882000000000007E-2</v>
      </c>
      <c r="BJ369" s="624">
        <v>42055</v>
      </c>
      <c r="BK369" s="355">
        <v>3.0721999999999999E-2</v>
      </c>
    </row>
    <row r="370" spans="3:63" x14ac:dyDescent="0.15">
      <c r="C370" s="624"/>
      <c r="D370" s="355">
        <v>3.5450000000000002E-2</v>
      </c>
      <c r="AV370" s="624">
        <v>42067</v>
      </c>
      <c r="AW370" s="355">
        <v>0.33529999999999999</v>
      </c>
      <c r="AX370" s="624">
        <v>42058</v>
      </c>
      <c r="AY370" s="355">
        <v>1.5689999999999999E-2</v>
      </c>
      <c r="AZ370" s="624">
        <v>42058</v>
      </c>
      <c r="BA370" s="355">
        <v>9.4000000000000004E-3</v>
      </c>
      <c r="BB370" s="624">
        <v>42058</v>
      </c>
      <c r="BC370" s="355">
        <v>0.2712</v>
      </c>
      <c r="BD370" s="624">
        <v>42058</v>
      </c>
      <c r="BE370" s="355">
        <v>9.0209999999999999E-2</v>
      </c>
      <c r="BF370" s="624">
        <v>42062</v>
      </c>
      <c r="BG370" s="355">
        <v>1.6234999999999999E-2</v>
      </c>
      <c r="BH370" s="624">
        <v>42058</v>
      </c>
      <c r="BI370" s="355">
        <v>7.7501E-2</v>
      </c>
      <c r="BJ370" s="624">
        <v>42058</v>
      </c>
      <c r="BK370" s="355">
        <v>3.0721999999999999E-2</v>
      </c>
    </row>
    <row r="371" spans="3:63" x14ac:dyDescent="0.15">
      <c r="C371" s="624"/>
      <c r="D371" s="355">
        <v>3.5580000000000001E-2</v>
      </c>
      <c r="AV371" s="624">
        <v>42068</v>
      </c>
      <c r="AW371" s="355">
        <v>0.33289999999999997</v>
      </c>
      <c r="AX371" s="624">
        <v>42059</v>
      </c>
      <c r="AY371" s="355">
        <v>1.593E-2</v>
      </c>
      <c r="AZ371" s="624">
        <v>42059</v>
      </c>
      <c r="BA371" s="355">
        <v>9.4000000000000004E-3</v>
      </c>
      <c r="BB371" s="624">
        <v>42059</v>
      </c>
      <c r="BC371" s="355">
        <v>0.27279999999999999</v>
      </c>
      <c r="BD371" s="624">
        <v>42059</v>
      </c>
      <c r="BE371" s="355">
        <v>9.0469999999999995E-2</v>
      </c>
      <c r="BF371" s="624">
        <v>42065</v>
      </c>
      <c r="BG371" s="355">
        <v>1.6164999999999999E-2</v>
      </c>
      <c r="BH371" s="624">
        <v>42059</v>
      </c>
      <c r="BI371" s="355">
        <v>7.7663999999999997E-2</v>
      </c>
      <c r="BJ371" s="624">
        <v>42059</v>
      </c>
      <c r="BK371" s="355">
        <v>3.0734000000000001E-2</v>
      </c>
    </row>
    <row r="372" spans="3:63" x14ac:dyDescent="0.15">
      <c r="C372" s="624"/>
      <c r="D372" s="355">
        <v>3.569E-2</v>
      </c>
      <c r="AV372" s="624">
        <v>42069</v>
      </c>
      <c r="AW372" s="355">
        <v>0.3266</v>
      </c>
      <c r="AX372" s="624">
        <v>42060</v>
      </c>
      <c r="AY372" s="355">
        <v>1.6289999999999999E-2</v>
      </c>
      <c r="AZ372" s="624">
        <v>42060</v>
      </c>
      <c r="BA372" s="355">
        <v>9.4000000000000004E-3</v>
      </c>
      <c r="BB372" s="624">
        <v>42060</v>
      </c>
      <c r="BC372" s="355">
        <v>0.2732</v>
      </c>
      <c r="BD372" s="624">
        <v>42060</v>
      </c>
      <c r="BE372" s="355">
        <v>9.085E-2</v>
      </c>
      <c r="BF372" s="624">
        <v>42066</v>
      </c>
      <c r="BG372" s="355">
        <v>1.6173E-2</v>
      </c>
      <c r="BH372" s="624">
        <v>42060</v>
      </c>
      <c r="BI372" s="355">
        <v>7.7675999999999995E-2</v>
      </c>
      <c r="BJ372" s="624">
        <v>42060</v>
      </c>
      <c r="BK372" s="355">
        <v>3.075E-2</v>
      </c>
    </row>
    <row r="373" spans="3:63" x14ac:dyDescent="0.15">
      <c r="C373" s="624"/>
      <c r="D373" s="355">
        <v>3.5650000000000001E-2</v>
      </c>
      <c r="AV373" s="624">
        <v>42072</v>
      </c>
      <c r="AW373" s="355">
        <v>0.32029999999999997</v>
      </c>
      <c r="AX373" s="624">
        <v>42061</v>
      </c>
      <c r="AY373" s="355">
        <v>1.6369999999999999E-2</v>
      </c>
      <c r="AZ373" s="624">
        <v>42061</v>
      </c>
      <c r="BA373" s="355">
        <v>9.2999999999999992E-3</v>
      </c>
      <c r="BB373" s="624">
        <v>42061</v>
      </c>
      <c r="BC373" s="355">
        <v>0.26979999999999998</v>
      </c>
      <c r="BD373" s="624">
        <v>42061</v>
      </c>
      <c r="BE373" s="355">
        <v>9.0670000000000001E-2</v>
      </c>
      <c r="BF373" s="624">
        <v>42067</v>
      </c>
      <c r="BG373" s="355">
        <v>1.6049000000000001E-2</v>
      </c>
      <c r="BH373" s="624">
        <v>42061</v>
      </c>
      <c r="BI373" s="355">
        <v>7.7682000000000001E-2</v>
      </c>
      <c r="BJ373" s="624">
        <v>42061</v>
      </c>
      <c r="BK373" s="355">
        <v>3.0873999999999999E-2</v>
      </c>
    </row>
    <row r="374" spans="3:63" x14ac:dyDescent="0.15">
      <c r="C374" s="624"/>
      <c r="D374" s="355">
        <v>3.569E-2</v>
      </c>
      <c r="AV374" s="624">
        <v>42073</v>
      </c>
      <c r="AW374" s="355">
        <v>0.32229999999999998</v>
      </c>
      <c r="AX374" s="624">
        <v>42062</v>
      </c>
      <c r="AY374" s="355">
        <v>1.5859999999999999E-2</v>
      </c>
      <c r="AZ374" s="624">
        <v>42062</v>
      </c>
      <c r="BA374" s="355">
        <v>9.2999999999999992E-3</v>
      </c>
      <c r="BB374" s="624">
        <v>42062</v>
      </c>
      <c r="BC374" s="355">
        <v>0.2697</v>
      </c>
      <c r="BD374" s="624">
        <v>42062</v>
      </c>
      <c r="BE374" s="355">
        <v>9.0789999999999996E-2</v>
      </c>
      <c r="BF374" s="624">
        <v>42068</v>
      </c>
      <c r="BG374" s="355">
        <v>1.6025999999999999E-2</v>
      </c>
      <c r="BH374" s="624">
        <v>42062</v>
      </c>
      <c r="BI374" s="355">
        <v>7.6920000000000002E-2</v>
      </c>
      <c r="BJ374" s="624">
        <v>42062</v>
      </c>
      <c r="BK374" s="355">
        <v>3.0901999999999999E-2</v>
      </c>
    </row>
    <row r="375" spans="3:63" x14ac:dyDescent="0.15">
      <c r="C375" s="624"/>
      <c r="D375" s="355">
        <v>3.5889999999999998E-2</v>
      </c>
      <c r="AV375" s="624">
        <v>42074</v>
      </c>
      <c r="AW375" s="355">
        <v>0.31969999999999998</v>
      </c>
      <c r="AX375" s="624">
        <v>42065</v>
      </c>
      <c r="AY375" s="355">
        <v>1.601E-2</v>
      </c>
      <c r="AZ375" s="624">
        <v>42065</v>
      </c>
      <c r="BA375" s="355">
        <v>9.2999999999999992E-3</v>
      </c>
      <c r="BB375" s="624">
        <v>42065</v>
      </c>
      <c r="BC375" s="355">
        <v>0.26889999999999997</v>
      </c>
      <c r="BD375" s="624">
        <v>42065</v>
      </c>
      <c r="BE375" s="355">
        <v>9.0620000000000006E-2</v>
      </c>
      <c r="BF375" s="624">
        <v>42069</v>
      </c>
      <c r="BG375" s="355">
        <v>1.5925999999999999E-2</v>
      </c>
      <c r="BH375" s="624">
        <v>42065</v>
      </c>
      <c r="BI375" s="355">
        <v>7.6935000000000003E-2</v>
      </c>
      <c r="BJ375" s="624">
        <v>42065</v>
      </c>
      <c r="BK375" s="355">
        <v>3.0908999999999999E-2</v>
      </c>
    </row>
    <row r="376" spans="3:63" x14ac:dyDescent="0.15">
      <c r="C376" s="624"/>
      <c r="D376" s="355">
        <v>3.5779999999999999E-2</v>
      </c>
      <c r="AV376" s="624">
        <v>42075</v>
      </c>
      <c r="AW376" s="355">
        <v>0.31590000000000001</v>
      </c>
      <c r="AX376" s="624">
        <v>42066</v>
      </c>
      <c r="AY376" s="355">
        <v>1.6160000000000001E-2</v>
      </c>
      <c r="AZ376" s="624">
        <v>42066</v>
      </c>
      <c r="BA376" s="355">
        <v>9.1999999999999998E-3</v>
      </c>
      <c r="BB376" s="624">
        <v>42066</v>
      </c>
      <c r="BC376" s="355">
        <v>0.26829999999999998</v>
      </c>
      <c r="BD376" s="624">
        <v>42066</v>
      </c>
      <c r="BE376" s="355">
        <v>9.1160000000000005E-2</v>
      </c>
      <c r="BF376" s="624">
        <v>42072</v>
      </c>
      <c r="BG376" s="355">
        <v>1.5966000000000001E-2</v>
      </c>
      <c r="BH376" s="624">
        <v>42066</v>
      </c>
      <c r="BI376" s="355">
        <v>7.6994000000000007E-2</v>
      </c>
      <c r="BJ376" s="624">
        <v>42066</v>
      </c>
      <c r="BK376" s="355">
        <v>3.0907E-2</v>
      </c>
    </row>
    <row r="377" spans="3:63" x14ac:dyDescent="0.15">
      <c r="C377" s="624"/>
      <c r="D377" s="355">
        <v>3.56E-2</v>
      </c>
      <c r="AV377" s="624">
        <v>42076</v>
      </c>
      <c r="AW377" s="355">
        <v>0.30780000000000002</v>
      </c>
      <c r="AX377" s="624">
        <v>42067</v>
      </c>
      <c r="AY377" s="355">
        <v>1.6160000000000001E-2</v>
      </c>
      <c r="AZ377" s="624">
        <v>42067</v>
      </c>
      <c r="BA377" s="355">
        <v>9.1999999999999998E-3</v>
      </c>
      <c r="BB377" s="624">
        <v>42067</v>
      </c>
      <c r="BC377" s="355">
        <v>0.26690000000000003</v>
      </c>
      <c r="BD377" s="624">
        <v>42067</v>
      </c>
      <c r="BE377" s="355">
        <v>9.0770000000000003E-2</v>
      </c>
      <c r="BF377" s="624">
        <v>42073</v>
      </c>
      <c r="BG377" s="355">
        <v>1.5913E-2</v>
      </c>
      <c r="BH377" s="624">
        <v>42067</v>
      </c>
      <c r="BI377" s="355">
        <v>7.6752000000000001E-2</v>
      </c>
      <c r="BJ377" s="624">
        <v>42067</v>
      </c>
      <c r="BK377" s="355">
        <v>3.0859999999999999E-2</v>
      </c>
    </row>
    <row r="378" spans="3:63" x14ac:dyDescent="0.15">
      <c r="C378" s="624"/>
      <c r="D378" s="355">
        <v>3.5650000000000001E-2</v>
      </c>
      <c r="AV378" s="624">
        <v>42079</v>
      </c>
      <c r="AW378" s="355">
        <v>0.30809999999999998</v>
      </c>
      <c r="AX378" s="624">
        <v>42068</v>
      </c>
      <c r="AY378" s="355">
        <v>1.6400000000000001E-2</v>
      </c>
      <c r="AZ378" s="624">
        <v>42068</v>
      </c>
      <c r="BA378" s="355">
        <v>9.1000000000000004E-3</v>
      </c>
      <c r="BB378" s="624">
        <v>42068</v>
      </c>
      <c r="BC378" s="355">
        <v>0.2661</v>
      </c>
      <c r="BD378" s="624">
        <v>42068</v>
      </c>
      <c r="BE378" s="355">
        <v>9.0719999999999995E-2</v>
      </c>
      <c r="BF378" s="624">
        <v>42074</v>
      </c>
      <c r="BG378" s="355">
        <v>1.5928999999999999E-2</v>
      </c>
      <c r="BH378" s="624">
        <v>42068</v>
      </c>
      <c r="BI378" s="355">
        <v>7.6733999999999997E-2</v>
      </c>
      <c r="BJ378" s="624">
        <v>42068</v>
      </c>
      <c r="BK378" s="355">
        <v>3.0838000000000001E-2</v>
      </c>
    </row>
    <row r="379" spans="3:63" x14ac:dyDescent="0.15">
      <c r="C379" s="624"/>
      <c r="D379" s="355">
        <v>3.567E-2</v>
      </c>
      <c r="AV379" s="624">
        <v>42080</v>
      </c>
      <c r="AW379" s="355">
        <v>0.30859999999999999</v>
      </c>
      <c r="AX379" s="624">
        <v>42069</v>
      </c>
      <c r="AY379" s="355">
        <v>1.6570000000000001E-2</v>
      </c>
      <c r="AZ379" s="624">
        <v>42069</v>
      </c>
      <c r="BA379" s="355">
        <v>8.9999999999999993E-3</v>
      </c>
      <c r="BB379" s="624">
        <v>42069</v>
      </c>
      <c r="BC379" s="355">
        <v>0.26250000000000001</v>
      </c>
      <c r="BD379" s="624">
        <v>42069</v>
      </c>
      <c r="BE379" s="355">
        <v>8.9990000000000001E-2</v>
      </c>
      <c r="BF379" s="624">
        <v>42075</v>
      </c>
      <c r="BG379" s="355">
        <v>1.6004000000000001E-2</v>
      </c>
      <c r="BH379" s="624">
        <v>42069</v>
      </c>
      <c r="BI379" s="355">
        <v>7.6337000000000002E-2</v>
      </c>
      <c r="BJ379" s="624">
        <v>42069</v>
      </c>
      <c r="BK379" s="355">
        <v>3.0693999999999999E-2</v>
      </c>
    </row>
    <row r="380" spans="3:63" x14ac:dyDescent="0.15">
      <c r="C380" s="624"/>
      <c r="D380" s="355">
        <v>3.5659999999999997E-2</v>
      </c>
      <c r="AV380" s="624">
        <v>42081</v>
      </c>
      <c r="AW380" s="355">
        <v>0.31140000000000001</v>
      </c>
      <c r="AX380" s="624">
        <v>42072</v>
      </c>
      <c r="AY380" s="355">
        <v>1.652E-2</v>
      </c>
      <c r="AZ380" s="624">
        <v>42072</v>
      </c>
      <c r="BA380" s="355">
        <v>8.9999999999999993E-3</v>
      </c>
      <c r="BB380" s="624">
        <v>42072</v>
      </c>
      <c r="BC380" s="355">
        <v>0.26369999999999999</v>
      </c>
      <c r="BD380" s="624">
        <v>42072</v>
      </c>
      <c r="BE380" s="355">
        <v>8.9719999999999994E-2</v>
      </c>
      <c r="BF380" s="624">
        <v>42076</v>
      </c>
      <c r="BG380" s="355">
        <v>1.5852999999999999E-2</v>
      </c>
      <c r="BH380" s="624">
        <v>42072</v>
      </c>
      <c r="BI380" s="355">
        <v>7.6395000000000005E-2</v>
      </c>
      <c r="BJ380" s="624">
        <v>42072</v>
      </c>
      <c r="BK380" s="355">
        <v>3.0689000000000001E-2</v>
      </c>
    </row>
    <row r="381" spans="3:63" x14ac:dyDescent="0.15">
      <c r="C381" s="624"/>
      <c r="D381" s="355">
        <v>3.569E-2</v>
      </c>
      <c r="AV381" s="624">
        <v>42082</v>
      </c>
      <c r="AW381" s="355">
        <v>0.30380000000000001</v>
      </c>
      <c r="AX381" s="624">
        <v>42073</v>
      </c>
      <c r="AY381" s="355">
        <v>1.6070000000000001E-2</v>
      </c>
      <c r="AZ381" s="624">
        <v>42073</v>
      </c>
      <c r="BA381" s="355">
        <v>8.8000000000000005E-3</v>
      </c>
      <c r="BB381" s="624">
        <v>42073</v>
      </c>
      <c r="BC381" s="355">
        <v>0.2571</v>
      </c>
      <c r="BD381" s="624">
        <v>42073</v>
      </c>
      <c r="BE381" s="355">
        <v>8.8700000000000001E-2</v>
      </c>
      <c r="BF381" s="624">
        <v>42079</v>
      </c>
      <c r="BG381" s="355">
        <v>1.5928999999999999E-2</v>
      </c>
      <c r="BH381" s="624">
        <v>42073</v>
      </c>
      <c r="BI381" s="355">
        <v>7.5383000000000006E-2</v>
      </c>
      <c r="BJ381" s="624">
        <v>42073</v>
      </c>
      <c r="BK381" s="355">
        <v>3.0571000000000001E-2</v>
      </c>
    </row>
    <row r="382" spans="3:63" x14ac:dyDescent="0.15">
      <c r="C382" s="624"/>
      <c r="D382" s="355">
        <v>3.576E-2</v>
      </c>
      <c r="AV382" s="624">
        <v>42083</v>
      </c>
      <c r="AW382" s="355">
        <v>0.3095</v>
      </c>
      <c r="AX382" s="624">
        <v>42074</v>
      </c>
      <c r="AY382" s="355">
        <v>1.6279999999999999E-2</v>
      </c>
      <c r="AZ382" s="624">
        <v>42074</v>
      </c>
      <c r="BA382" s="355">
        <v>8.8999999999999999E-3</v>
      </c>
      <c r="BB382" s="624">
        <v>42074</v>
      </c>
      <c r="BC382" s="355">
        <v>0.25580000000000003</v>
      </c>
      <c r="BD382" s="624">
        <v>42074</v>
      </c>
      <c r="BE382" s="355">
        <v>8.8330000000000006E-2</v>
      </c>
      <c r="BF382" s="624">
        <v>42080</v>
      </c>
      <c r="BG382" s="355">
        <v>1.5966000000000001E-2</v>
      </c>
      <c r="BH382" s="624">
        <v>42074</v>
      </c>
      <c r="BI382" s="355">
        <v>7.5843999999999995E-2</v>
      </c>
      <c r="BJ382" s="624">
        <v>42074</v>
      </c>
      <c r="BK382" s="355">
        <v>3.0439999999999998E-2</v>
      </c>
    </row>
    <row r="383" spans="3:63" x14ac:dyDescent="0.15">
      <c r="C383" s="624"/>
      <c r="D383" s="355">
        <v>3.5950000000000003E-2</v>
      </c>
      <c r="AV383" s="624">
        <v>42086</v>
      </c>
      <c r="AW383" s="355">
        <v>0.31919999999999998</v>
      </c>
      <c r="AX383" s="624">
        <v>42075</v>
      </c>
      <c r="AY383" s="355">
        <v>1.636E-2</v>
      </c>
      <c r="AZ383" s="624">
        <v>42075</v>
      </c>
      <c r="BA383" s="355">
        <v>8.8000000000000005E-3</v>
      </c>
      <c r="BB383" s="624">
        <v>42075</v>
      </c>
      <c r="BC383" s="355">
        <v>0.25679999999999997</v>
      </c>
      <c r="BD383" s="624">
        <v>42075</v>
      </c>
      <c r="BE383" s="355">
        <v>8.8840000000000002E-2</v>
      </c>
      <c r="BF383" s="624">
        <v>42081</v>
      </c>
      <c r="BG383" s="355">
        <v>1.6074000000000001E-2</v>
      </c>
      <c r="BH383" s="624">
        <v>42075</v>
      </c>
      <c r="BI383" s="355">
        <v>7.5786000000000006E-2</v>
      </c>
      <c r="BJ383" s="624">
        <v>42075</v>
      </c>
      <c r="BK383" s="355">
        <v>3.0439000000000001E-2</v>
      </c>
    </row>
    <row r="384" spans="3:63" x14ac:dyDescent="0.15">
      <c r="C384" s="624"/>
      <c r="D384" s="355">
        <v>3.61E-2</v>
      </c>
      <c r="AV384" s="624">
        <v>42087</v>
      </c>
      <c r="AW384" s="355">
        <v>0.31859999999999999</v>
      </c>
      <c r="AX384" s="624">
        <v>42076</v>
      </c>
      <c r="AY384" s="355">
        <v>1.61E-2</v>
      </c>
      <c r="AZ384" s="624">
        <v>42076</v>
      </c>
      <c r="BA384" s="355">
        <v>8.6999999999999994E-3</v>
      </c>
      <c r="BB384" s="624">
        <v>42076</v>
      </c>
      <c r="BC384" s="355">
        <v>0.25290000000000001</v>
      </c>
      <c r="BD384" s="624">
        <v>42076</v>
      </c>
      <c r="BE384" s="355">
        <v>8.7859999999999994E-2</v>
      </c>
      <c r="BF384" s="624">
        <v>42082</v>
      </c>
      <c r="BG384" s="355">
        <v>1.6004000000000001E-2</v>
      </c>
      <c r="BH384" s="624">
        <v>42076</v>
      </c>
      <c r="BI384" s="355">
        <v>7.5393000000000002E-2</v>
      </c>
      <c r="BJ384" s="624">
        <v>42076</v>
      </c>
      <c r="BK384" s="355">
        <v>3.0321000000000001E-2</v>
      </c>
    </row>
    <row r="385" spans="3:63" x14ac:dyDescent="0.15">
      <c r="C385" s="624"/>
      <c r="D385" s="355">
        <v>3.6159999999999998E-2</v>
      </c>
      <c r="AV385" s="624">
        <v>42088</v>
      </c>
      <c r="AW385" s="355">
        <v>0.31240000000000001</v>
      </c>
      <c r="AX385" s="624">
        <v>42079</v>
      </c>
      <c r="AY385" s="355">
        <v>1.6049999999999998E-2</v>
      </c>
      <c r="AZ385" s="624">
        <v>42079</v>
      </c>
      <c r="BA385" s="355">
        <v>8.8000000000000005E-3</v>
      </c>
      <c r="BB385" s="624">
        <v>42079</v>
      </c>
      <c r="BC385" s="355">
        <v>0.25590000000000002</v>
      </c>
      <c r="BD385" s="624">
        <v>42079</v>
      </c>
      <c r="BE385" s="355">
        <v>8.8349999999999998E-2</v>
      </c>
      <c r="BF385" s="624">
        <v>42083</v>
      </c>
      <c r="BG385" s="355">
        <v>1.6049999999999998E-2</v>
      </c>
      <c r="BH385" s="624">
        <v>42079</v>
      </c>
      <c r="BI385" s="355">
        <v>7.5791999999999998E-2</v>
      </c>
      <c r="BJ385" s="624">
        <v>42079</v>
      </c>
      <c r="BK385" s="355">
        <v>3.039E-2</v>
      </c>
    </row>
    <row r="386" spans="3:63" x14ac:dyDescent="0.15">
      <c r="C386" s="624"/>
      <c r="D386" s="355">
        <v>3.6139999999999999E-2</v>
      </c>
      <c r="AV386" s="624">
        <v>42089</v>
      </c>
      <c r="AW386" s="355">
        <v>0.314</v>
      </c>
      <c r="AX386" s="624">
        <v>42080</v>
      </c>
      <c r="AY386" s="355">
        <v>1.6289999999999999E-2</v>
      </c>
      <c r="AZ386" s="624">
        <v>42080</v>
      </c>
      <c r="BA386" s="355">
        <v>8.8000000000000005E-3</v>
      </c>
      <c r="BB386" s="624">
        <v>42080</v>
      </c>
      <c r="BC386" s="355">
        <v>0.25619999999999998</v>
      </c>
      <c r="BD386" s="624">
        <v>42080</v>
      </c>
      <c r="BE386" s="355">
        <v>8.8550000000000004E-2</v>
      </c>
      <c r="BF386" s="624">
        <v>42086</v>
      </c>
      <c r="BG386" s="355">
        <v>1.6087000000000001E-2</v>
      </c>
      <c r="BH386" s="624">
        <v>42080</v>
      </c>
      <c r="BI386" s="355">
        <v>7.5953000000000007E-2</v>
      </c>
      <c r="BJ386" s="624">
        <v>42080</v>
      </c>
      <c r="BK386" s="355">
        <v>3.0370000000000001E-2</v>
      </c>
    </row>
    <row r="387" spans="3:63" x14ac:dyDescent="0.15">
      <c r="C387" s="624"/>
      <c r="D387" s="355">
        <v>3.6049999999999999E-2</v>
      </c>
      <c r="AV387" s="624">
        <v>42090</v>
      </c>
      <c r="AW387" s="355">
        <v>0.30790000000000001</v>
      </c>
      <c r="AX387" s="624">
        <v>42081</v>
      </c>
      <c r="AY387" s="355">
        <v>1.6889999999999999E-2</v>
      </c>
      <c r="AZ387" s="624">
        <v>42081</v>
      </c>
      <c r="BA387" s="355">
        <v>9.1000000000000004E-3</v>
      </c>
      <c r="BB387" s="624">
        <v>42081</v>
      </c>
      <c r="BC387" s="355">
        <v>0.26290000000000002</v>
      </c>
      <c r="BD387" s="624">
        <v>42081</v>
      </c>
      <c r="BE387" s="355">
        <v>8.9950000000000002E-2</v>
      </c>
      <c r="BF387" s="624">
        <v>42087</v>
      </c>
      <c r="BG387" s="355">
        <v>1.6038E-2</v>
      </c>
      <c r="BH387" s="624">
        <v>42081</v>
      </c>
      <c r="BI387" s="355">
        <v>7.6370999999999994E-2</v>
      </c>
      <c r="BJ387" s="624">
        <v>42081</v>
      </c>
      <c r="BK387" s="355">
        <v>3.0594E-2</v>
      </c>
    </row>
    <row r="388" spans="3:63" x14ac:dyDescent="0.15">
      <c r="C388" s="624"/>
      <c r="D388" s="355">
        <v>3.6040000000000003E-2</v>
      </c>
      <c r="AV388" s="624">
        <v>42093</v>
      </c>
      <c r="AW388" s="355">
        <v>0.30959999999999999</v>
      </c>
      <c r="AX388" s="624">
        <v>42082</v>
      </c>
      <c r="AY388" s="355">
        <v>1.6660000000000001E-2</v>
      </c>
      <c r="AZ388" s="624">
        <v>42082</v>
      </c>
      <c r="BA388" s="355">
        <v>8.8999999999999999E-3</v>
      </c>
      <c r="BB388" s="624">
        <v>42082</v>
      </c>
      <c r="BC388" s="355">
        <v>0.25800000000000001</v>
      </c>
      <c r="BD388" s="624">
        <v>42082</v>
      </c>
      <c r="BE388" s="355">
        <v>8.9130000000000001E-2</v>
      </c>
      <c r="BF388" s="624">
        <v>42088</v>
      </c>
      <c r="BG388" s="355">
        <v>1.6021000000000001E-2</v>
      </c>
      <c r="BH388" s="624">
        <v>42082</v>
      </c>
      <c r="BI388" s="355">
        <v>7.6517000000000002E-2</v>
      </c>
      <c r="BJ388" s="624">
        <v>42082</v>
      </c>
      <c r="BK388" s="355">
        <v>3.0544000000000002E-2</v>
      </c>
    </row>
    <row r="389" spans="3:63" x14ac:dyDescent="0.15">
      <c r="C389" s="624"/>
      <c r="D389" s="355">
        <v>3.5920000000000001E-2</v>
      </c>
      <c r="AV389" s="624">
        <v>42094</v>
      </c>
      <c r="AW389" s="355">
        <v>0.31280000000000002</v>
      </c>
      <c r="AX389" s="624">
        <v>42083</v>
      </c>
      <c r="AY389" s="355">
        <v>1.686E-2</v>
      </c>
      <c r="AZ389" s="624">
        <v>42083</v>
      </c>
      <c r="BA389" s="355">
        <v>8.9999999999999993E-3</v>
      </c>
      <c r="BB389" s="624">
        <v>42083</v>
      </c>
      <c r="BC389" s="355">
        <v>0.26169999999999999</v>
      </c>
      <c r="BD389" s="624">
        <v>42083</v>
      </c>
      <c r="BE389" s="355">
        <v>8.9800000000000005E-2</v>
      </c>
      <c r="BF389" s="624">
        <v>42089</v>
      </c>
      <c r="BG389" s="355">
        <v>1.5892E-2</v>
      </c>
      <c r="BH389" s="624">
        <v>42083</v>
      </c>
      <c r="BI389" s="355">
        <v>7.6763999999999999E-2</v>
      </c>
      <c r="BJ389" s="624">
        <v>42083</v>
      </c>
      <c r="BK389" s="355">
        <v>3.0741999999999998E-2</v>
      </c>
    </row>
    <row r="390" spans="3:63" x14ac:dyDescent="0.15">
      <c r="C390" s="624"/>
      <c r="D390" s="355">
        <v>3.5950000000000003E-2</v>
      </c>
      <c r="AV390" s="624">
        <v>42095</v>
      </c>
      <c r="AW390" s="355">
        <v>0.316</v>
      </c>
      <c r="AX390" s="624">
        <v>42086</v>
      </c>
      <c r="AY390" s="355">
        <v>1.703E-2</v>
      </c>
      <c r="AZ390" s="624">
        <v>42086</v>
      </c>
      <c r="BA390" s="355">
        <v>9.1000000000000004E-3</v>
      </c>
      <c r="BB390" s="624">
        <v>42086</v>
      </c>
      <c r="BC390" s="355">
        <v>0.26650000000000001</v>
      </c>
      <c r="BD390" s="624">
        <v>42086</v>
      </c>
      <c r="BE390" s="355">
        <v>9.0620000000000006E-2</v>
      </c>
      <c r="BF390" s="624">
        <v>42090</v>
      </c>
      <c r="BG390" s="355">
        <v>1.5984999999999999E-2</v>
      </c>
      <c r="BH390" s="624">
        <v>42086</v>
      </c>
      <c r="BI390" s="355">
        <v>7.6988000000000001E-2</v>
      </c>
      <c r="BJ390" s="624">
        <v>42086</v>
      </c>
      <c r="BK390" s="355">
        <v>3.0765000000000001E-2</v>
      </c>
    </row>
    <row r="391" spans="3:63" x14ac:dyDescent="0.15">
      <c r="C391" s="624"/>
      <c r="D391" s="355">
        <v>3.5979999999999998E-2</v>
      </c>
      <c r="AV391" s="624">
        <v>42096</v>
      </c>
      <c r="AW391" s="355">
        <v>0.32</v>
      </c>
      <c r="AX391" s="624">
        <v>42087</v>
      </c>
      <c r="AY391" s="355">
        <v>1.7309999999999999E-2</v>
      </c>
      <c r="AZ391" s="624">
        <v>42087</v>
      </c>
      <c r="BA391" s="355">
        <v>9.1000000000000004E-3</v>
      </c>
      <c r="BB391" s="624">
        <v>42087</v>
      </c>
      <c r="BC391" s="355">
        <v>0.26700000000000002</v>
      </c>
      <c r="BD391" s="624">
        <v>42087</v>
      </c>
      <c r="BE391" s="355">
        <v>9.0609999999999996E-2</v>
      </c>
      <c r="BF391" s="624">
        <v>42093</v>
      </c>
      <c r="BG391" s="355">
        <v>1.5997999999999998E-2</v>
      </c>
      <c r="BH391" s="624">
        <v>42087</v>
      </c>
      <c r="BI391" s="355">
        <v>7.7340000000000006E-2</v>
      </c>
      <c r="BJ391" s="624">
        <v>42087</v>
      </c>
      <c r="BK391" s="355">
        <v>3.0769999999999999E-2</v>
      </c>
    </row>
    <row r="392" spans="3:63" x14ac:dyDescent="0.15">
      <c r="C392" s="624"/>
      <c r="D392" s="355">
        <v>3.5979999999999998E-2</v>
      </c>
      <c r="AV392" s="624">
        <v>42097</v>
      </c>
      <c r="AW392" s="355">
        <v>0.32029999999999997</v>
      </c>
      <c r="AX392" s="624">
        <v>42088</v>
      </c>
      <c r="AY392" s="355">
        <v>1.7440000000000001E-2</v>
      </c>
      <c r="AZ392" s="624">
        <v>42088</v>
      </c>
      <c r="BA392" s="355">
        <v>9.1000000000000004E-3</v>
      </c>
      <c r="BB392" s="624">
        <v>42088</v>
      </c>
      <c r="BC392" s="355">
        <v>0.26850000000000002</v>
      </c>
      <c r="BD392" s="624">
        <v>42088</v>
      </c>
      <c r="BE392" s="355">
        <v>9.0819999999999998E-2</v>
      </c>
      <c r="BF392" s="624">
        <v>42094</v>
      </c>
      <c r="BG392" s="355">
        <v>1.6048E-2</v>
      </c>
      <c r="BH392" s="624">
        <v>42088</v>
      </c>
      <c r="BI392" s="355">
        <v>7.7048000000000005E-2</v>
      </c>
      <c r="BJ392" s="624">
        <v>42088</v>
      </c>
      <c r="BK392" s="355">
        <v>3.0735999999999999E-2</v>
      </c>
    </row>
    <row r="393" spans="3:63" x14ac:dyDescent="0.15">
      <c r="C393" s="624"/>
      <c r="D393" s="355">
        <v>3.5979999999999998E-2</v>
      </c>
      <c r="AV393" s="624">
        <v>42100</v>
      </c>
      <c r="AW393" s="355">
        <v>0.31979999999999997</v>
      </c>
      <c r="AX393" s="624">
        <v>42089</v>
      </c>
      <c r="AY393" s="355">
        <v>1.745E-2</v>
      </c>
      <c r="AZ393" s="624">
        <v>42089</v>
      </c>
      <c r="BA393" s="355">
        <v>8.9999999999999993E-3</v>
      </c>
      <c r="BB393" s="624">
        <v>42089</v>
      </c>
      <c r="BC393" s="355">
        <v>0.26650000000000001</v>
      </c>
      <c r="BD393" s="624">
        <v>42089</v>
      </c>
      <c r="BE393" s="355">
        <v>9.0490000000000001E-2</v>
      </c>
      <c r="BF393" s="624">
        <v>42097</v>
      </c>
      <c r="BG393" s="355">
        <v>1.6138E-2</v>
      </c>
      <c r="BH393" s="624">
        <v>42089</v>
      </c>
      <c r="BI393" s="355">
        <v>7.6774999999999996E-2</v>
      </c>
      <c r="BJ393" s="624">
        <v>42089</v>
      </c>
      <c r="BK393" s="355">
        <v>3.0721999999999999E-2</v>
      </c>
    </row>
    <row r="394" spans="3:63" x14ac:dyDescent="0.15">
      <c r="C394" s="624"/>
      <c r="D394" s="355">
        <v>3.61E-2</v>
      </c>
      <c r="AV394" s="624">
        <v>42101</v>
      </c>
      <c r="AW394" s="355">
        <v>0.31950000000000001</v>
      </c>
      <c r="AX394" s="624">
        <v>42090</v>
      </c>
      <c r="AY394" s="355">
        <v>1.729E-2</v>
      </c>
      <c r="AZ394" s="624">
        <v>42090</v>
      </c>
      <c r="BA394" s="355">
        <v>8.9999999999999993E-3</v>
      </c>
      <c r="BB394" s="624">
        <v>42090</v>
      </c>
      <c r="BC394" s="355">
        <v>0.26569999999999999</v>
      </c>
      <c r="BD394" s="624">
        <v>42090</v>
      </c>
      <c r="BE394" s="355">
        <v>9.06E-2</v>
      </c>
      <c r="BF394" s="624">
        <v>42100</v>
      </c>
      <c r="BG394" s="355">
        <v>1.6081000000000002E-2</v>
      </c>
      <c r="BH394" s="624">
        <v>42090</v>
      </c>
      <c r="BI394" s="355">
        <v>7.6510999999999996E-2</v>
      </c>
      <c r="BJ394" s="624">
        <v>42090</v>
      </c>
      <c r="BK394" s="355">
        <v>3.0713000000000001E-2</v>
      </c>
    </row>
    <row r="395" spans="3:63" x14ac:dyDescent="0.15">
      <c r="C395" s="624"/>
      <c r="D395" s="355">
        <v>3.6110000000000003E-2</v>
      </c>
      <c r="AV395" s="624">
        <v>42102</v>
      </c>
      <c r="AW395" s="355">
        <v>0.32800000000000001</v>
      </c>
      <c r="AX395" s="624">
        <v>42093</v>
      </c>
      <c r="AY395" s="355">
        <v>1.736E-2</v>
      </c>
      <c r="AZ395" s="624">
        <v>42093</v>
      </c>
      <c r="BA395" s="355">
        <v>8.9999999999999993E-3</v>
      </c>
      <c r="BB395" s="624">
        <v>42093</v>
      </c>
      <c r="BC395" s="355">
        <v>0.2651</v>
      </c>
      <c r="BD395" s="624">
        <v>42093</v>
      </c>
      <c r="BE395" s="355">
        <v>9.0249999999999997E-2</v>
      </c>
      <c r="BF395" s="624">
        <v>42101</v>
      </c>
      <c r="BG395" s="355">
        <v>1.6052E-2</v>
      </c>
      <c r="BH395" s="624">
        <v>42093</v>
      </c>
      <c r="BI395" s="355">
        <v>7.6394000000000004E-2</v>
      </c>
      <c r="BJ395" s="624">
        <v>42093</v>
      </c>
      <c r="BK395" s="355">
        <v>3.0675000000000001E-2</v>
      </c>
    </row>
    <row r="396" spans="3:63" x14ac:dyDescent="0.15">
      <c r="C396" s="624"/>
      <c r="D396" s="355">
        <v>3.6110000000000003E-2</v>
      </c>
      <c r="AV396" s="624">
        <v>42103</v>
      </c>
      <c r="AW396" s="355">
        <v>0.3271</v>
      </c>
      <c r="AX396" s="624">
        <v>42094</v>
      </c>
      <c r="AY396" s="355">
        <v>1.7180000000000001E-2</v>
      </c>
      <c r="AZ396" s="624">
        <v>42094</v>
      </c>
      <c r="BA396" s="355">
        <v>8.8999999999999999E-3</v>
      </c>
      <c r="BB396" s="624">
        <v>42094</v>
      </c>
      <c r="BC396" s="355">
        <v>0.26319999999999999</v>
      </c>
      <c r="BD396" s="624">
        <v>42094</v>
      </c>
      <c r="BE396" s="355">
        <v>9.0149999999999994E-2</v>
      </c>
      <c r="BF396" s="624">
        <v>42102</v>
      </c>
      <c r="BG396" s="355">
        <v>1.6074000000000001E-2</v>
      </c>
      <c r="BH396" s="624">
        <v>42094</v>
      </c>
      <c r="BI396" s="355">
        <v>7.6505000000000004E-2</v>
      </c>
      <c r="BJ396" s="624">
        <v>42094</v>
      </c>
      <c r="BK396" s="355">
        <v>3.0700000000000002E-2</v>
      </c>
    </row>
    <row r="397" spans="3:63" x14ac:dyDescent="0.15">
      <c r="C397" s="624"/>
      <c r="D397" s="355">
        <v>3.628E-2</v>
      </c>
      <c r="AV397" s="624">
        <v>42104</v>
      </c>
      <c r="AW397" s="355">
        <v>0.3251</v>
      </c>
      <c r="AX397" s="624">
        <v>42095</v>
      </c>
      <c r="AY397" s="355">
        <v>1.736E-2</v>
      </c>
      <c r="AZ397" s="624">
        <v>42095</v>
      </c>
      <c r="BA397" s="355">
        <v>8.9999999999999993E-3</v>
      </c>
      <c r="BB397" s="624">
        <v>42095</v>
      </c>
      <c r="BC397" s="355">
        <v>0.26519999999999999</v>
      </c>
      <c r="BD397" s="624">
        <v>42095</v>
      </c>
      <c r="BE397" s="355">
        <v>9.1039999999999996E-2</v>
      </c>
      <c r="BF397" s="624">
        <v>42103</v>
      </c>
      <c r="BG397" s="355">
        <v>1.6049000000000001E-2</v>
      </c>
      <c r="BH397" s="624">
        <v>42095</v>
      </c>
      <c r="BI397" s="355">
        <v>7.7071000000000001E-2</v>
      </c>
      <c r="BJ397" s="624">
        <v>42095</v>
      </c>
      <c r="BK397" s="355">
        <v>3.0778E-2</v>
      </c>
    </row>
    <row r="398" spans="3:63" x14ac:dyDescent="0.15">
      <c r="C398" s="624"/>
      <c r="D398" s="355">
        <v>3.6269999999999997E-2</v>
      </c>
      <c r="AV398" s="624">
        <v>42107</v>
      </c>
      <c r="AW398" s="355">
        <v>0.32029999999999997</v>
      </c>
      <c r="AX398" s="624">
        <v>42096</v>
      </c>
      <c r="AY398" s="355">
        <v>1.771E-2</v>
      </c>
      <c r="AZ398" s="624">
        <v>42096</v>
      </c>
      <c r="BA398" s="355">
        <v>9.1000000000000004E-3</v>
      </c>
      <c r="BB398" s="624">
        <v>42096</v>
      </c>
      <c r="BC398" s="355">
        <v>0.26719999999999999</v>
      </c>
      <c r="BD398" s="624">
        <v>42096</v>
      </c>
      <c r="BE398" s="355">
        <v>9.1630000000000003E-2</v>
      </c>
      <c r="BF398" s="624">
        <v>42104</v>
      </c>
      <c r="BG398" s="355">
        <v>1.6057999999999999E-2</v>
      </c>
      <c r="BH398" s="624">
        <v>42096</v>
      </c>
      <c r="BI398" s="355">
        <v>7.6739000000000002E-2</v>
      </c>
      <c r="BJ398" s="624">
        <v>42096</v>
      </c>
      <c r="BK398" s="355">
        <v>3.0807000000000001E-2</v>
      </c>
    </row>
    <row r="399" spans="3:63" x14ac:dyDescent="0.15">
      <c r="C399" s="624"/>
      <c r="D399" s="355">
        <v>3.6249999999999998E-2</v>
      </c>
      <c r="AV399" s="624">
        <v>42108</v>
      </c>
      <c r="AW399" s="355">
        <v>0.32650000000000001</v>
      </c>
      <c r="AX399" s="624">
        <v>42097</v>
      </c>
      <c r="AY399" s="355">
        <v>1.7690000000000001E-2</v>
      </c>
      <c r="AZ399" s="624">
        <v>42097</v>
      </c>
      <c r="BA399" s="355">
        <v>9.1000000000000004E-3</v>
      </c>
      <c r="BB399" s="624">
        <v>42097</v>
      </c>
      <c r="BC399" s="355">
        <v>0.27050000000000002</v>
      </c>
      <c r="BD399" s="624">
        <v>42097</v>
      </c>
      <c r="BE399" s="355">
        <v>9.2009999999999995E-2</v>
      </c>
      <c r="BF399" s="624">
        <v>42107</v>
      </c>
      <c r="BG399" s="355">
        <v>1.6018999999999999E-2</v>
      </c>
      <c r="BH399" s="624">
        <v>42097</v>
      </c>
      <c r="BI399" s="355">
        <v>7.7214000000000005E-2</v>
      </c>
      <c r="BJ399" s="624">
        <v>42097</v>
      </c>
      <c r="BK399" s="355">
        <v>3.0918000000000001E-2</v>
      </c>
    </row>
    <row r="400" spans="3:63" x14ac:dyDescent="0.15">
      <c r="C400" s="624"/>
      <c r="D400" s="355">
        <v>3.61E-2</v>
      </c>
      <c r="AV400" s="624">
        <v>42109</v>
      </c>
      <c r="AW400" s="355">
        <v>0.33019999999999999</v>
      </c>
      <c r="AX400" s="624">
        <v>42100</v>
      </c>
      <c r="AY400" s="355">
        <v>1.806E-2</v>
      </c>
      <c r="AZ400" s="624">
        <v>42100</v>
      </c>
      <c r="BA400" s="355">
        <v>9.1000000000000004E-3</v>
      </c>
      <c r="BB400" s="624">
        <v>42100</v>
      </c>
      <c r="BC400" s="355">
        <v>0.26800000000000002</v>
      </c>
      <c r="BD400" s="624">
        <v>42100</v>
      </c>
      <c r="BE400" s="355">
        <v>9.2069999999999999E-2</v>
      </c>
      <c r="BF400" s="624">
        <v>42108</v>
      </c>
      <c r="BG400" s="355">
        <v>1.6057999999999999E-2</v>
      </c>
      <c r="BH400" s="624">
        <v>42100</v>
      </c>
      <c r="BI400" s="355">
        <v>7.7219999999999997E-2</v>
      </c>
      <c r="BJ400" s="624">
        <v>42100</v>
      </c>
      <c r="BK400" s="355">
        <v>3.0821000000000001E-2</v>
      </c>
    </row>
    <row r="401" spans="3:63" x14ac:dyDescent="0.15">
      <c r="C401" s="624"/>
      <c r="D401" s="355">
        <v>3.61E-2</v>
      </c>
      <c r="AV401" s="624">
        <v>42110</v>
      </c>
      <c r="AW401" s="355">
        <v>0.33110000000000001</v>
      </c>
      <c r="AX401" s="624">
        <v>42101</v>
      </c>
      <c r="AY401" s="355">
        <v>1.8169999999999999E-2</v>
      </c>
      <c r="AZ401" s="624">
        <v>42101</v>
      </c>
      <c r="BA401" s="355">
        <v>8.9999999999999993E-3</v>
      </c>
      <c r="BB401" s="624">
        <v>42101</v>
      </c>
      <c r="BC401" s="355">
        <v>0.2676</v>
      </c>
      <c r="BD401" s="624">
        <v>42101</v>
      </c>
      <c r="BE401" s="355">
        <v>9.128E-2</v>
      </c>
      <c r="BF401" s="624">
        <v>42109</v>
      </c>
      <c r="BG401" s="355">
        <v>1.6029999999999999E-2</v>
      </c>
      <c r="BH401" s="624">
        <v>42101</v>
      </c>
      <c r="BI401" s="355">
        <v>7.6940999999999996E-2</v>
      </c>
      <c r="BJ401" s="624">
        <v>42101</v>
      </c>
      <c r="BK401" s="355">
        <v>3.0707999999999999E-2</v>
      </c>
    </row>
    <row r="402" spans="3:63" x14ac:dyDescent="0.15">
      <c r="C402" s="624"/>
      <c r="D402" s="355">
        <v>3.6159999999999998E-2</v>
      </c>
      <c r="AV402" s="624">
        <v>42111</v>
      </c>
      <c r="AW402" s="355">
        <v>0.32900000000000001</v>
      </c>
      <c r="AX402" s="624">
        <v>42102</v>
      </c>
      <c r="AY402" s="355">
        <v>1.864E-2</v>
      </c>
      <c r="AZ402" s="624">
        <v>42102</v>
      </c>
      <c r="BA402" s="355">
        <v>8.9999999999999993E-3</v>
      </c>
      <c r="BB402" s="624">
        <v>42102</v>
      </c>
      <c r="BC402" s="355">
        <v>0.26910000000000001</v>
      </c>
      <c r="BD402" s="624">
        <v>42102</v>
      </c>
      <c r="BE402" s="355">
        <v>9.1499999999999998E-2</v>
      </c>
      <c r="BF402" s="624">
        <v>42110</v>
      </c>
      <c r="BG402" s="355">
        <v>1.6046000000000001E-2</v>
      </c>
      <c r="BH402" s="624">
        <v>42102</v>
      </c>
      <c r="BI402" s="355">
        <v>7.7148999999999995E-2</v>
      </c>
      <c r="BJ402" s="624">
        <v>42102</v>
      </c>
      <c r="BK402" s="355">
        <v>3.0714999999999999E-2</v>
      </c>
    </row>
    <row r="403" spans="3:63" x14ac:dyDescent="0.15">
      <c r="C403" s="624"/>
      <c r="D403" s="355">
        <v>3.61E-2</v>
      </c>
      <c r="AV403" s="624">
        <v>42114</v>
      </c>
      <c r="AW403" s="355">
        <v>0.32990000000000003</v>
      </c>
      <c r="AX403" s="624">
        <v>42103</v>
      </c>
      <c r="AY403" s="355">
        <v>1.9279999999999999E-2</v>
      </c>
      <c r="AZ403" s="624">
        <v>42103</v>
      </c>
      <c r="BA403" s="355">
        <v>8.8999999999999999E-3</v>
      </c>
      <c r="BB403" s="624">
        <v>42103</v>
      </c>
      <c r="BC403" s="355">
        <v>0.26469999999999999</v>
      </c>
      <c r="BD403" s="624">
        <v>42103</v>
      </c>
      <c r="BE403" s="355">
        <v>9.1179999999999997E-2</v>
      </c>
      <c r="BF403" s="624">
        <v>42111</v>
      </c>
      <c r="BG403" s="355">
        <v>1.5990000000000001E-2</v>
      </c>
      <c r="BH403" s="624">
        <v>42103</v>
      </c>
      <c r="BI403" s="355">
        <v>7.7113000000000001E-2</v>
      </c>
      <c r="BJ403" s="624">
        <v>42103</v>
      </c>
      <c r="BK403" s="355">
        <v>3.0696000000000001E-2</v>
      </c>
    </row>
    <row r="404" spans="3:63" x14ac:dyDescent="0.15">
      <c r="C404" s="624"/>
      <c r="D404" s="355">
        <v>3.6069999999999998E-2</v>
      </c>
      <c r="AV404" s="624">
        <v>42115</v>
      </c>
      <c r="AW404" s="355">
        <v>0.32969999999999999</v>
      </c>
      <c r="AX404" s="624">
        <v>42104</v>
      </c>
      <c r="AY404" s="355">
        <v>1.866E-2</v>
      </c>
      <c r="AZ404" s="624">
        <v>42104</v>
      </c>
      <c r="BA404" s="355">
        <v>8.8000000000000005E-3</v>
      </c>
      <c r="BB404" s="624">
        <v>42104</v>
      </c>
      <c r="BC404" s="355">
        <v>0.26350000000000001</v>
      </c>
      <c r="BD404" s="624">
        <v>42104</v>
      </c>
      <c r="BE404" s="355">
        <v>9.146E-2</v>
      </c>
      <c r="BF404" s="624">
        <v>42114</v>
      </c>
      <c r="BG404" s="355">
        <v>1.5833E-2</v>
      </c>
      <c r="BH404" s="624">
        <v>42104</v>
      </c>
      <c r="BI404" s="355">
        <v>7.7405000000000002E-2</v>
      </c>
      <c r="BJ404" s="624">
        <v>42104</v>
      </c>
      <c r="BK404" s="355">
        <v>3.0731000000000001E-2</v>
      </c>
    </row>
    <row r="405" spans="3:63" x14ac:dyDescent="0.15">
      <c r="C405" s="624"/>
      <c r="D405" s="355">
        <v>3.61E-2</v>
      </c>
      <c r="AV405" s="624">
        <v>42116</v>
      </c>
      <c r="AW405" s="355">
        <v>0.3322</v>
      </c>
      <c r="AX405" s="624">
        <v>42107</v>
      </c>
      <c r="AY405" s="355">
        <v>1.9179999999999999E-2</v>
      </c>
      <c r="AZ405" s="624">
        <v>42107</v>
      </c>
      <c r="BA405" s="355">
        <v>8.8000000000000005E-3</v>
      </c>
      <c r="BB405" s="624">
        <v>42107</v>
      </c>
      <c r="BC405" s="355">
        <v>0.26369999999999999</v>
      </c>
      <c r="BD405" s="624">
        <v>42107</v>
      </c>
      <c r="BE405" s="355">
        <v>9.0759999999999993E-2</v>
      </c>
      <c r="BF405" s="624">
        <v>42115</v>
      </c>
      <c r="BG405" s="355">
        <v>1.5906E-2</v>
      </c>
      <c r="BH405" s="624">
        <v>42107</v>
      </c>
      <c r="BI405" s="355">
        <v>7.6712000000000002E-2</v>
      </c>
      <c r="BJ405" s="624">
        <v>42107</v>
      </c>
      <c r="BK405" s="355">
        <v>3.0720000000000001E-2</v>
      </c>
    </row>
    <row r="406" spans="3:63" x14ac:dyDescent="0.15">
      <c r="C406" s="624"/>
      <c r="D406" s="355">
        <v>3.6299999999999999E-2</v>
      </c>
      <c r="AV406" s="624">
        <v>42117</v>
      </c>
      <c r="AW406" s="355">
        <v>0.3367</v>
      </c>
      <c r="AX406" s="624">
        <v>42108</v>
      </c>
      <c r="AY406" s="355">
        <v>1.9619999999999999E-2</v>
      </c>
      <c r="AZ406" s="624">
        <v>42108</v>
      </c>
      <c r="BA406" s="355">
        <v>8.8999999999999999E-3</v>
      </c>
      <c r="BB406" s="624">
        <v>42108</v>
      </c>
      <c r="BC406" s="355">
        <v>0.26540000000000002</v>
      </c>
      <c r="BD406" s="624">
        <v>42108</v>
      </c>
      <c r="BE406" s="355">
        <v>9.1579999999999995E-2</v>
      </c>
      <c r="BF406" s="624">
        <v>42116</v>
      </c>
      <c r="BG406" s="355">
        <v>1.5875E-2</v>
      </c>
      <c r="BH406" s="624">
        <v>42108</v>
      </c>
      <c r="BI406" s="355">
        <v>7.7285999999999994E-2</v>
      </c>
      <c r="BJ406" s="624">
        <v>42108</v>
      </c>
      <c r="BK406" s="355">
        <v>3.0786000000000001E-2</v>
      </c>
    </row>
    <row r="407" spans="3:63" x14ac:dyDescent="0.15">
      <c r="C407" s="624"/>
      <c r="D407" s="355">
        <v>3.6310000000000002E-2</v>
      </c>
      <c r="AV407" s="624">
        <v>42118</v>
      </c>
      <c r="AW407" s="355">
        <v>0.33889999999999998</v>
      </c>
      <c r="AX407" s="624">
        <v>42109</v>
      </c>
      <c r="AY407" s="355">
        <v>2.0150000000000001E-2</v>
      </c>
      <c r="AZ407" s="624">
        <v>42109</v>
      </c>
      <c r="BA407" s="355">
        <v>8.8999999999999999E-3</v>
      </c>
      <c r="BB407" s="624">
        <v>42109</v>
      </c>
      <c r="BC407" s="355">
        <v>0.26569999999999999</v>
      </c>
      <c r="BD407" s="624">
        <v>42109</v>
      </c>
      <c r="BE407" s="355">
        <v>9.1539999999999996E-2</v>
      </c>
      <c r="BF407" s="624">
        <v>42117</v>
      </c>
      <c r="BG407" s="355">
        <v>1.5803999999999999E-2</v>
      </c>
      <c r="BH407" s="624">
        <v>42109</v>
      </c>
      <c r="BI407" s="355">
        <v>7.7440999999999996E-2</v>
      </c>
      <c r="BJ407" s="624">
        <v>42109</v>
      </c>
      <c r="BK407" s="355">
        <v>3.0839999999999999E-2</v>
      </c>
    </row>
    <row r="408" spans="3:63" x14ac:dyDescent="0.15">
      <c r="C408" s="624"/>
      <c r="D408" s="355">
        <v>3.6380000000000003E-2</v>
      </c>
      <c r="AV408" s="624">
        <v>42121</v>
      </c>
      <c r="AW408" s="355">
        <v>0.34279999999999999</v>
      </c>
      <c r="AX408" s="624">
        <v>42110</v>
      </c>
      <c r="AY408" s="355">
        <v>2.0080000000000001E-2</v>
      </c>
      <c r="AZ408" s="624">
        <v>42110</v>
      </c>
      <c r="BA408" s="355">
        <v>8.9999999999999993E-3</v>
      </c>
      <c r="BB408" s="624">
        <v>42110</v>
      </c>
      <c r="BC408" s="355">
        <v>0.26729999999999998</v>
      </c>
      <c r="BD408" s="624">
        <v>42110</v>
      </c>
      <c r="BE408" s="355">
        <v>9.221E-2</v>
      </c>
      <c r="BF408" s="624">
        <v>42118</v>
      </c>
      <c r="BG408" s="355">
        <v>1.5678000000000001E-2</v>
      </c>
      <c r="BH408" s="624">
        <v>42110</v>
      </c>
      <c r="BI408" s="355">
        <v>7.7923999999999993E-2</v>
      </c>
      <c r="BJ408" s="624">
        <v>42110</v>
      </c>
      <c r="BK408" s="355">
        <v>3.0869000000000001E-2</v>
      </c>
    </row>
    <row r="409" spans="3:63" x14ac:dyDescent="0.15">
      <c r="C409" s="624"/>
      <c r="D409" s="355">
        <v>3.6389999999999999E-2</v>
      </c>
      <c r="AV409" s="624">
        <v>42122</v>
      </c>
      <c r="AW409" s="355">
        <v>0.3402</v>
      </c>
      <c r="AX409" s="624">
        <v>42111</v>
      </c>
      <c r="AY409" s="355">
        <v>1.925E-2</v>
      </c>
      <c r="AZ409" s="624">
        <v>42111</v>
      </c>
      <c r="BA409" s="355">
        <v>8.9999999999999993E-3</v>
      </c>
      <c r="BB409" s="624">
        <v>42111</v>
      </c>
      <c r="BC409" s="355">
        <v>0.26840000000000003</v>
      </c>
      <c r="BD409" s="624">
        <v>42111</v>
      </c>
      <c r="BE409" s="355">
        <v>9.2270000000000005E-2</v>
      </c>
      <c r="BF409" s="624">
        <v>42121</v>
      </c>
      <c r="BG409" s="355">
        <v>1.5802E-2</v>
      </c>
      <c r="BH409" s="624">
        <v>42111</v>
      </c>
      <c r="BI409" s="355">
        <v>7.7896000000000007E-2</v>
      </c>
      <c r="BJ409" s="624">
        <v>42111</v>
      </c>
      <c r="BK409" s="355">
        <v>3.0911999999999999E-2</v>
      </c>
    </row>
    <row r="410" spans="3:63" x14ac:dyDescent="0.15">
      <c r="C410" s="624"/>
      <c r="D410" s="355">
        <v>3.6400000000000002E-2</v>
      </c>
      <c r="AV410" s="624">
        <v>42123</v>
      </c>
      <c r="AW410" s="355">
        <v>0.3377</v>
      </c>
      <c r="AX410" s="624">
        <v>42114</v>
      </c>
      <c r="AY410" s="355">
        <v>1.8749999999999999E-2</v>
      </c>
      <c r="AZ410" s="624">
        <v>42114</v>
      </c>
      <c r="BA410" s="355">
        <v>8.9999999999999993E-3</v>
      </c>
      <c r="BB410" s="624">
        <v>42114</v>
      </c>
      <c r="BC410" s="355">
        <v>0.26910000000000001</v>
      </c>
      <c r="BD410" s="624">
        <v>42114</v>
      </c>
      <c r="BE410" s="355">
        <v>9.2310000000000003E-2</v>
      </c>
      <c r="BF410" s="624">
        <v>42122</v>
      </c>
      <c r="BG410" s="355">
        <v>1.5859000000000002E-2</v>
      </c>
      <c r="BH410" s="624">
        <v>42114</v>
      </c>
      <c r="BI410" s="355">
        <v>7.6887999999999998E-2</v>
      </c>
      <c r="BJ410" s="624">
        <v>42114</v>
      </c>
      <c r="BK410" s="355">
        <v>3.0856999999999999E-2</v>
      </c>
    </row>
    <row r="411" spans="3:63" x14ac:dyDescent="0.15">
      <c r="C411" s="624"/>
      <c r="D411" s="355">
        <v>3.644E-2</v>
      </c>
      <c r="AV411" s="624">
        <v>42124</v>
      </c>
      <c r="AW411" s="355">
        <v>0.33160000000000001</v>
      </c>
      <c r="AX411" s="624">
        <v>42115</v>
      </c>
      <c r="AY411" s="355">
        <v>1.8599999999999998E-2</v>
      </c>
      <c r="AZ411" s="624">
        <v>42115</v>
      </c>
      <c r="BA411" s="355">
        <v>8.9999999999999993E-3</v>
      </c>
      <c r="BB411" s="624">
        <v>42115</v>
      </c>
      <c r="BC411" s="355">
        <v>0.26929999999999998</v>
      </c>
      <c r="BD411" s="624">
        <v>42115</v>
      </c>
      <c r="BE411" s="355">
        <v>9.2340000000000005E-2</v>
      </c>
      <c r="BF411" s="624">
        <v>42123</v>
      </c>
      <c r="BG411" s="355">
        <v>1.5757E-2</v>
      </c>
      <c r="BH411" s="624">
        <v>42115</v>
      </c>
      <c r="BI411" s="355">
        <v>7.7202000000000007E-2</v>
      </c>
      <c r="BJ411" s="624">
        <v>42115</v>
      </c>
      <c r="BK411" s="355">
        <v>3.0886E-2</v>
      </c>
    </row>
    <row r="412" spans="3:63" x14ac:dyDescent="0.15">
      <c r="C412" s="624"/>
      <c r="D412" s="355">
        <v>3.6510000000000001E-2</v>
      </c>
      <c r="AV412" s="624">
        <v>42125</v>
      </c>
      <c r="AW412" s="355">
        <v>0.33179999999999998</v>
      </c>
      <c r="AX412" s="624">
        <v>42116</v>
      </c>
      <c r="AY412" s="355">
        <v>1.9199999999999998E-2</v>
      </c>
      <c r="AZ412" s="624">
        <v>42116</v>
      </c>
      <c r="BA412" s="355">
        <v>8.8999999999999999E-3</v>
      </c>
      <c r="BB412" s="624">
        <v>42116</v>
      </c>
      <c r="BC412" s="355">
        <v>0.26889999999999997</v>
      </c>
      <c r="BD412" s="624">
        <v>42116</v>
      </c>
      <c r="BE412" s="355">
        <v>9.2249999999999999E-2</v>
      </c>
      <c r="BF412" s="624">
        <v>42124</v>
      </c>
      <c r="BG412" s="355">
        <v>1.5740000000000001E-2</v>
      </c>
      <c r="BH412" s="624">
        <v>42116</v>
      </c>
      <c r="BI412" s="355">
        <v>7.7341999999999994E-2</v>
      </c>
      <c r="BJ412" s="624">
        <v>42116</v>
      </c>
      <c r="BK412" s="355">
        <v>3.0886E-2</v>
      </c>
    </row>
    <row r="413" spans="3:63" x14ac:dyDescent="0.15">
      <c r="C413" s="624"/>
      <c r="D413" s="355">
        <v>3.6549999999999999E-2</v>
      </c>
      <c r="AV413" s="624">
        <v>42128</v>
      </c>
      <c r="AW413" s="355">
        <v>0.3241</v>
      </c>
      <c r="AX413" s="624">
        <v>42117</v>
      </c>
      <c r="AY413" s="355">
        <v>1.9699999999999999E-2</v>
      </c>
      <c r="AZ413" s="624">
        <v>42117</v>
      </c>
      <c r="BA413" s="355">
        <v>8.9999999999999993E-3</v>
      </c>
      <c r="BB413" s="624">
        <v>42117</v>
      </c>
      <c r="BC413" s="355">
        <v>0.27050000000000002</v>
      </c>
      <c r="BD413" s="624">
        <v>42117</v>
      </c>
      <c r="BE413" s="355">
        <v>9.2499999999999999E-2</v>
      </c>
      <c r="BF413" s="624">
        <v>42125</v>
      </c>
      <c r="BG413" s="355">
        <v>1.5692000000000001E-2</v>
      </c>
      <c r="BH413" s="624">
        <v>42117</v>
      </c>
      <c r="BI413" s="355">
        <v>7.7310000000000004E-2</v>
      </c>
      <c r="BJ413" s="624">
        <v>42117</v>
      </c>
      <c r="BK413" s="355">
        <v>3.0817000000000001E-2</v>
      </c>
    </row>
    <row r="414" spans="3:63" x14ac:dyDescent="0.15">
      <c r="C414" s="624"/>
      <c r="D414" s="355">
        <v>3.6630000000000003E-2</v>
      </c>
      <c r="AV414" s="624">
        <v>42129</v>
      </c>
      <c r="AW414" s="355">
        <v>0.3271</v>
      </c>
      <c r="AX414" s="624">
        <v>42118</v>
      </c>
      <c r="AY414" s="355">
        <v>1.9650000000000001E-2</v>
      </c>
      <c r="AZ414" s="624">
        <v>42118</v>
      </c>
      <c r="BA414" s="355">
        <v>8.9999999999999993E-3</v>
      </c>
      <c r="BB414" s="624">
        <v>42118</v>
      </c>
      <c r="BC414" s="355">
        <v>0.26950000000000002</v>
      </c>
      <c r="BD414" s="624">
        <v>42118</v>
      </c>
      <c r="BE414" s="355">
        <v>9.2899999999999996E-2</v>
      </c>
      <c r="BF414" s="624">
        <v>42128</v>
      </c>
      <c r="BG414" s="355">
        <v>1.5717999999999999E-2</v>
      </c>
      <c r="BH414" s="624">
        <v>42118</v>
      </c>
      <c r="BI414" s="355">
        <v>7.7200000000000005E-2</v>
      </c>
      <c r="BJ414" s="624">
        <v>42118</v>
      </c>
      <c r="BK414" s="355">
        <v>3.0713000000000001E-2</v>
      </c>
    </row>
    <row r="415" spans="3:63" x14ac:dyDescent="0.15">
      <c r="C415" s="624"/>
      <c r="D415" s="355">
        <v>3.6799999999999999E-2</v>
      </c>
      <c r="AV415" s="624">
        <v>42130</v>
      </c>
      <c r="AW415" s="355">
        <v>0.3296</v>
      </c>
      <c r="AX415" s="624">
        <v>42121</v>
      </c>
      <c r="AY415" s="355">
        <v>1.9279999999999999E-2</v>
      </c>
      <c r="AZ415" s="624">
        <v>42121</v>
      </c>
      <c r="BA415" s="355">
        <v>8.9999999999999993E-3</v>
      </c>
      <c r="BB415" s="624">
        <v>42121</v>
      </c>
      <c r="BC415" s="355">
        <v>0.27300000000000002</v>
      </c>
      <c r="BD415" s="624">
        <v>42121</v>
      </c>
      <c r="BE415" s="355">
        <v>9.3560000000000004E-2</v>
      </c>
      <c r="BF415" s="624">
        <v>42129</v>
      </c>
      <c r="BG415" s="355">
        <v>1.5785E-2</v>
      </c>
      <c r="BH415" s="624">
        <v>42121</v>
      </c>
      <c r="BI415" s="355">
        <v>7.7223E-2</v>
      </c>
      <c r="BJ415" s="624">
        <v>42121</v>
      </c>
      <c r="BK415" s="355">
        <v>3.0676999999999999E-2</v>
      </c>
    </row>
    <row r="416" spans="3:63" x14ac:dyDescent="0.15">
      <c r="C416" s="624"/>
      <c r="D416" s="355">
        <v>3.6700000000000003E-2</v>
      </c>
      <c r="AV416" s="624">
        <v>42131</v>
      </c>
      <c r="AW416" s="355">
        <v>0.3306</v>
      </c>
      <c r="AX416" s="624">
        <v>42122</v>
      </c>
      <c r="AY416" s="355">
        <v>1.9470000000000001E-2</v>
      </c>
      <c r="AZ416" s="624">
        <v>42122</v>
      </c>
      <c r="BA416" s="355">
        <v>9.1000000000000004E-3</v>
      </c>
      <c r="BB416" s="624">
        <v>42122</v>
      </c>
      <c r="BC416" s="355">
        <v>0.27500000000000002</v>
      </c>
      <c r="BD416" s="624">
        <v>42122</v>
      </c>
      <c r="BE416" s="355">
        <v>9.393E-2</v>
      </c>
      <c r="BF416" s="624">
        <v>42130</v>
      </c>
      <c r="BG416" s="355">
        <v>1.5727000000000001E-2</v>
      </c>
      <c r="BH416" s="624">
        <v>42122</v>
      </c>
      <c r="BI416" s="355">
        <v>7.7273999999999995E-2</v>
      </c>
      <c r="BJ416" s="624">
        <v>42122</v>
      </c>
      <c r="BK416" s="355">
        <v>3.0636E-2</v>
      </c>
    </row>
    <row r="417" spans="3:63" x14ac:dyDescent="0.15">
      <c r="C417" s="624"/>
      <c r="D417" s="355">
        <v>3.6790000000000003E-2</v>
      </c>
      <c r="AV417" s="624">
        <v>42132</v>
      </c>
      <c r="AW417" s="355">
        <v>0.33610000000000001</v>
      </c>
      <c r="AX417" s="624">
        <v>42123</v>
      </c>
      <c r="AY417" s="355">
        <v>1.9599999999999999E-2</v>
      </c>
      <c r="AZ417" s="624">
        <v>42123</v>
      </c>
      <c r="BA417" s="355">
        <v>9.1999999999999998E-3</v>
      </c>
      <c r="BB417" s="624">
        <v>42123</v>
      </c>
      <c r="BC417" s="355">
        <v>0.27739999999999998</v>
      </c>
      <c r="BD417" s="624">
        <v>42123</v>
      </c>
      <c r="BE417" s="355">
        <v>9.3429999999999999E-2</v>
      </c>
      <c r="BF417" s="624">
        <v>42131</v>
      </c>
      <c r="BG417" s="355">
        <v>1.5589E-2</v>
      </c>
      <c r="BH417" s="624">
        <v>42123</v>
      </c>
      <c r="BI417" s="355">
        <v>7.7386999999999997E-2</v>
      </c>
      <c r="BJ417" s="624">
        <v>42123</v>
      </c>
      <c r="BK417" s="355">
        <v>3.0454999999999999E-2</v>
      </c>
    </row>
    <row r="418" spans="3:63" x14ac:dyDescent="0.15">
      <c r="C418" s="624"/>
      <c r="D418" s="355">
        <v>3.6810000000000002E-2</v>
      </c>
      <c r="AV418" s="624">
        <v>42135</v>
      </c>
      <c r="AW418" s="355">
        <v>0.32669999999999999</v>
      </c>
      <c r="AX418" s="624">
        <v>42124</v>
      </c>
      <c r="AY418" s="355">
        <v>1.9369999999999998E-2</v>
      </c>
      <c r="AZ418" s="624">
        <v>42124</v>
      </c>
      <c r="BA418" s="355">
        <v>9.2999999999999992E-3</v>
      </c>
      <c r="BB418" s="624">
        <v>42124</v>
      </c>
      <c r="BC418" s="355">
        <v>0.27750000000000002</v>
      </c>
      <c r="BD418" s="624">
        <v>42124</v>
      </c>
      <c r="BE418" s="355">
        <v>9.282E-2</v>
      </c>
      <c r="BF418" s="624">
        <v>42132</v>
      </c>
      <c r="BG418" s="355">
        <v>1.5703999999999999E-2</v>
      </c>
      <c r="BH418" s="624">
        <v>42124</v>
      </c>
      <c r="BI418" s="355">
        <v>7.7106999999999995E-2</v>
      </c>
      <c r="BJ418" s="624">
        <v>42124</v>
      </c>
      <c r="BK418" s="355">
        <v>3.0283000000000001E-2</v>
      </c>
    </row>
    <row r="419" spans="3:63" x14ac:dyDescent="0.15">
      <c r="C419" s="624"/>
      <c r="D419" s="355">
        <v>3.6880000000000003E-2</v>
      </c>
      <c r="AV419" s="624">
        <v>42136</v>
      </c>
      <c r="AW419" s="355">
        <v>0.33119999999999999</v>
      </c>
      <c r="AX419" s="624">
        <v>42125</v>
      </c>
      <c r="AY419" s="355">
        <v>1.9269999999999999E-2</v>
      </c>
      <c r="AZ419" s="624">
        <v>42125</v>
      </c>
      <c r="BA419" s="355">
        <v>9.2999999999999992E-3</v>
      </c>
      <c r="BB419" s="624">
        <v>42125</v>
      </c>
      <c r="BC419" s="355">
        <v>0.27510000000000001</v>
      </c>
      <c r="BD419" s="624">
        <v>42125</v>
      </c>
      <c r="BE419" s="355">
        <v>9.2530000000000001E-2</v>
      </c>
      <c r="BF419" s="624">
        <v>42135</v>
      </c>
      <c r="BG419" s="355">
        <v>1.5606999999999999E-2</v>
      </c>
      <c r="BH419" s="624">
        <v>42125</v>
      </c>
      <c r="BI419" s="355">
        <v>7.6869999999999994E-2</v>
      </c>
      <c r="BJ419" s="624">
        <v>42125</v>
      </c>
      <c r="BK419" s="355">
        <v>3.0089000000000001E-2</v>
      </c>
    </row>
    <row r="420" spans="3:63" x14ac:dyDescent="0.15">
      <c r="C420" s="624"/>
      <c r="D420" s="355">
        <v>3.6929999999999998E-2</v>
      </c>
      <c r="AV420" s="624">
        <v>42137</v>
      </c>
      <c r="AW420" s="355">
        <v>0.32900000000000001</v>
      </c>
      <c r="AX420" s="624">
        <v>42128</v>
      </c>
      <c r="AY420" s="355">
        <v>1.9189999999999999E-2</v>
      </c>
      <c r="AZ420" s="624">
        <v>42128</v>
      </c>
      <c r="BA420" s="355">
        <v>9.1999999999999998E-3</v>
      </c>
      <c r="BB420" s="624">
        <v>42128</v>
      </c>
      <c r="BC420" s="355">
        <v>0.2767</v>
      </c>
      <c r="BD420" s="624">
        <v>42128</v>
      </c>
      <c r="BE420" s="355">
        <v>9.2450000000000004E-2</v>
      </c>
      <c r="BF420" s="624">
        <v>42136</v>
      </c>
      <c r="BG420" s="355">
        <v>1.5566E-2</v>
      </c>
      <c r="BH420" s="624">
        <v>42128</v>
      </c>
      <c r="BI420" s="355">
        <v>7.7172000000000004E-2</v>
      </c>
      <c r="BJ420" s="624">
        <v>42128</v>
      </c>
      <c r="BK420" s="355">
        <v>2.9994E-2</v>
      </c>
    </row>
    <row r="421" spans="3:63" x14ac:dyDescent="0.15">
      <c r="C421" s="624"/>
      <c r="D421" s="355">
        <v>3.6889999999999999E-2</v>
      </c>
      <c r="AV421" s="624">
        <v>42138</v>
      </c>
      <c r="AW421" s="355">
        <v>0.33400000000000002</v>
      </c>
      <c r="AX421" s="624">
        <v>42129</v>
      </c>
      <c r="AY421" s="355">
        <v>1.9789999999999999E-2</v>
      </c>
      <c r="AZ421" s="624">
        <v>42129</v>
      </c>
      <c r="BA421" s="355">
        <v>9.2999999999999992E-3</v>
      </c>
      <c r="BB421" s="624">
        <v>42129</v>
      </c>
      <c r="BC421" s="355">
        <v>0.27760000000000001</v>
      </c>
      <c r="BD421" s="624">
        <v>42129</v>
      </c>
      <c r="BE421" s="355">
        <v>9.2539999999999997E-2</v>
      </c>
      <c r="BF421" s="624">
        <v>42137</v>
      </c>
      <c r="BG421" s="355">
        <v>1.562E-2</v>
      </c>
      <c r="BH421" s="624">
        <v>42129</v>
      </c>
      <c r="BI421" s="355">
        <v>7.6770000000000005E-2</v>
      </c>
      <c r="BJ421" s="624">
        <v>42129</v>
      </c>
      <c r="BK421" s="355">
        <v>2.9989999999999999E-2</v>
      </c>
    </row>
    <row r="422" spans="3:63" x14ac:dyDescent="0.15">
      <c r="C422" s="624"/>
      <c r="D422" s="355">
        <v>3.696E-2</v>
      </c>
      <c r="AV422" s="624">
        <v>42139</v>
      </c>
      <c r="AW422" s="355">
        <v>0.3337</v>
      </c>
      <c r="AX422" s="624">
        <v>42130</v>
      </c>
      <c r="AY422" s="355">
        <v>1.9730000000000001E-2</v>
      </c>
      <c r="AZ422" s="624">
        <v>42130</v>
      </c>
      <c r="BA422" s="355">
        <v>9.4000000000000004E-3</v>
      </c>
      <c r="BB422" s="624">
        <v>42130</v>
      </c>
      <c r="BC422" s="355">
        <v>0.28050000000000003</v>
      </c>
      <c r="BD422" s="624">
        <v>42130</v>
      </c>
      <c r="BE422" s="355">
        <v>9.2560000000000003E-2</v>
      </c>
      <c r="BF422" s="624">
        <v>42138</v>
      </c>
      <c r="BG422" s="355">
        <v>1.5764E-2</v>
      </c>
      <c r="BH422" s="624">
        <v>42130</v>
      </c>
      <c r="BI422" s="355">
        <v>7.6842999999999995E-2</v>
      </c>
      <c r="BJ422" s="624">
        <v>42130</v>
      </c>
      <c r="BK422" s="355">
        <v>3.0062999999999999E-2</v>
      </c>
    </row>
    <row r="423" spans="3:63" x14ac:dyDescent="0.15">
      <c r="C423" s="624"/>
      <c r="D423" s="355">
        <v>3.6999999999999998E-2</v>
      </c>
      <c r="AV423" s="624">
        <v>42142</v>
      </c>
      <c r="AW423" s="355">
        <v>0.33260000000000001</v>
      </c>
      <c r="AX423" s="624">
        <v>42131</v>
      </c>
      <c r="AY423" s="355">
        <v>1.9910000000000001E-2</v>
      </c>
      <c r="AZ423" s="624">
        <v>42131</v>
      </c>
      <c r="BA423" s="355">
        <v>9.2999999999999992E-3</v>
      </c>
      <c r="BB423" s="624">
        <v>42131</v>
      </c>
      <c r="BC423" s="355">
        <v>0.27850000000000003</v>
      </c>
      <c r="BD423" s="624">
        <v>42131</v>
      </c>
      <c r="BE423" s="355">
        <v>9.1370000000000007E-2</v>
      </c>
      <c r="BF423" s="624">
        <v>42139</v>
      </c>
      <c r="BG423" s="355">
        <v>1.5762999999999999E-2</v>
      </c>
      <c r="BH423" s="624">
        <v>42131</v>
      </c>
      <c r="BI423" s="355">
        <v>7.6188000000000006E-2</v>
      </c>
      <c r="BJ423" s="624">
        <v>42131</v>
      </c>
      <c r="BK423" s="355">
        <v>2.9838E-2</v>
      </c>
    </row>
    <row r="424" spans="3:63" x14ac:dyDescent="0.15">
      <c r="C424" s="624"/>
      <c r="D424" s="355">
        <v>3.7060000000000003E-2</v>
      </c>
      <c r="AV424" s="624">
        <v>42143</v>
      </c>
      <c r="AW424" s="355">
        <v>0.3291</v>
      </c>
      <c r="AX424" s="624">
        <v>42132</v>
      </c>
      <c r="AY424" s="355">
        <v>1.959E-2</v>
      </c>
      <c r="AZ424" s="624">
        <v>42132</v>
      </c>
      <c r="BA424" s="355">
        <v>9.2999999999999992E-3</v>
      </c>
      <c r="BB424" s="624">
        <v>42132</v>
      </c>
      <c r="BC424" s="355">
        <v>0.27689999999999998</v>
      </c>
      <c r="BD424" s="624">
        <v>42132</v>
      </c>
      <c r="BE424" s="355">
        <v>9.1920000000000002E-2</v>
      </c>
      <c r="BF424" s="624">
        <v>42142</v>
      </c>
      <c r="BG424" s="355">
        <v>1.5689000000000002E-2</v>
      </c>
      <c r="BH424" s="624">
        <v>42132</v>
      </c>
      <c r="BI424" s="355">
        <v>7.6672000000000004E-2</v>
      </c>
      <c r="BJ424" s="624">
        <v>42132</v>
      </c>
      <c r="BK424" s="355">
        <v>2.9805000000000002E-2</v>
      </c>
    </row>
    <row r="425" spans="3:63" x14ac:dyDescent="0.15">
      <c r="C425" s="624"/>
      <c r="D425" s="355">
        <v>3.7170000000000002E-2</v>
      </c>
      <c r="AV425" s="624">
        <v>42144</v>
      </c>
      <c r="AW425" s="355">
        <v>0.33310000000000001</v>
      </c>
      <c r="AX425" s="624">
        <v>42135</v>
      </c>
      <c r="AY425" s="355">
        <v>1.95E-2</v>
      </c>
      <c r="AZ425" s="624">
        <v>42135</v>
      </c>
      <c r="BA425" s="355">
        <v>9.1999999999999998E-3</v>
      </c>
      <c r="BB425" s="624">
        <v>42135</v>
      </c>
      <c r="BC425" s="355">
        <v>0.27329999999999999</v>
      </c>
      <c r="BD425" s="624">
        <v>42135</v>
      </c>
      <c r="BE425" s="355">
        <v>9.1149999999999995E-2</v>
      </c>
      <c r="BF425" s="624">
        <v>42143</v>
      </c>
      <c r="BG425" s="355">
        <v>1.5682999999999999E-2</v>
      </c>
      <c r="BH425" s="624">
        <v>42135</v>
      </c>
      <c r="BI425" s="355">
        <v>7.5896000000000005E-2</v>
      </c>
      <c r="BJ425" s="624">
        <v>42135</v>
      </c>
      <c r="BK425" s="355">
        <v>2.9645999999999999E-2</v>
      </c>
    </row>
    <row r="426" spans="3:63" x14ac:dyDescent="0.15">
      <c r="C426" s="624"/>
      <c r="D426" s="355">
        <v>3.6979999999999999E-2</v>
      </c>
      <c r="AV426" s="624">
        <v>42145</v>
      </c>
      <c r="AW426" s="355">
        <v>0.3291</v>
      </c>
      <c r="AX426" s="624">
        <v>42136</v>
      </c>
      <c r="AY426" s="355">
        <v>2.002E-2</v>
      </c>
      <c r="AZ426" s="624">
        <v>42136</v>
      </c>
      <c r="BA426" s="355">
        <v>9.2999999999999992E-3</v>
      </c>
      <c r="BB426" s="624">
        <v>42136</v>
      </c>
      <c r="BC426" s="355">
        <v>0.27339999999999998</v>
      </c>
      <c r="BD426" s="624">
        <v>42136</v>
      </c>
      <c r="BE426" s="355">
        <v>9.1469999999999996E-2</v>
      </c>
      <c r="BF426" s="624">
        <v>42144</v>
      </c>
      <c r="BG426" s="355">
        <v>1.5723000000000001E-2</v>
      </c>
      <c r="BH426" s="624">
        <v>42136</v>
      </c>
      <c r="BI426" s="355">
        <v>7.5994000000000006E-2</v>
      </c>
      <c r="BJ426" s="624">
        <v>42136</v>
      </c>
      <c r="BK426" s="355">
        <v>2.9648000000000001E-2</v>
      </c>
    </row>
    <row r="427" spans="3:63" x14ac:dyDescent="0.15">
      <c r="C427" s="624"/>
      <c r="D427" s="355">
        <v>3.705E-2</v>
      </c>
      <c r="AV427" s="624">
        <v>42146</v>
      </c>
      <c r="AW427" s="355">
        <v>0.32329999999999998</v>
      </c>
      <c r="AX427" s="624">
        <v>42137</v>
      </c>
      <c r="AY427" s="355">
        <v>2.0279999999999999E-2</v>
      </c>
      <c r="AZ427" s="624">
        <v>42137</v>
      </c>
      <c r="BA427" s="355">
        <v>9.4000000000000004E-3</v>
      </c>
      <c r="BB427" s="624">
        <v>42137</v>
      </c>
      <c r="BC427" s="355">
        <v>0.2772</v>
      </c>
      <c r="BD427" s="624">
        <v>42137</v>
      </c>
      <c r="BE427" s="355">
        <v>9.1490000000000002E-2</v>
      </c>
      <c r="BF427" s="624">
        <v>42145</v>
      </c>
      <c r="BG427" s="355">
        <v>1.5720999999999999E-2</v>
      </c>
      <c r="BH427" s="624">
        <v>42137</v>
      </c>
      <c r="BI427" s="355">
        <v>7.6300999999999994E-2</v>
      </c>
      <c r="BJ427" s="624">
        <v>42137</v>
      </c>
      <c r="BK427" s="355">
        <v>2.9838E-2</v>
      </c>
    </row>
    <row r="428" spans="3:63" x14ac:dyDescent="0.15">
      <c r="C428" s="624"/>
      <c r="D428" s="355">
        <v>3.6949999999999997E-2</v>
      </c>
      <c r="AV428" s="624">
        <v>42149</v>
      </c>
      <c r="AW428" s="355">
        <v>0.32269999999999999</v>
      </c>
      <c r="AX428" s="624">
        <v>42138</v>
      </c>
      <c r="AY428" s="355">
        <v>0.02</v>
      </c>
      <c r="AZ428" s="624">
        <v>42138</v>
      </c>
      <c r="BA428" s="355">
        <v>9.4999999999999998E-3</v>
      </c>
      <c r="BB428" s="624">
        <v>42138</v>
      </c>
      <c r="BC428" s="355">
        <v>0.28050000000000003</v>
      </c>
      <c r="BD428" s="624">
        <v>42138</v>
      </c>
      <c r="BE428" s="355">
        <v>9.1859999999999997E-2</v>
      </c>
      <c r="BF428" s="624">
        <v>42146</v>
      </c>
      <c r="BG428" s="355">
        <v>1.5737999999999999E-2</v>
      </c>
      <c r="BH428" s="624">
        <v>42138</v>
      </c>
      <c r="BI428" s="355">
        <v>7.6793E-2</v>
      </c>
      <c r="BJ428" s="624">
        <v>42138</v>
      </c>
      <c r="BK428" s="355">
        <v>2.9878999999999999E-2</v>
      </c>
    </row>
    <row r="429" spans="3:63" x14ac:dyDescent="0.15">
      <c r="C429" s="624"/>
      <c r="D429" s="355">
        <v>3.7080000000000002E-2</v>
      </c>
      <c r="AV429" s="624">
        <v>42150</v>
      </c>
      <c r="AW429" s="355">
        <v>0.31709999999999999</v>
      </c>
      <c r="AX429" s="624">
        <v>42139</v>
      </c>
      <c r="AY429" s="355">
        <v>2.0199999999999999E-2</v>
      </c>
      <c r="AZ429" s="624">
        <v>42139</v>
      </c>
      <c r="BA429" s="355">
        <v>9.4999999999999998E-3</v>
      </c>
      <c r="BB429" s="624">
        <v>42139</v>
      </c>
      <c r="BC429" s="355">
        <v>0.28349999999999997</v>
      </c>
      <c r="BD429" s="624">
        <v>42139</v>
      </c>
      <c r="BE429" s="355">
        <v>9.2219999999999996E-2</v>
      </c>
      <c r="BF429" s="624">
        <v>42149</v>
      </c>
      <c r="BG429" s="355">
        <v>1.5723000000000001E-2</v>
      </c>
      <c r="BH429" s="624">
        <v>42139</v>
      </c>
      <c r="BI429" s="355">
        <v>7.6535000000000006E-2</v>
      </c>
      <c r="BJ429" s="624">
        <v>42139</v>
      </c>
      <c r="BK429" s="355">
        <v>2.9863000000000001E-2</v>
      </c>
    </row>
    <row r="430" spans="3:63" x14ac:dyDescent="0.15">
      <c r="C430" s="624"/>
      <c r="D430" s="355">
        <v>3.6940000000000001E-2</v>
      </c>
      <c r="AV430" s="624">
        <v>42151</v>
      </c>
      <c r="AW430" s="355">
        <v>0.31850000000000001</v>
      </c>
      <c r="AX430" s="624">
        <v>42142</v>
      </c>
      <c r="AY430" s="355">
        <v>2.035E-2</v>
      </c>
      <c r="AZ430" s="624">
        <v>42142</v>
      </c>
      <c r="BA430" s="355">
        <v>9.4000000000000004E-3</v>
      </c>
      <c r="BB430" s="624">
        <v>42142</v>
      </c>
      <c r="BC430" s="355">
        <v>0.27760000000000001</v>
      </c>
      <c r="BD430" s="624">
        <v>42142</v>
      </c>
      <c r="BE430" s="355">
        <v>9.171E-2</v>
      </c>
      <c r="BF430" s="624">
        <v>42150</v>
      </c>
      <c r="BG430" s="355">
        <v>1.5632E-2</v>
      </c>
      <c r="BH430" s="624">
        <v>42142</v>
      </c>
      <c r="BI430" s="355">
        <v>7.5843999999999995E-2</v>
      </c>
      <c r="BJ430" s="624">
        <v>42142</v>
      </c>
      <c r="BK430" s="355">
        <v>2.9936999999999998E-2</v>
      </c>
    </row>
    <row r="431" spans="3:63" x14ac:dyDescent="0.15">
      <c r="C431" s="624"/>
      <c r="D431" s="355">
        <v>3.7060000000000003E-2</v>
      </c>
      <c r="AV431" s="624">
        <v>42152</v>
      </c>
      <c r="AW431" s="355">
        <v>0.31619999999999998</v>
      </c>
      <c r="AX431" s="624">
        <v>42143</v>
      </c>
      <c r="AY431" s="355">
        <v>2.018E-2</v>
      </c>
      <c r="AZ431" s="624">
        <v>42143</v>
      </c>
      <c r="BA431" s="355">
        <v>9.1999999999999998E-3</v>
      </c>
      <c r="BB431" s="624">
        <v>42143</v>
      </c>
      <c r="BC431" s="355">
        <v>0.2752</v>
      </c>
      <c r="BD431" s="624">
        <v>42143</v>
      </c>
      <c r="BE431" s="355">
        <v>9.1289999999999996E-2</v>
      </c>
      <c r="BF431" s="624">
        <v>42151</v>
      </c>
      <c r="BG431" s="355">
        <v>1.5646E-2</v>
      </c>
      <c r="BH431" s="624">
        <v>42143</v>
      </c>
      <c r="BI431" s="355">
        <v>7.5850000000000001E-2</v>
      </c>
      <c r="BJ431" s="624">
        <v>42143</v>
      </c>
      <c r="BK431" s="355">
        <v>2.9839000000000001E-2</v>
      </c>
    </row>
    <row r="432" spans="3:63" x14ac:dyDescent="0.15">
      <c r="C432" s="624"/>
      <c r="D432" s="355">
        <v>3.7069999999999999E-2</v>
      </c>
      <c r="AV432" s="624">
        <v>42153</v>
      </c>
      <c r="AW432" s="355">
        <v>0.3145</v>
      </c>
      <c r="AX432" s="624">
        <v>42144</v>
      </c>
      <c r="AY432" s="355">
        <v>2.0109999999999999E-2</v>
      </c>
      <c r="AZ432" s="624">
        <v>42144</v>
      </c>
      <c r="BA432" s="355">
        <v>9.1999999999999998E-3</v>
      </c>
      <c r="BB432" s="624">
        <v>42144</v>
      </c>
      <c r="BC432" s="355">
        <v>0.27210000000000001</v>
      </c>
      <c r="BD432" s="624">
        <v>42144</v>
      </c>
      <c r="BE432" s="355">
        <v>9.11E-2</v>
      </c>
      <c r="BF432" s="624">
        <v>42152</v>
      </c>
      <c r="BG432" s="355">
        <v>1.5679999999999999E-2</v>
      </c>
      <c r="BH432" s="624">
        <v>42144</v>
      </c>
      <c r="BI432" s="355">
        <v>7.6377E-2</v>
      </c>
      <c r="BJ432" s="624">
        <v>42144</v>
      </c>
      <c r="BK432" s="355">
        <v>2.9766999999999998E-2</v>
      </c>
    </row>
    <row r="433" spans="3:63" x14ac:dyDescent="0.15">
      <c r="C433" s="624"/>
      <c r="D433" s="355">
        <v>3.7019999999999997E-2</v>
      </c>
      <c r="AV433" s="624">
        <v>42156</v>
      </c>
      <c r="AW433" s="355">
        <v>0.31540000000000001</v>
      </c>
      <c r="AX433" s="624">
        <v>42145</v>
      </c>
      <c r="AY433" s="355">
        <v>2.001E-2</v>
      </c>
      <c r="AZ433" s="624">
        <v>42145</v>
      </c>
      <c r="BA433" s="355">
        <v>9.1999999999999998E-3</v>
      </c>
      <c r="BB433" s="624">
        <v>42145</v>
      </c>
      <c r="BC433" s="355">
        <v>0.2712</v>
      </c>
      <c r="BD433" s="624">
        <v>42145</v>
      </c>
      <c r="BE433" s="355">
        <v>9.1420000000000001E-2</v>
      </c>
      <c r="BF433" s="624">
        <v>42153</v>
      </c>
      <c r="BG433" s="355">
        <v>1.5677E-2</v>
      </c>
      <c r="BH433" s="624">
        <v>42145</v>
      </c>
      <c r="BI433" s="355">
        <v>7.6219999999999996E-2</v>
      </c>
      <c r="BJ433" s="624">
        <v>42145</v>
      </c>
      <c r="BK433" s="355">
        <v>2.9925E-2</v>
      </c>
    </row>
    <row r="434" spans="3:63" x14ac:dyDescent="0.15">
      <c r="C434" s="624"/>
      <c r="D434" s="355">
        <v>3.6979999999999999E-2</v>
      </c>
      <c r="AV434" s="624">
        <v>42157</v>
      </c>
      <c r="AW434" s="355">
        <v>0.31940000000000002</v>
      </c>
      <c r="AX434" s="624">
        <v>42146</v>
      </c>
      <c r="AY434" s="355">
        <v>0.02</v>
      </c>
      <c r="AZ434" s="624">
        <v>42146</v>
      </c>
      <c r="BA434" s="355">
        <v>9.1000000000000004E-3</v>
      </c>
      <c r="BB434" s="624">
        <v>42146</v>
      </c>
      <c r="BC434" s="355">
        <v>0.26800000000000002</v>
      </c>
      <c r="BD434" s="624">
        <v>42146</v>
      </c>
      <c r="BE434" s="355">
        <v>9.1179999999999997E-2</v>
      </c>
      <c r="BF434" s="624">
        <v>42156</v>
      </c>
      <c r="BG434" s="355">
        <v>1.5723000000000001E-2</v>
      </c>
      <c r="BH434" s="624">
        <v>42146</v>
      </c>
      <c r="BI434" s="355">
        <v>7.6075000000000004E-2</v>
      </c>
      <c r="BJ434" s="624">
        <v>42146</v>
      </c>
      <c r="BK434" s="355">
        <v>2.9977E-2</v>
      </c>
    </row>
    <row r="435" spans="3:63" x14ac:dyDescent="0.15">
      <c r="C435" s="624"/>
      <c r="D435" s="355">
        <v>3.6929999999999998E-2</v>
      </c>
      <c r="AV435" s="624">
        <v>42158</v>
      </c>
      <c r="AW435" s="355">
        <v>0.31890000000000002</v>
      </c>
      <c r="AX435" s="624">
        <v>42149</v>
      </c>
      <c r="AY435" s="355">
        <v>2.002E-2</v>
      </c>
      <c r="AZ435" s="624">
        <v>42149</v>
      </c>
      <c r="BA435" s="355">
        <v>9.1000000000000004E-3</v>
      </c>
      <c r="BB435" s="624">
        <v>42149</v>
      </c>
      <c r="BC435" s="355">
        <v>0.26740000000000003</v>
      </c>
      <c r="BD435" s="624">
        <v>42149</v>
      </c>
      <c r="BE435" s="355">
        <v>9.1160000000000005E-2</v>
      </c>
      <c r="BF435" s="624">
        <v>42157</v>
      </c>
      <c r="BG435" s="355">
        <v>1.5702000000000001E-2</v>
      </c>
      <c r="BH435" s="624">
        <v>42149</v>
      </c>
      <c r="BI435" s="355">
        <v>7.5827000000000006E-2</v>
      </c>
      <c r="BJ435" s="624">
        <v>42149</v>
      </c>
      <c r="BK435" s="355">
        <v>2.9767999999999999E-2</v>
      </c>
    </row>
    <row r="436" spans="3:63" x14ac:dyDescent="0.15">
      <c r="C436" s="624"/>
      <c r="D436" s="355">
        <v>3.705E-2</v>
      </c>
      <c r="AV436" s="624">
        <v>42160</v>
      </c>
      <c r="AW436" s="355">
        <v>0.3175</v>
      </c>
      <c r="AX436" s="624">
        <v>42150</v>
      </c>
      <c r="AY436" s="355">
        <v>1.9640000000000001E-2</v>
      </c>
      <c r="AZ436" s="624">
        <v>42150</v>
      </c>
      <c r="BA436" s="355">
        <v>8.9999999999999993E-3</v>
      </c>
      <c r="BB436" s="624">
        <v>42150</v>
      </c>
      <c r="BC436" s="355">
        <v>0.2621</v>
      </c>
      <c r="BD436" s="624">
        <v>42150</v>
      </c>
      <c r="BE436" s="355">
        <v>9.0230000000000005E-2</v>
      </c>
      <c r="BF436" s="624">
        <v>42158</v>
      </c>
      <c r="BG436" s="355">
        <v>1.5622E-2</v>
      </c>
      <c r="BH436" s="624">
        <v>42150</v>
      </c>
      <c r="BI436" s="355">
        <v>7.5603000000000004E-2</v>
      </c>
      <c r="BJ436" s="624">
        <v>42150</v>
      </c>
      <c r="BK436" s="355">
        <v>2.9647E-2</v>
      </c>
    </row>
    <row r="437" spans="3:63" x14ac:dyDescent="0.15">
      <c r="C437" s="624"/>
      <c r="D437" s="355">
        <v>3.7089999999999998E-2</v>
      </c>
      <c r="AV437" s="624">
        <v>42163</v>
      </c>
      <c r="AW437" s="355">
        <v>0.32119999999999999</v>
      </c>
      <c r="AX437" s="624">
        <v>42151</v>
      </c>
      <c r="AY437" s="355">
        <v>1.932E-2</v>
      </c>
      <c r="AZ437" s="624">
        <v>42151</v>
      </c>
      <c r="BA437" s="355">
        <v>8.9999999999999993E-3</v>
      </c>
      <c r="BB437" s="624">
        <v>42151</v>
      </c>
      <c r="BC437" s="355">
        <v>0.26419999999999999</v>
      </c>
      <c r="BD437" s="624">
        <v>42151</v>
      </c>
      <c r="BE437" s="355">
        <v>9.0139999999999998E-2</v>
      </c>
      <c r="BF437" s="624">
        <v>42159</v>
      </c>
      <c r="BG437" s="355">
        <v>1.5630999999999999E-2</v>
      </c>
      <c r="BH437" s="624">
        <v>42151</v>
      </c>
      <c r="BI437" s="355">
        <v>7.5867000000000004E-2</v>
      </c>
      <c r="BJ437" s="624">
        <v>42151</v>
      </c>
      <c r="BK437" s="355">
        <v>2.9631000000000001E-2</v>
      </c>
    </row>
    <row r="438" spans="3:63" x14ac:dyDescent="0.15">
      <c r="C438" s="624"/>
      <c r="D438" s="355">
        <v>3.7019999999999997E-2</v>
      </c>
      <c r="AV438" s="624">
        <v>42164</v>
      </c>
      <c r="AW438" s="355">
        <v>0.32290000000000002</v>
      </c>
      <c r="AX438" s="624">
        <v>42152</v>
      </c>
      <c r="AY438" s="355">
        <v>1.899E-2</v>
      </c>
      <c r="AZ438" s="624">
        <v>42152</v>
      </c>
      <c r="BA438" s="355">
        <v>9.1000000000000004E-3</v>
      </c>
      <c r="BB438" s="624">
        <v>42152</v>
      </c>
      <c r="BC438" s="355">
        <v>0.26429999999999998</v>
      </c>
      <c r="BD438" s="624">
        <v>42152</v>
      </c>
      <c r="BE438" s="355">
        <v>9.0200000000000002E-2</v>
      </c>
      <c r="BF438" s="624">
        <v>42160</v>
      </c>
      <c r="BG438" s="355">
        <v>1.5594E-2</v>
      </c>
      <c r="BH438" s="624">
        <v>42152</v>
      </c>
      <c r="BI438" s="355">
        <v>7.5774999999999995E-2</v>
      </c>
      <c r="BJ438" s="624">
        <v>42152</v>
      </c>
      <c r="BK438" s="355">
        <v>2.9607999999999999E-2</v>
      </c>
    </row>
    <row r="439" spans="3:63" x14ac:dyDescent="0.15">
      <c r="C439" s="624"/>
      <c r="D439" s="355">
        <v>3.6999999999999998E-2</v>
      </c>
      <c r="AV439" s="624">
        <v>42165</v>
      </c>
      <c r="AW439" s="355">
        <v>0.32069999999999999</v>
      </c>
      <c r="AX439" s="624">
        <v>42153</v>
      </c>
      <c r="AY439" s="355">
        <v>1.9109999999999999E-2</v>
      </c>
      <c r="AZ439" s="624">
        <v>42153</v>
      </c>
      <c r="BA439" s="355">
        <v>9.1000000000000004E-3</v>
      </c>
      <c r="BB439" s="624">
        <v>42153</v>
      </c>
      <c r="BC439" s="355">
        <v>0.26729999999999998</v>
      </c>
      <c r="BD439" s="624">
        <v>42153</v>
      </c>
      <c r="BE439" s="355">
        <v>8.9749999999999996E-2</v>
      </c>
      <c r="BF439" s="624">
        <v>42163</v>
      </c>
      <c r="BG439" s="355">
        <v>1.5639E-2</v>
      </c>
      <c r="BH439" s="624">
        <v>42153</v>
      </c>
      <c r="BI439" s="355">
        <v>7.5700000000000003E-2</v>
      </c>
      <c r="BJ439" s="624">
        <v>42153</v>
      </c>
      <c r="BK439" s="355">
        <v>2.9676000000000001E-2</v>
      </c>
    </row>
    <row r="440" spans="3:63" x14ac:dyDescent="0.15">
      <c r="C440" s="624"/>
      <c r="D440" s="355">
        <v>3.7350000000000001E-2</v>
      </c>
      <c r="AV440" s="624">
        <v>42166</v>
      </c>
      <c r="AW440" s="355">
        <v>0.32369999999999999</v>
      </c>
      <c r="AX440" s="624">
        <v>42156</v>
      </c>
      <c r="AY440" s="355">
        <v>1.8669999999999999E-2</v>
      </c>
      <c r="AZ440" s="624">
        <v>42156</v>
      </c>
      <c r="BA440" s="355">
        <v>9.1000000000000004E-3</v>
      </c>
      <c r="BB440" s="624">
        <v>42156</v>
      </c>
      <c r="BC440" s="355">
        <v>0.26550000000000001</v>
      </c>
      <c r="BD440" s="624">
        <v>42156</v>
      </c>
      <c r="BE440" s="355">
        <v>8.9590000000000003E-2</v>
      </c>
      <c r="BF440" s="624">
        <v>42164</v>
      </c>
      <c r="BG440" s="355">
        <v>1.5618999999999999E-2</v>
      </c>
      <c r="BH440" s="624">
        <v>42156</v>
      </c>
      <c r="BI440" s="355">
        <v>7.5643000000000002E-2</v>
      </c>
      <c r="BJ440" s="624">
        <v>42156</v>
      </c>
      <c r="BK440" s="355">
        <v>2.9676000000000001E-2</v>
      </c>
    </row>
    <row r="441" spans="3:63" x14ac:dyDescent="0.15">
      <c r="C441" s="624"/>
      <c r="D441" s="355">
        <v>3.7409999999999999E-2</v>
      </c>
      <c r="AV441" s="624">
        <v>42167</v>
      </c>
      <c r="AW441" s="355">
        <v>0.3206</v>
      </c>
      <c r="AX441" s="624">
        <v>42157</v>
      </c>
      <c r="AY441" s="355">
        <v>1.8939999999999999E-2</v>
      </c>
      <c r="AZ441" s="624">
        <v>42157</v>
      </c>
      <c r="BA441" s="355">
        <v>9.1999999999999998E-3</v>
      </c>
      <c r="BB441" s="624">
        <v>42157</v>
      </c>
      <c r="BC441" s="355">
        <v>0.2707</v>
      </c>
      <c r="BD441" s="624">
        <v>42157</v>
      </c>
      <c r="BE441" s="355">
        <v>9.0319999999999998E-2</v>
      </c>
      <c r="BF441" s="624">
        <v>42165</v>
      </c>
      <c r="BG441" s="355">
        <v>1.5678999999999998E-2</v>
      </c>
      <c r="BH441" s="624">
        <v>42157</v>
      </c>
      <c r="BI441" s="355">
        <v>7.5684000000000001E-2</v>
      </c>
      <c r="BJ441" s="624">
        <v>42157</v>
      </c>
      <c r="BK441" s="355">
        <v>2.9670999999999999E-2</v>
      </c>
    </row>
    <row r="442" spans="3:63" x14ac:dyDescent="0.15">
      <c r="C442" s="624"/>
      <c r="D442" s="355">
        <v>3.7269999999999998E-2</v>
      </c>
      <c r="AV442" s="624">
        <v>42170</v>
      </c>
      <c r="AW442" s="355">
        <v>0.31990000000000002</v>
      </c>
      <c r="AX442" s="624">
        <v>42158</v>
      </c>
      <c r="AY442" s="355">
        <v>1.8409999999999999E-2</v>
      </c>
      <c r="AZ442" s="624">
        <v>42158</v>
      </c>
      <c r="BA442" s="355">
        <v>9.2999999999999992E-3</v>
      </c>
      <c r="BB442" s="624">
        <v>42158</v>
      </c>
      <c r="BC442" s="355">
        <v>0.27089999999999997</v>
      </c>
      <c r="BD442" s="624">
        <v>42158</v>
      </c>
      <c r="BE442" s="355">
        <v>9.0289999999999995E-2</v>
      </c>
      <c r="BF442" s="624">
        <v>42166</v>
      </c>
      <c r="BG442" s="355">
        <v>1.5633000000000001E-2</v>
      </c>
      <c r="BH442" s="624">
        <v>42158</v>
      </c>
      <c r="BI442" s="355">
        <v>7.5485999999999998E-2</v>
      </c>
      <c r="BJ442" s="624">
        <v>42158</v>
      </c>
      <c r="BK442" s="355">
        <v>2.9725000000000001E-2</v>
      </c>
    </row>
    <row r="443" spans="3:63" x14ac:dyDescent="0.15">
      <c r="C443" s="624"/>
      <c r="D443" s="355">
        <v>3.7229999999999999E-2</v>
      </c>
      <c r="AV443" s="624">
        <v>42171</v>
      </c>
      <c r="AW443" s="355">
        <v>0.32369999999999999</v>
      </c>
      <c r="AX443" s="624">
        <v>42159</v>
      </c>
      <c r="AY443" s="355">
        <v>1.7739999999999999E-2</v>
      </c>
      <c r="AZ443" s="624">
        <v>42159</v>
      </c>
      <c r="BA443" s="355">
        <v>9.2999999999999992E-3</v>
      </c>
      <c r="BB443" s="624">
        <v>42159</v>
      </c>
      <c r="BC443" s="355">
        <v>0.26950000000000002</v>
      </c>
      <c r="BD443" s="624">
        <v>42159</v>
      </c>
      <c r="BE443" s="355">
        <v>8.9770000000000003E-2</v>
      </c>
      <c r="BF443" s="624">
        <v>42167</v>
      </c>
      <c r="BG443" s="355">
        <v>1.5594999999999999E-2</v>
      </c>
      <c r="BH443" s="624">
        <v>42159</v>
      </c>
      <c r="BI443" s="355">
        <v>7.5317999999999996E-2</v>
      </c>
      <c r="BJ443" s="624">
        <v>42159</v>
      </c>
      <c r="BK443" s="355">
        <v>2.9652000000000001E-2</v>
      </c>
    </row>
    <row r="444" spans="3:63" x14ac:dyDescent="0.15">
      <c r="C444" s="624"/>
      <c r="D444" s="355">
        <v>3.7010000000000001E-2</v>
      </c>
      <c r="AV444" s="624">
        <v>42172</v>
      </c>
      <c r="AW444" s="355">
        <v>0.32750000000000001</v>
      </c>
      <c r="AX444" s="624">
        <v>42160</v>
      </c>
      <c r="AY444" s="355">
        <v>1.7780000000000001E-2</v>
      </c>
      <c r="AZ444" s="624">
        <v>42160</v>
      </c>
      <c r="BA444" s="355">
        <v>9.1999999999999998E-3</v>
      </c>
      <c r="BB444" s="624">
        <v>42160</v>
      </c>
      <c r="BC444" s="355">
        <v>0.26719999999999999</v>
      </c>
      <c r="BD444" s="624">
        <v>42160</v>
      </c>
      <c r="BE444" s="355">
        <v>8.8940000000000005E-2</v>
      </c>
      <c r="BF444" s="624">
        <v>42170</v>
      </c>
      <c r="BG444" s="355">
        <v>1.5604E-2</v>
      </c>
      <c r="BH444" s="624">
        <v>42160</v>
      </c>
      <c r="BI444" s="355">
        <v>7.4803999999999995E-2</v>
      </c>
      <c r="BJ444" s="624">
        <v>42160</v>
      </c>
      <c r="BK444" s="355">
        <v>2.9506999999999999E-2</v>
      </c>
    </row>
    <row r="445" spans="3:63" x14ac:dyDescent="0.15">
      <c r="C445" s="624"/>
      <c r="D445" s="355">
        <v>3.7010000000000001E-2</v>
      </c>
      <c r="AV445" s="624">
        <v>42173</v>
      </c>
      <c r="AW445" s="355">
        <v>0.32690000000000002</v>
      </c>
      <c r="AX445" s="624">
        <v>42163</v>
      </c>
      <c r="AY445" s="355">
        <v>1.7919999999999998E-2</v>
      </c>
      <c r="AZ445" s="624">
        <v>42163</v>
      </c>
      <c r="BA445" s="355">
        <v>9.4000000000000004E-3</v>
      </c>
      <c r="BB445" s="624">
        <v>42163</v>
      </c>
      <c r="BC445" s="355">
        <v>0.27050000000000002</v>
      </c>
      <c r="BD445" s="624">
        <v>42163</v>
      </c>
      <c r="BE445" s="355">
        <v>8.9410000000000003E-2</v>
      </c>
      <c r="BF445" s="624">
        <v>42171</v>
      </c>
      <c r="BG445" s="355">
        <v>1.5573E-2</v>
      </c>
      <c r="BH445" s="624">
        <v>42163</v>
      </c>
      <c r="BI445" s="355">
        <v>7.4912000000000006E-2</v>
      </c>
      <c r="BJ445" s="624">
        <v>42163</v>
      </c>
      <c r="BK445" s="355">
        <v>2.9634000000000001E-2</v>
      </c>
    </row>
    <row r="446" spans="3:63" x14ac:dyDescent="0.15">
      <c r="C446" s="624"/>
      <c r="D446" s="355">
        <v>3.6970000000000003E-2</v>
      </c>
      <c r="AV446" s="624">
        <v>42174</v>
      </c>
      <c r="AW446" s="355">
        <v>0.32279999999999998</v>
      </c>
      <c r="AX446" s="624">
        <v>42164</v>
      </c>
      <c r="AY446" s="355">
        <v>1.804E-2</v>
      </c>
      <c r="AZ446" s="624">
        <v>42164</v>
      </c>
      <c r="BA446" s="355">
        <v>9.2999999999999992E-3</v>
      </c>
      <c r="BB446" s="624">
        <v>42164</v>
      </c>
      <c r="BC446" s="355">
        <v>0.27010000000000001</v>
      </c>
      <c r="BD446" s="624">
        <v>42164</v>
      </c>
      <c r="BE446" s="355">
        <v>8.9160000000000003E-2</v>
      </c>
      <c r="BF446" s="624">
        <v>42172</v>
      </c>
      <c r="BG446" s="355">
        <v>1.5646E-2</v>
      </c>
      <c r="BH446" s="624">
        <v>42164</v>
      </c>
      <c r="BI446" s="355">
        <v>7.4931999999999999E-2</v>
      </c>
      <c r="BJ446" s="624">
        <v>42164</v>
      </c>
      <c r="BK446" s="355">
        <v>2.9665E-2</v>
      </c>
    </row>
    <row r="447" spans="3:63" x14ac:dyDescent="0.15">
      <c r="C447" s="624"/>
      <c r="D447" s="355">
        <v>3.6889999999999999E-2</v>
      </c>
      <c r="AV447" s="624">
        <v>42177</v>
      </c>
      <c r="AW447" s="355">
        <v>0.3246</v>
      </c>
      <c r="AX447" s="624">
        <v>42165</v>
      </c>
      <c r="AY447" s="355">
        <v>1.8419999999999999E-2</v>
      </c>
      <c r="AZ447" s="624">
        <v>42165</v>
      </c>
      <c r="BA447" s="355">
        <v>9.4000000000000004E-3</v>
      </c>
      <c r="BB447" s="624">
        <v>42165</v>
      </c>
      <c r="BC447" s="355">
        <v>0.27339999999999998</v>
      </c>
      <c r="BD447" s="624">
        <v>42165</v>
      </c>
      <c r="BE447" s="355">
        <v>9.0020000000000003E-2</v>
      </c>
      <c r="BF447" s="624">
        <v>42173</v>
      </c>
      <c r="BG447" s="355">
        <v>1.5709999999999998E-2</v>
      </c>
      <c r="BH447" s="624">
        <v>42165</v>
      </c>
      <c r="BI447" s="355">
        <v>7.5643000000000002E-2</v>
      </c>
      <c r="BJ447" s="624">
        <v>42165</v>
      </c>
      <c r="BK447" s="355">
        <v>2.9763999999999999E-2</v>
      </c>
    </row>
    <row r="448" spans="3:63" x14ac:dyDescent="0.15">
      <c r="C448" s="624"/>
      <c r="D448" s="355">
        <v>3.6970000000000003E-2</v>
      </c>
      <c r="AV448" s="624">
        <v>42178</v>
      </c>
      <c r="AW448" s="355">
        <v>0.3251</v>
      </c>
      <c r="AX448" s="624">
        <v>42166</v>
      </c>
      <c r="AY448" s="355">
        <v>1.8280000000000001E-2</v>
      </c>
      <c r="AZ448" s="624">
        <v>42166</v>
      </c>
      <c r="BA448" s="355">
        <v>9.2999999999999992E-3</v>
      </c>
      <c r="BB448" s="624">
        <v>42166</v>
      </c>
      <c r="BC448" s="355">
        <v>0.27239999999999998</v>
      </c>
      <c r="BD448" s="624">
        <v>42166</v>
      </c>
      <c r="BE448" s="355">
        <v>8.9810000000000001E-2</v>
      </c>
      <c r="BF448" s="624">
        <v>42174</v>
      </c>
      <c r="BG448" s="355">
        <v>1.5747000000000001E-2</v>
      </c>
      <c r="BH448" s="624">
        <v>42166</v>
      </c>
      <c r="BI448" s="355">
        <v>7.5289999999999996E-2</v>
      </c>
      <c r="BJ448" s="624">
        <v>42166</v>
      </c>
      <c r="BK448" s="355">
        <v>2.9658E-2</v>
      </c>
    </row>
    <row r="449" spans="3:63" x14ac:dyDescent="0.15">
      <c r="C449" s="624"/>
      <c r="D449" s="355">
        <v>3.6979999999999999E-2</v>
      </c>
      <c r="AV449" s="624">
        <v>42179</v>
      </c>
      <c r="AW449" s="355">
        <v>0.32290000000000002</v>
      </c>
      <c r="AX449" s="624">
        <v>42167</v>
      </c>
      <c r="AY449" s="355">
        <v>1.8120000000000001E-2</v>
      </c>
      <c r="AZ449" s="624">
        <v>42167</v>
      </c>
      <c r="BA449" s="355">
        <v>9.4000000000000004E-3</v>
      </c>
      <c r="BB449" s="624">
        <v>42167</v>
      </c>
      <c r="BC449" s="355">
        <v>0.27200000000000002</v>
      </c>
      <c r="BD449" s="624">
        <v>42167</v>
      </c>
      <c r="BE449" s="355">
        <v>8.9940000000000006E-2</v>
      </c>
      <c r="BF449" s="624">
        <v>42177</v>
      </c>
      <c r="BG449" s="355">
        <v>1.5741999999999999E-2</v>
      </c>
      <c r="BH449" s="624">
        <v>42167</v>
      </c>
      <c r="BI449" s="355">
        <v>7.5015999999999999E-2</v>
      </c>
      <c r="BJ449" s="624">
        <v>42167</v>
      </c>
      <c r="BK449" s="355">
        <v>2.9718000000000001E-2</v>
      </c>
    </row>
    <row r="450" spans="3:63" x14ac:dyDescent="0.15">
      <c r="C450" s="624"/>
      <c r="D450" s="355">
        <v>3.7139999999999999E-2</v>
      </c>
      <c r="AV450" s="624">
        <v>42180</v>
      </c>
      <c r="AW450" s="355">
        <v>0.31969999999999998</v>
      </c>
      <c r="AX450" s="624">
        <v>42170</v>
      </c>
      <c r="AY450" s="355">
        <v>1.8339999999999999E-2</v>
      </c>
      <c r="AZ450" s="624">
        <v>42170</v>
      </c>
      <c r="BA450" s="355">
        <v>9.4000000000000004E-3</v>
      </c>
      <c r="BB450" s="624">
        <v>42170</v>
      </c>
      <c r="BC450" s="355">
        <v>0.27160000000000001</v>
      </c>
      <c r="BD450" s="624">
        <v>42170</v>
      </c>
      <c r="BE450" s="355">
        <v>8.9539999999999995E-2</v>
      </c>
      <c r="BF450" s="624">
        <v>42178</v>
      </c>
      <c r="BG450" s="355">
        <v>1.5722E-2</v>
      </c>
      <c r="BH450" s="624">
        <v>42170</v>
      </c>
      <c r="BI450" s="355">
        <v>7.5029999999999999E-2</v>
      </c>
      <c r="BJ450" s="624">
        <v>42170</v>
      </c>
      <c r="BK450" s="355">
        <v>2.9692E-2</v>
      </c>
    </row>
    <row r="451" spans="3:63" x14ac:dyDescent="0.15">
      <c r="C451" s="624"/>
      <c r="D451" s="355">
        <v>3.6970000000000003E-2</v>
      </c>
      <c r="AV451" s="624">
        <v>42181</v>
      </c>
      <c r="AW451" s="355">
        <v>0.3196</v>
      </c>
      <c r="AX451" s="624">
        <v>42171</v>
      </c>
      <c r="AY451" s="355">
        <v>1.856E-2</v>
      </c>
      <c r="AZ451" s="624">
        <v>42171</v>
      </c>
      <c r="BA451" s="355">
        <v>9.2999999999999992E-3</v>
      </c>
      <c r="BB451" s="624">
        <v>42171</v>
      </c>
      <c r="BC451" s="355">
        <v>0.27139999999999997</v>
      </c>
      <c r="BD451" s="624">
        <v>42171</v>
      </c>
      <c r="BE451" s="355">
        <v>8.9389999999999997E-2</v>
      </c>
      <c r="BF451" s="624">
        <v>42179</v>
      </c>
      <c r="BG451" s="355">
        <v>1.5741999999999999E-2</v>
      </c>
      <c r="BH451" s="624">
        <v>42171</v>
      </c>
      <c r="BI451" s="355">
        <v>7.4940000000000007E-2</v>
      </c>
      <c r="BJ451" s="624">
        <v>42171</v>
      </c>
      <c r="BK451" s="355">
        <v>2.9670999999999999E-2</v>
      </c>
    </row>
    <row r="452" spans="3:63" x14ac:dyDescent="0.15">
      <c r="C452" s="624"/>
      <c r="D452" s="355">
        <v>3.6929999999999998E-2</v>
      </c>
      <c r="AV452" s="624">
        <v>42184</v>
      </c>
      <c r="AW452" s="355">
        <v>0.32079999999999997</v>
      </c>
      <c r="AX452" s="624">
        <v>42172</v>
      </c>
      <c r="AY452" s="355">
        <v>1.864E-2</v>
      </c>
      <c r="AZ452" s="624">
        <v>42172</v>
      </c>
      <c r="BA452" s="355">
        <v>9.4000000000000004E-3</v>
      </c>
      <c r="BB452" s="624">
        <v>42172</v>
      </c>
      <c r="BC452" s="355">
        <v>0.27289999999999998</v>
      </c>
      <c r="BD452" s="624">
        <v>42172</v>
      </c>
      <c r="BE452" s="355">
        <v>8.9649999999999994E-2</v>
      </c>
      <c r="BF452" s="624">
        <v>42180</v>
      </c>
      <c r="BG452" s="355">
        <v>1.5734999999999999E-2</v>
      </c>
      <c r="BH452" s="624">
        <v>42172</v>
      </c>
      <c r="BI452" s="355">
        <v>7.5136999999999995E-2</v>
      </c>
      <c r="BJ452" s="624">
        <v>42172</v>
      </c>
      <c r="BK452" s="355">
        <v>2.9753000000000002E-2</v>
      </c>
    </row>
    <row r="453" spans="3:63" x14ac:dyDescent="0.15">
      <c r="C453" s="624"/>
      <c r="D453" s="355">
        <v>3.7069999999999999E-2</v>
      </c>
      <c r="AV453" s="624">
        <v>42185</v>
      </c>
      <c r="AW453" s="355">
        <v>0.32219999999999999</v>
      </c>
      <c r="AX453" s="624">
        <v>42173</v>
      </c>
      <c r="AY453" s="355">
        <v>1.8710000000000001E-2</v>
      </c>
      <c r="AZ453" s="624">
        <v>42173</v>
      </c>
      <c r="BA453" s="355">
        <v>9.4000000000000004E-3</v>
      </c>
      <c r="BB453" s="624">
        <v>42173</v>
      </c>
      <c r="BC453" s="355">
        <v>0.27229999999999999</v>
      </c>
      <c r="BD453" s="624">
        <v>42173</v>
      </c>
      <c r="BE453" s="355">
        <v>9.0450000000000003E-2</v>
      </c>
      <c r="BF453" s="624">
        <v>42181</v>
      </c>
      <c r="BG453" s="355">
        <v>1.576E-2</v>
      </c>
      <c r="BH453" s="624">
        <v>42173</v>
      </c>
      <c r="BI453" s="355">
        <v>7.5008000000000005E-2</v>
      </c>
      <c r="BJ453" s="624">
        <v>42173</v>
      </c>
      <c r="BK453" s="355">
        <v>2.9724E-2</v>
      </c>
    </row>
    <row r="454" spans="3:63" x14ac:dyDescent="0.15">
      <c r="C454" s="624"/>
      <c r="D454" s="355">
        <v>3.6970000000000003E-2</v>
      </c>
      <c r="AV454" s="624">
        <v>42186</v>
      </c>
      <c r="AW454" s="355">
        <v>0.31759999999999999</v>
      </c>
      <c r="AX454" s="624">
        <v>42174</v>
      </c>
      <c r="AY454" s="355">
        <v>1.848E-2</v>
      </c>
      <c r="AZ454" s="624">
        <v>42174</v>
      </c>
      <c r="BA454" s="355">
        <v>9.4000000000000004E-3</v>
      </c>
      <c r="BB454" s="624">
        <v>42174</v>
      </c>
      <c r="BC454" s="355">
        <v>0.27160000000000001</v>
      </c>
      <c r="BD454" s="624">
        <v>42174</v>
      </c>
      <c r="BE454" s="355">
        <v>9.0649999999999994E-2</v>
      </c>
      <c r="BF454" s="624">
        <v>42184</v>
      </c>
      <c r="BG454" s="355">
        <v>1.5698E-2</v>
      </c>
      <c r="BH454" s="624">
        <v>42174</v>
      </c>
      <c r="BI454" s="355">
        <v>7.5052999999999995E-2</v>
      </c>
      <c r="BJ454" s="624">
        <v>42174</v>
      </c>
      <c r="BK454" s="355">
        <v>2.9731E-2</v>
      </c>
    </row>
    <row r="455" spans="3:63" x14ac:dyDescent="0.15">
      <c r="C455" s="624"/>
      <c r="D455" s="355">
        <v>3.6889999999999999E-2</v>
      </c>
      <c r="AV455" s="624">
        <v>42187</v>
      </c>
      <c r="AW455" s="355">
        <v>0.32269999999999999</v>
      </c>
      <c r="AX455" s="624">
        <v>42177</v>
      </c>
      <c r="AY455" s="355">
        <v>1.8540000000000001E-2</v>
      </c>
      <c r="AZ455" s="624">
        <v>42177</v>
      </c>
      <c r="BA455" s="355">
        <v>9.4000000000000004E-3</v>
      </c>
      <c r="BB455" s="624">
        <v>42177</v>
      </c>
      <c r="BC455" s="355">
        <v>0.2722</v>
      </c>
      <c r="BD455" s="624">
        <v>42177</v>
      </c>
      <c r="BE455" s="355">
        <v>9.0800000000000006E-2</v>
      </c>
      <c r="BF455" s="624">
        <v>42185</v>
      </c>
      <c r="BG455" s="355">
        <v>1.5722E-2</v>
      </c>
      <c r="BH455" s="624">
        <v>42177</v>
      </c>
      <c r="BI455" s="355">
        <v>7.5153999999999999E-2</v>
      </c>
      <c r="BJ455" s="624">
        <v>42177</v>
      </c>
      <c r="BK455" s="355">
        <v>2.9678E-2</v>
      </c>
    </row>
    <row r="456" spans="3:63" x14ac:dyDescent="0.15">
      <c r="C456" s="624"/>
      <c r="D456" s="355">
        <v>3.696E-2</v>
      </c>
      <c r="AV456" s="624">
        <v>42188</v>
      </c>
      <c r="AW456" s="355">
        <v>0.31900000000000001</v>
      </c>
      <c r="AX456" s="624">
        <v>42178</v>
      </c>
      <c r="AY456" s="355">
        <v>1.8579999999999999E-2</v>
      </c>
      <c r="AZ456" s="624">
        <v>42178</v>
      </c>
      <c r="BA456" s="355">
        <v>9.2999999999999992E-3</v>
      </c>
      <c r="BB456" s="624">
        <v>42178</v>
      </c>
      <c r="BC456" s="355">
        <v>0.26829999999999998</v>
      </c>
      <c r="BD456" s="624">
        <v>42178</v>
      </c>
      <c r="BE456" s="355">
        <v>9.0359999999999996E-2</v>
      </c>
      <c r="BF456" s="624">
        <v>42186</v>
      </c>
      <c r="BG456" s="355">
        <v>1.5734000000000001E-2</v>
      </c>
      <c r="BH456" s="624">
        <v>42178</v>
      </c>
      <c r="BI456" s="355">
        <v>7.5281000000000001E-2</v>
      </c>
      <c r="BJ456" s="624">
        <v>42178</v>
      </c>
      <c r="BK456" s="355">
        <v>2.9616E-2</v>
      </c>
    </row>
    <row r="457" spans="3:63" x14ac:dyDescent="0.15">
      <c r="C457" s="624"/>
      <c r="D457" s="355">
        <v>3.6970000000000003E-2</v>
      </c>
      <c r="AV457" s="624">
        <v>42191</v>
      </c>
      <c r="AW457" s="355">
        <v>0.31879999999999997</v>
      </c>
      <c r="AX457" s="624">
        <v>42179</v>
      </c>
      <c r="AY457" s="355">
        <v>1.8360000000000001E-2</v>
      </c>
      <c r="AZ457" s="624">
        <v>42179</v>
      </c>
      <c r="BA457" s="355">
        <v>9.2999999999999992E-3</v>
      </c>
      <c r="BB457" s="624">
        <v>42179</v>
      </c>
      <c r="BC457" s="355">
        <v>0.26860000000000001</v>
      </c>
      <c r="BD457" s="624">
        <v>42179</v>
      </c>
      <c r="BE457" s="355">
        <v>9.0079999999999993E-2</v>
      </c>
      <c r="BF457" s="624">
        <v>42187</v>
      </c>
      <c r="BG457" s="355">
        <v>1.5796000000000001E-2</v>
      </c>
      <c r="BH457" s="624">
        <v>42179</v>
      </c>
      <c r="BI457" s="355">
        <v>7.5160000000000005E-2</v>
      </c>
      <c r="BJ457" s="624">
        <v>42179</v>
      </c>
      <c r="BK457" s="355">
        <v>2.9614000000000001E-2</v>
      </c>
    </row>
    <row r="458" spans="3:63" x14ac:dyDescent="0.15">
      <c r="C458" s="624"/>
      <c r="D458" s="355">
        <v>3.6940000000000001E-2</v>
      </c>
      <c r="AV458" s="624">
        <v>42192</v>
      </c>
      <c r="AW458" s="355">
        <v>0.31390000000000001</v>
      </c>
      <c r="AX458" s="624">
        <v>42180</v>
      </c>
      <c r="AY458" s="355">
        <v>1.8270000000000002E-2</v>
      </c>
      <c r="AZ458" s="624">
        <v>42180</v>
      </c>
      <c r="BA458" s="355">
        <v>9.2999999999999992E-3</v>
      </c>
      <c r="BB458" s="624">
        <v>42180</v>
      </c>
      <c r="BC458" s="355">
        <v>0.26860000000000001</v>
      </c>
      <c r="BD458" s="624">
        <v>42180</v>
      </c>
      <c r="BE458" s="355">
        <v>8.9929999999999996E-2</v>
      </c>
      <c r="BF458" s="624">
        <v>42188</v>
      </c>
      <c r="BG458" s="355">
        <v>1.5768999999999998E-2</v>
      </c>
      <c r="BH458" s="624">
        <v>42180</v>
      </c>
      <c r="BI458" s="355">
        <v>7.5115000000000001E-2</v>
      </c>
      <c r="BJ458" s="624">
        <v>42180</v>
      </c>
      <c r="BK458" s="355">
        <v>2.9616E-2</v>
      </c>
    </row>
    <row r="459" spans="3:63" x14ac:dyDescent="0.15">
      <c r="C459" s="624"/>
      <c r="D459" s="355">
        <v>3.7019999999999997E-2</v>
      </c>
      <c r="AV459" s="624">
        <v>42193</v>
      </c>
      <c r="AW459" s="355">
        <v>0.30890000000000001</v>
      </c>
      <c r="AX459" s="624">
        <v>42181</v>
      </c>
      <c r="AY459" s="355">
        <v>1.8249999999999999E-2</v>
      </c>
      <c r="AZ459" s="624">
        <v>42181</v>
      </c>
      <c r="BA459" s="355">
        <v>9.2999999999999992E-3</v>
      </c>
      <c r="BB459" s="624">
        <v>42181</v>
      </c>
      <c r="BC459" s="355">
        <v>0.26769999999999999</v>
      </c>
      <c r="BD459" s="624">
        <v>42181</v>
      </c>
      <c r="BE459" s="355">
        <v>8.9050000000000004E-2</v>
      </c>
      <c r="BF459" s="624">
        <v>42191</v>
      </c>
      <c r="BG459" s="355">
        <v>1.5807000000000002E-2</v>
      </c>
      <c r="BH459" s="624">
        <v>42181</v>
      </c>
      <c r="BI459" s="355">
        <v>7.4991000000000002E-2</v>
      </c>
      <c r="BJ459" s="624">
        <v>42181</v>
      </c>
      <c r="BK459" s="355">
        <v>2.9586999999999999E-2</v>
      </c>
    </row>
    <row r="460" spans="3:63" x14ac:dyDescent="0.15">
      <c r="C460" s="624"/>
      <c r="D460" s="355">
        <v>3.7249999999999998E-2</v>
      </c>
      <c r="AV460" s="624">
        <v>42194</v>
      </c>
      <c r="AW460" s="355">
        <v>0.3105</v>
      </c>
      <c r="AX460" s="624">
        <v>42184</v>
      </c>
      <c r="AY460" s="355">
        <v>1.796E-2</v>
      </c>
      <c r="AZ460" s="624">
        <v>42184</v>
      </c>
      <c r="BA460" s="355">
        <v>9.2999999999999992E-3</v>
      </c>
      <c r="BB460" s="624">
        <v>42184</v>
      </c>
      <c r="BC460" s="355">
        <v>0.26779999999999998</v>
      </c>
      <c r="BD460" s="624">
        <v>42184</v>
      </c>
      <c r="BE460" s="355">
        <v>8.9270000000000002E-2</v>
      </c>
      <c r="BF460" s="624">
        <v>42192</v>
      </c>
      <c r="BG460" s="355">
        <v>1.5753E-2</v>
      </c>
      <c r="BH460" s="624">
        <v>42184</v>
      </c>
      <c r="BI460" s="355">
        <v>7.4961E-2</v>
      </c>
      <c r="BJ460" s="624">
        <v>42184</v>
      </c>
      <c r="BK460" s="355">
        <v>2.9654E-2</v>
      </c>
    </row>
    <row r="461" spans="3:63" x14ac:dyDescent="0.15">
      <c r="C461" s="624"/>
      <c r="D461" s="355">
        <v>3.7240000000000002E-2</v>
      </c>
      <c r="AV461" s="624">
        <v>42195</v>
      </c>
      <c r="AW461" s="355">
        <v>0.31659999999999999</v>
      </c>
      <c r="AX461" s="624">
        <v>42185</v>
      </c>
      <c r="AY461" s="355">
        <v>1.8069999999999999E-2</v>
      </c>
      <c r="AZ461" s="624">
        <v>42185</v>
      </c>
      <c r="BA461" s="355">
        <v>9.2999999999999992E-3</v>
      </c>
      <c r="BB461" s="624">
        <v>42185</v>
      </c>
      <c r="BC461" s="355">
        <v>0.26579999999999998</v>
      </c>
      <c r="BD461" s="624">
        <v>42185</v>
      </c>
      <c r="BE461" s="355">
        <v>8.9279999999999998E-2</v>
      </c>
      <c r="BF461" s="624">
        <v>42193</v>
      </c>
      <c r="BG461" s="355">
        <v>1.5758000000000001E-2</v>
      </c>
      <c r="BH461" s="624">
        <v>42185</v>
      </c>
      <c r="BI461" s="355">
        <v>7.4900999999999995E-2</v>
      </c>
      <c r="BJ461" s="624">
        <v>42185</v>
      </c>
      <c r="BK461" s="355">
        <v>2.9588E-2</v>
      </c>
    </row>
    <row r="462" spans="3:63" x14ac:dyDescent="0.15">
      <c r="C462" s="624"/>
      <c r="D462" s="355">
        <v>3.7249999999999998E-2</v>
      </c>
      <c r="AV462" s="624">
        <v>42198</v>
      </c>
      <c r="AW462" s="355">
        <v>0.31909999999999999</v>
      </c>
      <c r="AX462" s="624">
        <v>42186</v>
      </c>
      <c r="AY462" s="355">
        <v>1.7909999999999999E-2</v>
      </c>
      <c r="AZ462" s="624">
        <v>42186</v>
      </c>
      <c r="BA462" s="355">
        <v>9.1999999999999998E-3</v>
      </c>
      <c r="BB462" s="624">
        <v>42186</v>
      </c>
      <c r="BC462" s="355">
        <v>0.26390000000000002</v>
      </c>
      <c r="BD462" s="624">
        <v>42186</v>
      </c>
      <c r="BE462" s="355">
        <v>8.8870000000000005E-2</v>
      </c>
      <c r="BF462" s="624">
        <v>42194</v>
      </c>
      <c r="BG462" s="355">
        <v>1.5792E-2</v>
      </c>
      <c r="BH462" s="624">
        <v>42186</v>
      </c>
      <c r="BI462" s="355">
        <v>7.4979000000000004E-2</v>
      </c>
      <c r="BJ462" s="624">
        <v>42186</v>
      </c>
      <c r="BK462" s="355">
        <v>2.9562000000000001E-2</v>
      </c>
    </row>
    <row r="463" spans="3:63" x14ac:dyDescent="0.15">
      <c r="C463" s="624"/>
      <c r="D463" s="355">
        <v>3.7159999999999999E-2</v>
      </c>
      <c r="AV463" s="624">
        <v>42199</v>
      </c>
      <c r="AW463" s="355">
        <v>0.31850000000000001</v>
      </c>
      <c r="AX463" s="624">
        <v>42187</v>
      </c>
      <c r="AY463" s="355">
        <v>1.8020000000000001E-2</v>
      </c>
      <c r="AZ463" s="624">
        <v>42187</v>
      </c>
      <c r="BA463" s="355">
        <v>9.1999999999999998E-3</v>
      </c>
      <c r="BB463" s="624">
        <v>42187</v>
      </c>
      <c r="BC463" s="355">
        <v>0.26440000000000002</v>
      </c>
      <c r="BD463" s="624">
        <v>42187</v>
      </c>
      <c r="BE463" s="355">
        <v>8.9010000000000006E-2</v>
      </c>
      <c r="BF463" s="624">
        <v>42195</v>
      </c>
      <c r="BG463" s="355">
        <v>1.5785E-2</v>
      </c>
      <c r="BH463" s="624">
        <v>42187</v>
      </c>
      <c r="BI463" s="355">
        <v>7.5261999999999996E-2</v>
      </c>
      <c r="BJ463" s="624">
        <v>42187</v>
      </c>
      <c r="BK463" s="355">
        <v>2.9609E-2</v>
      </c>
    </row>
    <row r="464" spans="3:63" x14ac:dyDescent="0.15">
      <c r="C464" s="624"/>
      <c r="D464" s="355">
        <v>3.7179999999999998E-2</v>
      </c>
      <c r="AV464" s="624">
        <v>42200</v>
      </c>
      <c r="AW464" s="355">
        <v>0.31850000000000001</v>
      </c>
      <c r="AX464" s="624">
        <v>42188</v>
      </c>
      <c r="AY464" s="355">
        <v>1.787E-2</v>
      </c>
      <c r="AZ464" s="624">
        <v>42188</v>
      </c>
      <c r="BA464" s="355">
        <v>9.1999999999999998E-3</v>
      </c>
      <c r="BB464" s="624">
        <v>42188</v>
      </c>
      <c r="BC464" s="355">
        <v>0.26500000000000001</v>
      </c>
      <c r="BD464" s="624">
        <v>42188</v>
      </c>
      <c r="BE464" s="355">
        <v>8.9069999999999996E-2</v>
      </c>
      <c r="BF464" s="624">
        <v>42198</v>
      </c>
      <c r="BG464" s="355">
        <v>1.5761000000000001E-2</v>
      </c>
      <c r="BH464" s="624">
        <v>42188</v>
      </c>
      <c r="BI464" s="355">
        <v>7.4912000000000006E-2</v>
      </c>
      <c r="BJ464" s="624">
        <v>42188</v>
      </c>
      <c r="BK464" s="355">
        <v>2.9616E-2</v>
      </c>
    </row>
    <row r="465" spans="3:63" x14ac:dyDescent="0.15">
      <c r="C465" s="624"/>
      <c r="D465" s="355">
        <v>3.7249999999999998E-2</v>
      </c>
      <c r="AV465" s="624">
        <v>42201</v>
      </c>
      <c r="AW465" s="355">
        <v>0.31680000000000003</v>
      </c>
      <c r="AX465" s="624">
        <v>42191</v>
      </c>
      <c r="AY465" s="355">
        <v>1.7590000000000001E-2</v>
      </c>
      <c r="AZ465" s="624">
        <v>42191</v>
      </c>
      <c r="BA465" s="355">
        <v>9.1999999999999998E-3</v>
      </c>
      <c r="BB465" s="624">
        <v>42191</v>
      </c>
      <c r="BC465" s="355">
        <v>0.26300000000000001</v>
      </c>
      <c r="BD465" s="624">
        <v>42191</v>
      </c>
      <c r="BE465" s="355">
        <v>8.8800000000000004E-2</v>
      </c>
      <c r="BF465" s="624">
        <v>42199</v>
      </c>
      <c r="BG465" s="355">
        <v>1.5803000000000001E-2</v>
      </c>
      <c r="BH465" s="624">
        <v>42191</v>
      </c>
      <c r="BI465" s="355">
        <v>7.5239E-2</v>
      </c>
      <c r="BJ465" s="624">
        <v>42191</v>
      </c>
      <c r="BK465" s="355">
        <v>2.9545999999999999E-2</v>
      </c>
    </row>
    <row r="466" spans="3:63" x14ac:dyDescent="0.15">
      <c r="C466" s="624"/>
      <c r="D466" s="355">
        <v>3.7170000000000002E-2</v>
      </c>
      <c r="AV466" s="624">
        <v>42202</v>
      </c>
      <c r="AW466" s="355">
        <v>0.31359999999999999</v>
      </c>
      <c r="AX466" s="624">
        <v>42192</v>
      </c>
      <c r="AY466" s="355">
        <v>1.7639999999999999E-2</v>
      </c>
      <c r="AZ466" s="624">
        <v>42192</v>
      </c>
      <c r="BA466" s="355">
        <v>9.1000000000000004E-3</v>
      </c>
      <c r="BB466" s="624">
        <v>42192</v>
      </c>
      <c r="BC466" s="355">
        <v>0.26169999999999999</v>
      </c>
      <c r="BD466" s="624">
        <v>42192</v>
      </c>
      <c r="BE466" s="355">
        <v>8.8109999999999994E-2</v>
      </c>
      <c r="BF466" s="624">
        <v>42200</v>
      </c>
      <c r="BG466" s="355">
        <v>1.5746E-2</v>
      </c>
      <c r="BH466" s="624">
        <v>42192</v>
      </c>
      <c r="BI466" s="355">
        <v>7.4991000000000002E-2</v>
      </c>
      <c r="BJ466" s="624">
        <v>42192</v>
      </c>
      <c r="BK466" s="355">
        <v>2.9425E-2</v>
      </c>
    </row>
    <row r="467" spans="3:63" x14ac:dyDescent="0.15">
      <c r="C467" s="624"/>
      <c r="D467" s="355">
        <v>3.7190000000000001E-2</v>
      </c>
      <c r="AV467" s="624">
        <v>42205</v>
      </c>
      <c r="AW467" s="355">
        <v>0.31280000000000002</v>
      </c>
      <c r="AX467" s="624">
        <v>42193</v>
      </c>
      <c r="AY467" s="355">
        <v>1.7409999999999998E-2</v>
      </c>
      <c r="AZ467" s="624">
        <v>42193</v>
      </c>
      <c r="BA467" s="355">
        <v>9.1999999999999998E-3</v>
      </c>
      <c r="BB467" s="624">
        <v>42193</v>
      </c>
      <c r="BC467" s="355">
        <v>0.26140000000000002</v>
      </c>
      <c r="BD467" s="624">
        <v>42193</v>
      </c>
      <c r="BE467" s="355">
        <v>8.8059999999999999E-2</v>
      </c>
      <c r="BF467" s="624">
        <v>42201</v>
      </c>
      <c r="BG467" s="355">
        <v>1.5753E-2</v>
      </c>
      <c r="BH467" s="624">
        <v>42193</v>
      </c>
      <c r="BI467" s="355">
        <v>7.4746999999999994E-2</v>
      </c>
      <c r="BJ467" s="624">
        <v>42193</v>
      </c>
      <c r="BK467" s="355">
        <v>2.9456E-2</v>
      </c>
    </row>
    <row r="468" spans="3:63" x14ac:dyDescent="0.15">
      <c r="C468" s="624"/>
      <c r="D468" s="355">
        <v>3.7130000000000003E-2</v>
      </c>
      <c r="AV468" s="624">
        <v>42206</v>
      </c>
      <c r="AW468" s="355">
        <v>0.31530000000000002</v>
      </c>
      <c r="AX468" s="624">
        <v>42194</v>
      </c>
      <c r="AY468" s="355">
        <v>1.7500000000000002E-2</v>
      </c>
      <c r="AZ468" s="624">
        <v>42194</v>
      </c>
      <c r="BA468" s="355">
        <v>9.1999999999999998E-3</v>
      </c>
      <c r="BB468" s="624">
        <v>42194</v>
      </c>
      <c r="BC468" s="355">
        <v>0.26179999999999998</v>
      </c>
      <c r="BD468" s="624">
        <v>42194</v>
      </c>
      <c r="BE468" s="355">
        <v>8.8319999999999996E-2</v>
      </c>
      <c r="BF468" s="624">
        <v>42202</v>
      </c>
      <c r="BG468" s="355">
        <v>1.5755000000000002E-2</v>
      </c>
      <c r="BH468" s="624">
        <v>42194</v>
      </c>
      <c r="BI468" s="355">
        <v>7.5108999999999995E-2</v>
      </c>
      <c r="BJ468" s="624">
        <v>42194</v>
      </c>
      <c r="BK468" s="355">
        <v>2.9461999999999999E-2</v>
      </c>
    </row>
    <row r="469" spans="3:63" x14ac:dyDescent="0.15">
      <c r="C469" s="624"/>
      <c r="D469" s="355">
        <v>3.7139999999999999E-2</v>
      </c>
      <c r="AV469" s="624">
        <v>42207</v>
      </c>
      <c r="AW469" s="355">
        <v>0.31019999999999998</v>
      </c>
      <c r="AX469" s="624">
        <v>42195</v>
      </c>
      <c r="AY469" s="355">
        <v>1.7749999999999998E-2</v>
      </c>
      <c r="AZ469" s="624">
        <v>42195</v>
      </c>
      <c r="BA469" s="355">
        <v>9.2999999999999992E-3</v>
      </c>
      <c r="BB469" s="624">
        <v>42195</v>
      </c>
      <c r="BC469" s="355">
        <v>0.26679999999999998</v>
      </c>
      <c r="BD469" s="624">
        <v>42195</v>
      </c>
      <c r="BE469" s="355">
        <v>8.8400000000000006E-2</v>
      </c>
      <c r="BF469" s="624">
        <v>42205</v>
      </c>
      <c r="BG469" s="355">
        <v>1.5713000000000001E-2</v>
      </c>
      <c r="BH469" s="624">
        <v>42195</v>
      </c>
      <c r="BI469" s="355">
        <v>7.5188000000000005E-2</v>
      </c>
      <c r="BJ469" s="624">
        <v>42195</v>
      </c>
      <c r="BK469" s="355">
        <v>2.9472000000000002E-2</v>
      </c>
    </row>
    <row r="470" spans="3:63" x14ac:dyDescent="0.15">
      <c r="C470" s="624"/>
      <c r="D470" s="355">
        <v>3.7060000000000003E-2</v>
      </c>
      <c r="AV470" s="624">
        <v>42208</v>
      </c>
      <c r="AW470" s="355">
        <v>0.30430000000000001</v>
      </c>
      <c r="AX470" s="624">
        <v>42198</v>
      </c>
      <c r="AY470" s="355">
        <v>1.7680000000000001E-2</v>
      </c>
      <c r="AZ470" s="624">
        <v>42198</v>
      </c>
      <c r="BA470" s="355">
        <v>9.1999999999999998E-3</v>
      </c>
      <c r="BB470" s="624">
        <v>42198</v>
      </c>
      <c r="BC470" s="355">
        <v>0.26590000000000003</v>
      </c>
      <c r="BD470" s="624">
        <v>42198</v>
      </c>
      <c r="BE470" s="355">
        <v>8.8029999999999997E-2</v>
      </c>
      <c r="BF470" s="624">
        <v>42206</v>
      </c>
      <c r="BG470" s="355">
        <v>1.5727999999999999E-2</v>
      </c>
      <c r="BH470" s="624">
        <v>42198</v>
      </c>
      <c r="BI470" s="355">
        <v>7.5402999999999998E-2</v>
      </c>
      <c r="BJ470" s="624">
        <v>42198</v>
      </c>
      <c r="BK470" s="355">
        <v>2.9384E-2</v>
      </c>
    </row>
    <row r="471" spans="3:63" x14ac:dyDescent="0.15">
      <c r="C471" s="624"/>
      <c r="D471" s="355">
        <v>3.7010000000000001E-2</v>
      </c>
      <c r="AV471" s="624">
        <v>42209</v>
      </c>
      <c r="AW471" s="355">
        <v>0.29820000000000002</v>
      </c>
      <c r="AX471" s="624">
        <v>42199</v>
      </c>
      <c r="AY471" s="355">
        <v>1.7729999999999999E-2</v>
      </c>
      <c r="AZ471" s="624">
        <v>42199</v>
      </c>
      <c r="BA471" s="355">
        <v>9.1999999999999998E-3</v>
      </c>
      <c r="BB471" s="624">
        <v>42199</v>
      </c>
      <c r="BC471" s="355">
        <v>0.2666</v>
      </c>
      <c r="BD471" s="624">
        <v>42199</v>
      </c>
      <c r="BE471" s="355">
        <v>8.7470000000000006E-2</v>
      </c>
      <c r="BF471" s="624">
        <v>42207</v>
      </c>
      <c r="BG471" s="355">
        <v>1.5730000000000001E-2</v>
      </c>
      <c r="BH471" s="624">
        <v>42199</v>
      </c>
      <c r="BI471" s="355">
        <v>7.5078000000000006E-2</v>
      </c>
      <c r="BJ471" s="624">
        <v>42199</v>
      </c>
      <c r="BK471" s="355">
        <v>2.9374999999999998E-2</v>
      </c>
    </row>
    <row r="472" spans="3:63" x14ac:dyDescent="0.15">
      <c r="C472" s="624"/>
      <c r="D472" s="355">
        <v>3.696E-2</v>
      </c>
      <c r="AV472" s="624">
        <v>42212</v>
      </c>
      <c r="AW472" s="355">
        <v>0.29730000000000001</v>
      </c>
      <c r="AX472" s="624">
        <v>42200</v>
      </c>
      <c r="AY472" s="355">
        <v>1.7579999999999998E-2</v>
      </c>
      <c r="AZ472" s="624">
        <v>42200</v>
      </c>
      <c r="BA472" s="355">
        <v>9.1000000000000004E-3</v>
      </c>
      <c r="BB472" s="624">
        <v>42200</v>
      </c>
      <c r="BC472" s="355">
        <v>0.26519999999999999</v>
      </c>
      <c r="BD472" s="624">
        <v>42200</v>
      </c>
      <c r="BE472" s="355">
        <v>8.7150000000000005E-2</v>
      </c>
      <c r="BF472" s="624">
        <v>42208</v>
      </c>
      <c r="BG472" s="355">
        <v>1.5644999999999999E-2</v>
      </c>
      <c r="BH472" s="624">
        <v>42200</v>
      </c>
      <c r="BI472" s="355">
        <v>7.4907000000000001E-2</v>
      </c>
      <c r="BJ472" s="624">
        <v>42200</v>
      </c>
      <c r="BK472" s="355">
        <v>2.9253000000000001E-2</v>
      </c>
    </row>
    <row r="473" spans="3:63" x14ac:dyDescent="0.15">
      <c r="C473" s="624"/>
      <c r="D473" s="355">
        <v>3.7100000000000001E-2</v>
      </c>
      <c r="AV473" s="624">
        <v>42213</v>
      </c>
      <c r="AW473" s="355">
        <v>0.2979</v>
      </c>
      <c r="AX473" s="624">
        <v>42201</v>
      </c>
      <c r="AY473" s="355">
        <v>1.7559999999999999E-2</v>
      </c>
      <c r="AZ473" s="624">
        <v>42201</v>
      </c>
      <c r="BA473" s="355">
        <v>9.1000000000000004E-3</v>
      </c>
      <c r="BB473" s="624">
        <v>42201</v>
      </c>
      <c r="BC473" s="355">
        <v>0.26450000000000001</v>
      </c>
      <c r="BD473" s="624">
        <v>42201</v>
      </c>
      <c r="BE473" s="355">
        <v>8.72E-2</v>
      </c>
      <c r="BF473" s="624">
        <v>42209</v>
      </c>
      <c r="BG473" s="355">
        <v>1.5592999999999999E-2</v>
      </c>
      <c r="BH473" s="624">
        <v>42201</v>
      </c>
      <c r="BI473" s="355">
        <v>7.4743000000000004E-2</v>
      </c>
      <c r="BJ473" s="624">
        <v>42201</v>
      </c>
      <c r="BK473" s="355">
        <v>2.9250000000000002E-2</v>
      </c>
    </row>
    <row r="474" spans="3:63" x14ac:dyDescent="0.15">
      <c r="C474" s="624"/>
      <c r="D474" s="355">
        <v>3.7170000000000002E-2</v>
      </c>
      <c r="AV474" s="624">
        <v>42214</v>
      </c>
      <c r="AW474" s="355">
        <v>0.30020000000000002</v>
      </c>
      <c r="AX474" s="624">
        <v>42202</v>
      </c>
      <c r="AY474" s="355">
        <v>1.755E-2</v>
      </c>
      <c r="AZ474" s="624">
        <v>42202</v>
      </c>
      <c r="BA474" s="355">
        <v>8.9999999999999993E-3</v>
      </c>
      <c r="BB474" s="624">
        <v>42202</v>
      </c>
      <c r="BC474" s="355">
        <v>0.26369999999999999</v>
      </c>
      <c r="BD474" s="624">
        <v>42202</v>
      </c>
      <c r="BE474" s="355">
        <v>8.6919999999999997E-2</v>
      </c>
      <c r="BF474" s="624">
        <v>42212</v>
      </c>
      <c r="BG474" s="355">
        <v>1.5576E-2</v>
      </c>
      <c r="BH474" s="624">
        <v>42202</v>
      </c>
      <c r="BI474" s="355">
        <v>7.4880000000000002E-2</v>
      </c>
      <c r="BJ474" s="624">
        <v>42202</v>
      </c>
      <c r="BK474" s="355">
        <v>2.9222999999999999E-2</v>
      </c>
    </row>
    <row r="475" spans="3:63" x14ac:dyDescent="0.15">
      <c r="C475" s="624"/>
      <c r="D475" s="355">
        <v>3.721E-2</v>
      </c>
      <c r="AV475" s="624">
        <v>42215</v>
      </c>
      <c r="AW475" s="355">
        <v>0.29649999999999999</v>
      </c>
      <c r="AX475" s="624">
        <v>42205</v>
      </c>
      <c r="AY475" s="355">
        <v>1.754E-2</v>
      </c>
      <c r="AZ475" s="624">
        <v>42205</v>
      </c>
      <c r="BA475" s="355">
        <v>8.9999999999999993E-3</v>
      </c>
      <c r="BB475" s="624">
        <v>42205</v>
      </c>
      <c r="BC475" s="355">
        <v>0.26250000000000001</v>
      </c>
      <c r="BD475" s="624">
        <v>42205</v>
      </c>
      <c r="BE475" s="355">
        <v>8.6459999999999995E-2</v>
      </c>
      <c r="BF475" s="624">
        <v>42213</v>
      </c>
      <c r="BG475" s="355">
        <v>1.5672999999999999E-2</v>
      </c>
      <c r="BH475" s="624">
        <v>42205</v>
      </c>
      <c r="BI475" s="355">
        <v>7.4459999999999998E-2</v>
      </c>
      <c r="BJ475" s="624">
        <v>42205</v>
      </c>
      <c r="BK475" s="355">
        <v>2.9014000000000002E-2</v>
      </c>
    </row>
    <row r="476" spans="3:63" x14ac:dyDescent="0.15">
      <c r="C476" s="624"/>
      <c r="D476" s="355">
        <v>3.7130000000000003E-2</v>
      </c>
      <c r="AV476" s="624">
        <v>42216</v>
      </c>
      <c r="AW476" s="355">
        <v>0.2923</v>
      </c>
      <c r="AX476" s="624">
        <v>42206</v>
      </c>
      <c r="AY476" s="355">
        <v>1.755E-2</v>
      </c>
      <c r="AZ476" s="624">
        <v>42206</v>
      </c>
      <c r="BA476" s="355">
        <v>9.1000000000000004E-3</v>
      </c>
      <c r="BB476" s="624">
        <v>42206</v>
      </c>
      <c r="BC476" s="355">
        <v>0.2646</v>
      </c>
      <c r="BD476" s="624">
        <v>42206</v>
      </c>
      <c r="BE476" s="355">
        <v>8.7050000000000002E-2</v>
      </c>
      <c r="BF476" s="624">
        <v>42214</v>
      </c>
      <c r="BG476" s="355">
        <v>1.5667E-2</v>
      </c>
      <c r="BH476" s="624">
        <v>42206</v>
      </c>
      <c r="BI476" s="355">
        <v>7.4805999999999997E-2</v>
      </c>
      <c r="BJ476" s="624">
        <v>42206</v>
      </c>
      <c r="BK476" s="355">
        <v>2.9051E-2</v>
      </c>
    </row>
    <row r="477" spans="3:63" x14ac:dyDescent="0.15">
      <c r="C477" s="624"/>
      <c r="D477" s="355">
        <v>3.7080000000000002E-2</v>
      </c>
      <c r="AV477" s="624">
        <v>42219</v>
      </c>
      <c r="AW477" s="355">
        <v>0.2898</v>
      </c>
      <c r="AX477" s="624">
        <v>42207</v>
      </c>
      <c r="AY477" s="355">
        <v>1.7409999999999998E-2</v>
      </c>
      <c r="AZ477" s="624">
        <v>42207</v>
      </c>
      <c r="BA477" s="355">
        <v>9.1000000000000004E-3</v>
      </c>
      <c r="BB477" s="624">
        <v>42207</v>
      </c>
      <c r="BC477" s="355">
        <v>0.26540000000000002</v>
      </c>
      <c r="BD477" s="624">
        <v>42207</v>
      </c>
      <c r="BE477" s="355">
        <v>8.6430000000000007E-2</v>
      </c>
      <c r="BF477" s="624">
        <v>42215</v>
      </c>
      <c r="BG477" s="355">
        <v>1.559E-2</v>
      </c>
      <c r="BH477" s="624">
        <v>42207</v>
      </c>
      <c r="BI477" s="355">
        <v>7.4537999999999993E-2</v>
      </c>
      <c r="BJ477" s="624">
        <v>42207</v>
      </c>
      <c r="BK477" s="355">
        <v>2.8795999999999999E-2</v>
      </c>
    </row>
    <row r="478" spans="3:63" x14ac:dyDescent="0.15">
      <c r="C478" s="624"/>
      <c r="D478" s="355">
        <v>3.7139999999999999E-2</v>
      </c>
      <c r="AV478" s="624">
        <v>42220</v>
      </c>
      <c r="AW478" s="355">
        <v>0.28810000000000002</v>
      </c>
      <c r="AX478" s="624">
        <v>42208</v>
      </c>
      <c r="AY478" s="355">
        <v>1.7309999999999999E-2</v>
      </c>
      <c r="AZ478" s="624">
        <v>42208</v>
      </c>
      <c r="BA478" s="355">
        <v>9.1000000000000004E-3</v>
      </c>
      <c r="BB478" s="624">
        <v>42208</v>
      </c>
      <c r="BC478" s="355">
        <v>0.26650000000000001</v>
      </c>
      <c r="BD478" s="624">
        <v>42208</v>
      </c>
      <c r="BE478" s="355">
        <v>8.6050000000000001E-2</v>
      </c>
      <c r="BF478" s="624">
        <v>42216</v>
      </c>
      <c r="BG478" s="355">
        <v>1.5611E-2</v>
      </c>
      <c r="BH478" s="624">
        <v>42208</v>
      </c>
      <c r="BI478" s="355">
        <v>7.4429999999999996E-2</v>
      </c>
      <c r="BJ478" s="624">
        <v>42208</v>
      </c>
      <c r="BK478" s="355">
        <v>2.8733999999999999E-2</v>
      </c>
    </row>
    <row r="479" spans="3:63" x14ac:dyDescent="0.15">
      <c r="C479" s="624"/>
      <c r="D479" s="355">
        <v>3.721E-2</v>
      </c>
      <c r="AV479" s="624">
        <v>42221</v>
      </c>
      <c r="AW479" s="355">
        <v>0.28689999999999999</v>
      </c>
      <c r="AX479" s="624">
        <v>42209</v>
      </c>
      <c r="AY479" s="355">
        <v>1.711E-2</v>
      </c>
      <c r="AZ479" s="624">
        <v>42209</v>
      </c>
      <c r="BA479" s="355">
        <v>9.1000000000000004E-3</v>
      </c>
      <c r="BB479" s="624">
        <v>42209</v>
      </c>
      <c r="BC479" s="355">
        <v>0.26479999999999998</v>
      </c>
      <c r="BD479" s="624">
        <v>42209</v>
      </c>
      <c r="BE479" s="355">
        <v>8.5430000000000006E-2</v>
      </c>
      <c r="BF479" s="624">
        <v>42219</v>
      </c>
      <c r="BG479" s="355">
        <v>1.5582E-2</v>
      </c>
      <c r="BH479" s="624">
        <v>42209</v>
      </c>
      <c r="BI479" s="355">
        <v>7.4286000000000005E-2</v>
      </c>
      <c r="BJ479" s="624">
        <v>42209</v>
      </c>
      <c r="BK479" s="355">
        <v>2.8655E-2</v>
      </c>
    </row>
    <row r="480" spans="3:63" x14ac:dyDescent="0.15">
      <c r="C480" s="624"/>
      <c r="D480" s="355">
        <v>3.73E-2</v>
      </c>
      <c r="AV480" s="624">
        <v>42222</v>
      </c>
      <c r="AW480" s="355">
        <v>0.2828</v>
      </c>
      <c r="AX480" s="624">
        <v>42212</v>
      </c>
      <c r="AY480" s="355">
        <v>1.668E-2</v>
      </c>
      <c r="AZ480" s="624">
        <v>42212</v>
      </c>
      <c r="BA480" s="355">
        <v>9.1999999999999998E-3</v>
      </c>
      <c r="BB480" s="624">
        <v>42212</v>
      </c>
      <c r="BC480" s="355">
        <v>0.26910000000000001</v>
      </c>
      <c r="BD480" s="624">
        <v>42212</v>
      </c>
      <c r="BE480" s="355">
        <v>8.5650000000000004E-2</v>
      </c>
      <c r="BF480" s="624">
        <v>42220</v>
      </c>
      <c r="BG480" s="355">
        <v>1.5674E-2</v>
      </c>
      <c r="BH480" s="624">
        <v>42212</v>
      </c>
      <c r="BI480" s="355">
        <v>7.4142E-2</v>
      </c>
      <c r="BJ480" s="624">
        <v>42212</v>
      </c>
      <c r="BK480" s="355">
        <v>2.8684999999999999E-2</v>
      </c>
    </row>
    <row r="481" spans="3:63" x14ac:dyDescent="0.15">
      <c r="C481" s="624"/>
      <c r="D481" s="355">
        <v>3.7289999999999997E-2</v>
      </c>
      <c r="AV481" s="624">
        <v>42223</v>
      </c>
      <c r="AW481" s="355">
        <v>0.28510000000000002</v>
      </c>
      <c r="AX481" s="624">
        <v>42213</v>
      </c>
      <c r="AY481" s="355">
        <v>1.669E-2</v>
      </c>
      <c r="AZ481" s="624">
        <v>42213</v>
      </c>
      <c r="BA481" s="355">
        <v>9.1999999999999998E-3</v>
      </c>
      <c r="BB481" s="624">
        <v>42213</v>
      </c>
      <c r="BC481" s="355">
        <v>0.26860000000000001</v>
      </c>
      <c r="BD481" s="624">
        <v>42213</v>
      </c>
      <c r="BE481" s="355">
        <v>8.6169999999999997E-2</v>
      </c>
      <c r="BF481" s="624">
        <v>42221</v>
      </c>
      <c r="BG481" s="355">
        <v>1.5701E-2</v>
      </c>
      <c r="BH481" s="624">
        <v>42213</v>
      </c>
      <c r="BI481" s="355">
        <v>7.4509000000000006E-2</v>
      </c>
      <c r="BJ481" s="624">
        <v>42213</v>
      </c>
      <c r="BK481" s="355">
        <v>2.8698999999999999E-2</v>
      </c>
    </row>
    <row r="482" spans="3:63" x14ac:dyDescent="0.15">
      <c r="C482" s="624"/>
      <c r="D482" s="355">
        <v>3.7350000000000001E-2</v>
      </c>
      <c r="AV482" s="624">
        <v>42226</v>
      </c>
      <c r="AW482" s="355">
        <v>0.29099999999999998</v>
      </c>
      <c r="AX482" s="624">
        <v>42214</v>
      </c>
      <c r="AY482" s="355">
        <v>1.7049999999999999E-2</v>
      </c>
      <c r="AZ482" s="624">
        <v>42214</v>
      </c>
      <c r="BA482" s="355">
        <v>9.1000000000000004E-3</v>
      </c>
      <c r="BB482" s="624">
        <v>42214</v>
      </c>
      <c r="BC482" s="355">
        <v>0.26600000000000001</v>
      </c>
      <c r="BD482" s="624">
        <v>42214</v>
      </c>
      <c r="BE482" s="355">
        <v>8.6059999999999998E-2</v>
      </c>
      <c r="BF482" s="624">
        <v>42222</v>
      </c>
      <c r="BG482" s="355">
        <v>1.5692999999999999E-2</v>
      </c>
      <c r="BH482" s="624">
        <v>42214</v>
      </c>
      <c r="BI482" s="355">
        <v>7.4180999999999997E-2</v>
      </c>
      <c r="BJ482" s="624">
        <v>42214</v>
      </c>
      <c r="BK482" s="355">
        <v>2.8594000000000001E-2</v>
      </c>
    </row>
    <row r="483" spans="3:63" x14ac:dyDescent="0.15">
      <c r="C483" s="624"/>
      <c r="D483" s="355">
        <v>3.7350000000000001E-2</v>
      </c>
      <c r="AV483" s="624">
        <v>42227</v>
      </c>
      <c r="AW483" s="355">
        <v>0.28789999999999999</v>
      </c>
      <c r="AX483" s="624">
        <v>42215</v>
      </c>
      <c r="AY483" s="355">
        <v>1.6719999999999999E-2</v>
      </c>
      <c r="AZ483" s="624">
        <v>42215</v>
      </c>
      <c r="BA483" s="355">
        <v>9.1000000000000004E-3</v>
      </c>
      <c r="BB483" s="624">
        <v>42215</v>
      </c>
      <c r="BC483" s="355">
        <v>0.26379999999999998</v>
      </c>
      <c r="BD483" s="624">
        <v>42215</v>
      </c>
      <c r="BE483" s="355">
        <v>8.5239999999999996E-2</v>
      </c>
      <c r="BF483" s="624">
        <v>42223</v>
      </c>
      <c r="BG483" s="355">
        <v>1.5678999999999998E-2</v>
      </c>
      <c r="BH483" s="624">
        <v>42215</v>
      </c>
      <c r="BI483" s="355">
        <v>7.4047000000000002E-2</v>
      </c>
      <c r="BJ483" s="624">
        <v>42215</v>
      </c>
      <c r="BK483" s="355">
        <v>2.8466000000000002E-2</v>
      </c>
    </row>
    <row r="484" spans="3:63" x14ac:dyDescent="0.15">
      <c r="C484" s="624"/>
      <c r="D484" s="355">
        <v>3.737E-2</v>
      </c>
      <c r="AV484" s="624">
        <v>42228</v>
      </c>
      <c r="AW484" s="355">
        <v>0.2873</v>
      </c>
      <c r="AX484" s="624">
        <v>42216</v>
      </c>
      <c r="AY484" s="355">
        <v>1.6199999999999999E-2</v>
      </c>
      <c r="AZ484" s="624">
        <v>42216</v>
      </c>
      <c r="BA484" s="355">
        <v>9.1000000000000004E-3</v>
      </c>
      <c r="BB484" s="624">
        <v>42216</v>
      </c>
      <c r="BC484" s="355">
        <v>0.26519999999999999</v>
      </c>
      <c r="BD484" s="624">
        <v>42216</v>
      </c>
      <c r="BE484" s="355">
        <v>8.5699999999999998E-2</v>
      </c>
      <c r="BF484" s="624">
        <v>42226</v>
      </c>
      <c r="BG484" s="355">
        <v>1.5679999999999999E-2</v>
      </c>
      <c r="BH484" s="624">
        <v>42216</v>
      </c>
      <c r="BI484" s="355">
        <v>7.4130000000000001E-2</v>
      </c>
      <c r="BJ484" s="624">
        <v>42216</v>
      </c>
      <c r="BK484" s="355">
        <v>2.8569000000000001E-2</v>
      </c>
    </row>
    <row r="485" spans="3:63" x14ac:dyDescent="0.15">
      <c r="C485" s="624"/>
      <c r="D485" s="355">
        <v>3.7470000000000003E-2</v>
      </c>
      <c r="AV485" s="624">
        <v>42229</v>
      </c>
      <c r="AW485" s="355">
        <v>0.28410000000000002</v>
      </c>
      <c r="AX485" s="624">
        <v>42219</v>
      </c>
      <c r="AY485" s="355">
        <v>1.5740000000000001E-2</v>
      </c>
      <c r="AZ485" s="624">
        <v>42219</v>
      </c>
      <c r="BA485" s="355">
        <v>9.1000000000000004E-3</v>
      </c>
      <c r="BB485" s="624">
        <v>42219</v>
      </c>
      <c r="BC485" s="355">
        <v>0.26419999999999999</v>
      </c>
      <c r="BD485" s="624">
        <v>42219</v>
      </c>
      <c r="BE485" s="355">
        <v>8.5389999999999994E-2</v>
      </c>
      <c r="BF485" s="624">
        <v>42227</v>
      </c>
      <c r="BG485" s="355">
        <v>1.5544000000000001E-2</v>
      </c>
      <c r="BH485" s="624">
        <v>42219</v>
      </c>
      <c r="BI485" s="355">
        <v>7.4208999999999997E-2</v>
      </c>
      <c r="BJ485" s="624">
        <v>42219</v>
      </c>
      <c r="BK485" s="355">
        <v>2.8511000000000002E-2</v>
      </c>
    </row>
    <row r="486" spans="3:63" x14ac:dyDescent="0.15">
      <c r="C486" s="624"/>
      <c r="D486" s="355">
        <v>3.7429999999999998E-2</v>
      </c>
      <c r="AV486" s="624">
        <v>42230</v>
      </c>
      <c r="AW486" s="355">
        <v>0.28710000000000002</v>
      </c>
      <c r="AX486" s="624">
        <v>42220</v>
      </c>
      <c r="AY486" s="355">
        <v>1.5869999999999999E-2</v>
      </c>
      <c r="AZ486" s="624">
        <v>42220</v>
      </c>
      <c r="BA486" s="355">
        <v>9.1000000000000004E-3</v>
      </c>
      <c r="BB486" s="624">
        <v>42220</v>
      </c>
      <c r="BC486" s="355">
        <v>0.26019999999999999</v>
      </c>
      <c r="BD486" s="624">
        <v>42220</v>
      </c>
      <c r="BE486" s="355">
        <v>8.5519999999999999E-2</v>
      </c>
      <c r="BF486" s="624">
        <v>42228</v>
      </c>
      <c r="BG486" s="355">
        <v>1.5398E-2</v>
      </c>
      <c r="BH486" s="624">
        <v>42220</v>
      </c>
      <c r="BI486" s="355">
        <v>7.4054999999999996E-2</v>
      </c>
      <c r="BJ486" s="624">
        <v>42220</v>
      </c>
      <c r="BK486" s="355">
        <v>2.8483999999999999E-2</v>
      </c>
    </row>
    <row r="487" spans="3:63" x14ac:dyDescent="0.15">
      <c r="C487" s="624"/>
      <c r="D487" s="355">
        <v>3.7449999999999997E-2</v>
      </c>
      <c r="AV487" s="624">
        <v>42233</v>
      </c>
      <c r="AW487" s="355">
        <v>0.2873</v>
      </c>
      <c r="AX487" s="624">
        <v>42221</v>
      </c>
      <c r="AY487" s="355">
        <v>1.575E-2</v>
      </c>
      <c r="AZ487" s="624">
        <v>42221</v>
      </c>
      <c r="BA487" s="355">
        <v>9.1000000000000004E-3</v>
      </c>
      <c r="BB487" s="624">
        <v>42221</v>
      </c>
      <c r="BC487" s="355">
        <v>0.26119999999999999</v>
      </c>
      <c r="BD487" s="624">
        <v>42221</v>
      </c>
      <c r="BE487" s="355">
        <v>8.5190000000000002E-2</v>
      </c>
      <c r="BF487" s="624">
        <v>42229</v>
      </c>
      <c r="BG487" s="355">
        <v>1.5335E-2</v>
      </c>
      <c r="BH487" s="624">
        <v>42221</v>
      </c>
      <c r="BI487" s="355">
        <v>7.3948E-2</v>
      </c>
      <c r="BJ487" s="624">
        <v>42221</v>
      </c>
      <c r="BK487" s="355">
        <v>2.8412E-2</v>
      </c>
    </row>
    <row r="488" spans="3:63" x14ac:dyDescent="0.15">
      <c r="C488" s="624"/>
      <c r="D488" s="355">
        <v>3.7449999999999997E-2</v>
      </c>
      <c r="AV488" s="624">
        <v>42234</v>
      </c>
      <c r="AW488" s="355">
        <v>0.28839999999999999</v>
      </c>
      <c r="AX488" s="624">
        <v>42222</v>
      </c>
      <c r="AY488" s="355">
        <v>1.5509999999999999E-2</v>
      </c>
      <c r="AZ488" s="624">
        <v>42222</v>
      </c>
      <c r="BA488" s="355">
        <v>9.1000000000000004E-3</v>
      </c>
      <c r="BB488" s="624">
        <v>42222</v>
      </c>
      <c r="BC488" s="355">
        <v>0.26079999999999998</v>
      </c>
      <c r="BD488" s="624">
        <v>42222</v>
      </c>
      <c r="BE488" s="355">
        <v>8.591E-2</v>
      </c>
      <c r="BF488" s="624">
        <v>42230</v>
      </c>
      <c r="BG488" s="355">
        <v>1.5365E-2</v>
      </c>
      <c r="BH488" s="624">
        <v>42222</v>
      </c>
      <c r="BI488" s="355">
        <v>7.4052999999999994E-2</v>
      </c>
      <c r="BJ488" s="624">
        <v>42222</v>
      </c>
      <c r="BK488" s="355">
        <v>2.8489E-2</v>
      </c>
    </row>
    <row r="489" spans="3:63" x14ac:dyDescent="0.15">
      <c r="C489" s="624"/>
      <c r="D489" s="355">
        <v>3.7379999999999997E-2</v>
      </c>
      <c r="AV489" s="624">
        <v>42235</v>
      </c>
      <c r="AW489" s="355">
        <v>0.2863</v>
      </c>
      <c r="AX489" s="624">
        <v>42223</v>
      </c>
      <c r="AY489" s="355">
        <v>1.562E-2</v>
      </c>
      <c r="AZ489" s="624">
        <v>42223</v>
      </c>
      <c r="BA489" s="355">
        <v>9.1000000000000004E-3</v>
      </c>
      <c r="BB489" s="624">
        <v>42223</v>
      </c>
      <c r="BC489" s="355">
        <v>0.2621</v>
      </c>
      <c r="BD489" s="624">
        <v>42223</v>
      </c>
      <c r="BE489" s="355">
        <v>8.5860000000000006E-2</v>
      </c>
      <c r="BF489" s="624">
        <v>42233</v>
      </c>
      <c r="BG489" s="355">
        <v>1.5288E-2</v>
      </c>
      <c r="BH489" s="624">
        <v>42223</v>
      </c>
      <c r="BI489" s="355">
        <v>7.3942999999999995E-2</v>
      </c>
      <c r="BJ489" s="624">
        <v>42223</v>
      </c>
      <c r="BK489" s="355">
        <v>2.8466000000000002E-2</v>
      </c>
    </row>
    <row r="490" spans="3:63" x14ac:dyDescent="0.15">
      <c r="C490" s="624"/>
      <c r="D490" s="355">
        <v>3.7269999999999998E-2</v>
      </c>
      <c r="AV490" s="624">
        <v>42236</v>
      </c>
      <c r="AW490" s="355">
        <v>0.28889999999999999</v>
      </c>
      <c r="AX490" s="624">
        <v>42226</v>
      </c>
      <c r="AY490" s="355">
        <v>1.5879999999999998E-2</v>
      </c>
      <c r="AZ490" s="624">
        <v>42226</v>
      </c>
      <c r="BA490" s="355">
        <v>9.1999999999999998E-3</v>
      </c>
      <c r="BB490" s="624">
        <v>42226</v>
      </c>
      <c r="BC490" s="355">
        <v>0.26240000000000002</v>
      </c>
      <c r="BD490" s="624">
        <v>42226</v>
      </c>
      <c r="BE490" s="355">
        <v>8.6269999999999999E-2</v>
      </c>
      <c r="BF490" s="624">
        <v>42234</v>
      </c>
      <c r="BG490" s="355">
        <v>1.5262E-2</v>
      </c>
      <c r="BH490" s="624">
        <v>42226</v>
      </c>
      <c r="BI490" s="355">
        <v>7.3940000000000006E-2</v>
      </c>
      <c r="BJ490" s="624">
        <v>42226</v>
      </c>
      <c r="BK490" s="355">
        <v>2.8504999999999999E-2</v>
      </c>
    </row>
    <row r="491" spans="3:63" x14ac:dyDescent="0.15">
      <c r="C491" s="624"/>
      <c r="D491" s="355">
        <v>3.7260000000000001E-2</v>
      </c>
      <c r="AV491" s="624">
        <v>42237</v>
      </c>
      <c r="AW491" s="355">
        <v>0.28560000000000002</v>
      </c>
      <c r="AX491" s="624">
        <v>42227</v>
      </c>
      <c r="AY491" s="355">
        <v>1.5559999999999999E-2</v>
      </c>
      <c r="AZ491" s="624">
        <v>42227</v>
      </c>
      <c r="BA491" s="355">
        <v>9.1999999999999998E-3</v>
      </c>
      <c r="BB491" s="624">
        <v>42227</v>
      </c>
      <c r="BC491" s="355">
        <v>0.26329999999999998</v>
      </c>
      <c r="BD491" s="624">
        <v>42227</v>
      </c>
      <c r="BE491" s="355">
        <v>8.48E-2</v>
      </c>
      <c r="BF491" s="624">
        <v>42235</v>
      </c>
      <c r="BG491" s="355">
        <v>1.5369000000000001E-2</v>
      </c>
      <c r="BH491" s="624">
        <v>42227</v>
      </c>
      <c r="BI491" s="355">
        <v>7.2875999999999996E-2</v>
      </c>
      <c r="BJ491" s="624">
        <v>42227</v>
      </c>
      <c r="BK491" s="355">
        <v>2.8296000000000002E-2</v>
      </c>
    </row>
    <row r="492" spans="3:63" x14ac:dyDescent="0.15">
      <c r="C492" s="624"/>
      <c r="D492" s="355">
        <v>3.7339999999999998E-2</v>
      </c>
      <c r="AV492" s="624">
        <v>42240</v>
      </c>
      <c r="AW492" s="355">
        <v>0.28139999999999998</v>
      </c>
      <c r="AX492" s="624">
        <v>42228</v>
      </c>
      <c r="AY492" s="355">
        <v>1.5570000000000001E-2</v>
      </c>
      <c r="AZ492" s="624">
        <v>42228</v>
      </c>
      <c r="BA492" s="355">
        <v>9.2999999999999992E-3</v>
      </c>
      <c r="BB492" s="624">
        <v>42228</v>
      </c>
      <c r="BC492" s="355">
        <v>0.2666</v>
      </c>
      <c r="BD492" s="624">
        <v>42228</v>
      </c>
      <c r="BE492" s="355">
        <v>8.5209999999999994E-2</v>
      </c>
      <c r="BF492" s="624">
        <v>42236</v>
      </c>
      <c r="BG492" s="355">
        <v>1.5283E-2</v>
      </c>
      <c r="BH492" s="624">
        <v>42228</v>
      </c>
      <c r="BI492" s="355">
        <v>7.1920999999999999E-2</v>
      </c>
      <c r="BJ492" s="624">
        <v>42228</v>
      </c>
      <c r="BK492" s="355">
        <v>2.8367E-2</v>
      </c>
    </row>
    <row r="493" spans="3:63" x14ac:dyDescent="0.15">
      <c r="C493" s="624"/>
      <c r="D493" s="355">
        <v>3.7400000000000003E-2</v>
      </c>
      <c r="AV493" s="624">
        <v>42241</v>
      </c>
      <c r="AW493" s="355">
        <v>0.27650000000000002</v>
      </c>
      <c r="AX493" s="624">
        <v>42229</v>
      </c>
      <c r="AY493" s="355">
        <v>1.546E-2</v>
      </c>
      <c r="AZ493" s="624">
        <v>42229</v>
      </c>
      <c r="BA493" s="355">
        <v>9.2999999999999992E-3</v>
      </c>
      <c r="BB493" s="624">
        <v>42229</v>
      </c>
      <c r="BC493" s="355">
        <v>0.26679999999999998</v>
      </c>
      <c r="BD493" s="624">
        <v>42229</v>
      </c>
      <c r="BE493" s="355">
        <v>8.4849999999999995E-2</v>
      </c>
      <c r="BF493" s="624">
        <v>42237</v>
      </c>
      <c r="BG493" s="355">
        <v>1.5101E-2</v>
      </c>
      <c r="BH493" s="624">
        <v>42229</v>
      </c>
      <c r="BI493" s="355">
        <v>7.2569999999999996E-2</v>
      </c>
      <c r="BJ493" s="624">
        <v>42229</v>
      </c>
      <c r="BK493" s="355">
        <v>2.8443E-2</v>
      </c>
    </row>
    <row r="494" spans="3:63" x14ac:dyDescent="0.15">
      <c r="C494" s="624"/>
      <c r="D494" s="355">
        <v>3.737E-2</v>
      </c>
      <c r="AV494" s="624">
        <v>42242</v>
      </c>
      <c r="AW494" s="355">
        <v>0.27810000000000001</v>
      </c>
      <c r="AX494" s="624">
        <v>42230</v>
      </c>
      <c r="AY494" s="355">
        <v>1.541E-2</v>
      </c>
      <c r="AZ494" s="624">
        <v>42230</v>
      </c>
      <c r="BA494" s="355">
        <v>9.2999999999999992E-3</v>
      </c>
      <c r="BB494" s="624">
        <v>42230</v>
      </c>
      <c r="BC494" s="355">
        <v>0.26569999999999999</v>
      </c>
      <c r="BD494" s="624">
        <v>42230</v>
      </c>
      <c r="BE494" s="355">
        <v>8.4809999999999997E-2</v>
      </c>
      <c r="BF494" s="624">
        <v>42240</v>
      </c>
      <c r="BG494" s="355">
        <v>1.4921E-2</v>
      </c>
      <c r="BH494" s="624">
        <v>42230</v>
      </c>
      <c r="BI494" s="355">
        <v>7.2442000000000006E-2</v>
      </c>
      <c r="BJ494" s="624">
        <v>42230</v>
      </c>
      <c r="BK494" s="355">
        <v>2.8362999999999999E-2</v>
      </c>
    </row>
    <row r="495" spans="3:63" x14ac:dyDescent="0.15">
      <c r="C495" s="624"/>
      <c r="D495" s="355">
        <v>3.739E-2</v>
      </c>
      <c r="AV495" s="624">
        <v>42243</v>
      </c>
      <c r="AW495" s="355">
        <v>0.28139999999999998</v>
      </c>
      <c r="AX495" s="624">
        <v>42233</v>
      </c>
      <c r="AY495" s="355">
        <v>1.529E-2</v>
      </c>
      <c r="AZ495" s="624">
        <v>42233</v>
      </c>
      <c r="BA495" s="355">
        <v>9.1999999999999998E-3</v>
      </c>
      <c r="BB495" s="624">
        <v>42233</v>
      </c>
      <c r="BC495" s="355">
        <v>0.26590000000000003</v>
      </c>
      <c r="BD495" s="624">
        <v>42233</v>
      </c>
      <c r="BE495" s="355">
        <v>8.4510000000000002E-2</v>
      </c>
      <c r="BF495" s="624">
        <v>42241</v>
      </c>
      <c r="BG495" s="355">
        <v>1.5077E-2</v>
      </c>
      <c r="BH495" s="624">
        <v>42233</v>
      </c>
      <c r="BI495" s="355">
        <v>7.2174000000000002E-2</v>
      </c>
      <c r="BJ495" s="624">
        <v>42233</v>
      </c>
      <c r="BK495" s="355">
        <v>2.8135E-2</v>
      </c>
    </row>
    <row r="496" spans="3:63" x14ac:dyDescent="0.15">
      <c r="C496" s="624"/>
      <c r="D496" s="355">
        <v>3.7530000000000001E-2</v>
      </c>
      <c r="AV496" s="624">
        <v>42244</v>
      </c>
      <c r="AW496" s="355">
        <v>0.27929999999999999</v>
      </c>
      <c r="AX496" s="624">
        <v>42234</v>
      </c>
      <c r="AY496" s="355">
        <v>1.5180000000000001E-2</v>
      </c>
      <c r="AZ496" s="624">
        <v>42234</v>
      </c>
      <c r="BA496" s="355">
        <v>9.1999999999999998E-3</v>
      </c>
      <c r="BB496" s="624">
        <v>42234</v>
      </c>
      <c r="BC496" s="355">
        <v>0.26479999999999998</v>
      </c>
      <c r="BD496" s="624">
        <v>42234</v>
      </c>
      <c r="BE496" s="355">
        <v>8.4309999999999996E-2</v>
      </c>
      <c r="BF496" s="624">
        <v>42242</v>
      </c>
      <c r="BG496" s="355">
        <v>1.5148999999999999E-2</v>
      </c>
      <c r="BH496" s="624">
        <v>42234</v>
      </c>
      <c r="BI496" s="355">
        <v>7.2350999999999999E-2</v>
      </c>
      <c r="BJ496" s="624">
        <v>42234</v>
      </c>
      <c r="BK496" s="355">
        <v>2.8132000000000001E-2</v>
      </c>
    </row>
    <row r="497" spans="3:63" x14ac:dyDescent="0.15">
      <c r="C497" s="624"/>
      <c r="D497" s="355">
        <v>3.7359999999999997E-2</v>
      </c>
      <c r="AV497" s="624">
        <v>42247</v>
      </c>
      <c r="AW497" s="355">
        <v>0.27610000000000001</v>
      </c>
      <c r="AX497" s="624">
        <v>42235</v>
      </c>
      <c r="AY497" s="355">
        <v>1.502E-2</v>
      </c>
      <c r="AZ497" s="624">
        <v>42235</v>
      </c>
      <c r="BA497" s="355">
        <v>9.2999999999999992E-3</v>
      </c>
      <c r="BB497" s="624">
        <v>42235</v>
      </c>
      <c r="BC497" s="355">
        <v>0.26629999999999998</v>
      </c>
      <c r="BD497" s="624">
        <v>42235</v>
      </c>
      <c r="BE497" s="355">
        <v>8.4449999999999997E-2</v>
      </c>
      <c r="BF497" s="624">
        <v>42243</v>
      </c>
      <c r="BG497" s="355">
        <v>1.5159000000000001E-2</v>
      </c>
      <c r="BH497" s="624">
        <v>42235</v>
      </c>
      <c r="BI497" s="355">
        <v>7.2482000000000005E-2</v>
      </c>
      <c r="BJ497" s="624">
        <v>42235</v>
      </c>
      <c r="BK497" s="355">
        <v>2.8138E-2</v>
      </c>
    </row>
    <row r="498" spans="3:63" x14ac:dyDescent="0.15">
      <c r="C498" s="624"/>
      <c r="D498" s="355">
        <v>3.7359999999999997E-2</v>
      </c>
      <c r="AV498" s="624">
        <v>42248</v>
      </c>
      <c r="AW498" s="355">
        <v>0.27010000000000001</v>
      </c>
      <c r="AX498" s="624">
        <v>42236</v>
      </c>
      <c r="AY498" s="355">
        <v>1.47E-2</v>
      </c>
      <c r="AZ498" s="624">
        <v>42236</v>
      </c>
      <c r="BA498" s="355">
        <v>9.4000000000000004E-3</v>
      </c>
      <c r="BB498" s="624">
        <v>42236</v>
      </c>
      <c r="BC498" s="355">
        <v>0.26829999999999998</v>
      </c>
      <c r="BD498" s="624">
        <v>42236</v>
      </c>
      <c r="BE498" s="355">
        <v>8.4390000000000007E-2</v>
      </c>
      <c r="BF498" s="624">
        <v>42244</v>
      </c>
      <c r="BG498" s="355">
        <v>1.5117E-2</v>
      </c>
      <c r="BH498" s="624">
        <v>42236</v>
      </c>
      <c r="BI498" s="355">
        <v>7.2021000000000002E-2</v>
      </c>
      <c r="BJ498" s="624">
        <v>42236</v>
      </c>
      <c r="BK498" s="355">
        <v>2.8097E-2</v>
      </c>
    </row>
    <row r="499" spans="3:63" x14ac:dyDescent="0.15">
      <c r="C499" s="624"/>
      <c r="D499" s="355">
        <v>3.7319999999999999E-2</v>
      </c>
      <c r="AV499" s="624">
        <v>42249</v>
      </c>
      <c r="AW499" s="355">
        <v>0.2661</v>
      </c>
      <c r="AX499" s="624">
        <v>42237</v>
      </c>
      <c r="AY499" s="355">
        <v>1.448E-2</v>
      </c>
      <c r="AZ499" s="624">
        <v>42237</v>
      </c>
      <c r="BA499" s="355">
        <v>9.4999999999999998E-3</v>
      </c>
      <c r="BB499" s="624">
        <v>42237</v>
      </c>
      <c r="BC499" s="355">
        <v>0.26919999999999999</v>
      </c>
      <c r="BD499" s="624">
        <v>42237</v>
      </c>
      <c r="BE499" s="355">
        <v>8.3589999999999998E-2</v>
      </c>
      <c r="BF499" s="624">
        <v>42247</v>
      </c>
      <c r="BG499" s="355">
        <v>1.5056999999999999E-2</v>
      </c>
      <c r="BH499" s="624">
        <v>42237</v>
      </c>
      <c r="BI499" s="355">
        <v>7.1322999999999998E-2</v>
      </c>
      <c r="BJ499" s="624">
        <v>42237</v>
      </c>
      <c r="BK499" s="355">
        <v>2.8080999999999998E-2</v>
      </c>
    </row>
    <row r="500" spans="3:63" x14ac:dyDescent="0.15">
      <c r="C500" s="624"/>
      <c r="D500" s="355">
        <v>3.7280000000000001E-2</v>
      </c>
      <c r="AV500" s="624">
        <v>42250</v>
      </c>
      <c r="AW500" s="355">
        <v>0.26740000000000003</v>
      </c>
      <c r="AX500" s="624">
        <v>42240</v>
      </c>
      <c r="AY500" s="355">
        <v>1.4109999999999999E-2</v>
      </c>
      <c r="AZ500" s="624">
        <v>42240</v>
      </c>
      <c r="BA500" s="355">
        <v>9.5999999999999992E-3</v>
      </c>
      <c r="BB500" s="624">
        <v>42240</v>
      </c>
      <c r="BC500" s="355">
        <v>0.27279999999999999</v>
      </c>
      <c r="BD500" s="624">
        <v>42240</v>
      </c>
      <c r="BE500" s="355">
        <v>8.3970000000000003E-2</v>
      </c>
      <c r="BF500" s="624">
        <v>42248</v>
      </c>
      <c r="BG500" s="355">
        <v>1.5063999999999999E-2</v>
      </c>
      <c r="BH500" s="624">
        <v>42240</v>
      </c>
      <c r="BI500" s="355">
        <v>7.0800000000000002E-2</v>
      </c>
      <c r="BJ500" s="624">
        <v>42240</v>
      </c>
      <c r="BK500" s="355">
        <v>2.8072E-2</v>
      </c>
    </row>
    <row r="501" spans="3:63" x14ac:dyDescent="0.15">
      <c r="C501" s="624"/>
      <c r="D501" s="355">
        <v>3.737E-2</v>
      </c>
      <c r="AV501" s="624">
        <v>42251</v>
      </c>
      <c r="AW501" s="355">
        <v>0.26019999999999999</v>
      </c>
      <c r="AX501" s="624">
        <v>42241</v>
      </c>
      <c r="AY501" s="355">
        <v>1.448E-2</v>
      </c>
      <c r="AZ501" s="624">
        <v>42241</v>
      </c>
      <c r="BA501" s="355">
        <v>9.4999999999999998E-3</v>
      </c>
      <c r="BB501" s="624">
        <v>42241</v>
      </c>
      <c r="BC501" s="355">
        <v>0.2707</v>
      </c>
      <c r="BD501" s="624">
        <v>42241</v>
      </c>
      <c r="BE501" s="355">
        <v>8.3970000000000003E-2</v>
      </c>
      <c r="BF501" s="624">
        <v>42249</v>
      </c>
      <c r="BG501" s="355">
        <v>1.5105E-2</v>
      </c>
      <c r="BH501" s="624">
        <v>42241</v>
      </c>
      <c r="BI501" s="355">
        <v>7.0921999999999999E-2</v>
      </c>
      <c r="BJ501" s="624">
        <v>42241</v>
      </c>
      <c r="BK501" s="355">
        <v>2.8108000000000001E-2</v>
      </c>
    </row>
    <row r="502" spans="3:63" x14ac:dyDescent="0.15">
      <c r="C502" s="624"/>
      <c r="D502" s="355">
        <v>3.739E-2</v>
      </c>
      <c r="AV502" s="624">
        <v>42255</v>
      </c>
      <c r="AW502" s="355">
        <v>0.26179999999999998</v>
      </c>
      <c r="AX502" s="624">
        <v>42242</v>
      </c>
      <c r="AY502" s="355">
        <v>1.451E-2</v>
      </c>
      <c r="AZ502" s="624">
        <v>42242</v>
      </c>
      <c r="BA502" s="355">
        <v>9.4000000000000004E-3</v>
      </c>
      <c r="BB502" s="624">
        <v>42242</v>
      </c>
      <c r="BC502" s="355">
        <v>0.26729999999999998</v>
      </c>
      <c r="BD502" s="624">
        <v>42242</v>
      </c>
      <c r="BE502" s="355">
        <v>8.4519999999999998E-2</v>
      </c>
      <c r="BF502" s="624">
        <v>42250</v>
      </c>
      <c r="BG502" s="355">
        <v>1.5125E-2</v>
      </c>
      <c r="BH502" s="624">
        <v>42242</v>
      </c>
      <c r="BI502" s="355">
        <v>7.1276000000000006E-2</v>
      </c>
      <c r="BJ502" s="624">
        <v>42242</v>
      </c>
      <c r="BK502" s="355">
        <v>2.8011999999999999E-2</v>
      </c>
    </row>
    <row r="503" spans="3:63" x14ac:dyDescent="0.15">
      <c r="C503" s="624"/>
      <c r="D503" s="355">
        <v>3.7400000000000003E-2</v>
      </c>
      <c r="AV503" s="624">
        <v>42256</v>
      </c>
      <c r="AW503" s="355">
        <v>0.26440000000000002</v>
      </c>
      <c r="AX503" s="624">
        <v>42243</v>
      </c>
      <c r="AY503" s="355">
        <v>1.512E-2</v>
      </c>
      <c r="AZ503" s="624">
        <v>42243</v>
      </c>
      <c r="BA503" s="355">
        <v>9.2999999999999992E-3</v>
      </c>
      <c r="BB503" s="624">
        <v>42243</v>
      </c>
      <c r="BC503" s="355">
        <v>0.26569999999999999</v>
      </c>
      <c r="BD503" s="624">
        <v>42243</v>
      </c>
      <c r="BE503" s="355">
        <v>8.5169999999999996E-2</v>
      </c>
      <c r="BF503" s="624">
        <v>42251</v>
      </c>
      <c r="BG503" s="355">
        <v>1.4985999999999999E-2</v>
      </c>
      <c r="BH503" s="624">
        <v>42243</v>
      </c>
      <c r="BI503" s="355">
        <v>7.1402999999999994E-2</v>
      </c>
      <c r="BJ503" s="624">
        <v>42243</v>
      </c>
      <c r="BK503" s="355">
        <v>2.8042999999999998E-2</v>
      </c>
    </row>
    <row r="504" spans="3:63" x14ac:dyDescent="0.15">
      <c r="C504" s="624"/>
      <c r="D504" s="355">
        <v>3.7359999999999997E-2</v>
      </c>
      <c r="AV504" s="624">
        <v>42257</v>
      </c>
      <c r="AW504" s="355">
        <v>0.25969999999999999</v>
      </c>
      <c r="AX504" s="624">
        <v>42244</v>
      </c>
      <c r="AY504" s="355">
        <v>1.528E-2</v>
      </c>
      <c r="AZ504" s="624">
        <v>42244</v>
      </c>
      <c r="BA504" s="355">
        <v>9.2999999999999992E-3</v>
      </c>
      <c r="BB504" s="624">
        <v>42244</v>
      </c>
      <c r="BC504" s="355">
        <v>0.26540000000000002</v>
      </c>
      <c r="BD504" s="624">
        <v>42244</v>
      </c>
      <c r="BE504" s="355">
        <v>8.4769999999999998E-2</v>
      </c>
      <c r="BF504" s="624">
        <v>42254</v>
      </c>
      <c r="BG504" s="355">
        <v>1.495E-2</v>
      </c>
      <c r="BH504" s="624">
        <v>42244</v>
      </c>
      <c r="BI504" s="355">
        <v>7.1370000000000003E-2</v>
      </c>
      <c r="BJ504" s="624">
        <v>42244</v>
      </c>
      <c r="BK504" s="355">
        <v>2.7896000000000001E-2</v>
      </c>
    </row>
    <row r="505" spans="3:63" x14ac:dyDescent="0.15">
      <c r="C505" s="624"/>
      <c r="D505" s="355">
        <v>3.7409999999999999E-2</v>
      </c>
      <c r="AV505" s="624">
        <v>42258</v>
      </c>
      <c r="AW505" s="355">
        <v>0.25840000000000002</v>
      </c>
      <c r="AX505" s="624">
        <v>42247</v>
      </c>
      <c r="AY505" s="355">
        <v>1.559E-2</v>
      </c>
      <c r="AZ505" s="624">
        <v>42247</v>
      </c>
      <c r="BA505" s="355">
        <v>9.2999999999999992E-3</v>
      </c>
      <c r="BB505" s="624">
        <v>42247</v>
      </c>
      <c r="BC505" s="355">
        <v>0.26490000000000002</v>
      </c>
      <c r="BD505" s="624">
        <v>42247</v>
      </c>
      <c r="BE505" s="355">
        <v>8.4519999999999998E-2</v>
      </c>
      <c r="BF505" s="624">
        <v>42255</v>
      </c>
      <c r="BG505" s="355">
        <v>1.5086E-2</v>
      </c>
      <c r="BH505" s="624">
        <v>42247</v>
      </c>
      <c r="BI505" s="355">
        <v>7.0948999999999998E-2</v>
      </c>
      <c r="BJ505" s="624">
        <v>42247</v>
      </c>
      <c r="BK505" s="355">
        <v>2.7906E-2</v>
      </c>
    </row>
    <row r="506" spans="3:63" x14ac:dyDescent="0.15">
      <c r="C506" s="624"/>
      <c r="D506" s="355">
        <v>3.7449999999999997E-2</v>
      </c>
      <c r="AV506" s="624">
        <v>42261</v>
      </c>
      <c r="AW506" s="355">
        <v>0.26200000000000001</v>
      </c>
      <c r="AX506" s="624">
        <v>42248</v>
      </c>
      <c r="AY506" s="355">
        <v>1.498E-2</v>
      </c>
      <c r="AZ506" s="624">
        <v>42248</v>
      </c>
      <c r="BA506" s="355">
        <v>9.4000000000000004E-3</v>
      </c>
      <c r="BB506" s="624">
        <v>42248</v>
      </c>
      <c r="BC506" s="355">
        <v>0.2661</v>
      </c>
      <c r="BD506" s="624">
        <v>42248</v>
      </c>
      <c r="BE506" s="355">
        <v>8.4739999999999996E-2</v>
      </c>
      <c r="BF506" s="624">
        <v>42256</v>
      </c>
      <c r="BG506" s="355">
        <v>1.5011E-2</v>
      </c>
      <c r="BH506" s="624">
        <v>42248</v>
      </c>
      <c r="BI506" s="355">
        <v>7.0866999999999999E-2</v>
      </c>
      <c r="BJ506" s="624">
        <v>42248</v>
      </c>
      <c r="BK506" s="355">
        <v>2.7992E-2</v>
      </c>
    </row>
    <row r="507" spans="3:63" x14ac:dyDescent="0.15">
      <c r="C507" s="624"/>
      <c r="D507" s="355">
        <v>3.7479999999999999E-2</v>
      </c>
      <c r="AV507" s="624">
        <v>42262</v>
      </c>
      <c r="AW507" s="355">
        <v>0.25890000000000002</v>
      </c>
      <c r="AX507" s="624">
        <v>42249</v>
      </c>
      <c r="AY507" s="355">
        <v>1.4919999999999999E-2</v>
      </c>
      <c r="AZ507" s="624">
        <v>42249</v>
      </c>
      <c r="BA507" s="355">
        <v>9.2999999999999992E-3</v>
      </c>
      <c r="BB507" s="624">
        <v>42249</v>
      </c>
      <c r="BC507" s="355">
        <v>0.26490000000000002</v>
      </c>
      <c r="BD507" s="624">
        <v>42249</v>
      </c>
      <c r="BE507" s="355">
        <v>8.4449999999999997E-2</v>
      </c>
      <c r="BF507" s="624">
        <v>42257</v>
      </c>
      <c r="BG507" s="355">
        <v>1.5088000000000001E-2</v>
      </c>
      <c r="BH507" s="624">
        <v>42249</v>
      </c>
      <c r="BI507" s="355">
        <v>7.0680999999999994E-2</v>
      </c>
      <c r="BJ507" s="624">
        <v>42249</v>
      </c>
      <c r="BK507" s="355">
        <v>2.7965E-2</v>
      </c>
    </row>
    <row r="508" spans="3:63" x14ac:dyDescent="0.15">
      <c r="C508" s="624"/>
      <c r="D508" s="355">
        <v>3.7479999999999999E-2</v>
      </c>
      <c r="AV508" s="624">
        <v>42263</v>
      </c>
      <c r="AW508" s="355">
        <v>0.26100000000000001</v>
      </c>
      <c r="AX508" s="624">
        <v>42250</v>
      </c>
      <c r="AY508" s="355">
        <v>1.503E-2</v>
      </c>
      <c r="AZ508" s="624">
        <v>42250</v>
      </c>
      <c r="BA508" s="355">
        <v>9.1999999999999998E-3</v>
      </c>
      <c r="BB508" s="624">
        <v>42250</v>
      </c>
      <c r="BC508" s="355">
        <v>0.26390000000000002</v>
      </c>
      <c r="BD508" s="624">
        <v>42250</v>
      </c>
      <c r="BE508" s="355">
        <v>8.3960000000000007E-2</v>
      </c>
      <c r="BF508" s="624">
        <v>42258</v>
      </c>
      <c r="BG508" s="355">
        <v>1.5096E-2</v>
      </c>
      <c r="BH508" s="624">
        <v>42250</v>
      </c>
      <c r="BI508" s="355">
        <v>7.0669999999999997E-2</v>
      </c>
      <c r="BJ508" s="624">
        <v>42250</v>
      </c>
      <c r="BK508" s="355">
        <v>2.7879999999999999E-2</v>
      </c>
    </row>
    <row r="509" spans="3:63" x14ac:dyDescent="0.15">
      <c r="C509" s="624"/>
      <c r="D509" s="355">
        <v>3.7420000000000002E-2</v>
      </c>
      <c r="AV509" s="624">
        <v>42264</v>
      </c>
      <c r="AW509" s="355">
        <v>0.25650000000000001</v>
      </c>
      <c r="AX509" s="624">
        <v>42251</v>
      </c>
      <c r="AY509" s="355">
        <v>1.46E-2</v>
      </c>
      <c r="AZ509" s="624">
        <v>42251</v>
      </c>
      <c r="BA509" s="355">
        <v>9.2999999999999992E-3</v>
      </c>
      <c r="BB509" s="624">
        <v>42251</v>
      </c>
      <c r="BC509" s="355">
        <v>0.26350000000000001</v>
      </c>
      <c r="BD509" s="624">
        <v>42251</v>
      </c>
      <c r="BE509" s="355">
        <v>8.3239999999999995E-2</v>
      </c>
      <c r="BF509" s="624">
        <v>42261</v>
      </c>
      <c r="BG509" s="355">
        <v>1.5082999999999999E-2</v>
      </c>
      <c r="BH509" s="624">
        <v>42251</v>
      </c>
      <c r="BI509" s="355">
        <v>6.9874000000000006E-2</v>
      </c>
      <c r="BJ509" s="624">
        <v>42251</v>
      </c>
      <c r="BK509" s="355">
        <v>2.7786999999999999E-2</v>
      </c>
    </row>
    <row r="510" spans="3:63" x14ac:dyDescent="0.15">
      <c r="C510" s="624"/>
      <c r="D510" s="355">
        <v>3.7310000000000003E-2</v>
      </c>
      <c r="AV510" s="624">
        <v>42265</v>
      </c>
      <c r="AW510" s="355">
        <v>0.2535</v>
      </c>
      <c r="AX510" s="624">
        <v>42254</v>
      </c>
      <c r="AY510" s="355">
        <v>1.447E-2</v>
      </c>
      <c r="AZ510" s="624">
        <v>42254</v>
      </c>
      <c r="BA510" s="355">
        <v>9.2999999999999992E-3</v>
      </c>
      <c r="BB510" s="624">
        <v>42254</v>
      </c>
      <c r="BC510" s="355">
        <v>0.26369999999999999</v>
      </c>
      <c r="BD510" s="624">
        <v>42254</v>
      </c>
      <c r="BE510" s="355">
        <v>8.3099999999999993E-2</v>
      </c>
      <c r="BF510" s="624">
        <v>42262</v>
      </c>
      <c r="BG510" s="355">
        <v>1.5049E-2</v>
      </c>
      <c r="BH510" s="624">
        <v>42254</v>
      </c>
      <c r="BI510" s="355">
        <v>6.9807999999999995E-2</v>
      </c>
      <c r="BJ510" s="624">
        <v>42254</v>
      </c>
      <c r="BK510" s="355">
        <v>2.7684E-2</v>
      </c>
    </row>
    <row r="511" spans="3:63" x14ac:dyDescent="0.15">
      <c r="C511" s="624"/>
      <c r="D511" s="355">
        <v>3.7310000000000003E-2</v>
      </c>
      <c r="AV511" s="624">
        <v>42268</v>
      </c>
      <c r="AW511" s="355">
        <v>0.25090000000000001</v>
      </c>
      <c r="AX511" s="624">
        <v>42255</v>
      </c>
      <c r="AY511" s="355">
        <v>1.47E-2</v>
      </c>
      <c r="AZ511" s="624">
        <v>42255</v>
      </c>
      <c r="BA511" s="355">
        <v>9.2999999999999992E-3</v>
      </c>
      <c r="BB511" s="624">
        <v>42255</v>
      </c>
      <c r="BC511" s="355">
        <v>0.26500000000000001</v>
      </c>
      <c r="BD511" s="624">
        <v>42255</v>
      </c>
      <c r="BE511" s="355">
        <v>8.3680000000000004E-2</v>
      </c>
      <c r="BF511" s="624">
        <v>42263</v>
      </c>
      <c r="BG511" s="355">
        <v>1.5094E-2</v>
      </c>
      <c r="BH511" s="624">
        <v>42255</v>
      </c>
      <c r="BI511" s="355">
        <v>7.0426000000000002E-2</v>
      </c>
      <c r="BJ511" s="624">
        <v>42255</v>
      </c>
      <c r="BK511" s="355">
        <v>2.7725E-2</v>
      </c>
    </row>
    <row r="512" spans="3:63" x14ac:dyDescent="0.15">
      <c r="C512" s="624"/>
      <c r="D512" s="355">
        <v>3.7319999999999999E-2</v>
      </c>
      <c r="AV512" s="624">
        <v>42269</v>
      </c>
      <c r="AW512" s="355">
        <v>0.247</v>
      </c>
      <c r="AX512" s="624">
        <v>42256</v>
      </c>
      <c r="AY512" s="355">
        <v>1.461E-2</v>
      </c>
      <c r="AZ512" s="624">
        <v>42256</v>
      </c>
      <c r="BA512" s="355">
        <v>9.2999999999999992E-3</v>
      </c>
      <c r="BB512" s="624">
        <v>42256</v>
      </c>
      <c r="BC512" s="355">
        <v>0.26590000000000003</v>
      </c>
      <c r="BD512" s="624">
        <v>42256</v>
      </c>
      <c r="BE512" s="355">
        <v>8.3930000000000005E-2</v>
      </c>
      <c r="BF512" s="624">
        <v>42264</v>
      </c>
      <c r="BG512" s="355">
        <v>1.5134999999999999E-2</v>
      </c>
      <c r="BH512" s="624">
        <v>42256</v>
      </c>
      <c r="BI512" s="355">
        <v>7.0119000000000001E-2</v>
      </c>
      <c r="BJ512" s="624">
        <v>42256</v>
      </c>
      <c r="BK512" s="355">
        <v>2.7588999999999999E-2</v>
      </c>
    </row>
    <row r="513" spans="3:63" x14ac:dyDescent="0.15">
      <c r="C513" s="624"/>
      <c r="D513" s="355">
        <v>3.7330000000000002E-2</v>
      </c>
      <c r="AV513" s="624">
        <v>42270</v>
      </c>
      <c r="AW513" s="355">
        <v>0.23930000000000001</v>
      </c>
      <c r="AX513" s="624">
        <v>42257</v>
      </c>
      <c r="AY513" s="355">
        <v>1.4760000000000001E-2</v>
      </c>
      <c r="AZ513" s="624">
        <v>42257</v>
      </c>
      <c r="BA513" s="355">
        <v>9.4000000000000004E-3</v>
      </c>
      <c r="BB513" s="624">
        <v>42257</v>
      </c>
      <c r="BC513" s="355">
        <v>0.26779999999999998</v>
      </c>
      <c r="BD513" s="624">
        <v>42257</v>
      </c>
      <c r="BE513" s="355">
        <v>8.4570000000000006E-2</v>
      </c>
      <c r="BF513" s="624">
        <v>42265</v>
      </c>
      <c r="BG513" s="355">
        <v>1.5180000000000001E-2</v>
      </c>
      <c r="BH513" s="624">
        <v>42257</v>
      </c>
      <c r="BI513" s="355">
        <v>7.0077E-2</v>
      </c>
      <c r="BJ513" s="624">
        <v>42257</v>
      </c>
      <c r="BK513" s="355">
        <v>2.7734000000000002E-2</v>
      </c>
    </row>
    <row r="514" spans="3:63" x14ac:dyDescent="0.15">
      <c r="C514" s="624"/>
      <c r="D514" s="355">
        <v>3.7350000000000001E-2</v>
      </c>
      <c r="AV514" s="624">
        <v>42271</v>
      </c>
      <c r="AW514" s="355">
        <v>0.25219999999999998</v>
      </c>
      <c r="AX514" s="624">
        <v>42258</v>
      </c>
      <c r="AY514" s="355">
        <v>1.4749999999999999E-2</v>
      </c>
      <c r="AZ514" s="624">
        <v>42258</v>
      </c>
      <c r="BA514" s="355">
        <v>9.4000000000000004E-3</v>
      </c>
      <c r="BB514" s="624">
        <v>42258</v>
      </c>
      <c r="BC514" s="355">
        <v>0.26939999999999997</v>
      </c>
      <c r="BD514" s="624">
        <v>42258</v>
      </c>
      <c r="BE514" s="355">
        <v>8.455E-2</v>
      </c>
      <c r="BF514" s="624">
        <v>42268</v>
      </c>
      <c r="BG514" s="355">
        <v>1.5221E-2</v>
      </c>
      <c r="BH514" s="624">
        <v>42258</v>
      </c>
      <c r="BI514" s="355">
        <v>6.9882E-2</v>
      </c>
      <c r="BJ514" s="624">
        <v>42258</v>
      </c>
      <c r="BK514" s="355">
        <v>2.7751000000000001E-2</v>
      </c>
    </row>
    <row r="515" spans="3:63" x14ac:dyDescent="0.15">
      <c r="C515" s="624"/>
      <c r="D515" s="355">
        <v>3.7319999999999999E-2</v>
      </c>
      <c r="AV515" s="624">
        <v>42272</v>
      </c>
      <c r="AW515" s="355">
        <v>0.25169999999999998</v>
      </c>
      <c r="AX515" s="624">
        <v>42261</v>
      </c>
      <c r="AY515" s="355">
        <v>1.477E-2</v>
      </c>
      <c r="AZ515" s="624">
        <v>42261</v>
      </c>
      <c r="BA515" s="355">
        <v>9.4000000000000004E-3</v>
      </c>
      <c r="BB515" s="624">
        <v>42261</v>
      </c>
      <c r="BC515" s="355">
        <v>0.26889999999999997</v>
      </c>
      <c r="BD515" s="624">
        <v>42261</v>
      </c>
      <c r="BE515" s="355">
        <v>8.4540000000000004E-2</v>
      </c>
      <c r="BF515" s="624">
        <v>42269</v>
      </c>
      <c r="BG515" s="355">
        <v>1.5174999999999999E-2</v>
      </c>
      <c r="BH515" s="624">
        <v>42261</v>
      </c>
      <c r="BI515" s="355">
        <v>6.9788000000000003E-2</v>
      </c>
      <c r="BJ515" s="624">
        <v>42261</v>
      </c>
      <c r="BK515" s="355">
        <v>2.7758999999999999E-2</v>
      </c>
    </row>
    <row r="516" spans="3:63" x14ac:dyDescent="0.15">
      <c r="C516" s="624"/>
      <c r="D516" s="355">
        <v>3.7330000000000002E-2</v>
      </c>
      <c r="AV516" s="624">
        <v>42275</v>
      </c>
      <c r="AW516" s="355">
        <v>0.24329999999999999</v>
      </c>
      <c r="AX516" s="624">
        <v>42262</v>
      </c>
      <c r="AY516" s="355">
        <v>1.4970000000000001E-2</v>
      </c>
      <c r="AZ516" s="624">
        <v>42262</v>
      </c>
      <c r="BA516" s="355">
        <v>9.4000000000000004E-3</v>
      </c>
      <c r="BB516" s="624">
        <v>42262</v>
      </c>
      <c r="BC516" s="355">
        <v>0.26819999999999999</v>
      </c>
      <c r="BD516" s="624">
        <v>42262</v>
      </c>
      <c r="BE516" s="355">
        <v>8.4809999999999997E-2</v>
      </c>
      <c r="BF516" s="624">
        <v>42270</v>
      </c>
      <c r="BG516" s="355">
        <v>1.5086E-2</v>
      </c>
      <c r="BH516" s="624">
        <v>42262</v>
      </c>
      <c r="BI516" s="355">
        <v>6.9432999999999995E-2</v>
      </c>
      <c r="BJ516" s="624">
        <v>42262</v>
      </c>
      <c r="BK516" s="355">
        <v>2.7837000000000001E-2</v>
      </c>
    </row>
    <row r="517" spans="3:63" x14ac:dyDescent="0.15">
      <c r="C517" s="624"/>
      <c r="D517" s="355">
        <v>3.7330000000000002E-2</v>
      </c>
      <c r="AV517" s="624">
        <v>42276</v>
      </c>
      <c r="AW517" s="355">
        <v>0.24610000000000001</v>
      </c>
      <c r="AX517" s="624">
        <v>42263</v>
      </c>
      <c r="AY517" s="355">
        <v>1.5270000000000001E-2</v>
      </c>
      <c r="AZ517" s="624">
        <v>42263</v>
      </c>
      <c r="BA517" s="355">
        <v>9.4000000000000004E-3</v>
      </c>
      <c r="BB517" s="624">
        <v>42263</v>
      </c>
      <c r="BC517" s="355">
        <v>0.26840000000000003</v>
      </c>
      <c r="BD517" s="624">
        <v>42263</v>
      </c>
      <c r="BE517" s="355">
        <v>8.548E-2</v>
      </c>
      <c r="BF517" s="624">
        <v>42271</v>
      </c>
      <c r="BG517" s="355">
        <v>1.5102000000000001E-2</v>
      </c>
      <c r="BH517" s="624">
        <v>42263</v>
      </c>
      <c r="BI517" s="355">
        <v>6.9492999999999999E-2</v>
      </c>
      <c r="BJ517" s="624">
        <v>42263</v>
      </c>
      <c r="BK517" s="355">
        <v>2.7882000000000001E-2</v>
      </c>
    </row>
    <row r="518" spans="3:63" x14ac:dyDescent="0.15">
      <c r="C518" s="624"/>
      <c r="D518" s="355">
        <v>3.7330000000000002E-2</v>
      </c>
      <c r="AV518" s="624">
        <v>42277</v>
      </c>
      <c r="AW518" s="355">
        <v>0.25330000000000003</v>
      </c>
      <c r="AX518" s="624">
        <v>42264</v>
      </c>
      <c r="AY518" s="355">
        <v>1.528E-2</v>
      </c>
      <c r="AZ518" s="624">
        <v>42264</v>
      </c>
      <c r="BA518" s="355">
        <v>9.4999999999999998E-3</v>
      </c>
      <c r="BB518" s="624">
        <v>42264</v>
      </c>
      <c r="BC518" s="355">
        <v>0.27179999999999999</v>
      </c>
      <c r="BD518" s="624">
        <v>42264</v>
      </c>
      <c r="BE518" s="355">
        <v>8.5669999999999996E-2</v>
      </c>
      <c r="BF518" s="624">
        <v>42272</v>
      </c>
      <c r="BG518" s="355">
        <v>1.5114000000000001E-2</v>
      </c>
      <c r="BH518" s="624">
        <v>42264</v>
      </c>
      <c r="BI518" s="355">
        <v>6.9513000000000005E-2</v>
      </c>
      <c r="BJ518" s="624">
        <v>42264</v>
      </c>
      <c r="BK518" s="355">
        <v>2.7897999999999999E-2</v>
      </c>
    </row>
    <row r="519" spans="3:63" x14ac:dyDescent="0.15">
      <c r="C519" s="624"/>
      <c r="D519" s="355">
        <v>3.7479999999999999E-2</v>
      </c>
      <c r="AV519" s="624">
        <v>42278</v>
      </c>
      <c r="AW519" s="355">
        <v>0.24940000000000001</v>
      </c>
      <c r="AX519" s="624">
        <v>42265</v>
      </c>
      <c r="AY519" s="355">
        <v>1.504E-2</v>
      </c>
      <c r="AZ519" s="624">
        <v>42265</v>
      </c>
      <c r="BA519" s="355">
        <v>9.4000000000000004E-3</v>
      </c>
      <c r="BB519" s="624">
        <v>42265</v>
      </c>
      <c r="BC519" s="355">
        <v>0.26889999999999997</v>
      </c>
      <c r="BD519" s="624">
        <v>42265</v>
      </c>
      <c r="BE519" s="355">
        <v>8.5290000000000005E-2</v>
      </c>
      <c r="BF519" s="624">
        <v>42275</v>
      </c>
      <c r="BG519" s="355">
        <v>1.5063E-2</v>
      </c>
      <c r="BH519" s="624">
        <v>42265</v>
      </c>
      <c r="BI519" s="355">
        <v>6.9457000000000005E-2</v>
      </c>
      <c r="BJ519" s="624">
        <v>42265</v>
      </c>
      <c r="BK519" s="355">
        <v>2.8042999999999998E-2</v>
      </c>
    </row>
    <row r="520" spans="3:63" x14ac:dyDescent="0.15">
      <c r="C520" s="624"/>
      <c r="D520" s="355">
        <v>3.7490000000000002E-2</v>
      </c>
      <c r="AV520" s="624">
        <v>42279</v>
      </c>
      <c r="AW520" s="355">
        <v>0.25430000000000003</v>
      </c>
      <c r="AX520" s="624">
        <v>42268</v>
      </c>
      <c r="AY520" s="355">
        <v>1.508E-2</v>
      </c>
      <c r="AZ520" s="624">
        <v>42268</v>
      </c>
      <c r="BA520" s="355">
        <v>9.2999999999999992E-3</v>
      </c>
      <c r="BB520" s="624">
        <v>42268</v>
      </c>
      <c r="BC520" s="355">
        <v>0.26729999999999998</v>
      </c>
      <c r="BD520" s="624">
        <v>42268</v>
      </c>
      <c r="BE520" s="355">
        <v>8.4860000000000005E-2</v>
      </c>
      <c r="BF520" s="624">
        <v>42276</v>
      </c>
      <c r="BG520" s="355">
        <v>1.5167E-2</v>
      </c>
      <c r="BH520" s="624">
        <v>42268</v>
      </c>
      <c r="BI520" s="355">
        <v>6.9042999999999993E-2</v>
      </c>
      <c r="BJ520" s="624">
        <v>42268</v>
      </c>
      <c r="BK520" s="355">
        <v>2.7925999999999999E-2</v>
      </c>
    </row>
    <row r="521" spans="3:63" x14ac:dyDescent="0.15">
      <c r="C521" s="624"/>
      <c r="D521" s="355">
        <v>3.7420000000000002E-2</v>
      </c>
      <c r="AV521" s="624">
        <v>42282</v>
      </c>
      <c r="AW521" s="355">
        <v>0.25559999999999999</v>
      </c>
      <c r="AX521" s="624">
        <v>42269</v>
      </c>
      <c r="AY521" s="355">
        <v>1.515E-2</v>
      </c>
      <c r="AZ521" s="624">
        <v>42269</v>
      </c>
      <c r="BA521" s="355">
        <v>9.2999999999999992E-3</v>
      </c>
      <c r="BB521" s="624">
        <v>42269</v>
      </c>
      <c r="BC521" s="355">
        <v>0.26450000000000001</v>
      </c>
      <c r="BD521" s="624">
        <v>42269</v>
      </c>
      <c r="BE521" s="355">
        <v>8.4360000000000004E-2</v>
      </c>
      <c r="BF521" s="624">
        <v>42277</v>
      </c>
      <c r="BG521" s="355">
        <v>1.5252999999999999E-2</v>
      </c>
      <c r="BH521" s="624">
        <v>42269</v>
      </c>
      <c r="BI521" s="355">
        <v>6.8210000000000007E-2</v>
      </c>
      <c r="BJ521" s="624">
        <v>42269</v>
      </c>
      <c r="BK521" s="355">
        <v>2.7727999999999999E-2</v>
      </c>
    </row>
    <row r="522" spans="3:63" x14ac:dyDescent="0.15">
      <c r="C522" s="624"/>
      <c r="D522" s="355">
        <v>3.7330000000000002E-2</v>
      </c>
      <c r="AV522" s="624">
        <v>42283</v>
      </c>
      <c r="AW522" s="355">
        <v>0.25950000000000001</v>
      </c>
      <c r="AX522" s="624">
        <v>42270</v>
      </c>
      <c r="AY522" s="355">
        <v>1.508E-2</v>
      </c>
      <c r="AZ522" s="624">
        <v>42270</v>
      </c>
      <c r="BA522" s="355">
        <v>9.2999999999999992E-3</v>
      </c>
      <c r="BB522" s="624">
        <v>42270</v>
      </c>
      <c r="BC522" s="355">
        <v>0.26490000000000002</v>
      </c>
      <c r="BD522" s="624">
        <v>42270</v>
      </c>
      <c r="BE522" s="355">
        <v>8.3690000000000001E-2</v>
      </c>
      <c r="BF522" s="624">
        <v>42278</v>
      </c>
      <c r="BG522" s="355">
        <v>1.5240999999999999E-2</v>
      </c>
      <c r="BH522" s="624">
        <v>42270</v>
      </c>
      <c r="BI522" s="355">
        <v>6.812E-2</v>
      </c>
      <c r="BJ522" s="624">
        <v>42270</v>
      </c>
      <c r="BK522" s="355">
        <v>2.7573E-2</v>
      </c>
    </row>
    <row r="523" spans="3:63" x14ac:dyDescent="0.15">
      <c r="C523" s="624"/>
      <c r="D523" s="355">
        <v>3.7350000000000001E-2</v>
      </c>
      <c r="AV523" s="624">
        <v>42284</v>
      </c>
      <c r="AW523" s="355">
        <v>0.25729999999999997</v>
      </c>
      <c r="AX523" s="624">
        <v>42271</v>
      </c>
      <c r="AY523" s="355">
        <v>1.5129999999999999E-2</v>
      </c>
      <c r="AZ523" s="624">
        <v>42271</v>
      </c>
      <c r="BA523" s="355">
        <v>9.4000000000000004E-3</v>
      </c>
      <c r="BB523" s="624">
        <v>42271</v>
      </c>
      <c r="BC523" s="355">
        <v>0.2661</v>
      </c>
      <c r="BD523" s="624">
        <v>42271</v>
      </c>
      <c r="BE523" s="355">
        <v>8.3979999999999999E-2</v>
      </c>
      <c r="BF523" s="624">
        <v>42279</v>
      </c>
      <c r="BG523" s="355">
        <v>1.5337999999999999E-2</v>
      </c>
      <c r="BH523" s="624">
        <v>42271</v>
      </c>
      <c r="BI523" s="355">
        <v>6.7866999999999997E-2</v>
      </c>
      <c r="BJ523" s="624">
        <v>42271</v>
      </c>
      <c r="BK523" s="355">
        <v>2.7569E-2</v>
      </c>
    </row>
    <row r="524" spans="3:63" x14ac:dyDescent="0.15">
      <c r="C524" s="624"/>
      <c r="D524" s="355">
        <v>3.737E-2</v>
      </c>
      <c r="AV524" s="624">
        <v>42285</v>
      </c>
      <c r="AW524" s="355">
        <v>0.26429999999999998</v>
      </c>
      <c r="AX524" s="624">
        <v>42272</v>
      </c>
      <c r="AY524" s="355">
        <v>1.5270000000000001E-2</v>
      </c>
      <c r="AZ524" s="624">
        <v>42272</v>
      </c>
      <c r="BA524" s="355">
        <v>9.2999999999999992E-3</v>
      </c>
      <c r="BB524" s="624">
        <v>42272</v>
      </c>
      <c r="BC524" s="355">
        <v>0.26500000000000001</v>
      </c>
      <c r="BD524" s="624">
        <v>42272</v>
      </c>
      <c r="BE524" s="355">
        <v>8.3830000000000002E-2</v>
      </c>
      <c r="BF524" s="624">
        <v>42282</v>
      </c>
      <c r="BG524" s="355">
        <v>1.5351E-2</v>
      </c>
      <c r="BH524" s="624">
        <v>42272</v>
      </c>
      <c r="BI524" s="355">
        <v>6.8288000000000001E-2</v>
      </c>
      <c r="BJ524" s="624">
        <v>42272</v>
      </c>
      <c r="BK524" s="355">
        <v>2.7636999999999998E-2</v>
      </c>
    </row>
    <row r="525" spans="3:63" x14ac:dyDescent="0.15">
      <c r="C525" s="624"/>
      <c r="D525" s="355">
        <v>3.7319999999999999E-2</v>
      </c>
      <c r="AV525" s="624">
        <v>42286</v>
      </c>
      <c r="AW525" s="355">
        <v>0.26579999999999998</v>
      </c>
      <c r="AX525" s="624">
        <v>42275</v>
      </c>
      <c r="AY525" s="355">
        <v>1.5049999999999999E-2</v>
      </c>
      <c r="AZ525" s="624">
        <v>42275</v>
      </c>
      <c r="BA525" s="355">
        <v>9.4000000000000004E-3</v>
      </c>
      <c r="BB525" s="624">
        <v>42275</v>
      </c>
      <c r="BC525" s="355">
        <v>0.26500000000000001</v>
      </c>
      <c r="BD525" s="624">
        <v>42275</v>
      </c>
      <c r="BE525" s="355">
        <v>8.3610000000000004E-2</v>
      </c>
      <c r="BF525" s="624">
        <v>42283</v>
      </c>
      <c r="BG525" s="355">
        <v>1.5353E-2</v>
      </c>
      <c r="BH525" s="624">
        <v>42275</v>
      </c>
      <c r="BI525" s="355">
        <v>6.7835999999999994E-2</v>
      </c>
      <c r="BJ525" s="624">
        <v>42275</v>
      </c>
      <c r="BK525" s="355">
        <v>2.7466999999999998E-2</v>
      </c>
    </row>
    <row r="526" spans="3:63" x14ac:dyDescent="0.15">
      <c r="C526" s="624"/>
      <c r="D526" s="355">
        <v>3.739E-2</v>
      </c>
      <c r="AV526" s="624">
        <v>42290</v>
      </c>
      <c r="AW526" s="355">
        <v>0.25690000000000002</v>
      </c>
      <c r="AX526" s="624">
        <v>42276</v>
      </c>
      <c r="AY526" s="355">
        <v>1.52E-2</v>
      </c>
      <c r="AZ526" s="624">
        <v>42276</v>
      </c>
      <c r="BA526" s="355">
        <v>9.4000000000000004E-3</v>
      </c>
      <c r="BB526" s="624">
        <v>42276</v>
      </c>
      <c r="BC526" s="355">
        <v>0.2656</v>
      </c>
      <c r="BD526" s="624">
        <v>42276</v>
      </c>
      <c r="BE526" s="355">
        <v>8.3610000000000004E-2</v>
      </c>
      <c r="BF526" s="624">
        <v>42284</v>
      </c>
      <c r="BG526" s="355">
        <v>1.5407000000000001E-2</v>
      </c>
      <c r="BH526" s="624">
        <v>42276</v>
      </c>
      <c r="BI526" s="355">
        <v>6.812E-2</v>
      </c>
      <c r="BJ526" s="624">
        <v>42276</v>
      </c>
      <c r="BK526" s="355">
        <v>2.7449999999999999E-2</v>
      </c>
    </row>
    <row r="527" spans="3:63" x14ac:dyDescent="0.15">
      <c r="C527" s="624"/>
      <c r="D527" s="355">
        <v>3.7350000000000001E-2</v>
      </c>
      <c r="AV527" s="624">
        <v>42291</v>
      </c>
      <c r="AW527" s="355">
        <v>0.26240000000000002</v>
      </c>
      <c r="AX527" s="624">
        <v>42277</v>
      </c>
      <c r="AY527" s="355">
        <v>1.529E-2</v>
      </c>
      <c r="AZ527" s="624">
        <v>42277</v>
      </c>
      <c r="BA527" s="355">
        <v>9.2999999999999992E-3</v>
      </c>
      <c r="BB527" s="624">
        <v>42277</v>
      </c>
      <c r="BC527" s="355">
        <v>0.26319999999999999</v>
      </c>
      <c r="BD527" s="624">
        <v>42277</v>
      </c>
      <c r="BE527" s="355">
        <v>8.4370000000000001E-2</v>
      </c>
      <c r="BF527" s="624">
        <v>42285</v>
      </c>
      <c r="BG527" s="355">
        <v>1.5428000000000001E-2</v>
      </c>
      <c r="BH527" s="624">
        <v>42277</v>
      </c>
      <c r="BI527" s="355">
        <v>6.8481E-2</v>
      </c>
      <c r="BJ527" s="624">
        <v>42277</v>
      </c>
      <c r="BK527" s="355">
        <v>2.7491000000000002E-2</v>
      </c>
    </row>
    <row r="528" spans="3:63" x14ac:dyDescent="0.15">
      <c r="C528" s="624"/>
      <c r="D528" s="355">
        <v>3.7350000000000001E-2</v>
      </c>
      <c r="AV528" s="624">
        <v>42292</v>
      </c>
      <c r="AW528" s="355">
        <v>0.2631</v>
      </c>
      <c r="AX528" s="624">
        <v>42278</v>
      </c>
      <c r="AY528" s="355">
        <v>1.5219999999999999E-2</v>
      </c>
      <c r="AZ528" s="624">
        <v>42278</v>
      </c>
      <c r="BA528" s="355">
        <v>9.4000000000000004E-3</v>
      </c>
      <c r="BB528" s="624">
        <v>42278</v>
      </c>
      <c r="BC528" s="355">
        <v>0.26340000000000002</v>
      </c>
      <c r="BD528" s="624">
        <v>42278</v>
      </c>
      <c r="BE528" s="355">
        <v>8.4830000000000003E-2</v>
      </c>
      <c r="BF528" s="624">
        <v>42286</v>
      </c>
      <c r="BG528" s="355">
        <v>1.5436999999999999E-2</v>
      </c>
      <c r="BH528" s="624">
        <v>42278</v>
      </c>
      <c r="BI528" s="355">
        <v>6.7863999999999994E-2</v>
      </c>
      <c r="BJ528" s="624">
        <v>42278</v>
      </c>
      <c r="BK528" s="355">
        <v>2.7394000000000002E-2</v>
      </c>
    </row>
    <row r="529" spans="3:63" x14ac:dyDescent="0.15">
      <c r="C529" s="624"/>
      <c r="D529" s="355">
        <v>3.73E-2</v>
      </c>
      <c r="AV529" s="624">
        <v>42293</v>
      </c>
      <c r="AW529" s="355">
        <v>0.25480000000000003</v>
      </c>
      <c r="AX529" s="624">
        <v>42279</v>
      </c>
      <c r="AY529" s="355">
        <v>1.5129999999999999E-2</v>
      </c>
      <c r="AZ529" s="624">
        <v>42279</v>
      </c>
      <c r="BA529" s="355">
        <v>9.4000000000000004E-3</v>
      </c>
      <c r="BB529" s="624">
        <v>42279</v>
      </c>
      <c r="BC529" s="355">
        <v>0.26400000000000001</v>
      </c>
      <c r="BD529" s="624">
        <v>42279</v>
      </c>
      <c r="BE529" s="355">
        <v>8.5239999999999996E-2</v>
      </c>
      <c r="BF529" s="624">
        <v>42289</v>
      </c>
      <c r="BG529" s="355">
        <v>1.5448999999999999E-2</v>
      </c>
      <c r="BH529" s="624">
        <v>42279</v>
      </c>
      <c r="BI529" s="355">
        <v>6.8307000000000007E-2</v>
      </c>
      <c r="BJ529" s="624">
        <v>42279</v>
      </c>
      <c r="BK529" s="355">
        <v>2.7465E-2</v>
      </c>
    </row>
    <row r="530" spans="3:63" x14ac:dyDescent="0.15">
      <c r="C530" s="624"/>
      <c r="D530" s="355">
        <v>3.7190000000000001E-2</v>
      </c>
      <c r="AV530" s="624">
        <v>42296</v>
      </c>
      <c r="AW530" s="355">
        <v>0.25729999999999997</v>
      </c>
      <c r="AX530" s="624">
        <v>42282</v>
      </c>
      <c r="AY530" s="355">
        <v>1.546E-2</v>
      </c>
      <c r="AZ530" s="624">
        <v>42282</v>
      </c>
      <c r="BA530" s="355">
        <v>9.2999999999999992E-3</v>
      </c>
      <c r="BB530" s="624">
        <v>42282</v>
      </c>
      <c r="BC530" s="355">
        <v>0.26369999999999999</v>
      </c>
      <c r="BD530" s="624">
        <v>42282</v>
      </c>
      <c r="BE530" s="355">
        <v>8.6080000000000004E-2</v>
      </c>
      <c r="BF530" s="624">
        <v>42290</v>
      </c>
      <c r="BG530" s="355">
        <v>1.536E-2</v>
      </c>
      <c r="BH530" s="624">
        <v>42282</v>
      </c>
      <c r="BI530" s="355">
        <v>6.9179000000000004E-2</v>
      </c>
      <c r="BJ530" s="624">
        <v>42282</v>
      </c>
      <c r="BK530" s="355">
        <v>2.7556000000000001E-2</v>
      </c>
    </row>
    <row r="531" spans="3:63" x14ac:dyDescent="0.15">
      <c r="C531" s="624"/>
      <c r="D531" s="355">
        <v>3.7199999999999997E-2</v>
      </c>
      <c r="AV531" s="624">
        <v>42297</v>
      </c>
      <c r="AW531" s="355">
        <v>0.25590000000000002</v>
      </c>
      <c r="AX531" s="624">
        <v>42283</v>
      </c>
      <c r="AY531" s="355">
        <v>1.576E-2</v>
      </c>
      <c r="AZ531" s="624">
        <v>42283</v>
      </c>
      <c r="BA531" s="355">
        <v>9.4000000000000004E-3</v>
      </c>
      <c r="BB531" s="624">
        <v>42283</v>
      </c>
      <c r="BC531" s="355">
        <v>0.26590000000000003</v>
      </c>
      <c r="BD531" s="624">
        <v>42283</v>
      </c>
      <c r="BE531" s="355">
        <v>8.6099999999999996E-2</v>
      </c>
      <c r="BF531" s="624">
        <v>42291</v>
      </c>
      <c r="BG531" s="355">
        <v>1.5429999999999999E-2</v>
      </c>
      <c r="BH531" s="624">
        <v>42283</v>
      </c>
      <c r="BI531" s="355">
        <v>7.0571999999999996E-2</v>
      </c>
      <c r="BJ531" s="624">
        <v>42283</v>
      </c>
      <c r="BK531" s="355">
        <v>2.7595999999999999E-2</v>
      </c>
    </row>
    <row r="532" spans="3:63" x14ac:dyDescent="0.15">
      <c r="C532" s="624"/>
      <c r="D532" s="355">
        <v>3.7100000000000001E-2</v>
      </c>
      <c r="AV532" s="624">
        <v>42298</v>
      </c>
      <c r="AW532" s="355">
        <v>0.25369999999999998</v>
      </c>
      <c r="AX532" s="624">
        <v>42284</v>
      </c>
      <c r="AY532" s="355">
        <v>1.5970000000000002E-2</v>
      </c>
      <c r="AZ532" s="624">
        <v>42284</v>
      </c>
      <c r="BA532" s="355">
        <v>9.4000000000000004E-3</v>
      </c>
      <c r="BB532" s="624">
        <v>42284</v>
      </c>
      <c r="BC532" s="355">
        <v>0.26529999999999998</v>
      </c>
      <c r="BD532" s="624">
        <v>42284</v>
      </c>
      <c r="BE532" s="355">
        <v>8.6300000000000002E-2</v>
      </c>
      <c r="BF532" s="624">
        <v>42292</v>
      </c>
      <c r="BG532" s="355">
        <v>1.5436999999999999E-2</v>
      </c>
      <c r="BH532" s="624">
        <v>42284</v>
      </c>
      <c r="BI532" s="355">
        <v>7.1831000000000006E-2</v>
      </c>
      <c r="BJ532" s="624">
        <v>42284</v>
      </c>
      <c r="BK532" s="355">
        <v>2.7855999999999999E-2</v>
      </c>
    </row>
    <row r="533" spans="3:63" x14ac:dyDescent="0.15">
      <c r="C533" s="624"/>
      <c r="D533" s="355">
        <v>3.7089999999999998E-2</v>
      </c>
      <c r="AV533" s="624">
        <v>42299</v>
      </c>
      <c r="AW533" s="355">
        <v>0.25580000000000003</v>
      </c>
      <c r="AX533" s="624">
        <v>42285</v>
      </c>
      <c r="AY533" s="355">
        <v>1.6279999999999999E-2</v>
      </c>
      <c r="AZ533" s="624">
        <v>42285</v>
      </c>
      <c r="BA533" s="355">
        <v>9.4000000000000004E-3</v>
      </c>
      <c r="BB533" s="624">
        <v>42285</v>
      </c>
      <c r="BC533" s="355">
        <v>0.26700000000000002</v>
      </c>
      <c r="BD533" s="624">
        <v>42285</v>
      </c>
      <c r="BE533" s="355">
        <v>8.6739999999999998E-2</v>
      </c>
      <c r="BF533" s="624">
        <v>42293</v>
      </c>
      <c r="BG533" s="355">
        <v>1.5454000000000001E-2</v>
      </c>
      <c r="BH533" s="624">
        <v>42285</v>
      </c>
      <c r="BI533" s="355">
        <v>7.3856000000000005E-2</v>
      </c>
      <c r="BJ533" s="624">
        <v>42285</v>
      </c>
      <c r="BK533" s="355">
        <v>2.7949999999999999E-2</v>
      </c>
    </row>
    <row r="534" spans="3:63" x14ac:dyDescent="0.15">
      <c r="C534" s="624"/>
      <c r="D534" s="355">
        <v>3.7130000000000003E-2</v>
      </c>
      <c r="AV534" s="624">
        <v>42300</v>
      </c>
      <c r="AW534" s="355">
        <v>0.25769999999999998</v>
      </c>
      <c r="AX534" s="624">
        <v>42286</v>
      </c>
      <c r="AY534" s="355">
        <v>1.618E-2</v>
      </c>
      <c r="AZ534" s="624">
        <v>42286</v>
      </c>
      <c r="BA534" s="355">
        <v>9.4999999999999998E-3</v>
      </c>
      <c r="BB534" s="624">
        <v>42286</v>
      </c>
      <c r="BC534" s="355">
        <v>0.26900000000000002</v>
      </c>
      <c r="BD534" s="624">
        <v>42286</v>
      </c>
      <c r="BE534" s="355">
        <v>8.7099999999999997E-2</v>
      </c>
      <c r="BF534" s="624">
        <v>42296</v>
      </c>
      <c r="BG534" s="355">
        <v>1.5403999999999999E-2</v>
      </c>
      <c r="BH534" s="624">
        <v>42286</v>
      </c>
      <c r="BI534" s="355">
        <v>7.4311000000000002E-2</v>
      </c>
      <c r="BJ534" s="624">
        <v>42286</v>
      </c>
      <c r="BK534" s="355">
        <v>2.8149E-2</v>
      </c>
    </row>
    <row r="535" spans="3:63" x14ac:dyDescent="0.15">
      <c r="C535" s="624"/>
      <c r="D535" s="355">
        <v>3.7060000000000003E-2</v>
      </c>
      <c r="AV535" s="624">
        <v>42303</v>
      </c>
      <c r="AW535" s="355">
        <v>0.25600000000000001</v>
      </c>
      <c r="AX535" s="624">
        <v>42289</v>
      </c>
      <c r="AY535" s="355">
        <v>1.6060000000000001E-2</v>
      </c>
      <c r="AZ535" s="624">
        <v>42289</v>
      </c>
      <c r="BA535" s="355">
        <v>9.4999999999999998E-3</v>
      </c>
      <c r="BB535" s="624">
        <v>42289</v>
      </c>
      <c r="BC535" s="355">
        <v>0.26879999999999998</v>
      </c>
      <c r="BD535" s="624">
        <v>42289</v>
      </c>
      <c r="BE535" s="355">
        <v>8.7400000000000005E-2</v>
      </c>
      <c r="BF535" s="624">
        <v>42297</v>
      </c>
      <c r="BG535" s="355">
        <v>1.5379E-2</v>
      </c>
      <c r="BH535" s="624">
        <v>42289</v>
      </c>
      <c r="BI535" s="355">
        <v>7.3982000000000006E-2</v>
      </c>
      <c r="BJ535" s="624">
        <v>42289</v>
      </c>
      <c r="BK535" s="355">
        <v>2.8278999999999999E-2</v>
      </c>
    </row>
    <row r="536" spans="3:63" x14ac:dyDescent="0.15">
      <c r="C536" s="624"/>
      <c r="D536" s="355">
        <v>3.7100000000000001E-2</v>
      </c>
      <c r="AV536" s="624">
        <v>42304</v>
      </c>
      <c r="AW536" s="355">
        <v>0.25719999999999998</v>
      </c>
      <c r="AX536" s="624">
        <v>42290</v>
      </c>
      <c r="AY536" s="355">
        <v>1.5859999999999999E-2</v>
      </c>
      <c r="AZ536" s="624">
        <v>42290</v>
      </c>
      <c r="BA536" s="355">
        <v>9.4999999999999998E-3</v>
      </c>
      <c r="BB536" s="624">
        <v>42290</v>
      </c>
      <c r="BC536" s="355">
        <v>0.26889999999999997</v>
      </c>
      <c r="BD536" s="624">
        <v>42290</v>
      </c>
      <c r="BE536" s="355">
        <v>8.6940000000000003E-2</v>
      </c>
      <c r="BF536" s="624">
        <v>42298</v>
      </c>
      <c r="BG536" s="355">
        <v>1.5353E-2</v>
      </c>
      <c r="BH536" s="624">
        <v>42290</v>
      </c>
      <c r="BI536" s="355">
        <v>7.3260000000000006E-2</v>
      </c>
      <c r="BJ536" s="624">
        <v>42290</v>
      </c>
      <c r="BK536" s="355">
        <v>2.8045E-2</v>
      </c>
    </row>
    <row r="537" spans="3:63" x14ac:dyDescent="0.15">
      <c r="C537" s="624"/>
      <c r="D537" s="355">
        <v>3.7130000000000003E-2</v>
      </c>
      <c r="AV537" s="624">
        <v>42305</v>
      </c>
      <c r="AW537" s="355">
        <v>0.25580000000000003</v>
      </c>
      <c r="AX537" s="624">
        <v>42291</v>
      </c>
      <c r="AY537" s="355">
        <v>1.5970000000000002E-2</v>
      </c>
      <c r="AZ537" s="624">
        <v>42291</v>
      </c>
      <c r="BA537" s="355">
        <v>9.5999999999999992E-3</v>
      </c>
      <c r="BB537" s="624">
        <v>42291</v>
      </c>
      <c r="BC537" s="355">
        <v>0.2712</v>
      </c>
      <c r="BD537" s="624">
        <v>42291</v>
      </c>
      <c r="BE537" s="355">
        <v>8.7940000000000004E-2</v>
      </c>
      <c r="BF537" s="624">
        <v>42299</v>
      </c>
      <c r="BG537" s="355">
        <v>1.5417999999999999E-2</v>
      </c>
      <c r="BH537" s="624">
        <v>42291</v>
      </c>
      <c r="BI537" s="355">
        <v>7.4299000000000004E-2</v>
      </c>
      <c r="BJ537" s="624">
        <v>42291</v>
      </c>
      <c r="BK537" s="355">
        <v>2.8273E-2</v>
      </c>
    </row>
    <row r="538" spans="3:63" x14ac:dyDescent="0.15">
      <c r="C538" s="624"/>
      <c r="D538" s="355">
        <v>3.7109999999999997E-2</v>
      </c>
      <c r="AV538" s="624">
        <v>42306</v>
      </c>
      <c r="AW538" s="355">
        <v>0.25969999999999999</v>
      </c>
      <c r="AX538" s="624">
        <v>42292</v>
      </c>
      <c r="AY538" s="355">
        <v>1.6279999999999999E-2</v>
      </c>
      <c r="AZ538" s="624">
        <v>42292</v>
      </c>
      <c r="BA538" s="355">
        <v>9.4999999999999998E-3</v>
      </c>
      <c r="BB538" s="624">
        <v>42292</v>
      </c>
      <c r="BC538" s="355">
        <v>0.26889999999999997</v>
      </c>
      <c r="BD538" s="624">
        <v>42292</v>
      </c>
      <c r="BE538" s="355">
        <v>8.9039999999999994E-2</v>
      </c>
      <c r="BF538" s="624">
        <v>42300</v>
      </c>
      <c r="BG538" s="355">
        <v>1.5379E-2</v>
      </c>
      <c r="BH538" s="624">
        <v>42292</v>
      </c>
      <c r="BI538" s="355">
        <v>7.4066999999999994E-2</v>
      </c>
      <c r="BJ538" s="624">
        <v>42292</v>
      </c>
      <c r="BK538" s="355">
        <v>2.8424000000000001E-2</v>
      </c>
    </row>
    <row r="539" spans="3:63" x14ac:dyDescent="0.15">
      <c r="C539" s="624"/>
      <c r="D539" s="355">
        <v>3.7240000000000002E-2</v>
      </c>
      <c r="AV539" s="624">
        <v>42307</v>
      </c>
      <c r="AW539" s="355">
        <v>0.25929999999999997</v>
      </c>
      <c r="AX539" s="624">
        <v>42293</v>
      </c>
      <c r="AY539" s="355">
        <v>1.6320000000000001E-2</v>
      </c>
      <c r="AZ539" s="624">
        <v>42293</v>
      </c>
      <c r="BA539" s="355">
        <v>9.4999999999999998E-3</v>
      </c>
      <c r="BB539" s="624">
        <v>42293</v>
      </c>
      <c r="BC539" s="355">
        <v>0.26790000000000003</v>
      </c>
      <c r="BD539" s="624">
        <v>42293</v>
      </c>
      <c r="BE539" s="355">
        <v>8.8450000000000001E-2</v>
      </c>
      <c r="BF539" s="624">
        <v>42303</v>
      </c>
      <c r="BG539" s="355">
        <v>1.5403E-2</v>
      </c>
      <c r="BH539" s="624">
        <v>42293</v>
      </c>
      <c r="BI539" s="355">
        <v>7.4056999999999998E-2</v>
      </c>
      <c r="BJ539" s="624">
        <v>42293</v>
      </c>
      <c r="BK539" s="355">
        <v>2.8361000000000001E-2</v>
      </c>
    </row>
    <row r="540" spans="3:63" x14ac:dyDescent="0.15">
      <c r="C540" s="624"/>
      <c r="D540" s="355">
        <v>3.721E-2</v>
      </c>
      <c r="AV540" s="624">
        <v>42311</v>
      </c>
      <c r="AW540" s="355">
        <v>0.26519999999999999</v>
      </c>
      <c r="AX540" s="624">
        <v>42296</v>
      </c>
      <c r="AY540" s="355">
        <v>1.6039999999999999E-2</v>
      </c>
      <c r="AZ540" s="624">
        <v>42296</v>
      </c>
      <c r="BA540" s="355">
        <v>9.4999999999999998E-3</v>
      </c>
      <c r="BB540" s="624">
        <v>42296</v>
      </c>
      <c r="BC540" s="355">
        <v>0.26669999999999999</v>
      </c>
      <c r="BD540" s="624">
        <v>42296</v>
      </c>
      <c r="BE540" s="355">
        <v>8.8340000000000002E-2</v>
      </c>
      <c r="BF540" s="624">
        <v>42304</v>
      </c>
      <c r="BG540" s="355">
        <v>1.5358E-2</v>
      </c>
      <c r="BH540" s="624">
        <v>42296</v>
      </c>
      <c r="BI540" s="355">
        <v>7.2831000000000007E-2</v>
      </c>
      <c r="BJ540" s="624">
        <v>42296</v>
      </c>
      <c r="BK540" s="355">
        <v>2.8202000000000001E-2</v>
      </c>
    </row>
    <row r="541" spans="3:63" x14ac:dyDescent="0.15">
      <c r="C541" s="624"/>
      <c r="D541" s="355">
        <v>3.7159999999999999E-2</v>
      </c>
      <c r="AV541" s="624">
        <v>42312</v>
      </c>
      <c r="AW541" s="355">
        <v>0.2631</v>
      </c>
      <c r="AX541" s="624">
        <v>42297</v>
      </c>
      <c r="AY541" s="355">
        <v>1.6119999999999999E-2</v>
      </c>
      <c r="AZ541" s="624">
        <v>42297</v>
      </c>
      <c r="BA541" s="355">
        <v>9.4999999999999998E-3</v>
      </c>
      <c r="BB541" s="624">
        <v>42297</v>
      </c>
      <c r="BC541" s="355">
        <v>0.26629999999999998</v>
      </c>
      <c r="BD541" s="624">
        <v>42297</v>
      </c>
      <c r="BE541" s="355">
        <v>8.8359999999999994E-2</v>
      </c>
      <c r="BF541" s="624">
        <v>42305</v>
      </c>
      <c r="BG541" s="355">
        <v>1.5344E-2</v>
      </c>
      <c r="BH541" s="624">
        <v>42297</v>
      </c>
      <c r="BI541" s="355">
        <v>7.2775999999999993E-2</v>
      </c>
      <c r="BJ541" s="624">
        <v>42297</v>
      </c>
      <c r="BK541" s="355">
        <v>2.8225E-2</v>
      </c>
    </row>
    <row r="542" spans="3:63" x14ac:dyDescent="0.15">
      <c r="C542" s="624"/>
      <c r="D542" s="355">
        <v>3.7170000000000002E-2</v>
      </c>
      <c r="AV542" s="624">
        <v>42313</v>
      </c>
      <c r="AW542" s="355">
        <v>0.2646</v>
      </c>
      <c r="AX542" s="624">
        <v>42298</v>
      </c>
      <c r="AY542" s="355">
        <v>1.5970000000000002E-2</v>
      </c>
      <c r="AZ542" s="624">
        <v>42298</v>
      </c>
      <c r="BA542" s="355">
        <v>9.4999999999999998E-3</v>
      </c>
      <c r="BB542" s="624">
        <v>42298</v>
      </c>
      <c r="BC542" s="355">
        <v>0.26419999999999999</v>
      </c>
      <c r="BD542" s="624">
        <v>42298</v>
      </c>
      <c r="BE542" s="355">
        <v>8.7709999999999996E-2</v>
      </c>
      <c r="BF542" s="624">
        <v>42306</v>
      </c>
      <c r="BG542" s="355">
        <v>1.5284000000000001E-2</v>
      </c>
      <c r="BH542" s="624">
        <v>42298</v>
      </c>
      <c r="BI542" s="355">
        <v>7.2383000000000003E-2</v>
      </c>
      <c r="BJ542" s="624">
        <v>42298</v>
      </c>
      <c r="BK542" s="355">
        <v>2.8032000000000001E-2</v>
      </c>
    </row>
    <row r="543" spans="3:63" x14ac:dyDescent="0.15">
      <c r="C543" s="624"/>
      <c r="D543" s="355">
        <v>3.7229999999999999E-2</v>
      </c>
      <c r="AV543" s="624">
        <v>42314</v>
      </c>
      <c r="AW543" s="355">
        <v>0.26519999999999999</v>
      </c>
      <c r="AX543" s="624">
        <v>42299</v>
      </c>
      <c r="AY543" s="355">
        <v>1.5959999999999998E-2</v>
      </c>
      <c r="AZ543" s="624">
        <v>42299</v>
      </c>
      <c r="BA543" s="355">
        <v>9.1999999999999998E-3</v>
      </c>
      <c r="BB543" s="624">
        <v>42299</v>
      </c>
      <c r="BC543" s="355">
        <v>0.26129999999999998</v>
      </c>
      <c r="BD543" s="624">
        <v>42299</v>
      </c>
      <c r="BE543" s="355">
        <v>8.8469999999999993E-2</v>
      </c>
      <c r="BF543" s="624">
        <v>42307</v>
      </c>
      <c r="BG543" s="355">
        <v>1.5285E-2</v>
      </c>
      <c r="BH543" s="624">
        <v>42299</v>
      </c>
      <c r="BI543" s="355">
        <v>7.4020000000000002E-2</v>
      </c>
      <c r="BJ543" s="624">
        <v>42299</v>
      </c>
      <c r="BK543" s="355">
        <v>2.8125000000000001E-2</v>
      </c>
    </row>
    <row r="544" spans="3:63" x14ac:dyDescent="0.15">
      <c r="C544" s="624"/>
      <c r="D544" s="355">
        <v>3.7350000000000001E-2</v>
      </c>
      <c r="AV544" s="624">
        <v>42317</v>
      </c>
      <c r="AW544" s="355">
        <v>0.26319999999999999</v>
      </c>
      <c r="AX544" s="624">
        <v>42300</v>
      </c>
      <c r="AY544" s="355">
        <v>1.6039999999999999E-2</v>
      </c>
      <c r="AZ544" s="624">
        <v>42300</v>
      </c>
      <c r="BA544" s="355">
        <v>9.1999999999999998E-3</v>
      </c>
      <c r="BB544" s="624">
        <v>42300</v>
      </c>
      <c r="BC544" s="355">
        <v>0.25919999999999999</v>
      </c>
      <c r="BD544" s="624">
        <v>42300</v>
      </c>
      <c r="BE544" s="355">
        <v>8.8029999999999997E-2</v>
      </c>
      <c r="BF544" s="624">
        <v>42310</v>
      </c>
      <c r="BG544" s="355">
        <v>1.5252E-2</v>
      </c>
      <c r="BH544" s="624">
        <v>42300</v>
      </c>
      <c r="BI544" s="355">
        <v>7.3465000000000003E-2</v>
      </c>
      <c r="BJ544" s="624">
        <v>42300</v>
      </c>
      <c r="BK544" s="355">
        <v>2.8118000000000001E-2</v>
      </c>
    </row>
    <row r="545" spans="3:63" x14ac:dyDescent="0.15">
      <c r="C545" s="624"/>
      <c r="D545" s="355">
        <v>3.7409999999999999E-2</v>
      </c>
      <c r="AV545" s="624">
        <v>42318</v>
      </c>
      <c r="AW545" s="355">
        <v>0.2666</v>
      </c>
      <c r="AX545" s="624">
        <v>42303</v>
      </c>
      <c r="AY545" s="355">
        <v>1.5859999999999999E-2</v>
      </c>
      <c r="AZ545" s="624">
        <v>42303</v>
      </c>
      <c r="BA545" s="355">
        <v>9.1999999999999998E-3</v>
      </c>
      <c r="BB545" s="624">
        <v>42303</v>
      </c>
      <c r="BC545" s="355">
        <v>0.2586</v>
      </c>
      <c r="BD545" s="624">
        <v>42303</v>
      </c>
      <c r="BE545" s="355">
        <v>8.8520000000000001E-2</v>
      </c>
      <c r="BF545" s="624">
        <v>42311</v>
      </c>
      <c r="BG545" s="355">
        <v>1.525E-2</v>
      </c>
      <c r="BH545" s="624">
        <v>42303</v>
      </c>
      <c r="BI545" s="355">
        <v>7.3650999999999994E-2</v>
      </c>
      <c r="BJ545" s="624">
        <v>42303</v>
      </c>
      <c r="BK545" s="355">
        <v>2.8185999999999999E-2</v>
      </c>
    </row>
    <row r="546" spans="3:63" x14ac:dyDescent="0.15">
      <c r="C546" s="624"/>
      <c r="D546" s="355">
        <v>3.739E-2</v>
      </c>
      <c r="AV546" s="624">
        <v>42319</v>
      </c>
      <c r="AW546" s="355">
        <v>0.26569999999999999</v>
      </c>
      <c r="AX546" s="624">
        <v>42304</v>
      </c>
      <c r="AY546" s="355">
        <v>1.528E-2</v>
      </c>
      <c r="AZ546" s="624">
        <v>42304</v>
      </c>
      <c r="BA546" s="355">
        <v>9.1999999999999998E-3</v>
      </c>
      <c r="BB546" s="624">
        <v>42304</v>
      </c>
      <c r="BC546" s="355">
        <v>0.25790000000000002</v>
      </c>
      <c r="BD546" s="624">
        <v>42304</v>
      </c>
      <c r="BE546" s="355">
        <v>8.8020000000000001E-2</v>
      </c>
      <c r="BF546" s="624">
        <v>42312</v>
      </c>
      <c r="BG546" s="355">
        <v>1.5240999999999999E-2</v>
      </c>
      <c r="BH546" s="624">
        <v>42304</v>
      </c>
      <c r="BI546" s="355">
        <v>7.3152999999999996E-2</v>
      </c>
      <c r="BJ546" s="624">
        <v>42304</v>
      </c>
      <c r="BK546" s="355">
        <v>2.8164999999999999E-2</v>
      </c>
    </row>
    <row r="547" spans="3:63" x14ac:dyDescent="0.15">
      <c r="C547" s="624"/>
      <c r="D547" s="355">
        <v>3.7440000000000001E-2</v>
      </c>
      <c r="AV547" s="624">
        <v>42320</v>
      </c>
      <c r="AW547" s="355">
        <v>0.26519999999999999</v>
      </c>
      <c r="AX547" s="624">
        <v>42305</v>
      </c>
      <c r="AY547" s="355">
        <v>1.5640000000000001E-2</v>
      </c>
      <c r="AZ547" s="624">
        <v>42305</v>
      </c>
      <c r="BA547" s="355">
        <v>9.1000000000000004E-3</v>
      </c>
      <c r="BB547" s="624">
        <v>42305</v>
      </c>
      <c r="BC547" s="355">
        <v>0.255</v>
      </c>
      <c r="BD547" s="624">
        <v>42305</v>
      </c>
      <c r="BE547" s="355">
        <v>8.7330000000000005E-2</v>
      </c>
      <c r="BF547" s="624">
        <v>42313</v>
      </c>
      <c r="BG547" s="355">
        <v>1.5177E-2</v>
      </c>
      <c r="BH547" s="624">
        <v>42305</v>
      </c>
      <c r="BI547" s="355">
        <v>7.2789999999999994E-2</v>
      </c>
      <c r="BJ547" s="624">
        <v>42305</v>
      </c>
      <c r="BK547" s="355">
        <v>2.8046000000000001E-2</v>
      </c>
    </row>
    <row r="548" spans="3:63" x14ac:dyDescent="0.15">
      <c r="C548" s="624"/>
      <c r="D548" s="355">
        <v>3.7440000000000001E-2</v>
      </c>
      <c r="AV548" s="624">
        <v>42321</v>
      </c>
      <c r="AW548" s="355">
        <v>0.26</v>
      </c>
      <c r="AX548" s="624">
        <v>42306</v>
      </c>
      <c r="AY548" s="355">
        <v>1.553E-2</v>
      </c>
      <c r="AZ548" s="624">
        <v>42306</v>
      </c>
      <c r="BA548" s="355">
        <v>9.1000000000000004E-3</v>
      </c>
      <c r="BB548" s="624">
        <v>42306</v>
      </c>
      <c r="BC548" s="355">
        <v>0.25650000000000001</v>
      </c>
      <c r="BD548" s="624">
        <v>42306</v>
      </c>
      <c r="BE548" s="355">
        <v>8.7550000000000003E-2</v>
      </c>
      <c r="BF548" s="624">
        <v>42314</v>
      </c>
      <c r="BG548" s="355">
        <v>1.5133000000000001E-2</v>
      </c>
      <c r="BH548" s="624">
        <v>42306</v>
      </c>
      <c r="BI548" s="355">
        <v>7.3383000000000004E-2</v>
      </c>
      <c r="BJ548" s="624">
        <v>42306</v>
      </c>
      <c r="BK548" s="355">
        <v>2.8028000000000001E-2</v>
      </c>
    </row>
    <row r="549" spans="3:63" x14ac:dyDescent="0.15">
      <c r="C549" s="624"/>
      <c r="D549" s="355">
        <v>3.7449999999999997E-2</v>
      </c>
      <c r="AV549" s="624">
        <v>42324</v>
      </c>
      <c r="AW549" s="355">
        <v>0.26179999999999998</v>
      </c>
      <c r="AX549" s="624">
        <v>42307</v>
      </c>
      <c r="AY549" s="355">
        <v>1.5610000000000001E-2</v>
      </c>
      <c r="AZ549" s="624">
        <v>42307</v>
      </c>
      <c r="BA549" s="355">
        <v>9.1000000000000004E-3</v>
      </c>
      <c r="BB549" s="624">
        <v>42307</v>
      </c>
      <c r="BC549" s="355">
        <v>0.25900000000000001</v>
      </c>
      <c r="BD549" s="624">
        <v>42307</v>
      </c>
      <c r="BE549" s="355">
        <v>8.7620000000000003E-2</v>
      </c>
      <c r="BF549" s="624">
        <v>42317</v>
      </c>
      <c r="BG549" s="355">
        <v>1.5054E-2</v>
      </c>
      <c r="BH549" s="624">
        <v>42307</v>
      </c>
      <c r="BI549" s="355">
        <v>7.3049000000000003E-2</v>
      </c>
      <c r="BJ549" s="624">
        <v>42307</v>
      </c>
      <c r="BK549" s="355">
        <v>2.8072E-2</v>
      </c>
    </row>
    <row r="550" spans="3:63" x14ac:dyDescent="0.15">
      <c r="C550" s="624"/>
      <c r="D550" s="355">
        <v>3.739E-2</v>
      </c>
      <c r="AV550" s="624">
        <v>42325</v>
      </c>
      <c r="AW550" s="355">
        <v>0.26250000000000001</v>
      </c>
      <c r="AX550" s="624">
        <v>42310</v>
      </c>
      <c r="AY550" s="355">
        <v>1.5709999999999998E-2</v>
      </c>
      <c r="AZ550" s="624">
        <v>42310</v>
      </c>
      <c r="BA550" s="355">
        <v>9.1999999999999998E-3</v>
      </c>
      <c r="BB550" s="624">
        <v>42310</v>
      </c>
      <c r="BC550" s="355">
        <v>0.2586</v>
      </c>
      <c r="BD550" s="624">
        <v>42310</v>
      </c>
      <c r="BE550" s="355">
        <v>8.7859999999999994E-2</v>
      </c>
      <c r="BF550" s="624">
        <v>42318</v>
      </c>
      <c r="BG550" s="355">
        <v>1.5101E-2</v>
      </c>
      <c r="BH550" s="624">
        <v>42310</v>
      </c>
      <c r="BI550" s="355">
        <v>7.3613999999999999E-2</v>
      </c>
      <c r="BJ550" s="624">
        <v>42310</v>
      </c>
      <c r="BK550" s="355">
        <v>2.8108000000000001E-2</v>
      </c>
    </row>
    <row r="551" spans="3:63" x14ac:dyDescent="0.15">
      <c r="C551" s="624"/>
      <c r="D551" s="355">
        <v>3.739E-2</v>
      </c>
      <c r="AV551" s="624">
        <v>42326</v>
      </c>
      <c r="AW551" s="355">
        <v>0.26550000000000001</v>
      </c>
      <c r="AX551" s="624">
        <v>42311</v>
      </c>
      <c r="AY551" s="355">
        <v>1.5980000000000001E-2</v>
      </c>
      <c r="AZ551" s="624">
        <v>42311</v>
      </c>
      <c r="BA551" s="355">
        <v>9.1000000000000004E-3</v>
      </c>
      <c r="BB551" s="624">
        <v>42311</v>
      </c>
      <c r="BC551" s="355">
        <v>0.25790000000000002</v>
      </c>
      <c r="BD551" s="624">
        <v>42311</v>
      </c>
      <c r="BE551" s="355">
        <v>8.8499999999999995E-2</v>
      </c>
      <c r="BF551" s="624">
        <v>42320</v>
      </c>
      <c r="BG551" s="355">
        <v>1.5138E-2</v>
      </c>
      <c r="BH551" s="624">
        <v>42311</v>
      </c>
      <c r="BI551" s="355">
        <v>7.4136999999999995E-2</v>
      </c>
      <c r="BJ551" s="624">
        <v>42311</v>
      </c>
      <c r="BK551" s="355">
        <v>2.8115999999999999E-2</v>
      </c>
    </row>
    <row r="552" spans="3:63" x14ac:dyDescent="0.15">
      <c r="C552" s="624"/>
      <c r="D552" s="355">
        <v>3.746E-2</v>
      </c>
      <c r="AV552" s="624">
        <v>42327</v>
      </c>
      <c r="AW552" s="355">
        <v>0.26889999999999997</v>
      </c>
      <c r="AX552" s="624">
        <v>42312</v>
      </c>
      <c r="AY552" s="355">
        <v>1.583E-2</v>
      </c>
      <c r="AZ552" s="624">
        <v>42312</v>
      </c>
      <c r="BA552" s="355">
        <v>8.9999999999999993E-3</v>
      </c>
      <c r="BB552" s="624">
        <v>42312</v>
      </c>
      <c r="BC552" s="355">
        <v>0.25600000000000001</v>
      </c>
      <c r="BD552" s="624">
        <v>42312</v>
      </c>
      <c r="BE552" s="355">
        <v>8.8099999999999998E-2</v>
      </c>
      <c r="BF552" s="624">
        <v>42321</v>
      </c>
      <c r="BG552" s="355">
        <v>1.5129E-2</v>
      </c>
      <c r="BH552" s="624">
        <v>42312</v>
      </c>
      <c r="BI552" s="355">
        <v>7.3936000000000002E-2</v>
      </c>
      <c r="BJ552" s="624">
        <v>42312</v>
      </c>
      <c r="BK552" s="355">
        <v>2.8145E-2</v>
      </c>
    </row>
    <row r="553" spans="3:63" x14ac:dyDescent="0.15">
      <c r="C553" s="624"/>
      <c r="D553" s="355">
        <v>3.746E-2</v>
      </c>
      <c r="AV553" s="624">
        <v>42328</v>
      </c>
      <c r="AW553" s="355">
        <v>0.26989999999999997</v>
      </c>
      <c r="AX553" s="624">
        <v>42313</v>
      </c>
      <c r="AY553" s="355">
        <v>1.5789999999999998E-2</v>
      </c>
      <c r="AZ553" s="624">
        <v>42313</v>
      </c>
      <c r="BA553" s="355">
        <v>8.9999999999999993E-3</v>
      </c>
      <c r="BB553" s="624">
        <v>42313</v>
      </c>
      <c r="BC553" s="355">
        <v>0.25600000000000001</v>
      </c>
      <c r="BD553" s="624">
        <v>42313</v>
      </c>
      <c r="BE553" s="355">
        <v>8.788E-2</v>
      </c>
      <c r="BF553" s="624">
        <v>42324</v>
      </c>
      <c r="BG553" s="355">
        <v>1.5164E-2</v>
      </c>
      <c r="BH553" s="624">
        <v>42313</v>
      </c>
      <c r="BI553" s="355">
        <v>7.3973999999999998E-2</v>
      </c>
      <c r="BJ553" s="624">
        <v>42313</v>
      </c>
      <c r="BK553" s="355">
        <v>2.8121E-2</v>
      </c>
    </row>
    <row r="554" spans="3:63" x14ac:dyDescent="0.15">
      <c r="C554" s="624"/>
      <c r="D554" s="355">
        <v>3.7519999999999998E-2</v>
      </c>
      <c r="AV554" s="624">
        <v>42331</v>
      </c>
      <c r="AW554" s="355">
        <v>0.26790000000000003</v>
      </c>
      <c r="AX554" s="624">
        <v>42314</v>
      </c>
      <c r="AY554" s="355">
        <v>1.55E-2</v>
      </c>
      <c r="AZ554" s="624">
        <v>42314</v>
      </c>
      <c r="BA554" s="355">
        <v>8.8999999999999999E-3</v>
      </c>
      <c r="BB554" s="624">
        <v>42314</v>
      </c>
      <c r="BC554" s="355">
        <v>0.2515</v>
      </c>
      <c r="BD554" s="624">
        <v>42314</v>
      </c>
      <c r="BE554" s="355">
        <v>8.677E-2</v>
      </c>
      <c r="BF554" s="624">
        <v>42325</v>
      </c>
      <c r="BG554" s="355">
        <v>1.5148E-2</v>
      </c>
      <c r="BH554" s="624">
        <v>42314</v>
      </c>
      <c r="BI554" s="355">
        <v>7.2900999999999994E-2</v>
      </c>
      <c r="BJ554" s="624">
        <v>42314</v>
      </c>
      <c r="BK554" s="355">
        <v>2.7910000000000001E-2</v>
      </c>
    </row>
    <row r="555" spans="3:63" x14ac:dyDescent="0.15">
      <c r="C555" s="624"/>
      <c r="D555" s="355">
        <v>3.755E-2</v>
      </c>
      <c r="AV555" s="624">
        <v>42332</v>
      </c>
      <c r="AW555" s="355">
        <v>0.2702</v>
      </c>
      <c r="AX555" s="624">
        <v>42317</v>
      </c>
      <c r="AY555" s="355">
        <v>1.5480000000000001E-2</v>
      </c>
      <c r="AZ555" s="624">
        <v>42317</v>
      </c>
      <c r="BA555" s="355">
        <v>8.8999999999999999E-3</v>
      </c>
      <c r="BB555" s="624">
        <v>42317</v>
      </c>
      <c r="BC555" s="355">
        <v>0.25259999999999999</v>
      </c>
      <c r="BD555" s="624">
        <v>42317</v>
      </c>
      <c r="BE555" s="355">
        <v>8.6330000000000004E-2</v>
      </c>
      <c r="BF555" s="624">
        <v>42326</v>
      </c>
      <c r="BG555" s="355">
        <v>1.5148999999999999E-2</v>
      </c>
      <c r="BH555" s="624">
        <v>42317</v>
      </c>
      <c r="BI555" s="355">
        <v>7.3163000000000006E-2</v>
      </c>
      <c r="BJ555" s="624">
        <v>42317</v>
      </c>
      <c r="BK555" s="355">
        <v>2.7845000000000002E-2</v>
      </c>
    </row>
    <row r="556" spans="3:63" x14ac:dyDescent="0.15">
      <c r="C556" s="624"/>
      <c r="D556" s="355">
        <v>3.7499999999999999E-2</v>
      </c>
      <c r="AV556" s="624">
        <v>42333</v>
      </c>
      <c r="AW556" s="355">
        <v>0.2671</v>
      </c>
      <c r="AX556" s="624">
        <v>42318</v>
      </c>
      <c r="AY556" s="355">
        <v>1.55E-2</v>
      </c>
      <c r="AZ556" s="624">
        <v>42318</v>
      </c>
      <c r="BA556" s="355">
        <v>8.8999999999999999E-3</v>
      </c>
      <c r="BB556" s="624">
        <v>42318</v>
      </c>
      <c r="BC556" s="355">
        <v>0.25309999999999999</v>
      </c>
      <c r="BD556" s="624">
        <v>42318</v>
      </c>
      <c r="BE556" s="355">
        <v>8.6290000000000006E-2</v>
      </c>
      <c r="BF556" s="624">
        <v>42327</v>
      </c>
      <c r="BG556" s="355">
        <v>1.5128000000000001E-2</v>
      </c>
      <c r="BH556" s="624">
        <v>42318</v>
      </c>
      <c r="BI556" s="355">
        <v>7.3598999999999998E-2</v>
      </c>
      <c r="BJ556" s="624">
        <v>42318</v>
      </c>
      <c r="BK556" s="355">
        <v>2.7871E-2</v>
      </c>
    </row>
    <row r="557" spans="3:63" x14ac:dyDescent="0.15">
      <c r="C557" s="624"/>
      <c r="D557" s="355">
        <v>3.7499999999999999E-2</v>
      </c>
      <c r="AV557" s="624">
        <v>42334</v>
      </c>
      <c r="AW557" s="355">
        <v>0.26719999999999999</v>
      </c>
      <c r="AX557" s="624">
        <v>42319</v>
      </c>
      <c r="AY557" s="355">
        <v>1.528E-2</v>
      </c>
      <c r="AZ557" s="624">
        <v>42319</v>
      </c>
      <c r="BA557" s="355">
        <v>8.8999999999999999E-3</v>
      </c>
      <c r="BB557" s="624">
        <v>42319</v>
      </c>
      <c r="BC557" s="355">
        <v>0.25490000000000002</v>
      </c>
      <c r="BD557" s="624">
        <v>42319</v>
      </c>
      <c r="BE557" s="355">
        <v>8.6559999999999998E-2</v>
      </c>
      <c r="BF557" s="624">
        <v>42328</v>
      </c>
      <c r="BG557" s="355">
        <v>1.5127E-2</v>
      </c>
      <c r="BH557" s="624">
        <v>42319</v>
      </c>
      <c r="BI557" s="355">
        <v>7.3638999999999996E-2</v>
      </c>
      <c r="BJ557" s="624">
        <v>42319</v>
      </c>
      <c r="BK557" s="355">
        <v>2.7893000000000001E-2</v>
      </c>
    </row>
    <row r="558" spans="3:63" x14ac:dyDescent="0.15">
      <c r="C558" s="624"/>
      <c r="D558" s="355">
        <v>3.7519999999999998E-2</v>
      </c>
      <c r="AV558" s="624">
        <v>42335</v>
      </c>
      <c r="AW558" s="355">
        <v>0.26</v>
      </c>
      <c r="AX558" s="624">
        <v>42320</v>
      </c>
      <c r="AY558" s="355">
        <v>1.4970000000000001E-2</v>
      </c>
      <c r="AZ558" s="624">
        <v>42320</v>
      </c>
      <c r="BA558" s="355">
        <v>8.9999999999999993E-3</v>
      </c>
      <c r="BB558" s="624">
        <v>42320</v>
      </c>
      <c r="BC558" s="355">
        <v>0.25540000000000002</v>
      </c>
      <c r="BD558" s="624">
        <v>42320</v>
      </c>
      <c r="BE558" s="355">
        <v>8.6260000000000003E-2</v>
      </c>
      <c r="BF558" s="624">
        <v>42331</v>
      </c>
      <c r="BG558" s="355">
        <v>1.506E-2</v>
      </c>
      <c r="BH558" s="624">
        <v>42320</v>
      </c>
      <c r="BI558" s="355">
        <v>7.3398000000000005E-2</v>
      </c>
      <c r="BJ558" s="624">
        <v>42320</v>
      </c>
      <c r="BK558" s="355">
        <v>2.7892E-2</v>
      </c>
    </row>
    <row r="559" spans="3:63" x14ac:dyDescent="0.15">
      <c r="C559" s="624"/>
      <c r="D559" s="355">
        <v>3.7490000000000002E-2</v>
      </c>
      <c r="AV559" s="624">
        <v>42338</v>
      </c>
      <c r="AW559" s="355">
        <v>0.25850000000000001</v>
      </c>
      <c r="AX559" s="624">
        <v>42321</v>
      </c>
      <c r="AY559" s="355">
        <v>1.498E-2</v>
      </c>
      <c r="AZ559" s="624">
        <v>42321</v>
      </c>
      <c r="BA559" s="355">
        <v>8.8999999999999999E-3</v>
      </c>
      <c r="BB559" s="624">
        <v>42321</v>
      </c>
      <c r="BC559" s="355">
        <v>0.25380000000000003</v>
      </c>
      <c r="BD559" s="624">
        <v>42321</v>
      </c>
      <c r="BE559" s="355">
        <v>8.5440000000000002E-2</v>
      </c>
      <c r="BF559" s="624">
        <v>42332</v>
      </c>
      <c r="BG559" s="355">
        <v>1.5082999999999999E-2</v>
      </c>
      <c r="BH559" s="624">
        <v>42321</v>
      </c>
      <c r="BI559" s="355">
        <v>7.2558999999999998E-2</v>
      </c>
      <c r="BJ559" s="624">
        <v>42321</v>
      </c>
      <c r="BK559" s="355">
        <v>2.7852999999999999E-2</v>
      </c>
    </row>
    <row r="560" spans="3:63" x14ac:dyDescent="0.15">
      <c r="C560" s="624"/>
      <c r="D560" s="355">
        <v>3.7519999999999998E-2</v>
      </c>
      <c r="AV560" s="624">
        <v>42339</v>
      </c>
      <c r="AW560" s="355">
        <v>0.25919999999999999</v>
      </c>
      <c r="AX560" s="624">
        <v>42324</v>
      </c>
      <c r="AY560" s="355">
        <v>1.5310000000000001E-2</v>
      </c>
      <c r="AZ560" s="624">
        <v>42324</v>
      </c>
      <c r="BA560" s="355">
        <v>8.8999999999999999E-3</v>
      </c>
      <c r="BB560" s="624">
        <v>42324</v>
      </c>
      <c r="BC560" s="355">
        <v>0.25180000000000002</v>
      </c>
      <c r="BD560" s="624">
        <v>42324</v>
      </c>
      <c r="BE560" s="355">
        <v>8.5500000000000007E-2</v>
      </c>
      <c r="BF560" s="624">
        <v>42333</v>
      </c>
      <c r="BG560" s="355">
        <v>1.5068E-2</v>
      </c>
      <c r="BH560" s="624">
        <v>42324</v>
      </c>
      <c r="BI560" s="355">
        <v>7.2778999999999996E-2</v>
      </c>
      <c r="BJ560" s="624">
        <v>42324</v>
      </c>
      <c r="BK560" s="355">
        <v>2.7802E-2</v>
      </c>
    </row>
    <row r="561" spans="3:63" x14ac:dyDescent="0.15">
      <c r="C561" s="624"/>
      <c r="D561" s="355">
        <v>3.7490000000000002E-2</v>
      </c>
      <c r="AV561" s="624">
        <v>42340</v>
      </c>
      <c r="AW561" s="355">
        <v>0.26079999999999998</v>
      </c>
      <c r="AX561" s="624">
        <v>42325</v>
      </c>
      <c r="AY561" s="355">
        <v>1.5339999999999999E-2</v>
      </c>
      <c r="AZ561" s="624">
        <v>42325</v>
      </c>
      <c r="BA561" s="355">
        <v>8.8000000000000005E-3</v>
      </c>
      <c r="BB561" s="624">
        <v>42325</v>
      </c>
      <c r="BC561" s="355">
        <v>0.25069999999999998</v>
      </c>
      <c r="BD561" s="624">
        <v>42325</v>
      </c>
      <c r="BE561" s="355">
        <v>8.5489999999999997E-2</v>
      </c>
      <c r="BF561" s="624">
        <v>42334</v>
      </c>
      <c r="BG561" s="355">
        <v>1.5008000000000001E-2</v>
      </c>
      <c r="BH561" s="624">
        <v>42325</v>
      </c>
      <c r="BI561" s="355">
        <v>7.2721999999999995E-2</v>
      </c>
      <c r="BJ561" s="624">
        <v>42325</v>
      </c>
      <c r="BK561" s="355">
        <v>2.7779999999999999E-2</v>
      </c>
    </row>
    <row r="562" spans="3:63" x14ac:dyDescent="0.15">
      <c r="C562" s="624"/>
      <c r="D562" s="355">
        <v>3.755E-2</v>
      </c>
      <c r="AV562" s="624">
        <v>42341</v>
      </c>
      <c r="AW562" s="355">
        <v>0.26600000000000001</v>
      </c>
      <c r="AX562" s="624">
        <v>42326</v>
      </c>
      <c r="AY562" s="355">
        <v>1.5429999999999999E-2</v>
      </c>
      <c r="AZ562" s="624">
        <v>42326</v>
      </c>
      <c r="BA562" s="355">
        <v>8.8000000000000005E-3</v>
      </c>
      <c r="BB562" s="624">
        <v>42326</v>
      </c>
      <c r="BC562" s="355">
        <v>0.251</v>
      </c>
      <c r="BD562" s="624">
        <v>42326</v>
      </c>
      <c r="BE562" s="355">
        <v>8.5709999999999995E-2</v>
      </c>
      <c r="BF562" s="624">
        <v>42335</v>
      </c>
      <c r="BG562" s="355">
        <v>1.4959E-2</v>
      </c>
      <c r="BH562" s="624">
        <v>42326</v>
      </c>
      <c r="BI562" s="355">
        <v>7.2521000000000002E-2</v>
      </c>
      <c r="BJ562" s="624">
        <v>42326</v>
      </c>
      <c r="BK562" s="355">
        <v>2.7791E-2</v>
      </c>
    </row>
    <row r="563" spans="3:63" x14ac:dyDescent="0.15">
      <c r="C563" s="624"/>
      <c r="D563" s="355">
        <v>3.7670000000000002E-2</v>
      </c>
      <c r="AV563" s="624">
        <v>42342</v>
      </c>
      <c r="AW563" s="355">
        <v>0.26650000000000001</v>
      </c>
      <c r="AX563" s="624">
        <v>42327</v>
      </c>
      <c r="AY563" s="355">
        <v>1.55E-2</v>
      </c>
      <c r="AZ563" s="624">
        <v>42327</v>
      </c>
      <c r="BA563" s="355">
        <v>8.8999999999999999E-3</v>
      </c>
      <c r="BB563" s="624">
        <v>42327</v>
      </c>
      <c r="BC563" s="355">
        <v>0.25240000000000001</v>
      </c>
      <c r="BD563" s="624">
        <v>42327</v>
      </c>
      <c r="BE563" s="355">
        <v>8.6529999999999996E-2</v>
      </c>
      <c r="BF563" s="624">
        <v>42338</v>
      </c>
      <c r="BG563" s="355">
        <v>1.5034E-2</v>
      </c>
      <c r="BH563" s="624">
        <v>42327</v>
      </c>
      <c r="BI563" s="355">
        <v>7.3201000000000002E-2</v>
      </c>
      <c r="BJ563" s="624">
        <v>42327</v>
      </c>
      <c r="BK563" s="355">
        <v>2.7966000000000001E-2</v>
      </c>
    </row>
    <row r="564" spans="3:63" x14ac:dyDescent="0.15">
      <c r="C564" s="624"/>
      <c r="D564" s="355">
        <v>3.7650000000000003E-2</v>
      </c>
      <c r="AV564" s="624">
        <v>42345</v>
      </c>
      <c r="AW564" s="355">
        <v>0.26540000000000002</v>
      </c>
      <c r="AX564" s="624">
        <v>42328</v>
      </c>
      <c r="AY564" s="355">
        <v>1.546E-2</v>
      </c>
      <c r="AZ564" s="624">
        <v>42328</v>
      </c>
      <c r="BA564" s="355">
        <v>8.8000000000000005E-3</v>
      </c>
      <c r="BB564" s="624">
        <v>42328</v>
      </c>
      <c r="BC564" s="355">
        <v>0.25119999999999998</v>
      </c>
      <c r="BD564" s="624">
        <v>42328</v>
      </c>
      <c r="BE564" s="355">
        <v>8.6610000000000006E-2</v>
      </c>
      <c r="BF564" s="624">
        <v>42339</v>
      </c>
      <c r="BG564" s="355">
        <v>1.5051E-2</v>
      </c>
      <c r="BH564" s="624">
        <v>42328</v>
      </c>
      <c r="BI564" s="355">
        <v>7.3271000000000003E-2</v>
      </c>
      <c r="BJ564" s="624">
        <v>42328</v>
      </c>
      <c r="BK564" s="355">
        <v>2.7987999999999999E-2</v>
      </c>
    </row>
    <row r="565" spans="3:63" x14ac:dyDescent="0.15">
      <c r="C565" s="624"/>
      <c r="D565" s="355">
        <v>3.7850000000000002E-2</v>
      </c>
      <c r="AV565" s="624">
        <v>42346</v>
      </c>
      <c r="AW565" s="355">
        <v>0.26340000000000002</v>
      </c>
      <c r="AX565" s="624">
        <v>42331</v>
      </c>
      <c r="AY565" s="355">
        <v>1.519E-2</v>
      </c>
      <c r="AZ565" s="624">
        <v>42331</v>
      </c>
      <c r="BA565" s="355">
        <v>8.8000000000000005E-3</v>
      </c>
      <c r="BB565" s="624">
        <v>42331</v>
      </c>
      <c r="BC565" s="355">
        <v>0.25009999999999999</v>
      </c>
      <c r="BD565" s="624">
        <v>42331</v>
      </c>
      <c r="BE565" s="355">
        <v>8.6290000000000006E-2</v>
      </c>
      <c r="BF565" s="624">
        <v>42340</v>
      </c>
      <c r="BG565" s="355">
        <v>1.5018999999999999E-2</v>
      </c>
      <c r="BH565" s="624">
        <v>42331</v>
      </c>
      <c r="BI565" s="355">
        <v>7.3088E-2</v>
      </c>
      <c r="BJ565" s="624">
        <v>42331</v>
      </c>
      <c r="BK565" s="355">
        <v>2.7904999999999999E-2</v>
      </c>
    </row>
    <row r="566" spans="3:63" x14ac:dyDescent="0.15">
      <c r="C566" s="624"/>
      <c r="D566" s="355">
        <v>3.7940000000000002E-2</v>
      </c>
      <c r="AV566" s="624">
        <v>42347</v>
      </c>
      <c r="AW566" s="355">
        <v>0.26669999999999999</v>
      </c>
      <c r="AX566" s="624">
        <v>42332</v>
      </c>
      <c r="AY566" s="355">
        <v>1.528E-2</v>
      </c>
      <c r="AZ566" s="624">
        <v>42332</v>
      </c>
      <c r="BA566" s="355">
        <v>8.8000000000000005E-3</v>
      </c>
      <c r="BB566" s="624">
        <v>42332</v>
      </c>
      <c r="BC566" s="355">
        <v>0.24970000000000001</v>
      </c>
      <c r="BD566" s="624">
        <v>42332</v>
      </c>
      <c r="BE566" s="355">
        <v>8.72E-2</v>
      </c>
      <c r="BF566" s="624">
        <v>42341</v>
      </c>
      <c r="BG566" s="355">
        <v>1.4968E-2</v>
      </c>
      <c r="BH566" s="624">
        <v>42332</v>
      </c>
      <c r="BI566" s="355">
        <v>7.3341000000000003E-2</v>
      </c>
      <c r="BJ566" s="624">
        <v>42332</v>
      </c>
      <c r="BK566" s="355">
        <v>2.7975E-2</v>
      </c>
    </row>
    <row r="567" spans="3:63" x14ac:dyDescent="0.15">
      <c r="C567" s="624"/>
      <c r="D567" s="355">
        <v>3.8030000000000001E-2</v>
      </c>
      <c r="AV567" s="624">
        <v>42348</v>
      </c>
      <c r="AW567" s="355">
        <v>0.26229999999999998</v>
      </c>
      <c r="AX567" s="624">
        <v>42333</v>
      </c>
      <c r="AY567" s="355">
        <v>1.525E-2</v>
      </c>
      <c r="AZ567" s="624">
        <v>42333</v>
      </c>
      <c r="BA567" s="355">
        <v>8.8000000000000005E-3</v>
      </c>
      <c r="BB567" s="624">
        <v>42333</v>
      </c>
      <c r="BC567" s="355">
        <v>0.24879999999999999</v>
      </c>
      <c r="BD567" s="624">
        <v>42333</v>
      </c>
      <c r="BE567" s="355">
        <v>8.7400000000000005E-2</v>
      </c>
      <c r="BF567" s="624">
        <v>42342</v>
      </c>
      <c r="BG567" s="355">
        <v>1.4999E-2</v>
      </c>
      <c r="BH567" s="624">
        <v>42333</v>
      </c>
      <c r="BI567" s="355">
        <v>7.2705000000000006E-2</v>
      </c>
      <c r="BJ567" s="624">
        <v>42333</v>
      </c>
      <c r="BK567" s="355">
        <v>2.8022999999999999E-2</v>
      </c>
    </row>
    <row r="568" spans="3:63" x14ac:dyDescent="0.15">
      <c r="C568" s="624"/>
      <c r="D568" s="355">
        <v>3.7969999999999997E-2</v>
      </c>
      <c r="AV568" s="624">
        <v>42349</v>
      </c>
      <c r="AW568" s="355">
        <v>0.25819999999999999</v>
      </c>
      <c r="AX568" s="624">
        <v>42334</v>
      </c>
      <c r="AY568" s="355">
        <v>1.5180000000000001E-2</v>
      </c>
      <c r="AZ568" s="624">
        <v>42334</v>
      </c>
      <c r="BA568" s="355">
        <v>8.8000000000000005E-3</v>
      </c>
      <c r="BB568" s="624">
        <v>42334</v>
      </c>
      <c r="BC568" s="355">
        <v>0.24829999999999999</v>
      </c>
      <c r="BD568" s="624">
        <v>42334</v>
      </c>
      <c r="BE568" s="355">
        <v>8.7040000000000006E-2</v>
      </c>
      <c r="BF568" s="624">
        <v>42345</v>
      </c>
      <c r="BG568" s="355">
        <v>1.4976E-2</v>
      </c>
      <c r="BH568" s="624">
        <v>42334</v>
      </c>
      <c r="BI568" s="355">
        <v>7.2474999999999998E-2</v>
      </c>
      <c r="BJ568" s="624">
        <v>42334</v>
      </c>
      <c r="BK568" s="355">
        <v>2.8014000000000001E-2</v>
      </c>
    </row>
    <row r="569" spans="3:63" x14ac:dyDescent="0.15">
      <c r="C569" s="624"/>
      <c r="D569" s="355">
        <v>3.8080000000000003E-2</v>
      </c>
      <c r="AV569" s="624">
        <v>42352</v>
      </c>
      <c r="AW569" s="355">
        <v>0.25790000000000002</v>
      </c>
      <c r="AX569" s="624">
        <v>42335</v>
      </c>
      <c r="AY569" s="355">
        <v>1.5049999999999999E-2</v>
      </c>
      <c r="AZ569" s="624">
        <v>42335</v>
      </c>
      <c r="BA569" s="355">
        <v>8.6999999999999994E-3</v>
      </c>
      <c r="BB569" s="624">
        <v>42335</v>
      </c>
      <c r="BC569" s="355">
        <v>0.248</v>
      </c>
      <c r="BD569" s="624">
        <v>42335</v>
      </c>
      <c r="BE569" s="355">
        <v>8.6449999999999999E-2</v>
      </c>
      <c r="BF569" s="624">
        <v>42346</v>
      </c>
      <c r="BG569" s="355">
        <v>1.4957E-2</v>
      </c>
      <c r="BH569" s="624">
        <v>42335</v>
      </c>
      <c r="BI569" s="355">
        <v>7.2314000000000003E-2</v>
      </c>
      <c r="BJ569" s="624">
        <v>42335</v>
      </c>
      <c r="BK569" s="355">
        <v>2.7866999999999999E-2</v>
      </c>
    </row>
    <row r="570" spans="3:63" x14ac:dyDescent="0.15">
      <c r="C570" s="624"/>
      <c r="D570" s="355">
        <v>3.8190000000000002E-2</v>
      </c>
      <c r="AV570" s="624">
        <v>42353</v>
      </c>
      <c r="AW570" s="355">
        <v>0.25819999999999999</v>
      </c>
      <c r="AX570" s="624">
        <v>42338</v>
      </c>
      <c r="AY570" s="355">
        <v>1.506E-2</v>
      </c>
      <c r="AZ570" s="624">
        <v>42338</v>
      </c>
      <c r="BA570" s="355">
        <v>8.6999999999999994E-3</v>
      </c>
      <c r="BB570" s="624">
        <v>42338</v>
      </c>
      <c r="BC570" s="355">
        <v>0.24740000000000001</v>
      </c>
      <c r="BD570" s="624">
        <v>42338</v>
      </c>
      <c r="BE570" s="355">
        <v>8.6220000000000005E-2</v>
      </c>
      <c r="BF570" s="624">
        <v>42347</v>
      </c>
      <c r="BG570" s="355">
        <v>1.4956000000000001E-2</v>
      </c>
      <c r="BH570" s="624">
        <v>42338</v>
      </c>
      <c r="BI570" s="355">
        <v>7.2150000000000006E-2</v>
      </c>
      <c r="BJ570" s="624">
        <v>42338</v>
      </c>
      <c r="BK570" s="355">
        <v>2.7923E-2</v>
      </c>
    </row>
    <row r="571" spans="3:63" x14ac:dyDescent="0.15">
      <c r="C571" s="624"/>
      <c r="D571" s="355">
        <v>3.8190000000000002E-2</v>
      </c>
      <c r="AV571" s="624">
        <v>42354</v>
      </c>
      <c r="AW571" s="355">
        <v>0.25740000000000002</v>
      </c>
      <c r="AX571" s="624">
        <v>42339</v>
      </c>
      <c r="AY571" s="355">
        <v>1.498E-2</v>
      </c>
      <c r="AZ571" s="624">
        <v>42339</v>
      </c>
      <c r="BA571" s="355">
        <v>8.8000000000000005E-3</v>
      </c>
      <c r="BB571" s="624">
        <v>42339</v>
      </c>
      <c r="BC571" s="355">
        <v>0.24840000000000001</v>
      </c>
      <c r="BD571" s="624">
        <v>42339</v>
      </c>
      <c r="BE571" s="355">
        <v>8.6529999999999996E-2</v>
      </c>
      <c r="BF571" s="624">
        <v>42348</v>
      </c>
      <c r="BG571" s="355">
        <v>1.4978E-2</v>
      </c>
      <c r="BH571" s="624">
        <v>42339</v>
      </c>
      <c r="BI571" s="355">
        <v>7.2475999999999999E-2</v>
      </c>
      <c r="BJ571" s="624">
        <v>42339</v>
      </c>
      <c r="BK571" s="355">
        <v>2.7966000000000001E-2</v>
      </c>
    </row>
    <row r="572" spans="3:63" x14ac:dyDescent="0.15">
      <c r="C572" s="624"/>
      <c r="D572" s="355">
        <v>3.8199999999999998E-2</v>
      </c>
      <c r="AV572" s="624">
        <v>42355</v>
      </c>
      <c r="AW572" s="355">
        <v>0.25779999999999997</v>
      </c>
      <c r="AX572" s="624">
        <v>42340</v>
      </c>
      <c r="AY572" s="355">
        <v>1.4840000000000001E-2</v>
      </c>
      <c r="AZ572" s="624">
        <v>42340</v>
      </c>
      <c r="BA572" s="355">
        <v>8.6999999999999994E-3</v>
      </c>
      <c r="BB572" s="624">
        <v>42340</v>
      </c>
      <c r="BC572" s="355">
        <v>0.24809999999999999</v>
      </c>
      <c r="BD572" s="624">
        <v>42340</v>
      </c>
      <c r="BE572" s="355">
        <v>8.5980000000000001E-2</v>
      </c>
      <c r="BF572" s="624">
        <v>42349</v>
      </c>
      <c r="BG572" s="355">
        <v>1.4891E-2</v>
      </c>
      <c r="BH572" s="624">
        <v>42340</v>
      </c>
      <c r="BI572" s="355">
        <v>7.2303000000000006E-2</v>
      </c>
      <c r="BJ572" s="624">
        <v>42340</v>
      </c>
      <c r="BK572" s="355">
        <v>2.7878E-2</v>
      </c>
    </row>
    <row r="573" spans="3:63" x14ac:dyDescent="0.15">
      <c r="C573" s="624"/>
      <c r="D573" s="355">
        <v>3.8179999999999999E-2</v>
      </c>
      <c r="AV573" s="624">
        <v>42356</v>
      </c>
      <c r="AW573" s="355">
        <v>0.25109999999999999</v>
      </c>
      <c r="AX573" s="624">
        <v>42341</v>
      </c>
      <c r="AY573" s="355">
        <v>1.4800000000000001E-2</v>
      </c>
      <c r="AZ573" s="624">
        <v>42341</v>
      </c>
      <c r="BA573" s="355">
        <v>8.9999999999999993E-3</v>
      </c>
      <c r="BB573" s="624">
        <v>42341</v>
      </c>
      <c r="BC573" s="355">
        <v>0.2525</v>
      </c>
      <c r="BD573" s="624">
        <v>42341</v>
      </c>
      <c r="BE573" s="355">
        <v>8.6650000000000005E-2</v>
      </c>
      <c r="BF573" s="624">
        <v>42352</v>
      </c>
      <c r="BG573" s="355">
        <v>1.4907999999999999E-2</v>
      </c>
      <c r="BH573" s="624">
        <v>42341</v>
      </c>
      <c r="BI573" s="355">
        <v>7.2409000000000001E-2</v>
      </c>
      <c r="BJ573" s="624">
        <v>42341</v>
      </c>
      <c r="BK573" s="355">
        <v>2.7904000000000002E-2</v>
      </c>
    </row>
    <row r="574" spans="3:63" x14ac:dyDescent="0.15">
      <c r="C574" s="624"/>
      <c r="D574" s="355">
        <v>3.8129999999999997E-2</v>
      </c>
      <c r="AV574" s="624">
        <v>42359</v>
      </c>
      <c r="AW574" s="355">
        <v>0.2492</v>
      </c>
      <c r="AX574" s="624">
        <v>42342</v>
      </c>
      <c r="AY574" s="355">
        <v>1.468E-2</v>
      </c>
      <c r="AZ574" s="624">
        <v>42342</v>
      </c>
      <c r="BA574" s="355">
        <v>8.8999999999999999E-3</v>
      </c>
      <c r="BB574" s="624">
        <v>42342</v>
      </c>
      <c r="BC574" s="355">
        <v>0.25209999999999999</v>
      </c>
      <c r="BD574" s="624">
        <v>42342</v>
      </c>
      <c r="BE574" s="355">
        <v>8.5930000000000006E-2</v>
      </c>
      <c r="BF574" s="624">
        <v>42353</v>
      </c>
      <c r="BG574" s="355">
        <v>1.4956000000000001E-2</v>
      </c>
      <c r="BH574" s="624">
        <v>42342</v>
      </c>
      <c r="BI574" s="355">
        <v>7.2419999999999998E-2</v>
      </c>
      <c r="BJ574" s="624">
        <v>42342</v>
      </c>
      <c r="BK574" s="355">
        <v>2.7972E-2</v>
      </c>
    </row>
    <row r="575" spans="3:63" x14ac:dyDescent="0.15">
      <c r="C575" s="624"/>
      <c r="D575" s="355">
        <v>3.8030000000000001E-2</v>
      </c>
      <c r="AV575" s="624">
        <v>42360</v>
      </c>
      <c r="AW575" s="355">
        <v>0.25059999999999999</v>
      </c>
      <c r="AX575" s="624">
        <v>42345</v>
      </c>
      <c r="AY575" s="355">
        <v>1.4449999999999999E-2</v>
      </c>
      <c r="AZ575" s="624">
        <v>42345</v>
      </c>
      <c r="BA575" s="355">
        <v>8.8999999999999999E-3</v>
      </c>
      <c r="BB575" s="624">
        <v>42345</v>
      </c>
      <c r="BC575" s="355">
        <v>0.25069999999999998</v>
      </c>
      <c r="BD575" s="624">
        <v>42345</v>
      </c>
      <c r="BE575" s="355">
        <v>8.5010000000000002E-2</v>
      </c>
      <c r="BF575" s="624">
        <v>42354</v>
      </c>
      <c r="BG575" s="355">
        <v>1.5056999999999999E-2</v>
      </c>
      <c r="BH575" s="624">
        <v>42345</v>
      </c>
      <c r="BI575" s="355">
        <v>7.2033E-2</v>
      </c>
      <c r="BJ575" s="624">
        <v>42345</v>
      </c>
      <c r="BK575" s="355">
        <v>2.7862999999999999E-2</v>
      </c>
    </row>
    <row r="576" spans="3:63" x14ac:dyDescent="0.15">
      <c r="C576" s="624"/>
      <c r="D576" s="355">
        <v>3.8100000000000002E-2</v>
      </c>
      <c r="AV576" s="624">
        <v>42361</v>
      </c>
      <c r="AW576" s="355">
        <v>0.25369999999999998</v>
      </c>
      <c r="AX576" s="624">
        <v>42346</v>
      </c>
      <c r="AY576" s="355">
        <v>1.4420000000000001E-2</v>
      </c>
      <c r="AZ576" s="624">
        <v>42346</v>
      </c>
      <c r="BA576" s="355">
        <v>8.8999999999999999E-3</v>
      </c>
      <c r="BB576" s="624">
        <v>42346</v>
      </c>
      <c r="BC576" s="355">
        <v>0.25080000000000002</v>
      </c>
      <c r="BD576" s="624">
        <v>42346</v>
      </c>
      <c r="BE576" s="355">
        <v>8.4739999999999996E-2</v>
      </c>
      <c r="BF576" s="624">
        <v>42355</v>
      </c>
      <c r="BG576" s="355">
        <v>1.5055000000000001E-2</v>
      </c>
      <c r="BH576" s="624">
        <v>42346</v>
      </c>
      <c r="BI576" s="355">
        <v>7.1425000000000002E-2</v>
      </c>
      <c r="BJ576" s="624">
        <v>42346</v>
      </c>
      <c r="BK576" s="355">
        <v>2.7822E-2</v>
      </c>
    </row>
    <row r="577" spans="3:63" x14ac:dyDescent="0.15">
      <c r="C577" s="624"/>
      <c r="D577" s="355">
        <v>3.814E-2</v>
      </c>
      <c r="AV577" s="624">
        <v>42362</v>
      </c>
      <c r="AW577" s="355">
        <v>0.2535</v>
      </c>
      <c r="AX577" s="624">
        <v>42347</v>
      </c>
      <c r="AY577" s="355">
        <v>1.435E-2</v>
      </c>
      <c r="AZ577" s="624">
        <v>42347</v>
      </c>
      <c r="BA577" s="355">
        <v>8.9999999999999993E-3</v>
      </c>
      <c r="BB577" s="624">
        <v>42347</v>
      </c>
      <c r="BC577" s="355">
        <v>0.25359999999999999</v>
      </c>
      <c r="BD577" s="624">
        <v>42347</v>
      </c>
      <c r="BE577" s="355">
        <v>8.4620000000000001E-2</v>
      </c>
      <c r="BF577" s="624">
        <v>42356</v>
      </c>
      <c r="BG577" s="355">
        <v>1.5075E-2</v>
      </c>
      <c r="BH577" s="624">
        <v>42347</v>
      </c>
      <c r="BI577" s="355">
        <v>7.1614999999999998E-2</v>
      </c>
      <c r="BJ577" s="624">
        <v>42347</v>
      </c>
      <c r="BK577" s="355">
        <v>2.7788E-2</v>
      </c>
    </row>
    <row r="578" spans="3:63" x14ac:dyDescent="0.15">
      <c r="C578" s="624"/>
      <c r="D578" s="355">
        <v>3.8059999999999997E-2</v>
      </c>
      <c r="AV578" s="624">
        <v>42366</v>
      </c>
      <c r="AW578" s="355">
        <v>0.25919999999999999</v>
      </c>
      <c r="AX578" s="624">
        <v>42348</v>
      </c>
      <c r="AY578" s="355">
        <v>1.453E-2</v>
      </c>
      <c r="AZ578" s="624">
        <v>42348</v>
      </c>
      <c r="BA578" s="355">
        <v>8.8999999999999999E-3</v>
      </c>
      <c r="BB578" s="624">
        <v>42348</v>
      </c>
      <c r="BC578" s="355">
        <v>0.25169999999999998</v>
      </c>
      <c r="BD578" s="624">
        <v>42348</v>
      </c>
      <c r="BE578" s="355">
        <v>8.4820000000000007E-2</v>
      </c>
      <c r="BF578" s="624">
        <v>42359</v>
      </c>
      <c r="BG578" s="355">
        <v>1.5091E-2</v>
      </c>
      <c r="BH578" s="624">
        <v>42348</v>
      </c>
      <c r="BI578" s="355">
        <v>7.1651999999999993E-2</v>
      </c>
      <c r="BJ578" s="624">
        <v>42348</v>
      </c>
      <c r="BK578" s="355">
        <v>2.7730999999999999E-2</v>
      </c>
    </row>
    <row r="579" spans="3:63" x14ac:dyDescent="0.15">
      <c r="C579" s="624"/>
      <c r="D579" s="355">
        <v>3.7960000000000001E-2</v>
      </c>
      <c r="AV579" s="624">
        <v>42367</v>
      </c>
      <c r="AW579" s="355">
        <v>0.25869999999999999</v>
      </c>
      <c r="AX579" s="624">
        <v>42349</v>
      </c>
      <c r="AY579" s="355">
        <v>1.421E-2</v>
      </c>
      <c r="AZ579" s="624">
        <v>42349</v>
      </c>
      <c r="BA579" s="355">
        <v>8.9999999999999993E-3</v>
      </c>
      <c r="BB579" s="624">
        <v>42349</v>
      </c>
      <c r="BC579" s="355">
        <v>0.25169999999999998</v>
      </c>
      <c r="BD579" s="624">
        <v>42349</v>
      </c>
      <c r="BE579" s="355">
        <v>8.4209999999999993E-2</v>
      </c>
      <c r="BF579" s="624">
        <v>42360</v>
      </c>
      <c r="BG579" s="355">
        <v>1.5095000000000001E-2</v>
      </c>
      <c r="BH579" s="624">
        <v>42349</v>
      </c>
      <c r="BI579" s="355">
        <v>7.0720000000000005E-2</v>
      </c>
      <c r="BJ579" s="624">
        <v>42349</v>
      </c>
      <c r="BK579" s="355">
        <v>2.7678000000000001E-2</v>
      </c>
    </row>
    <row r="580" spans="3:63" x14ac:dyDescent="0.15">
      <c r="C580" s="624"/>
      <c r="D580" s="355">
        <v>3.7909999999999999E-2</v>
      </c>
      <c r="AV580" s="624">
        <v>42368</v>
      </c>
      <c r="AW580" s="355">
        <v>0.2525</v>
      </c>
      <c r="AX580" s="624">
        <v>42352</v>
      </c>
      <c r="AY580" s="355">
        <v>1.417E-2</v>
      </c>
      <c r="AZ580" s="624">
        <v>42352</v>
      </c>
      <c r="BA580" s="355">
        <v>8.9999999999999993E-3</v>
      </c>
      <c r="BB580" s="624">
        <v>42352</v>
      </c>
      <c r="BC580" s="355">
        <v>0.25180000000000002</v>
      </c>
      <c r="BD580" s="624">
        <v>42352</v>
      </c>
      <c r="BE580" s="355">
        <v>8.4449999999999997E-2</v>
      </c>
      <c r="BF580" s="624">
        <v>42361</v>
      </c>
      <c r="BG580" s="355">
        <v>1.5134E-2</v>
      </c>
      <c r="BH580" s="624">
        <v>42352</v>
      </c>
      <c r="BI580" s="355">
        <v>7.0930999999999994E-2</v>
      </c>
      <c r="BJ580" s="624">
        <v>42352</v>
      </c>
      <c r="BK580" s="355">
        <v>2.7681000000000001E-2</v>
      </c>
    </row>
    <row r="581" spans="3:63" x14ac:dyDescent="0.15">
      <c r="C581" s="624"/>
      <c r="D581" s="355">
        <v>3.7879999999999997E-2</v>
      </c>
      <c r="AV581" s="624">
        <v>42369</v>
      </c>
      <c r="AW581" s="355">
        <v>0.2525</v>
      </c>
      <c r="AX581" s="624">
        <v>42353</v>
      </c>
      <c r="AY581" s="355">
        <v>1.43E-2</v>
      </c>
      <c r="AZ581" s="624">
        <v>42353</v>
      </c>
      <c r="BA581" s="355">
        <v>8.8999999999999999E-3</v>
      </c>
      <c r="BB581" s="624">
        <v>42353</v>
      </c>
      <c r="BC581" s="355">
        <v>0.25340000000000001</v>
      </c>
      <c r="BD581" s="624">
        <v>42353</v>
      </c>
      <c r="BE581" s="355">
        <v>8.5129999999999997E-2</v>
      </c>
      <c r="BF581" s="624">
        <v>42366</v>
      </c>
      <c r="BG581" s="355">
        <v>1.5119E-2</v>
      </c>
      <c r="BH581" s="624">
        <v>42353</v>
      </c>
      <c r="BI581" s="355">
        <v>7.1063000000000001E-2</v>
      </c>
      <c r="BJ581" s="624">
        <v>42353</v>
      </c>
      <c r="BK581" s="355">
        <v>2.7823000000000001E-2</v>
      </c>
    </row>
    <row r="582" spans="3:63" x14ac:dyDescent="0.15">
      <c r="C582" s="624"/>
      <c r="D582" s="355">
        <v>3.8010000000000002E-2</v>
      </c>
      <c r="AV582" s="624">
        <v>42373</v>
      </c>
      <c r="AW582" s="355">
        <v>0.2475</v>
      </c>
      <c r="AX582" s="624">
        <v>42354</v>
      </c>
      <c r="AY582" s="355">
        <v>1.421E-2</v>
      </c>
      <c r="AZ582" s="624">
        <v>42354</v>
      </c>
      <c r="BA582" s="355">
        <v>8.8999999999999999E-3</v>
      </c>
      <c r="BB582" s="624">
        <v>42354</v>
      </c>
      <c r="BC582" s="355">
        <v>0.25369999999999998</v>
      </c>
      <c r="BD582" s="624">
        <v>42354</v>
      </c>
      <c r="BE582" s="355">
        <v>8.5260000000000002E-2</v>
      </c>
      <c r="BF582" s="624">
        <v>42367</v>
      </c>
      <c r="BG582" s="355">
        <v>1.5096E-2</v>
      </c>
      <c r="BH582" s="624">
        <v>42354</v>
      </c>
      <c r="BI582" s="355">
        <v>7.1848999999999996E-2</v>
      </c>
      <c r="BJ582" s="624">
        <v>42354</v>
      </c>
      <c r="BK582" s="355">
        <v>2.7844000000000001E-2</v>
      </c>
    </row>
    <row r="583" spans="3:63" x14ac:dyDescent="0.15">
      <c r="C583" s="624"/>
      <c r="D583" s="355">
        <v>3.8010000000000002E-2</v>
      </c>
      <c r="AV583" s="624">
        <v>42374</v>
      </c>
      <c r="AW583" s="355">
        <v>0.2495</v>
      </c>
      <c r="AX583" s="624">
        <v>42355</v>
      </c>
      <c r="AY583" s="355">
        <v>1.404E-2</v>
      </c>
      <c r="AZ583" s="624">
        <v>42355</v>
      </c>
      <c r="BA583" s="355">
        <v>8.8999999999999999E-3</v>
      </c>
      <c r="BB583" s="624">
        <v>42355</v>
      </c>
      <c r="BC583" s="355">
        <v>0.25169999999999998</v>
      </c>
      <c r="BD583" s="624">
        <v>42355</v>
      </c>
      <c r="BE583" s="355">
        <v>8.4390000000000007E-2</v>
      </c>
      <c r="BF583" s="624">
        <v>42368</v>
      </c>
      <c r="BG583" s="355">
        <v>1.5042E-2</v>
      </c>
      <c r="BH583" s="624">
        <v>42355</v>
      </c>
      <c r="BI583" s="355">
        <v>7.1278999999999995E-2</v>
      </c>
      <c r="BJ583" s="624">
        <v>42355</v>
      </c>
      <c r="BK583" s="355">
        <v>2.7643000000000001E-2</v>
      </c>
    </row>
    <row r="584" spans="3:63" x14ac:dyDescent="0.15">
      <c r="C584" s="624"/>
      <c r="D584" s="355">
        <v>3.7990000000000003E-2</v>
      </c>
      <c r="AV584" s="624">
        <v>42375</v>
      </c>
      <c r="AW584" s="355">
        <v>0.2485</v>
      </c>
      <c r="AX584" s="624">
        <v>42356</v>
      </c>
      <c r="AY584" s="355">
        <v>1.409E-2</v>
      </c>
      <c r="AZ584" s="624">
        <v>42356</v>
      </c>
      <c r="BA584" s="355">
        <v>8.8999999999999999E-3</v>
      </c>
      <c r="BB584" s="624">
        <v>42356</v>
      </c>
      <c r="BC584" s="355">
        <v>0.25440000000000002</v>
      </c>
      <c r="BD584" s="624">
        <v>42356</v>
      </c>
      <c r="BE584" s="355">
        <v>8.455E-2</v>
      </c>
      <c r="BF584" s="624">
        <v>42369</v>
      </c>
      <c r="BG584" s="355">
        <v>1.5102000000000001E-2</v>
      </c>
      <c r="BH584" s="624">
        <v>42356</v>
      </c>
      <c r="BI584" s="355">
        <v>7.2135000000000005E-2</v>
      </c>
      <c r="BJ584" s="624">
        <v>42356</v>
      </c>
      <c r="BK584" s="355">
        <v>2.7706999999999999E-2</v>
      </c>
    </row>
    <row r="585" spans="3:63" x14ac:dyDescent="0.15">
      <c r="C585" s="624"/>
      <c r="D585" s="355">
        <v>3.7990000000000003E-2</v>
      </c>
      <c r="AV585" s="624">
        <v>42376</v>
      </c>
      <c r="AW585" s="355">
        <v>0.24709999999999999</v>
      </c>
      <c r="AX585" s="624">
        <v>42359</v>
      </c>
      <c r="AY585" s="355">
        <v>1.404E-2</v>
      </c>
      <c r="AZ585" s="624">
        <v>42359</v>
      </c>
      <c r="BA585" s="355">
        <v>8.9999999999999993E-3</v>
      </c>
      <c r="BB585" s="624">
        <v>42359</v>
      </c>
      <c r="BC585" s="355">
        <v>0.25659999999999999</v>
      </c>
      <c r="BD585" s="624">
        <v>42359</v>
      </c>
      <c r="BE585" s="355">
        <v>8.5139999999999993E-2</v>
      </c>
      <c r="BF585" s="624">
        <v>42370</v>
      </c>
      <c r="BG585" s="355">
        <v>1.5096E-2</v>
      </c>
      <c r="BH585" s="624">
        <v>42359</v>
      </c>
      <c r="BI585" s="355">
        <v>7.2731000000000004E-2</v>
      </c>
      <c r="BJ585" s="624">
        <v>42359</v>
      </c>
      <c r="BK585" s="355">
        <v>2.7681999999999998E-2</v>
      </c>
    </row>
    <row r="586" spans="3:63" x14ac:dyDescent="0.15">
      <c r="C586" s="624"/>
      <c r="D586" s="355">
        <v>3.7920000000000002E-2</v>
      </c>
      <c r="AV586" s="624">
        <v>42377</v>
      </c>
      <c r="AW586" s="355">
        <v>0.24840000000000001</v>
      </c>
      <c r="AX586" s="624">
        <v>42360</v>
      </c>
      <c r="AY586" s="355">
        <v>1.404E-2</v>
      </c>
      <c r="AZ586" s="624">
        <v>42360</v>
      </c>
      <c r="BA586" s="355">
        <v>8.9999999999999993E-3</v>
      </c>
      <c r="BB586" s="624">
        <v>42360</v>
      </c>
      <c r="BC586" s="355">
        <v>0.25769999999999998</v>
      </c>
      <c r="BD586" s="624">
        <v>42360</v>
      </c>
      <c r="BE586" s="355">
        <v>8.5349999999999995E-2</v>
      </c>
      <c r="BF586" s="624">
        <v>42373</v>
      </c>
      <c r="BG586" s="355">
        <v>1.502E-2</v>
      </c>
      <c r="BH586" s="624">
        <v>42360</v>
      </c>
      <c r="BI586" s="355">
        <v>7.3296E-2</v>
      </c>
      <c r="BJ586" s="624">
        <v>42360</v>
      </c>
      <c r="BK586" s="355">
        <v>2.7709999999999999E-2</v>
      </c>
    </row>
    <row r="587" spans="3:63" x14ac:dyDescent="0.15">
      <c r="C587" s="624"/>
      <c r="D587" s="355">
        <v>3.789E-2</v>
      </c>
      <c r="AV587" s="624">
        <v>42380</v>
      </c>
      <c r="AW587" s="355">
        <v>0.2467</v>
      </c>
      <c r="AX587" s="624">
        <v>42361</v>
      </c>
      <c r="AY587" s="355">
        <v>1.434E-2</v>
      </c>
      <c r="AZ587" s="624">
        <v>42361</v>
      </c>
      <c r="BA587" s="355">
        <v>8.9999999999999993E-3</v>
      </c>
      <c r="BB587" s="624">
        <v>42361</v>
      </c>
      <c r="BC587" s="355">
        <v>0.2571</v>
      </c>
      <c r="BD587" s="624">
        <v>42361</v>
      </c>
      <c r="BE587" s="355">
        <v>8.5180000000000006E-2</v>
      </c>
      <c r="BF587" s="624">
        <v>42374</v>
      </c>
      <c r="BG587" s="355">
        <v>1.5041000000000001E-2</v>
      </c>
      <c r="BH587" s="624">
        <v>42361</v>
      </c>
      <c r="BI587" s="355">
        <v>7.3389999999999997E-2</v>
      </c>
      <c r="BJ587" s="624">
        <v>42361</v>
      </c>
      <c r="BK587" s="355">
        <v>2.7722E-2</v>
      </c>
    </row>
    <row r="588" spans="3:63" x14ac:dyDescent="0.15">
      <c r="C588" s="624"/>
      <c r="D588" s="355">
        <v>3.7900000000000003E-2</v>
      </c>
      <c r="AV588" s="624">
        <v>42381</v>
      </c>
      <c r="AW588" s="355">
        <v>0.2482</v>
      </c>
      <c r="AX588" s="624">
        <v>42362</v>
      </c>
      <c r="AY588" s="355">
        <v>1.422E-2</v>
      </c>
      <c r="AZ588" s="624">
        <v>42362</v>
      </c>
      <c r="BA588" s="355">
        <v>8.9999999999999993E-3</v>
      </c>
      <c r="BB588" s="624">
        <v>42362</v>
      </c>
      <c r="BC588" s="355">
        <v>0.25869999999999999</v>
      </c>
      <c r="BD588" s="624">
        <v>42362</v>
      </c>
      <c r="BE588" s="355">
        <v>8.5459999999999994E-2</v>
      </c>
      <c r="BF588" s="624">
        <v>42375</v>
      </c>
      <c r="BG588" s="355">
        <v>1.4992999999999999E-2</v>
      </c>
      <c r="BH588" s="624">
        <v>42362</v>
      </c>
      <c r="BI588" s="355">
        <v>7.3449E-2</v>
      </c>
      <c r="BJ588" s="624">
        <v>42362</v>
      </c>
      <c r="BK588" s="355">
        <v>2.7739E-2</v>
      </c>
    </row>
    <row r="589" spans="3:63" x14ac:dyDescent="0.15">
      <c r="C589" s="624"/>
      <c r="D589" s="355">
        <v>3.7929999999999998E-2</v>
      </c>
      <c r="AV589" s="624">
        <v>42382</v>
      </c>
      <c r="AW589" s="355">
        <v>0.249</v>
      </c>
      <c r="AX589" s="624">
        <v>42363</v>
      </c>
      <c r="AY589" s="355">
        <v>1.421E-2</v>
      </c>
      <c r="AZ589" s="624">
        <v>42363</v>
      </c>
      <c r="BA589" s="355">
        <v>8.9999999999999993E-3</v>
      </c>
      <c r="BB589" s="624">
        <v>42363</v>
      </c>
      <c r="BC589" s="355">
        <v>0.25900000000000001</v>
      </c>
      <c r="BD589" s="624">
        <v>42363</v>
      </c>
      <c r="BE589" s="355">
        <v>8.5569999999999993E-2</v>
      </c>
      <c r="BF589" s="624">
        <v>42376</v>
      </c>
      <c r="BG589" s="355">
        <v>1.4947999999999999E-2</v>
      </c>
      <c r="BH589" s="624">
        <v>42363</v>
      </c>
      <c r="BI589" s="355">
        <v>7.3359999999999995E-2</v>
      </c>
      <c r="BJ589" s="624">
        <v>42363</v>
      </c>
      <c r="BK589" s="355">
        <v>2.7726000000000001E-2</v>
      </c>
    </row>
    <row r="590" spans="3:63" x14ac:dyDescent="0.15">
      <c r="C590" s="624"/>
      <c r="D590" s="355">
        <v>3.798E-2</v>
      </c>
      <c r="AV590" s="624">
        <v>42383</v>
      </c>
      <c r="AW590" s="355">
        <v>0.25</v>
      </c>
      <c r="AX590" s="624">
        <v>42366</v>
      </c>
      <c r="AY590" s="355">
        <v>1.3820000000000001E-2</v>
      </c>
      <c r="AZ590" s="624">
        <v>42366</v>
      </c>
      <c r="BA590" s="355">
        <v>8.9999999999999993E-3</v>
      </c>
      <c r="BB590" s="624">
        <v>42366</v>
      </c>
      <c r="BC590" s="355">
        <v>0.25840000000000002</v>
      </c>
      <c r="BD590" s="624">
        <v>42366</v>
      </c>
      <c r="BE590" s="355">
        <v>8.5550000000000001E-2</v>
      </c>
      <c r="BF590" s="624">
        <v>42377</v>
      </c>
      <c r="BG590" s="355">
        <v>1.4956000000000001E-2</v>
      </c>
      <c r="BH590" s="624">
        <v>42366</v>
      </c>
      <c r="BI590" s="355">
        <v>7.3400999999999994E-2</v>
      </c>
      <c r="BJ590" s="624">
        <v>42366</v>
      </c>
      <c r="BK590" s="355">
        <v>2.7711E-2</v>
      </c>
    </row>
    <row r="591" spans="3:63" x14ac:dyDescent="0.15">
      <c r="C591" s="624"/>
      <c r="D591" s="355">
        <v>3.7990000000000003E-2</v>
      </c>
      <c r="AV591" s="624">
        <v>42384</v>
      </c>
      <c r="AW591" s="355">
        <v>0.247</v>
      </c>
      <c r="AX591" s="624">
        <v>42367</v>
      </c>
      <c r="AY591" s="355">
        <v>1.383E-2</v>
      </c>
      <c r="AZ591" s="624">
        <v>42367</v>
      </c>
      <c r="BA591" s="355">
        <v>8.9999999999999993E-3</v>
      </c>
      <c r="BB591" s="624">
        <v>42367</v>
      </c>
      <c r="BC591" s="355">
        <v>0.2581</v>
      </c>
      <c r="BD591" s="624">
        <v>42367</v>
      </c>
      <c r="BE591" s="355">
        <v>8.5360000000000005E-2</v>
      </c>
      <c r="BF591" s="624">
        <v>42380</v>
      </c>
      <c r="BG591" s="355">
        <v>1.4975E-2</v>
      </c>
      <c r="BH591" s="624">
        <v>42367</v>
      </c>
      <c r="BI591" s="355">
        <v>7.3051000000000005E-2</v>
      </c>
      <c r="BJ591" s="624">
        <v>42367</v>
      </c>
      <c r="BK591" s="355">
        <v>2.7709000000000001E-2</v>
      </c>
    </row>
    <row r="592" spans="3:63" x14ac:dyDescent="0.15">
      <c r="C592" s="624"/>
      <c r="D592" s="355">
        <v>3.8010000000000002E-2</v>
      </c>
      <c r="AV592" s="624">
        <v>42387</v>
      </c>
      <c r="AW592" s="355">
        <v>0.24660000000000001</v>
      </c>
      <c r="AX592" s="624">
        <v>42368</v>
      </c>
      <c r="AY592" s="355">
        <v>1.359E-2</v>
      </c>
      <c r="AZ592" s="624">
        <v>42368</v>
      </c>
      <c r="BA592" s="355">
        <v>8.9999999999999993E-3</v>
      </c>
      <c r="BB592" s="624">
        <v>42368</v>
      </c>
      <c r="BC592" s="355">
        <v>0.25679999999999997</v>
      </c>
      <c r="BD592" s="624">
        <v>42368</v>
      </c>
      <c r="BE592" s="355">
        <v>8.4930000000000005E-2</v>
      </c>
      <c r="BF592" s="624">
        <v>42381</v>
      </c>
      <c r="BG592" s="355">
        <v>1.4937000000000001E-2</v>
      </c>
      <c r="BH592" s="624">
        <v>42368</v>
      </c>
      <c r="BI592" s="355">
        <v>7.2203000000000003E-2</v>
      </c>
      <c r="BJ592" s="624">
        <v>42368</v>
      </c>
      <c r="BK592" s="355">
        <v>2.7685000000000001E-2</v>
      </c>
    </row>
    <row r="593" spans="3:63" x14ac:dyDescent="0.15">
      <c r="C593" s="624"/>
      <c r="D593" s="355">
        <v>3.7999999999999999E-2</v>
      </c>
      <c r="AV593" s="624">
        <v>42388</v>
      </c>
      <c r="AW593" s="355">
        <v>0.24610000000000001</v>
      </c>
      <c r="AX593" s="624">
        <v>42369</v>
      </c>
      <c r="AY593" s="355">
        <v>1.37E-2</v>
      </c>
      <c r="AZ593" s="624">
        <v>42369</v>
      </c>
      <c r="BA593" s="355">
        <v>8.8999999999999999E-3</v>
      </c>
      <c r="BB593" s="624">
        <v>42369</v>
      </c>
      <c r="BC593" s="355">
        <v>0.25480000000000003</v>
      </c>
      <c r="BD593" s="624">
        <v>42369</v>
      </c>
      <c r="BE593" s="355">
        <v>8.5010000000000002E-2</v>
      </c>
      <c r="BF593" s="624">
        <v>42382</v>
      </c>
      <c r="BG593" s="355">
        <v>1.4944000000000001E-2</v>
      </c>
      <c r="BH593" s="624">
        <v>42369</v>
      </c>
      <c r="BI593" s="355">
        <v>7.2165999999999994E-2</v>
      </c>
      <c r="BJ593" s="624">
        <v>42369</v>
      </c>
      <c r="BK593" s="355">
        <v>2.7754999999999998E-2</v>
      </c>
    </row>
    <row r="594" spans="3:63" x14ac:dyDescent="0.15">
      <c r="C594" s="624"/>
      <c r="D594" s="355">
        <v>3.7900000000000003E-2</v>
      </c>
      <c r="AV594" s="624">
        <v>42389</v>
      </c>
      <c r="AW594" s="355">
        <v>0.24410000000000001</v>
      </c>
      <c r="AX594" s="624">
        <v>42370</v>
      </c>
      <c r="AY594" s="355">
        <v>1.3780000000000001E-2</v>
      </c>
      <c r="AZ594" s="624">
        <v>42370</v>
      </c>
      <c r="BA594" s="355">
        <v>8.8999999999999999E-3</v>
      </c>
      <c r="BB594" s="624">
        <v>42370</v>
      </c>
      <c r="BC594" s="355">
        <v>0.2535</v>
      </c>
      <c r="BD594" s="624">
        <v>42370</v>
      </c>
      <c r="BE594" s="355">
        <v>8.5059999999999997E-2</v>
      </c>
      <c r="BF594" s="624">
        <v>42383</v>
      </c>
      <c r="BG594" s="355">
        <v>1.4853999999999999E-2</v>
      </c>
      <c r="BH594" s="624">
        <v>42370</v>
      </c>
      <c r="BI594" s="355">
        <v>7.2151000000000007E-2</v>
      </c>
      <c r="BJ594" s="624">
        <v>42370</v>
      </c>
      <c r="BK594" s="355">
        <v>2.7778000000000001E-2</v>
      </c>
    </row>
    <row r="595" spans="3:63" x14ac:dyDescent="0.15">
      <c r="C595" s="624"/>
      <c r="D595" s="355">
        <v>3.7810000000000003E-2</v>
      </c>
      <c r="AV595" s="624">
        <v>42390</v>
      </c>
      <c r="AW595" s="355">
        <v>0.24049999999999999</v>
      </c>
      <c r="AX595" s="624">
        <v>42373</v>
      </c>
      <c r="AY595" s="355">
        <v>1.3729999999999999E-2</v>
      </c>
      <c r="AZ595" s="624">
        <v>42373</v>
      </c>
      <c r="BA595" s="355">
        <v>8.8999999999999999E-3</v>
      </c>
      <c r="BB595" s="624">
        <v>42373</v>
      </c>
      <c r="BC595" s="355">
        <v>0.252</v>
      </c>
      <c r="BD595" s="624">
        <v>42373</v>
      </c>
      <c r="BE595" s="355">
        <v>8.4010000000000001E-2</v>
      </c>
      <c r="BF595" s="624">
        <v>42384</v>
      </c>
      <c r="BG595" s="355">
        <v>1.4753E-2</v>
      </c>
      <c r="BH595" s="624">
        <v>42373</v>
      </c>
      <c r="BI595" s="355">
        <v>7.1539000000000005E-2</v>
      </c>
      <c r="BJ595" s="624">
        <v>42373</v>
      </c>
      <c r="BK595" s="355">
        <v>2.767E-2</v>
      </c>
    </row>
    <row r="596" spans="3:63" x14ac:dyDescent="0.15">
      <c r="C596" s="624"/>
      <c r="D596" s="355">
        <v>3.7760000000000002E-2</v>
      </c>
      <c r="AV596" s="624">
        <v>42391</v>
      </c>
      <c r="AW596" s="355">
        <v>0.2442</v>
      </c>
      <c r="AX596" s="624">
        <v>42374</v>
      </c>
      <c r="AY596" s="355">
        <v>1.363E-2</v>
      </c>
      <c r="AZ596" s="624">
        <v>42374</v>
      </c>
      <c r="BA596" s="355">
        <v>8.8000000000000005E-3</v>
      </c>
      <c r="BB596" s="624">
        <v>42374</v>
      </c>
      <c r="BC596" s="355">
        <v>0.2495</v>
      </c>
      <c r="BD596" s="624">
        <v>42374</v>
      </c>
      <c r="BE596" s="355">
        <v>8.4029999999999994E-2</v>
      </c>
      <c r="BF596" s="624">
        <v>42387</v>
      </c>
      <c r="BG596" s="355">
        <v>1.4777999999999999E-2</v>
      </c>
      <c r="BH596" s="624">
        <v>42374</v>
      </c>
      <c r="BI596" s="355">
        <v>7.2150000000000006E-2</v>
      </c>
      <c r="BJ596" s="624">
        <v>42374</v>
      </c>
      <c r="BK596" s="355">
        <v>2.7684E-2</v>
      </c>
    </row>
    <row r="597" spans="3:63" x14ac:dyDescent="0.15">
      <c r="C597" s="624"/>
      <c r="D597" s="355">
        <v>3.7760000000000002E-2</v>
      </c>
      <c r="AV597" s="624">
        <v>42394</v>
      </c>
      <c r="AW597" s="355">
        <v>0.2445</v>
      </c>
      <c r="AX597" s="624">
        <v>42375</v>
      </c>
      <c r="AY597" s="355">
        <v>1.337E-2</v>
      </c>
      <c r="AZ597" s="624">
        <v>42375</v>
      </c>
      <c r="BA597" s="355">
        <v>8.8000000000000005E-3</v>
      </c>
      <c r="BB597" s="624">
        <v>42375</v>
      </c>
      <c r="BC597" s="355">
        <v>0.2477</v>
      </c>
      <c r="BD597" s="624">
        <v>42375</v>
      </c>
      <c r="BE597" s="355">
        <v>8.3339999999999997E-2</v>
      </c>
      <c r="BF597" s="624">
        <v>42388</v>
      </c>
      <c r="BG597" s="355">
        <v>1.4763E-2</v>
      </c>
      <c r="BH597" s="624">
        <v>42375</v>
      </c>
      <c r="BI597" s="355">
        <v>7.1928000000000006E-2</v>
      </c>
      <c r="BJ597" s="624">
        <v>42375</v>
      </c>
      <c r="BK597" s="355">
        <v>2.7597E-2</v>
      </c>
    </row>
    <row r="598" spans="3:63" x14ac:dyDescent="0.15">
      <c r="C598" s="624"/>
      <c r="D598" s="355">
        <v>3.7670000000000002E-2</v>
      </c>
      <c r="AV598" s="624">
        <v>42395</v>
      </c>
      <c r="AW598" s="355">
        <v>0.24679999999999999</v>
      </c>
      <c r="AX598" s="624">
        <v>42376</v>
      </c>
      <c r="AY598" s="355">
        <v>1.336E-2</v>
      </c>
      <c r="AZ598" s="624">
        <v>42376</v>
      </c>
      <c r="BA598" s="355">
        <v>8.9999999999999993E-3</v>
      </c>
      <c r="BB598" s="624">
        <v>42376</v>
      </c>
      <c r="BC598" s="355">
        <v>0.2515</v>
      </c>
      <c r="BD598" s="624">
        <v>42376</v>
      </c>
      <c r="BE598" s="355">
        <v>8.3519999999999997E-2</v>
      </c>
      <c r="BF598" s="624">
        <v>42389</v>
      </c>
      <c r="BG598" s="355">
        <v>1.4710000000000001E-2</v>
      </c>
      <c r="BH598" s="624">
        <v>42376</v>
      </c>
      <c r="BI598" s="355">
        <v>7.1686E-2</v>
      </c>
      <c r="BJ598" s="624">
        <v>42376</v>
      </c>
      <c r="BK598" s="355">
        <v>2.7573E-2</v>
      </c>
    </row>
    <row r="599" spans="3:63" x14ac:dyDescent="0.15">
      <c r="C599" s="624"/>
      <c r="D599" s="355">
        <v>3.7589999999999998E-2</v>
      </c>
      <c r="AV599" s="624">
        <v>42396</v>
      </c>
      <c r="AW599" s="355">
        <v>0.24340000000000001</v>
      </c>
      <c r="AX599" s="624">
        <v>42377</v>
      </c>
      <c r="AY599" s="355">
        <v>1.337E-2</v>
      </c>
      <c r="AZ599" s="624">
        <v>42377</v>
      </c>
      <c r="BA599" s="355">
        <v>8.9999999999999993E-3</v>
      </c>
      <c r="BB599" s="624">
        <v>42377</v>
      </c>
      <c r="BC599" s="355">
        <v>0.25019999999999998</v>
      </c>
      <c r="BD599" s="624">
        <v>42377</v>
      </c>
      <c r="BE599" s="355">
        <v>8.2790000000000002E-2</v>
      </c>
      <c r="BF599" s="624">
        <v>42390</v>
      </c>
      <c r="BG599" s="355">
        <v>1.4748000000000001E-2</v>
      </c>
      <c r="BH599" s="624">
        <v>42377</v>
      </c>
      <c r="BI599" s="355">
        <v>7.177E-2</v>
      </c>
      <c r="BJ599" s="624">
        <v>42377</v>
      </c>
      <c r="BK599" s="355">
        <v>2.7528E-2</v>
      </c>
    </row>
    <row r="600" spans="3:63" x14ac:dyDescent="0.15">
      <c r="C600" s="624"/>
      <c r="D600" s="355">
        <v>3.7609999999999998E-2</v>
      </c>
      <c r="AV600" s="624">
        <v>42397</v>
      </c>
      <c r="AW600" s="355">
        <v>0.2457</v>
      </c>
      <c r="AX600" s="624">
        <v>42380</v>
      </c>
      <c r="AY600" s="355">
        <v>1.3129999999999999E-2</v>
      </c>
      <c r="AZ600" s="624">
        <v>42380</v>
      </c>
      <c r="BA600" s="355">
        <v>8.8999999999999999E-3</v>
      </c>
      <c r="BB600" s="624">
        <v>42380</v>
      </c>
      <c r="BC600" s="355">
        <v>0.2495</v>
      </c>
      <c r="BD600" s="624">
        <v>42380</v>
      </c>
      <c r="BE600" s="355">
        <v>8.3000000000000004E-2</v>
      </c>
      <c r="BF600" s="624">
        <v>42391</v>
      </c>
      <c r="BG600" s="355">
        <v>1.4798E-2</v>
      </c>
      <c r="BH600" s="624">
        <v>42380</v>
      </c>
      <c r="BI600" s="355">
        <v>7.2317999999999993E-2</v>
      </c>
      <c r="BJ600" s="624">
        <v>42380</v>
      </c>
      <c r="BK600" s="355">
        <v>2.7584000000000001E-2</v>
      </c>
    </row>
    <row r="601" spans="3:63" x14ac:dyDescent="0.15">
      <c r="C601" s="624"/>
      <c r="D601" s="355">
        <v>3.764E-2</v>
      </c>
      <c r="AV601" s="624">
        <v>42398</v>
      </c>
      <c r="AW601" s="355">
        <v>0.25</v>
      </c>
      <c r="AX601" s="624">
        <v>42381</v>
      </c>
      <c r="AY601" s="355">
        <v>1.299E-2</v>
      </c>
      <c r="AZ601" s="624">
        <v>42381</v>
      </c>
      <c r="BA601" s="355">
        <v>8.8999999999999999E-3</v>
      </c>
      <c r="BB601" s="624">
        <v>42381</v>
      </c>
      <c r="BC601" s="355">
        <v>0.24909999999999999</v>
      </c>
      <c r="BD601" s="624">
        <v>42381</v>
      </c>
      <c r="BE601" s="355">
        <v>8.2619999999999999E-2</v>
      </c>
      <c r="BF601" s="624">
        <v>42394</v>
      </c>
      <c r="BG601" s="355">
        <v>1.4765E-2</v>
      </c>
      <c r="BH601" s="624">
        <v>42381</v>
      </c>
      <c r="BI601" s="355">
        <v>7.2281999999999999E-2</v>
      </c>
      <c r="BJ601" s="624">
        <v>42381</v>
      </c>
      <c r="BK601" s="355">
        <v>2.7536000000000001E-2</v>
      </c>
    </row>
    <row r="602" spans="3:63" x14ac:dyDescent="0.15">
      <c r="C602" s="624"/>
      <c r="D602" s="355">
        <v>3.7629999999999997E-2</v>
      </c>
      <c r="AV602" s="624">
        <v>42401</v>
      </c>
      <c r="AW602" s="355">
        <v>0.25240000000000001</v>
      </c>
      <c r="AX602" s="624">
        <v>42382</v>
      </c>
      <c r="AY602" s="355">
        <v>1.3050000000000001E-2</v>
      </c>
      <c r="AZ602" s="624">
        <v>42382</v>
      </c>
      <c r="BA602" s="355">
        <v>8.8999999999999999E-3</v>
      </c>
      <c r="BB602" s="624">
        <v>42382</v>
      </c>
      <c r="BC602" s="355">
        <v>0.25</v>
      </c>
      <c r="BD602" s="624">
        <v>42382</v>
      </c>
      <c r="BE602" s="355">
        <v>8.2669999999999993E-2</v>
      </c>
      <c r="BF602" s="624">
        <v>42395</v>
      </c>
      <c r="BG602" s="355">
        <v>1.4760000000000001E-2</v>
      </c>
      <c r="BH602" s="624">
        <v>42382</v>
      </c>
      <c r="BI602" s="355">
        <v>7.2085999999999997E-2</v>
      </c>
      <c r="BJ602" s="624">
        <v>42382</v>
      </c>
      <c r="BK602" s="355">
        <v>2.7563000000000001E-2</v>
      </c>
    </row>
    <row r="603" spans="3:63" x14ac:dyDescent="0.15">
      <c r="C603" s="624"/>
      <c r="D603" s="355">
        <v>3.764E-2</v>
      </c>
      <c r="AV603" s="624">
        <v>42402</v>
      </c>
      <c r="AW603" s="355">
        <v>0.25080000000000002</v>
      </c>
      <c r="AX603" s="624">
        <v>42383</v>
      </c>
      <c r="AY603" s="355">
        <v>1.3129999999999999E-2</v>
      </c>
      <c r="AZ603" s="624">
        <v>42383</v>
      </c>
      <c r="BA603" s="355">
        <v>8.8999999999999999E-3</v>
      </c>
      <c r="BB603" s="624">
        <v>42383</v>
      </c>
      <c r="BC603" s="355">
        <v>0.24729999999999999</v>
      </c>
      <c r="BD603" s="624">
        <v>42383</v>
      </c>
      <c r="BE603" s="355">
        <v>8.2799999999999999E-2</v>
      </c>
      <c r="BF603" s="624">
        <v>42396</v>
      </c>
      <c r="BG603" s="355">
        <v>1.4674E-2</v>
      </c>
      <c r="BH603" s="624">
        <v>42383</v>
      </c>
      <c r="BI603" s="355">
        <v>7.2071999999999997E-2</v>
      </c>
      <c r="BJ603" s="624">
        <v>42383</v>
      </c>
      <c r="BK603" s="355">
        <v>2.751E-2</v>
      </c>
    </row>
    <row r="604" spans="3:63" x14ac:dyDescent="0.15">
      <c r="C604" s="624"/>
      <c r="D604" s="355">
        <v>3.771E-2</v>
      </c>
      <c r="AV604" s="624">
        <v>42403</v>
      </c>
      <c r="AW604" s="355">
        <v>0.25669999999999998</v>
      </c>
      <c r="AX604" s="624">
        <v>42384</v>
      </c>
      <c r="AY604" s="355">
        <v>1.286E-2</v>
      </c>
      <c r="AZ604" s="624">
        <v>42384</v>
      </c>
      <c r="BA604" s="355">
        <v>8.8999999999999999E-3</v>
      </c>
      <c r="BB604" s="624">
        <v>42384</v>
      </c>
      <c r="BC604" s="355">
        <v>0.24360000000000001</v>
      </c>
      <c r="BD604" s="624">
        <v>42384</v>
      </c>
      <c r="BE604" s="355">
        <v>8.2390000000000005E-2</v>
      </c>
      <c r="BF604" s="624">
        <v>42397</v>
      </c>
      <c r="BG604" s="355">
        <v>1.4692999999999999E-2</v>
      </c>
      <c r="BH604" s="624">
        <v>42384</v>
      </c>
      <c r="BI604" s="355">
        <v>7.1504999999999999E-2</v>
      </c>
      <c r="BJ604" s="624">
        <v>42384</v>
      </c>
      <c r="BK604" s="355">
        <v>2.7504000000000001E-2</v>
      </c>
    </row>
    <row r="605" spans="3:63" x14ac:dyDescent="0.15">
      <c r="C605" s="624"/>
      <c r="D605" s="355">
        <v>3.7690000000000001E-2</v>
      </c>
      <c r="AV605" s="624">
        <v>42404</v>
      </c>
      <c r="AW605" s="355">
        <v>0.25719999999999998</v>
      </c>
      <c r="AX605" s="624">
        <v>42387</v>
      </c>
      <c r="AY605" s="355">
        <v>1.26E-2</v>
      </c>
      <c r="AZ605" s="624">
        <v>42387</v>
      </c>
      <c r="BA605" s="355">
        <v>8.8999999999999999E-3</v>
      </c>
      <c r="BB605" s="624">
        <v>42387</v>
      </c>
      <c r="BC605" s="355">
        <v>0.24429999999999999</v>
      </c>
      <c r="BD605" s="624">
        <v>42387</v>
      </c>
      <c r="BE605" s="355">
        <v>8.2540000000000002E-2</v>
      </c>
      <c r="BF605" s="624">
        <v>42398</v>
      </c>
      <c r="BG605" s="355">
        <v>1.4732E-2</v>
      </c>
      <c r="BH605" s="624">
        <v>42387</v>
      </c>
      <c r="BI605" s="355">
        <v>7.1884000000000003E-2</v>
      </c>
      <c r="BJ605" s="624">
        <v>42387</v>
      </c>
      <c r="BK605" s="355">
        <v>2.7546999999999999E-2</v>
      </c>
    </row>
    <row r="606" spans="3:63" x14ac:dyDescent="0.15">
      <c r="C606" s="624"/>
      <c r="D606" s="355">
        <v>3.7670000000000002E-2</v>
      </c>
      <c r="AV606" s="624">
        <v>42405</v>
      </c>
      <c r="AW606" s="355">
        <v>0.25619999999999998</v>
      </c>
      <c r="AX606" s="624">
        <v>42388</v>
      </c>
      <c r="AY606" s="355">
        <v>1.2699999999999999E-2</v>
      </c>
      <c r="AZ606" s="624">
        <v>42388</v>
      </c>
      <c r="BA606" s="355">
        <v>8.8999999999999999E-3</v>
      </c>
      <c r="BB606" s="624">
        <v>42388</v>
      </c>
      <c r="BC606" s="355">
        <v>0.2452</v>
      </c>
      <c r="BD606" s="624">
        <v>42388</v>
      </c>
      <c r="BE606" s="355">
        <v>8.2820000000000005E-2</v>
      </c>
      <c r="BF606" s="624">
        <v>42401</v>
      </c>
      <c r="BG606" s="355">
        <v>1.4742999999999999E-2</v>
      </c>
      <c r="BH606" s="624">
        <v>42388</v>
      </c>
      <c r="BI606" s="355">
        <v>7.2202000000000002E-2</v>
      </c>
      <c r="BJ606" s="624">
        <v>42388</v>
      </c>
      <c r="BK606" s="355">
        <v>2.7552E-2</v>
      </c>
    </row>
    <row r="607" spans="3:63" x14ac:dyDescent="0.15">
      <c r="C607" s="624"/>
      <c r="D607" s="355">
        <v>3.7760000000000002E-2</v>
      </c>
      <c r="AV607" s="624">
        <v>42410</v>
      </c>
      <c r="AW607" s="355">
        <v>0.25459999999999999</v>
      </c>
      <c r="AX607" s="624">
        <v>42389</v>
      </c>
      <c r="AY607" s="355">
        <v>1.2290000000000001E-2</v>
      </c>
      <c r="AZ607" s="624">
        <v>42389</v>
      </c>
      <c r="BA607" s="355">
        <v>8.8999999999999999E-3</v>
      </c>
      <c r="BB607" s="624">
        <v>42389</v>
      </c>
      <c r="BC607" s="355">
        <v>0.24260000000000001</v>
      </c>
      <c r="BD607" s="624">
        <v>42389</v>
      </c>
      <c r="BE607" s="355">
        <v>8.269E-2</v>
      </c>
      <c r="BF607" s="624">
        <v>42402</v>
      </c>
      <c r="BG607" s="355">
        <v>1.4710000000000001E-2</v>
      </c>
      <c r="BH607" s="624">
        <v>42389</v>
      </c>
      <c r="BI607" s="355">
        <v>7.1923000000000001E-2</v>
      </c>
      <c r="BJ607" s="624">
        <v>42389</v>
      </c>
      <c r="BK607" s="355">
        <v>2.7570000000000001E-2</v>
      </c>
    </row>
    <row r="608" spans="3:63" x14ac:dyDescent="0.15">
      <c r="C608" s="624"/>
      <c r="D608" s="355">
        <v>3.771E-2</v>
      </c>
      <c r="AV608" s="624">
        <v>42411</v>
      </c>
      <c r="AW608" s="355">
        <v>0.25030000000000002</v>
      </c>
      <c r="AX608" s="624">
        <v>42390</v>
      </c>
      <c r="AY608" s="355">
        <v>1.214E-2</v>
      </c>
      <c r="AZ608" s="624">
        <v>42390</v>
      </c>
      <c r="BA608" s="355">
        <v>8.8999999999999999E-3</v>
      </c>
      <c r="BB608" s="624">
        <v>42390</v>
      </c>
      <c r="BC608" s="355">
        <v>0.24210000000000001</v>
      </c>
      <c r="BD608" s="624">
        <v>42390</v>
      </c>
      <c r="BE608" s="355">
        <v>8.3059999999999995E-2</v>
      </c>
      <c r="BF608" s="624">
        <v>42403</v>
      </c>
      <c r="BG608" s="355">
        <v>1.4759E-2</v>
      </c>
      <c r="BH608" s="624">
        <v>42390</v>
      </c>
      <c r="BI608" s="355">
        <v>7.2329000000000004E-2</v>
      </c>
      <c r="BJ608" s="624">
        <v>42390</v>
      </c>
      <c r="BK608" s="355">
        <v>2.7609000000000002E-2</v>
      </c>
    </row>
    <row r="609" spans="3:63" x14ac:dyDescent="0.15">
      <c r="C609" s="624"/>
      <c r="D609" s="355">
        <v>3.7659999999999999E-2</v>
      </c>
      <c r="AV609" s="624">
        <v>42412</v>
      </c>
      <c r="AW609" s="355">
        <v>0.24979999999999999</v>
      </c>
      <c r="AX609" s="624">
        <v>42391</v>
      </c>
      <c r="AY609" s="355">
        <v>1.282E-2</v>
      </c>
      <c r="AZ609" s="624">
        <v>42391</v>
      </c>
      <c r="BA609" s="355">
        <v>8.8000000000000005E-3</v>
      </c>
      <c r="BB609" s="624">
        <v>42391</v>
      </c>
      <c r="BC609" s="355">
        <v>0.24210000000000001</v>
      </c>
      <c r="BD609" s="624">
        <v>42391</v>
      </c>
      <c r="BE609" s="355">
        <v>8.344E-2</v>
      </c>
      <c r="BF609" s="624">
        <v>42404</v>
      </c>
      <c r="BG609" s="355">
        <v>1.4803999999999999E-2</v>
      </c>
      <c r="BH609" s="624">
        <v>42391</v>
      </c>
      <c r="BI609" s="355">
        <v>7.2473999999999997E-2</v>
      </c>
      <c r="BJ609" s="624">
        <v>42391</v>
      </c>
      <c r="BK609" s="355">
        <v>2.777E-2</v>
      </c>
    </row>
    <row r="610" spans="3:63" x14ac:dyDescent="0.15">
      <c r="C610" s="624"/>
      <c r="D610" s="355">
        <v>3.7620000000000001E-2</v>
      </c>
      <c r="AV610" s="624">
        <v>42415</v>
      </c>
      <c r="AW610" s="355">
        <v>0.24959999999999999</v>
      </c>
      <c r="AX610" s="624">
        <v>42394</v>
      </c>
      <c r="AY610" s="355">
        <v>1.2489999999999999E-2</v>
      </c>
      <c r="AZ610" s="624">
        <v>42394</v>
      </c>
      <c r="BA610" s="355">
        <v>8.8000000000000005E-3</v>
      </c>
      <c r="BB610" s="624">
        <v>42394</v>
      </c>
      <c r="BC610" s="355">
        <v>0.2424</v>
      </c>
      <c r="BD610" s="624">
        <v>42394</v>
      </c>
      <c r="BE610" s="355">
        <v>8.3339999999999997E-2</v>
      </c>
      <c r="BF610" s="624">
        <v>42405</v>
      </c>
      <c r="BG610" s="355">
        <v>1.4732E-2</v>
      </c>
      <c r="BH610" s="624">
        <v>42394</v>
      </c>
      <c r="BI610" s="355">
        <v>7.2097999999999995E-2</v>
      </c>
      <c r="BJ610" s="624">
        <v>42394</v>
      </c>
      <c r="BK610" s="355">
        <v>2.7847E-2</v>
      </c>
    </row>
    <row r="611" spans="3:63" x14ac:dyDescent="0.15">
      <c r="C611" s="624"/>
      <c r="D611" s="355">
        <v>3.7679999999999998E-2</v>
      </c>
      <c r="AV611" s="624">
        <v>42416</v>
      </c>
      <c r="AW611" s="355">
        <v>0.2457</v>
      </c>
      <c r="AX611" s="624">
        <v>42395</v>
      </c>
      <c r="AY611" s="355">
        <v>1.269E-2</v>
      </c>
      <c r="AZ611" s="624">
        <v>42395</v>
      </c>
      <c r="BA611" s="355">
        <v>8.8000000000000005E-3</v>
      </c>
      <c r="BB611" s="624">
        <v>42395</v>
      </c>
      <c r="BC611" s="355">
        <v>0.24429999999999999</v>
      </c>
      <c r="BD611" s="624">
        <v>42395</v>
      </c>
      <c r="BE611" s="355">
        <v>8.3449999999999996E-2</v>
      </c>
      <c r="BF611" s="624">
        <v>42408</v>
      </c>
      <c r="BG611" s="355">
        <v>1.4697E-2</v>
      </c>
      <c r="BH611" s="624">
        <v>42395</v>
      </c>
      <c r="BI611" s="355">
        <v>7.2376999999999997E-2</v>
      </c>
      <c r="BJ611" s="624">
        <v>42395</v>
      </c>
      <c r="BK611" s="355">
        <v>2.7862000000000001E-2</v>
      </c>
    </row>
    <row r="612" spans="3:63" x14ac:dyDescent="0.15">
      <c r="C612" s="624"/>
      <c r="D612" s="355">
        <v>3.7679999999999998E-2</v>
      </c>
      <c r="AV612" s="624">
        <v>42417</v>
      </c>
      <c r="AW612" s="355">
        <v>0.25090000000000001</v>
      </c>
      <c r="AX612" s="624">
        <v>42396</v>
      </c>
      <c r="AY612" s="355">
        <v>1.282E-2</v>
      </c>
      <c r="AZ612" s="624">
        <v>42396</v>
      </c>
      <c r="BA612" s="355">
        <v>8.8000000000000005E-3</v>
      </c>
      <c r="BB612" s="624">
        <v>42396</v>
      </c>
      <c r="BC612" s="355">
        <v>0.24329999999999999</v>
      </c>
      <c r="BD612" s="624">
        <v>42396</v>
      </c>
      <c r="BE612" s="355">
        <v>8.276E-2</v>
      </c>
      <c r="BF612" s="624">
        <v>42409</v>
      </c>
      <c r="BG612" s="355">
        <v>1.4726E-2</v>
      </c>
      <c r="BH612" s="624">
        <v>42396</v>
      </c>
      <c r="BI612" s="355">
        <v>7.1918999999999997E-2</v>
      </c>
      <c r="BJ612" s="624">
        <v>42396</v>
      </c>
      <c r="BK612" s="355">
        <v>2.7910000000000001E-2</v>
      </c>
    </row>
    <row r="613" spans="3:63" x14ac:dyDescent="0.15">
      <c r="C613" s="624"/>
      <c r="D613" s="355">
        <v>3.7780000000000001E-2</v>
      </c>
      <c r="AV613" s="624">
        <v>42418</v>
      </c>
      <c r="AW613" s="355">
        <v>0.24829999999999999</v>
      </c>
      <c r="AX613" s="624">
        <v>42397</v>
      </c>
      <c r="AY613" s="355">
        <v>1.3089999999999999E-2</v>
      </c>
      <c r="AZ613" s="624">
        <v>42397</v>
      </c>
      <c r="BA613" s="355">
        <v>8.8999999999999999E-3</v>
      </c>
      <c r="BB613" s="624">
        <v>42397</v>
      </c>
      <c r="BC613" s="355">
        <v>0.24529999999999999</v>
      </c>
      <c r="BD613" s="624">
        <v>42397</v>
      </c>
      <c r="BE613" s="355">
        <v>8.2830000000000001E-2</v>
      </c>
      <c r="BF613" s="624">
        <v>42410</v>
      </c>
      <c r="BG613" s="355">
        <v>1.4735E-2</v>
      </c>
      <c r="BH613" s="624">
        <v>42397</v>
      </c>
      <c r="BI613" s="355">
        <v>7.2406999999999999E-2</v>
      </c>
      <c r="BJ613" s="624">
        <v>42397</v>
      </c>
      <c r="BK613" s="355">
        <v>2.7921999999999999E-2</v>
      </c>
    </row>
    <row r="614" spans="3:63" x14ac:dyDescent="0.15">
      <c r="C614" s="624"/>
      <c r="D614" s="355">
        <v>3.7749999999999999E-2</v>
      </c>
      <c r="AV614" s="624">
        <v>42419</v>
      </c>
      <c r="AW614" s="355">
        <v>0.24859999999999999</v>
      </c>
      <c r="AX614" s="624">
        <v>42398</v>
      </c>
      <c r="AY614" s="355">
        <v>1.321E-2</v>
      </c>
      <c r="AZ614" s="624">
        <v>42398</v>
      </c>
      <c r="BA614" s="355">
        <v>8.8000000000000005E-3</v>
      </c>
      <c r="BB614" s="624">
        <v>42398</v>
      </c>
      <c r="BC614" s="355">
        <v>0.245</v>
      </c>
      <c r="BD614" s="624">
        <v>42398</v>
      </c>
      <c r="BE614" s="355">
        <v>8.2809999999999995E-2</v>
      </c>
      <c r="BF614" s="624">
        <v>42411</v>
      </c>
      <c r="BG614" s="355">
        <v>1.4604000000000001E-2</v>
      </c>
      <c r="BH614" s="624">
        <v>42398</v>
      </c>
      <c r="BI614" s="355">
        <v>7.3157E-2</v>
      </c>
      <c r="BJ614" s="624">
        <v>42398</v>
      </c>
      <c r="BK614" s="355">
        <v>2.8014000000000001E-2</v>
      </c>
    </row>
    <row r="615" spans="3:63" x14ac:dyDescent="0.15">
      <c r="C615" s="624"/>
      <c r="D615" s="355">
        <v>3.7719999999999997E-2</v>
      </c>
      <c r="AV615" s="624">
        <v>42422</v>
      </c>
      <c r="AW615" s="355">
        <v>0.25340000000000001</v>
      </c>
      <c r="AX615" s="624">
        <v>42401</v>
      </c>
      <c r="AY615" s="355">
        <v>1.2930000000000001E-2</v>
      </c>
      <c r="AZ615" s="624">
        <v>42401</v>
      </c>
      <c r="BA615" s="355">
        <v>8.8999999999999999E-3</v>
      </c>
      <c r="BB615" s="624">
        <v>42401</v>
      </c>
      <c r="BC615" s="355">
        <v>0.2475</v>
      </c>
      <c r="BD615" s="624">
        <v>42401</v>
      </c>
      <c r="BE615" s="355">
        <v>8.3169999999999994E-2</v>
      </c>
      <c r="BF615" s="624">
        <v>42412</v>
      </c>
      <c r="BG615" s="355">
        <v>1.4678999999999999E-2</v>
      </c>
      <c r="BH615" s="624">
        <v>42401</v>
      </c>
      <c r="BI615" s="355">
        <v>7.3505000000000001E-2</v>
      </c>
      <c r="BJ615" s="624">
        <v>42401</v>
      </c>
      <c r="BK615" s="355">
        <v>2.8088999999999999E-2</v>
      </c>
    </row>
    <row r="616" spans="3:63" x14ac:dyDescent="0.15">
      <c r="C616" s="624"/>
      <c r="D616" s="355">
        <v>3.7670000000000002E-2</v>
      </c>
      <c r="AV616" s="624">
        <v>42423</v>
      </c>
      <c r="AW616" s="355">
        <v>0.25269999999999998</v>
      </c>
      <c r="AX616" s="624">
        <v>42402</v>
      </c>
      <c r="AY616" s="355">
        <v>1.2529999999999999E-2</v>
      </c>
      <c r="AZ616" s="624">
        <v>42402</v>
      </c>
      <c r="BA616" s="355">
        <v>8.8999999999999999E-3</v>
      </c>
      <c r="BB616" s="624">
        <v>42402</v>
      </c>
      <c r="BC616" s="355">
        <v>0.24779999999999999</v>
      </c>
      <c r="BD616" s="624">
        <v>42402</v>
      </c>
      <c r="BE616" s="355">
        <v>8.2519999999999996E-2</v>
      </c>
      <c r="BF616" s="624">
        <v>42415</v>
      </c>
      <c r="BG616" s="355">
        <v>1.4677000000000001E-2</v>
      </c>
      <c r="BH616" s="624">
        <v>42402</v>
      </c>
      <c r="BI616" s="355">
        <v>7.2608000000000006E-2</v>
      </c>
      <c r="BJ616" s="624">
        <v>42402</v>
      </c>
      <c r="BK616" s="355">
        <v>2.7900000000000001E-2</v>
      </c>
    </row>
    <row r="617" spans="3:63" x14ac:dyDescent="0.15">
      <c r="C617" s="624"/>
      <c r="D617" s="355">
        <v>3.7719999999999997E-2</v>
      </c>
      <c r="AV617" s="624">
        <v>42424</v>
      </c>
      <c r="AW617" s="355">
        <v>0.25259999999999999</v>
      </c>
      <c r="AX617" s="624">
        <v>42403</v>
      </c>
      <c r="AY617" s="355">
        <v>1.303E-2</v>
      </c>
      <c r="AZ617" s="624">
        <v>42403</v>
      </c>
      <c r="BA617" s="355">
        <v>9.1000000000000004E-3</v>
      </c>
      <c r="BB617" s="624">
        <v>42403</v>
      </c>
      <c r="BC617" s="355">
        <v>0.251</v>
      </c>
      <c r="BD617" s="624">
        <v>42403</v>
      </c>
      <c r="BE617" s="355">
        <v>8.3309999999999995E-2</v>
      </c>
      <c r="BF617" s="624">
        <v>42416</v>
      </c>
      <c r="BG617" s="355">
        <v>1.4603E-2</v>
      </c>
      <c r="BH617" s="624">
        <v>42403</v>
      </c>
      <c r="BI617" s="355">
        <v>7.3136999999999994E-2</v>
      </c>
      <c r="BJ617" s="624">
        <v>42403</v>
      </c>
      <c r="BK617" s="355">
        <v>2.8003E-2</v>
      </c>
    </row>
    <row r="618" spans="3:63" x14ac:dyDescent="0.15">
      <c r="C618" s="624"/>
      <c r="D618" s="355">
        <v>3.7760000000000002E-2</v>
      </c>
      <c r="AV618" s="624">
        <v>42425</v>
      </c>
      <c r="AW618" s="355">
        <v>0.25280000000000002</v>
      </c>
      <c r="AX618" s="624">
        <v>42404</v>
      </c>
      <c r="AY618" s="355">
        <v>1.302E-2</v>
      </c>
      <c r="AZ618" s="624">
        <v>42404</v>
      </c>
      <c r="BA618" s="355">
        <v>9.1999999999999998E-3</v>
      </c>
      <c r="BB618" s="624">
        <v>42404</v>
      </c>
      <c r="BC618" s="355">
        <v>0.2535</v>
      </c>
      <c r="BD618" s="624">
        <v>42404</v>
      </c>
      <c r="BE618" s="355">
        <v>8.3820000000000006E-2</v>
      </c>
      <c r="BF618" s="624">
        <v>42417</v>
      </c>
      <c r="BG618" s="355">
        <v>1.4635E-2</v>
      </c>
      <c r="BH618" s="624">
        <v>42404</v>
      </c>
      <c r="BI618" s="355">
        <v>7.3175000000000004E-2</v>
      </c>
      <c r="BJ618" s="624">
        <v>42404</v>
      </c>
      <c r="BK618" s="355">
        <v>2.8086E-2</v>
      </c>
    </row>
    <row r="619" spans="3:63" x14ac:dyDescent="0.15">
      <c r="C619" s="624"/>
      <c r="D619" s="355">
        <v>3.7999999999999999E-2</v>
      </c>
      <c r="AV619" s="624">
        <v>42426</v>
      </c>
      <c r="AW619" s="355">
        <v>0.25030000000000002</v>
      </c>
      <c r="AX619" s="624">
        <v>42405</v>
      </c>
      <c r="AY619" s="355">
        <v>1.2999999999999999E-2</v>
      </c>
      <c r="AZ619" s="624">
        <v>42405</v>
      </c>
      <c r="BA619" s="355">
        <v>9.1000000000000004E-3</v>
      </c>
      <c r="BB619" s="624">
        <v>42405</v>
      </c>
      <c r="BC619" s="355">
        <v>0.25309999999999999</v>
      </c>
      <c r="BD619" s="624">
        <v>42405</v>
      </c>
      <c r="BE619" s="355">
        <v>8.2820000000000005E-2</v>
      </c>
      <c r="BF619" s="624">
        <v>42418</v>
      </c>
      <c r="BG619" s="355">
        <v>1.4592000000000001E-2</v>
      </c>
      <c r="BH619" s="624">
        <v>42405</v>
      </c>
      <c r="BI619" s="355">
        <v>7.3287000000000005E-2</v>
      </c>
      <c r="BJ619" s="624">
        <v>42405</v>
      </c>
      <c r="BK619" s="355">
        <v>2.8135E-2</v>
      </c>
    </row>
    <row r="620" spans="3:63" x14ac:dyDescent="0.15">
      <c r="C620" s="624"/>
      <c r="D620" s="355">
        <v>3.7929999999999998E-2</v>
      </c>
      <c r="AV620" s="624">
        <v>42429</v>
      </c>
      <c r="AW620" s="355">
        <v>0.24890000000000001</v>
      </c>
      <c r="AX620" s="624">
        <v>42408</v>
      </c>
      <c r="AY620" s="355">
        <v>1.2829999999999999E-2</v>
      </c>
      <c r="AZ620" s="624">
        <v>42408</v>
      </c>
      <c r="BA620" s="355">
        <v>9.1000000000000004E-3</v>
      </c>
      <c r="BB620" s="624">
        <v>42408</v>
      </c>
      <c r="BC620" s="355">
        <v>0.25169999999999998</v>
      </c>
      <c r="BD620" s="624">
        <v>42408</v>
      </c>
      <c r="BE620" s="355">
        <v>8.3070000000000005E-2</v>
      </c>
      <c r="BF620" s="624">
        <v>42419</v>
      </c>
      <c r="BG620" s="355">
        <v>1.4546E-2</v>
      </c>
      <c r="BH620" s="624">
        <v>42408</v>
      </c>
      <c r="BI620" s="355">
        <v>7.3524000000000006E-2</v>
      </c>
      <c r="BJ620" s="624">
        <v>42408</v>
      </c>
      <c r="BK620" s="355">
        <v>2.8140999999999999E-2</v>
      </c>
    </row>
    <row r="621" spans="3:63" x14ac:dyDescent="0.15">
      <c r="C621" s="624"/>
      <c r="D621" s="355">
        <v>3.789E-2</v>
      </c>
      <c r="AV621" s="624">
        <v>42430</v>
      </c>
      <c r="AW621" s="355">
        <v>0.25459999999999999</v>
      </c>
      <c r="AX621" s="624">
        <v>42409</v>
      </c>
      <c r="AY621" s="355">
        <v>1.255E-2</v>
      </c>
      <c r="AZ621" s="624">
        <v>42409</v>
      </c>
      <c r="BA621" s="355">
        <v>9.1999999999999998E-3</v>
      </c>
      <c r="BB621" s="624">
        <v>42409</v>
      </c>
      <c r="BC621" s="355">
        <v>0.25419999999999998</v>
      </c>
      <c r="BD621" s="624">
        <v>42409</v>
      </c>
      <c r="BE621" s="355">
        <v>8.3180000000000004E-2</v>
      </c>
      <c r="BF621" s="624">
        <v>42422</v>
      </c>
      <c r="BG621" s="355">
        <v>1.4589E-2</v>
      </c>
      <c r="BH621" s="624">
        <v>42409</v>
      </c>
      <c r="BI621" s="355">
        <v>7.3457999999999996E-2</v>
      </c>
      <c r="BJ621" s="624">
        <v>42409</v>
      </c>
      <c r="BK621" s="355">
        <v>2.8239E-2</v>
      </c>
    </row>
    <row r="622" spans="3:63" x14ac:dyDescent="0.15">
      <c r="C622" s="624"/>
      <c r="D622" s="355">
        <v>3.7949999999999998E-2</v>
      </c>
      <c r="AV622" s="624">
        <v>42431</v>
      </c>
      <c r="AW622" s="355">
        <v>0.25690000000000002</v>
      </c>
      <c r="AX622" s="624">
        <v>42410</v>
      </c>
      <c r="AY622" s="355">
        <v>1.2710000000000001E-2</v>
      </c>
      <c r="AZ622" s="624">
        <v>42410</v>
      </c>
      <c r="BA622" s="355">
        <v>9.1999999999999998E-3</v>
      </c>
      <c r="BB622" s="624">
        <v>42410</v>
      </c>
      <c r="BC622" s="355">
        <v>0.25619999999999998</v>
      </c>
      <c r="BD622" s="624">
        <v>42410</v>
      </c>
      <c r="BE622" s="355">
        <v>8.4099999999999994E-2</v>
      </c>
      <c r="BF622" s="624">
        <v>42423</v>
      </c>
      <c r="BG622" s="355">
        <v>1.4584E-2</v>
      </c>
      <c r="BH622" s="624">
        <v>42410</v>
      </c>
      <c r="BI622" s="355">
        <v>7.4493000000000004E-2</v>
      </c>
      <c r="BJ622" s="624">
        <v>42410</v>
      </c>
      <c r="BK622" s="355">
        <v>2.8323999999999998E-2</v>
      </c>
    </row>
    <row r="623" spans="3:63" x14ac:dyDescent="0.15">
      <c r="C623" s="624"/>
      <c r="D623" s="355">
        <v>3.8089999999999999E-2</v>
      </c>
      <c r="AV623" s="624">
        <v>42432</v>
      </c>
      <c r="AW623" s="355">
        <v>0.26319999999999999</v>
      </c>
      <c r="AX623" s="624">
        <v>42411</v>
      </c>
      <c r="AY623" s="355">
        <v>1.2540000000000001E-2</v>
      </c>
      <c r="AZ623" s="624">
        <v>42411</v>
      </c>
      <c r="BA623" s="355">
        <v>9.1999999999999998E-3</v>
      </c>
      <c r="BB623" s="624">
        <v>42411</v>
      </c>
      <c r="BC623" s="355">
        <v>0.25609999999999999</v>
      </c>
      <c r="BD623" s="624">
        <v>42411</v>
      </c>
      <c r="BE623" s="355">
        <v>8.3330000000000001E-2</v>
      </c>
      <c r="BF623" s="624">
        <v>42424</v>
      </c>
      <c r="BG623" s="355">
        <v>1.4612999999999999E-2</v>
      </c>
      <c r="BH623" s="624">
        <v>42411</v>
      </c>
      <c r="BI623" s="355">
        <v>7.4001999999999998E-2</v>
      </c>
      <c r="BJ623" s="624">
        <v>42411</v>
      </c>
      <c r="BK623" s="355">
        <v>2.8379000000000001E-2</v>
      </c>
    </row>
    <row r="624" spans="3:63" x14ac:dyDescent="0.15">
      <c r="C624" s="624"/>
      <c r="D624" s="355">
        <v>3.814E-2</v>
      </c>
      <c r="AV624" s="624">
        <v>42433</v>
      </c>
      <c r="AW624" s="355">
        <v>0.26600000000000001</v>
      </c>
      <c r="AX624" s="624">
        <v>42412</v>
      </c>
      <c r="AY624" s="355">
        <v>1.273E-2</v>
      </c>
      <c r="AZ624" s="624">
        <v>42412</v>
      </c>
      <c r="BA624" s="355">
        <v>9.1000000000000004E-3</v>
      </c>
      <c r="BB624" s="624">
        <v>42412</v>
      </c>
      <c r="BC624" s="355">
        <v>0.25590000000000002</v>
      </c>
      <c r="BD624" s="624">
        <v>42412</v>
      </c>
      <c r="BE624" s="355">
        <v>8.2830000000000001E-2</v>
      </c>
      <c r="BF624" s="624">
        <v>42425</v>
      </c>
      <c r="BG624" s="355">
        <v>1.4546E-2</v>
      </c>
      <c r="BH624" s="624">
        <v>42412</v>
      </c>
      <c r="BI624" s="355">
        <v>7.4082999999999996E-2</v>
      </c>
      <c r="BJ624" s="624">
        <v>42412</v>
      </c>
      <c r="BK624" s="355">
        <v>2.8098000000000001E-2</v>
      </c>
    </row>
    <row r="625" spans="3:63" x14ac:dyDescent="0.15">
      <c r="C625" s="624"/>
      <c r="D625" s="355">
        <v>3.8120000000000001E-2</v>
      </c>
      <c r="AV625" s="624">
        <v>42436</v>
      </c>
      <c r="AW625" s="355">
        <v>0.26429999999999998</v>
      </c>
      <c r="AX625" s="624">
        <v>42415</v>
      </c>
      <c r="AY625" s="355">
        <v>1.299E-2</v>
      </c>
      <c r="AZ625" s="624">
        <v>42415</v>
      </c>
      <c r="BA625" s="355">
        <v>9.1999999999999998E-3</v>
      </c>
      <c r="BB625" s="624">
        <v>42415</v>
      </c>
      <c r="BC625" s="355">
        <v>0.25369999999999998</v>
      </c>
      <c r="BD625" s="624">
        <v>42415</v>
      </c>
      <c r="BE625" s="355">
        <v>8.233E-2</v>
      </c>
      <c r="BF625" s="624">
        <v>42426</v>
      </c>
      <c r="BG625" s="355">
        <v>1.4545000000000001E-2</v>
      </c>
      <c r="BH625" s="624">
        <v>42415</v>
      </c>
      <c r="BI625" s="355">
        <v>7.4753E-2</v>
      </c>
      <c r="BJ625" s="624">
        <v>42415</v>
      </c>
      <c r="BK625" s="355">
        <v>2.8080000000000001E-2</v>
      </c>
    </row>
    <row r="626" spans="3:63" x14ac:dyDescent="0.15">
      <c r="C626" s="624"/>
      <c r="D626" s="355">
        <v>3.8150000000000003E-2</v>
      </c>
      <c r="AV626" s="624">
        <v>42437</v>
      </c>
      <c r="AW626" s="355">
        <v>0.26629999999999998</v>
      </c>
      <c r="AX626" s="624">
        <v>42416</v>
      </c>
      <c r="AY626" s="355">
        <v>1.2840000000000001E-2</v>
      </c>
      <c r="AZ626" s="624">
        <v>42416</v>
      </c>
      <c r="BA626" s="355">
        <v>9.1999999999999998E-3</v>
      </c>
      <c r="BB626" s="624">
        <v>42416</v>
      </c>
      <c r="BC626" s="355">
        <v>0.25290000000000001</v>
      </c>
      <c r="BD626" s="624">
        <v>42416</v>
      </c>
      <c r="BE626" s="355">
        <v>8.2040000000000002E-2</v>
      </c>
      <c r="BF626" s="624">
        <v>42429</v>
      </c>
      <c r="BG626" s="355">
        <v>1.4664E-2</v>
      </c>
      <c r="BH626" s="624">
        <v>42416</v>
      </c>
      <c r="BI626" s="355">
        <v>7.4095999999999995E-2</v>
      </c>
      <c r="BJ626" s="624">
        <v>42416</v>
      </c>
      <c r="BK626" s="355">
        <v>2.8028999999999998E-2</v>
      </c>
    </row>
    <row r="627" spans="3:63" x14ac:dyDescent="0.15">
      <c r="C627" s="624"/>
      <c r="D627" s="355">
        <v>3.8150000000000003E-2</v>
      </c>
      <c r="AV627" s="624">
        <v>42438</v>
      </c>
      <c r="AW627" s="355">
        <v>0.27139999999999997</v>
      </c>
      <c r="AX627" s="624">
        <v>42417</v>
      </c>
      <c r="AY627" s="355">
        <v>1.3310000000000001E-2</v>
      </c>
      <c r="AZ627" s="624">
        <v>42417</v>
      </c>
      <c r="BA627" s="355">
        <v>9.1000000000000004E-3</v>
      </c>
      <c r="BB627" s="624">
        <v>42417</v>
      </c>
      <c r="BC627" s="355">
        <v>0.253</v>
      </c>
      <c r="BD627" s="624">
        <v>42417</v>
      </c>
      <c r="BE627" s="355">
        <v>8.1670000000000006E-2</v>
      </c>
      <c r="BF627" s="624">
        <v>42430</v>
      </c>
      <c r="BG627" s="355">
        <v>1.4789999999999999E-2</v>
      </c>
      <c r="BH627" s="624">
        <v>42417</v>
      </c>
      <c r="BI627" s="355">
        <v>7.4442999999999995E-2</v>
      </c>
      <c r="BJ627" s="624">
        <v>42417</v>
      </c>
      <c r="BK627" s="355">
        <v>2.8094000000000001E-2</v>
      </c>
    </row>
    <row r="628" spans="3:63" x14ac:dyDescent="0.15">
      <c r="C628" s="624"/>
      <c r="D628" s="355">
        <v>3.8129999999999997E-2</v>
      </c>
      <c r="AV628" s="624">
        <v>42439</v>
      </c>
      <c r="AW628" s="355">
        <v>0.27610000000000001</v>
      </c>
      <c r="AX628" s="624">
        <v>42418</v>
      </c>
      <c r="AY628" s="355">
        <v>1.3129999999999999E-2</v>
      </c>
      <c r="AZ628" s="624">
        <v>42418</v>
      </c>
      <c r="BA628" s="355">
        <v>8.9999999999999993E-3</v>
      </c>
      <c r="BB628" s="624">
        <v>42418</v>
      </c>
      <c r="BC628" s="355">
        <v>0.25280000000000002</v>
      </c>
      <c r="BD628" s="624">
        <v>42418</v>
      </c>
      <c r="BE628" s="355">
        <v>8.1369999999999998E-2</v>
      </c>
      <c r="BF628" s="624">
        <v>42431</v>
      </c>
      <c r="BG628" s="355">
        <v>1.4855999999999999E-2</v>
      </c>
      <c r="BH628" s="624">
        <v>42418</v>
      </c>
      <c r="BI628" s="355">
        <v>7.4124999999999996E-2</v>
      </c>
      <c r="BJ628" s="624">
        <v>42418</v>
      </c>
      <c r="BK628" s="355">
        <v>2.81E-2</v>
      </c>
    </row>
    <row r="629" spans="3:63" x14ac:dyDescent="0.15">
      <c r="C629" s="624"/>
      <c r="D629" s="355">
        <v>3.814E-2</v>
      </c>
      <c r="AV629" s="624">
        <v>42440</v>
      </c>
      <c r="AW629" s="355">
        <v>0.27910000000000001</v>
      </c>
      <c r="AX629" s="624">
        <v>42419</v>
      </c>
      <c r="AY629" s="355">
        <v>1.299E-2</v>
      </c>
      <c r="AZ629" s="624">
        <v>42419</v>
      </c>
      <c r="BA629" s="355">
        <v>8.9999999999999993E-3</v>
      </c>
      <c r="BB629" s="624">
        <v>42419</v>
      </c>
      <c r="BC629" s="355">
        <v>0.25459999999999999</v>
      </c>
      <c r="BD629" s="624">
        <v>42419</v>
      </c>
      <c r="BE629" s="355">
        <v>8.1030000000000005E-2</v>
      </c>
      <c r="BF629" s="624">
        <v>42432</v>
      </c>
      <c r="BG629" s="355">
        <v>1.4897000000000001E-2</v>
      </c>
      <c r="BH629" s="624">
        <v>42419</v>
      </c>
      <c r="BI629" s="355">
        <v>7.4267E-2</v>
      </c>
      <c r="BJ629" s="624">
        <v>42419</v>
      </c>
      <c r="BK629" s="355">
        <v>2.7987999999999999E-2</v>
      </c>
    </row>
    <row r="630" spans="3:63" x14ac:dyDescent="0.15">
      <c r="C630" s="624"/>
      <c r="D630" s="355">
        <v>3.8210000000000001E-2</v>
      </c>
      <c r="AV630" s="624">
        <v>42443</v>
      </c>
      <c r="AW630" s="355">
        <v>0.27329999999999999</v>
      </c>
      <c r="AX630" s="624">
        <v>42422</v>
      </c>
      <c r="AY630" s="355">
        <v>1.332E-2</v>
      </c>
      <c r="AZ630" s="624">
        <v>42422</v>
      </c>
      <c r="BA630" s="355">
        <v>8.8999999999999999E-3</v>
      </c>
      <c r="BB630" s="624">
        <v>42422</v>
      </c>
      <c r="BC630" s="355">
        <v>0.253</v>
      </c>
      <c r="BD630" s="624">
        <v>42422</v>
      </c>
      <c r="BE630" s="355">
        <v>8.1710000000000005E-2</v>
      </c>
      <c r="BF630" s="624">
        <v>42433</v>
      </c>
      <c r="BG630" s="355">
        <v>1.4933E-2</v>
      </c>
      <c r="BH630" s="624">
        <v>42422</v>
      </c>
      <c r="BI630" s="355">
        <v>7.4703000000000006E-2</v>
      </c>
      <c r="BJ630" s="624">
        <v>42422</v>
      </c>
      <c r="BK630" s="355">
        <v>2.7973000000000001E-2</v>
      </c>
    </row>
    <row r="631" spans="3:63" x14ac:dyDescent="0.15">
      <c r="C631" s="624"/>
      <c r="D631" s="355">
        <v>3.823E-2</v>
      </c>
      <c r="AV631" s="624">
        <v>42444</v>
      </c>
      <c r="AW631" s="355">
        <v>0.26540000000000002</v>
      </c>
      <c r="AX631" s="624">
        <v>42423</v>
      </c>
      <c r="AY631" s="355">
        <v>1.3100000000000001E-2</v>
      </c>
      <c r="AZ631" s="624">
        <v>42423</v>
      </c>
      <c r="BA631" s="355">
        <v>8.8999999999999999E-3</v>
      </c>
      <c r="BB631" s="624">
        <v>42423</v>
      </c>
      <c r="BC631" s="355">
        <v>0.25159999999999999</v>
      </c>
      <c r="BD631" s="624">
        <v>42423</v>
      </c>
      <c r="BE631" s="355">
        <v>8.1189999999999998E-2</v>
      </c>
      <c r="BF631" s="624">
        <v>42436</v>
      </c>
      <c r="BG631" s="355">
        <v>1.4926999999999999E-2</v>
      </c>
      <c r="BH631" s="624">
        <v>42423</v>
      </c>
      <c r="BI631" s="355">
        <v>7.4432999999999999E-2</v>
      </c>
      <c r="BJ631" s="624">
        <v>42423</v>
      </c>
      <c r="BK631" s="355">
        <v>2.7993000000000001E-2</v>
      </c>
    </row>
    <row r="632" spans="3:63" x14ac:dyDescent="0.15">
      <c r="C632" s="624"/>
      <c r="D632" s="355">
        <v>3.8300000000000001E-2</v>
      </c>
      <c r="AV632" s="624"/>
      <c r="AX632" s="624">
        <v>42424</v>
      </c>
      <c r="AY632" s="355">
        <v>1.319E-2</v>
      </c>
      <c r="AZ632" s="624">
        <v>42424</v>
      </c>
      <c r="BA632" s="355">
        <v>8.8999999999999999E-3</v>
      </c>
      <c r="BB632" s="624">
        <v>42424</v>
      </c>
      <c r="BC632" s="355">
        <v>0.25159999999999999</v>
      </c>
      <c r="BD632" s="624">
        <v>42424</v>
      </c>
      <c r="BE632" s="355">
        <v>8.1119999999999998E-2</v>
      </c>
      <c r="BF632" s="624">
        <v>42437</v>
      </c>
      <c r="BG632" s="355">
        <v>1.4853999999999999E-2</v>
      </c>
      <c r="BH632" s="624">
        <v>42424</v>
      </c>
      <c r="BI632" s="355">
        <v>7.4674000000000004E-2</v>
      </c>
      <c r="BJ632" s="624">
        <v>42424</v>
      </c>
      <c r="BK632" s="355">
        <v>2.8027E-2</v>
      </c>
    </row>
    <row r="633" spans="3:63" x14ac:dyDescent="0.15">
      <c r="C633" s="624"/>
      <c r="D633" s="355">
        <v>3.8289999999999998E-2</v>
      </c>
      <c r="AV633" s="624"/>
      <c r="AX633" s="624">
        <v>42425</v>
      </c>
      <c r="AY633" s="355">
        <v>1.328E-2</v>
      </c>
      <c r="AZ633" s="624">
        <v>42425</v>
      </c>
      <c r="BA633" s="355">
        <v>8.8999999999999999E-3</v>
      </c>
      <c r="BB633" s="624">
        <v>42425</v>
      </c>
      <c r="BC633" s="355">
        <v>0.253</v>
      </c>
      <c r="BD633" s="624">
        <v>42425</v>
      </c>
      <c r="BE633" s="355">
        <v>8.0949999999999994E-2</v>
      </c>
      <c r="BF633" s="624">
        <v>42438</v>
      </c>
      <c r="BG633" s="355">
        <v>1.4883E-2</v>
      </c>
      <c r="BH633" s="624">
        <v>42425</v>
      </c>
      <c r="BI633" s="355">
        <v>7.4376999999999999E-2</v>
      </c>
      <c r="BJ633" s="624">
        <v>42425</v>
      </c>
      <c r="BK633" s="355">
        <v>2.8025000000000001E-2</v>
      </c>
    </row>
    <row r="634" spans="3:63" x14ac:dyDescent="0.15">
      <c r="C634" s="624"/>
      <c r="D634" s="355">
        <v>3.823E-2</v>
      </c>
      <c r="AV634" s="624"/>
      <c r="AX634" s="624">
        <v>42426</v>
      </c>
      <c r="AY634" s="355">
        <v>1.311E-2</v>
      </c>
      <c r="AZ634" s="624">
        <v>42426</v>
      </c>
      <c r="BA634" s="355">
        <v>8.8999999999999999E-3</v>
      </c>
      <c r="BB634" s="624">
        <v>42426</v>
      </c>
      <c r="BC634" s="355">
        <v>0.24979999999999999</v>
      </c>
      <c r="BD634" s="624">
        <v>42426</v>
      </c>
      <c r="BE634" s="355">
        <v>8.0479999999999996E-2</v>
      </c>
      <c r="BF634" s="624">
        <v>42439</v>
      </c>
      <c r="BG634" s="355">
        <v>1.4858E-2</v>
      </c>
      <c r="BH634" s="624">
        <v>42426</v>
      </c>
      <c r="BI634" s="355">
        <v>7.4376999999999999E-2</v>
      </c>
      <c r="BJ634" s="624">
        <v>42426</v>
      </c>
      <c r="BK634" s="355">
        <v>2.7983000000000001E-2</v>
      </c>
    </row>
    <row r="635" spans="3:63" x14ac:dyDescent="0.15">
      <c r="C635" s="624"/>
      <c r="D635" s="355">
        <v>3.8219999999999997E-2</v>
      </c>
      <c r="AV635" s="624"/>
      <c r="AX635" s="624">
        <v>42429</v>
      </c>
      <c r="AY635" s="355">
        <v>1.341E-2</v>
      </c>
      <c r="AZ635" s="624">
        <v>42429</v>
      </c>
      <c r="BA635" s="355">
        <v>8.8000000000000005E-3</v>
      </c>
      <c r="BB635" s="624">
        <v>42429</v>
      </c>
      <c r="BC635" s="355">
        <v>0.25009999999999999</v>
      </c>
      <c r="BD635" s="624">
        <v>42429</v>
      </c>
      <c r="BE635" s="355">
        <v>8.0750000000000002E-2</v>
      </c>
      <c r="BF635" s="624">
        <v>42440</v>
      </c>
      <c r="BG635" s="355">
        <v>1.4937000000000001E-2</v>
      </c>
      <c r="BH635" s="624">
        <v>42429</v>
      </c>
      <c r="BI635" s="355">
        <v>7.4871999999999994E-2</v>
      </c>
      <c r="BJ635" s="624">
        <v>42429</v>
      </c>
      <c r="BK635" s="355">
        <v>2.8070999999999999E-2</v>
      </c>
    </row>
    <row r="636" spans="3:63" x14ac:dyDescent="0.15">
      <c r="C636" s="624"/>
      <c r="D636" s="355">
        <v>3.8080000000000003E-2</v>
      </c>
      <c r="AV636" s="624"/>
      <c r="AX636" s="624">
        <v>42430</v>
      </c>
      <c r="AY636" s="355">
        <v>1.3650000000000001E-2</v>
      </c>
      <c r="AZ636" s="624">
        <v>42430</v>
      </c>
      <c r="BA636" s="355">
        <v>8.8000000000000005E-3</v>
      </c>
      <c r="BB636" s="624">
        <v>42430</v>
      </c>
      <c r="BC636" s="355">
        <v>0.25090000000000001</v>
      </c>
      <c r="BD636" s="624">
        <v>42430</v>
      </c>
      <c r="BE636" s="355">
        <v>8.1360000000000002E-2</v>
      </c>
      <c r="BF636" s="624">
        <v>42443</v>
      </c>
      <c r="BG636" s="355">
        <v>1.4881E-2</v>
      </c>
      <c r="BH636" s="624">
        <v>42430</v>
      </c>
      <c r="BI636" s="355">
        <v>7.5315999999999994E-2</v>
      </c>
      <c r="BJ636" s="624">
        <v>42430</v>
      </c>
      <c r="BK636" s="355">
        <v>2.8101999999999999E-2</v>
      </c>
    </row>
    <row r="637" spans="3:63" x14ac:dyDescent="0.15">
      <c r="C637" s="624"/>
      <c r="D637" s="355">
        <v>3.8120000000000001E-2</v>
      </c>
      <c r="AV637" s="624"/>
      <c r="AX637" s="624">
        <v>42431</v>
      </c>
      <c r="AY637" s="355">
        <v>1.363E-2</v>
      </c>
      <c r="AZ637" s="624">
        <v>42431</v>
      </c>
      <c r="BA637" s="355">
        <v>8.8000000000000005E-3</v>
      </c>
      <c r="BB637" s="624">
        <v>42431</v>
      </c>
      <c r="BC637" s="355">
        <v>0.2515</v>
      </c>
      <c r="BD637" s="624">
        <v>42431</v>
      </c>
      <c r="BE637" s="355">
        <v>8.1619999999999998E-2</v>
      </c>
      <c r="BF637" s="624">
        <v>42444</v>
      </c>
      <c r="BG637" s="355">
        <v>1.4841E-2</v>
      </c>
      <c r="BH637" s="624">
        <v>42431</v>
      </c>
      <c r="BI637" s="355">
        <v>7.5309000000000001E-2</v>
      </c>
      <c r="BJ637" s="624">
        <v>42431</v>
      </c>
      <c r="BK637" s="355">
        <v>2.8118000000000001E-2</v>
      </c>
    </row>
    <row r="638" spans="3:63" x14ac:dyDescent="0.15">
      <c r="C638" s="624"/>
      <c r="D638" s="355">
        <v>3.8159999999999999E-2</v>
      </c>
      <c r="AV638" s="624"/>
      <c r="AX638" s="624">
        <v>42432</v>
      </c>
      <c r="AY638" s="355">
        <v>1.3690000000000001E-2</v>
      </c>
      <c r="AZ638" s="624">
        <v>42432</v>
      </c>
      <c r="BA638" s="355">
        <v>8.8999999999999999E-3</v>
      </c>
      <c r="BB638" s="624">
        <v>42432</v>
      </c>
      <c r="BC638" s="355">
        <v>0.25240000000000001</v>
      </c>
      <c r="BD638" s="624">
        <v>42432</v>
      </c>
      <c r="BE638" s="355">
        <v>8.2500000000000004E-2</v>
      </c>
      <c r="BF638" s="624">
        <v>39164</v>
      </c>
      <c r="BG638" s="355">
        <v>2.2952E-2</v>
      </c>
      <c r="BH638" s="624">
        <v>42432</v>
      </c>
      <c r="BI638" s="355">
        <v>7.5740000000000002E-2</v>
      </c>
      <c r="BJ638" s="624">
        <v>42432</v>
      </c>
      <c r="BK638" s="355">
        <v>2.8223000000000002E-2</v>
      </c>
    </row>
    <row r="639" spans="3:63" x14ac:dyDescent="0.15">
      <c r="C639" s="624"/>
      <c r="D639" s="355">
        <v>3.814E-2</v>
      </c>
      <c r="AV639" s="624"/>
      <c r="AX639" s="624">
        <v>42433</v>
      </c>
      <c r="AY639" s="355">
        <v>1.391E-2</v>
      </c>
      <c r="AZ639" s="624">
        <v>42433</v>
      </c>
      <c r="BA639" s="355">
        <v>8.8999999999999999E-3</v>
      </c>
      <c r="BB639" s="624">
        <v>42433</v>
      </c>
      <c r="BC639" s="355">
        <v>0.25469999999999998</v>
      </c>
      <c r="BD639" s="624">
        <v>42433</v>
      </c>
      <c r="BE639" s="355">
        <v>8.3419999999999994E-2</v>
      </c>
      <c r="BF639" s="624">
        <v>39167</v>
      </c>
      <c r="BG639" s="355">
        <v>2.3096999999999999E-2</v>
      </c>
      <c r="BH639" s="624">
        <v>42433</v>
      </c>
      <c r="BI639" s="355">
        <v>7.6772999999999994E-2</v>
      </c>
      <c r="BJ639" s="624">
        <v>42433</v>
      </c>
      <c r="BK639" s="355">
        <v>2.8288000000000001E-2</v>
      </c>
    </row>
    <row r="640" spans="3:63" x14ac:dyDescent="0.15">
      <c r="C640" s="624"/>
      <c r="D640" s="355">
        <v>3.8109999999999998E-2</v>
      </c>
      <c r="AV640" s="624"/>
      <c r="AX640" s="624">
        <v>42436</v>
      </c>
      <c r="AY640" s="355">
        <v>1.3990000000000001E-2</v>
      </c>
      <c r="AZ640" s="624">
        <v>42436</v>
      </c>
      <c r="BA640" s="355">
        <v>8.8999999999999999E-3</v>
      </c>
      <c r="BB640" s="624">
        <v>42436</v>
      </c>
      <c r="BC640" s="355">
        <v>0.25430000000000003</v>
      </c>
      <c r="BD640" s="624">
        <v>42436</v>
      </c>
      <c r="BE640" s="355">
        <v>8.3299999999999999E-2</v>
      </c>
      <c r="BF640" s="624">
        <v>39169</v>
      </c>
      <c r="BG640" s="355">
        <v>2.3234000000000001E-2</v>
      </c>
      <c r="BH640" s="624">
        <v>42436</v>
      </c>
      <c r="BI640" s="355">
        <v>7.6579999999999995E-2</v>
      </c>
      <c r="BJ640" s="624">
        <v>42436</v>
      </c>
      <c r="BK640" s="355">
        <v>2.8237999999999999E-2</v>
      </c>
    </row>
    <row r="641" spans="3:63" x14ac:dyDescent="0.15">
      <c r="C641" s="624"/>
      <c r="D641" s="355">
        <v>3.8210000000000001E-2</v>
      </c>
      <c r="AV641" s="624"/>
      <c r="AX641" s="624">
        <v>42437</v>
      </c>
      <c r="AY641" s="355">
        <v>1.37E-2</v>
      </c>
      <c r="AZ641" s="624">
        <v>42437</v>
      </c>
      <c r="BA641" s="355">
        <v>8.8999999999999999E-3</v>
      </c>
      <c r="BB641" s="624">
        <v>42437</v>
      </c>
      <c r="BC641" s="355">
        <v>0.25469999999999998</v>
      </c>
      <c r="BD641" s="624">
        <v>42437</v>
      </c>
      <c r="BE641" s="355">
        <v>8.2629999999999995E-2</v>
      </c>
      <c r="BF641" s="624">
        <v>39170</v>
      </c>
      <c r="BG641" s="355">
        <v>2.2852000000000001E-2</v>
      </c>
      <c r="BH641" s="624">
        <v>42437</v>
      </c>
      <c r="BI641" s="355">
        <v>7.5757000000000005E-2</v>
      </c>
      <c r="BJ641" s="624">
        <v>42437</v>
      </c>
      <c r="BK641" s="355">
        <v>2.828E-2</v>
      </c>
    </row>
    <row r="642" spans="3:63" x14ac:dyDescent="0.15">
      <c r="C642" s="624"/>
      <c r="D642" s="355">
        <v>3.8249999999999999E-2</v>
      </c>
      <c r="AV642" s="624"/>
      <c r="AX642" s="624">
        <v>42438</v>
      </c>
      <c r="AY642" s="355">
        <v>1.4069999999999999E-2</v>
      </c>
      <c r="AZ642" s="624">
        <v>42438</v>
      </c>
      <c r="BA642" s="355">
        <v>8.8999999999999999E-3</v>
      </c>
      <c r="BB642" s="624">
        <v>42438</v>
      </c>
      <c r="BC642" s="355">
        <v>0.25469999999999998</v>
      </c>
      <c r="BD642" s="624">
        <v>42438</v>
      </c>
      <c r="BE642" s="355">
        <v>8.269E-2</v>
      </c>
      <c r="BF642" s="624">
        <v>39171</v>
      </c>
      <c r="BG642" s="355">
        <v>2.2977999999999998E-2</v>
      </c>
      <c r="BH642" s="624">
        <v>42438</v>
      </c>
      <c r="BI642" s="355">
        <v>7.6240000000000002E-2</v>
      </c>
      <c r="BJ642" s="624">
        <v>42438</v>
      </c>
      <c r="BK642" s="355">
        <v>2.8337000000000001E-2</v>
      </c>
    </row>
    <row r="643" spans="3:63" x14ac:dyDescent="0.15">
      <c r="C643" s="624"/>
      <c r="D643" s="355">
        <v>3.8269999999999998E-2</v>
      </c>
      <c r="AV643" s="624"/>
      <c r="AX643" s="624">
        <v>42439</v>
      </c>
      <c r="AY643" s="355">
        <v>1.404E-2</v>
      </c>
      <c r="AZ643" s="624">
        <v>42439</v>
      </c>
      <c r="BA643" s="355">
        <v>9.1000000000000004E-3</v>
      </c>
      <c r="BB643" s="624">
        <v>42439</v>
      </c>
      <c r="BC643" s="355">
        <v>0.25790000000000002</v>
      </c>
      <c r="BD643" s="624">
        <v>42439</v>
      </c>
      <c r="BE643" s="355">
        <v>8.3030000000000007E-2</v>
      </c>
      <c r="BF643" s="624">
        <v>39174</v>
      </c>
      <c r="BG643" s="355">
        <v>2.3099999999999999E-2</v>
      </c>
      <c r="BH643" s="624">
        <v>42439</v>
      </c>
      <c r="BI643" s="355">
        <v>7.5889999999999999E-2</v>
      </c>
      <c r="BJ643" s="624">
        <v>42439</v>
      </c>
      <c r="BK643" s="355">
        <v>2.8389000000000001E-2</v>
      </c>
    </row>
    <row r="644" spans="3:63" x14ac:dyDescent="0.15">
      <c r="C644" s="624"/>
      <c r="D644" s="355">
        <v>3.8289999999999998E-2</v>
      </c>
      <c r="AV644" s="624"/>
      <c r="AX644" s="624">
        <v>42440</v>
      </c>
      <c r="AY644" s="355">
        <v>1.4279999999999999E-2</v>
      </c>
      <c r="AZ644" s="624">
        <v>42440</v>
      </c>
      <c r="BA644" s="355">
        <v>8.9999999999999993E-3</v>
      </c>
      <c r="BB644" s="624">
        <v>42440</v>
      </c>
      <c r="BC644" s="355">
        <v>0.25969999999999999</v>
      </c>
      <c r="BD644" s="624">
        <v>42440</v>
      </c>
      <c r="BE644" s="355">
        <v>8.4169999999999995E-2</v>
      </c>
      <c r="BF644" s="624">
        <v>39175</v>
      </c>
      <c r="BG644" s="355">
        <v>2.3215E-2</v>
      </c>
      <c r="BH644" s="624">
        <v>42440</v>
      </c>
      <c r="BI644" s="355">
        <v>7.7022999999999994E-2</v>
      </c>
      <c r="BJ644" s="624">
        <v>42440</v>
      </c>
      <c r="BK644" s="355">
        <v>2.8531000000000001E-2</v>
      </c>
    </row>
    <row r="645" spans="3:63" x14ac:dyDescent="0.15">
      <c r="C645" s="624"/>
      <c r="D645" s="355">
        <v>3.8420000000000003E-2</v>
      </c>
      <c r="AV645" s="624"/>
      <c r="AX645" s="624">
        <v>42443</v>
      </c>
      <c r="AY645" s="355">
        <v>1.4290000000000001E-2</v>
      </c>
      <c r="AZ645" s="624">
        <v>42443</v>
      </c>
      <c r="BA645" s="355">
        <v>8.9999999999999993E-3</v>
      </c>
      <c r="BB645" s="624">
        <v>42443</v>
      </c>
      <c r="BC645" s="355">
        <v>0.2596</v>
      </c>
      <c r="BD645" s="624">
        <v>42443</v>
      </c>
      <c r="BE645" s="355">
        <v>8.4089999999999998E-2</v>
      </c>
      <c r="BF645" s="624">
        <v>39176</v>
      </c>
      <c r="BG645" s="355">
        <v>2.3219E-2</v>
      </c>
      <c r="BH645" s="624">
        <v>42443</v>
      </c>
      <c r="BI645" s="355">
        <v>7.6699000000000003E-2</v>
      </c>
      <c r="BJ645" s="624">
        <v>42443</v>
      </c>
      <c r="BK645" s="355">
        <v>2.8493999999999998E-2</v>
      </c>
    </row>
    <row r="646" spans="3:63" x14ac:dyDescent="0.15">
      <c r="C646" s="624"/>
      <c r="D646" s="355">
        <v>3.8399999999999997E-2</v>
      </c>
      <c r="AV646" s="624"/>
      <c r="AX646" s="624">
        <v>42444</v>
      </c>
      <c r="AY646" s="355">
        <v>1.4120000000000001E-2</v>
      </c>
      <c r="AZ646" s="624">
        <v>42444</v>
      </c>
      <c r="BA646" s="355">
        <v>8.9999999999999993E-3</v>
      </c>
      <c r="BB646" s="624">
        <v>42444</v>
      </c>
      <c r="BC646" s="355">
        <v>0.25890000000000002</v>
      </c>
      <c r="BD646" s="624">
        <v>42444</v>
      </c>
      <c r="BE646" s="355">
        <v>8.3669999999999994E-2</v>
      </c>
      <c r="BF646" s="624">
        <v>39177</v>
      </c>
      <c r="BG646" s="355">
        <v>2.3299E-2</v>
      </c>
      <c r="BH646" s="624">
        <v>42444</v>
      </c>
      <c r="BI646" s="355">
        <v>7.5854000000000005E-2</v>
      </c>
      <c r="BJ646" s="624">
        <v>42444</v>
      </c>
      <c r="BK646" s="355">
        <v>2.8438000000000001E-2</v>
      </c>
    </row>
    <row r="647" spans="3:63" x14ac:dyDescent="0.15">
      <c r="C647" s="624"/>
      <c r="D647" s="355">
        <v>3.8420000000000003E-2</v>
      </c>
      <c r="AV647" s="624"/>
      <c r="AX647" s="624">
        <v>39162</v>
      </c>
      <c r="AY647" s="355">
        <v>3.85E-2</v>
      </c>
      <c r="AZ647" s="624">
        <v>39225</v>
      </c>
      <c r="BA647" s="355">
        <v>1.66E-2</v>
      </c>
      <c r="BB647" s="624">
        <v>39160</v>
      </c>
      <c r="BC647" s="355">
        <v>0.34389999999999998</v>
      </c>
      <c r="BD647" s="624">
        <v>39161</v>
      </c>
      <c r="BE647" s="355">
        <v>0.10624</v>
      </c>
      <c r="BF647" s="624">
        <v>39181</v>
      </c>
      <c r="BG647" s="355">
        <v>2.3317000000000001E-2</v>
      </c>
      <c r="BH647" s="624">
        <v>39160</v>
      </c>
      <c r="BI647" s="355">
        <v>0.108436</v>
      </c>
      <c r="BJ647" s="624">
        <v>39160</v>
      </c>
      <c r="BK647" s="355">
        <v>3.0419000000000002E-2</v>
      </c>
    </row>
    <row r="648" spans="3:63" x14ac:dyDescent="0.15">
      <c r="C648" s="624"/>
      <c r="D648" s="355">
        <v>3.85E-2</v>
      </c>
      <c r="AV648" s="624"/>
      <c r="AX648" s="624">
        <v>39163</v>
      </c>
      <c r="AY648" s="355">
        <v>3.8440000000000002E-2</v>
      </c>
      <c r="AZ648" s="624">
        <v>39226</v>
      </c>
      <c r="BA648" s="355">
        <v>1.6400000000000001E-2</v>
      </c>
      <c r="BB648" s="624">
        <v>39161</v>
      </c>
      <c r="BC648" s="355">
        <v>0.34360000000000002</v>
      </c>
      <c r="BD648" s="624">
        <v>39162</v>
      </c>
      <c r="BE648" s="355">
        <v>0.10662000000000001</v>
      </c>
      <c r="BF648" s="624">
        <v>39182</v>
      </c>
      <c r="BG648" s="355">
        <v>2.3334000000000001E-2</v>
      </c>
      <c r="BH648" s="624">
        <v>39161</v>
      </c>
      <c r="BI648" s="355">
        <v>0.10929</v>
      </c>
      <c r="BJ648" s="624">
        <v>39161</v>
      </c>
      <c r="BK648" s="355">
        <v>3.0516000000000001E-2</v>
      </c>
    </row>
    <row r="649" spans="3:63" x14ac:dyDescent="0.15">
      <c r="C649" s="624"/>
      <c r="D649" s="355">
        <v>3.8440000000000002E-2</v>
      </c>
      <c r="AV649" s="624"/>
      <c r="AX649" s="624">
        <v>39164</v>
      </c>
      <c r="AY649" s="355">
        <v>3.8379999999999997E-2</v>
      </c>
      <c r="AZ649" s="624">
        <v>39227</v>
      </c>
      <c r="BA649" s="355">
        <v>1.6500000000000001E-2</v>
      </c>
      <c r="BB649" s="624">
        <v>39162</v>
      </c>
      <c r="BC649" s="355">
        <v>0.34660000000000002</v>
      </c>
      <c r="BD649" s="624">
        <v>39163</v>
      </c>
      <c r="BE649" s="355">
        <v>0.10662000000000001</v>
      </c>
      <c r="BF649" s="624">
        <v>39183</v>
      </c>
      <c r="BG649" s="355">
        <v>2.333E-2</v>
      </c>
      <c r="BH649" s="624">
        <v>39162</v>
      </c>
      <c r="BI649" s="355">
        <v>0.10950500000000001</v>
      </c>
      <c r="BJ649" s="624">
        <v>39162</v>
      </c>
      <c r="BK649" s="355">
        <v>3.1168000000000001E-2</v>
      </c>
    </row>
    <row r="650" spans="3:63" x14ac:dyDescent="0.15">
      <c r="C650" s="624"/>
      <c r="D650" s="355">
        <v>3.8379999999999997E-2</v>
      </c>
      <c r="AV650" s="624"/>
      <c r="AX650" s="624">
        <v>39167</v>
      </c>
      <c r="AY650" s="355">
        <v>3.8440000000000002E-2</v>
      </c>
      <c r="AZ650" s="624">
        <v>39231</v>
      </c>
      <c r="BA650" s="355">
        <v>1.66E-2</v>
      </c>
      <c r="BB650" s="624">
        <v>39163</v>
      </c>
      <c r="BC650" s="355">
        <v>0.34439999999999998</v>
      </c>
      <c r="BD650" s="624">
        <v>39164</v>
      </c>
      <c r="BE650" s="355">
        <v>0.1066</v>
      </c>
      <c r="BF650" s="624">
        <v>39184</v>
      </c>
      <c r="BG650" s="355">
        <v>2.3354E-2</v>
      </c>
      <c r="BH650" s="624">
        <v>39163</v>
      </c>
      <c r="BI650" s="355">
        <v>0.10983</v>
      </c>
      <c r="BJ650" s="624">
        <v>39163</v>
      </c>
      <c r="BK650" s="355">
        <v>3.1260000000000003E-2</v>
      </c>
    </row>
    <row r="651" spans="3:63" x14ac:dyDescent="0.15">
      <c r="C651" s="624"/>
      <c r="D651" s="355">
        <v>3.8440000000000002E-2</v>
      </c>
      <c r="AV651" s="624"/>
      <c r="AX651" s="624">
        <v>39168</v>
      </c>
      <c r="AY651" s="355">
        <v>3.8460000000000001E-2</v>
      </c>
      <c r="AZ651" s="624">
        <v>39232</v>
      </c>
      <c r="BA651" s="355">
        <v>1.6500000000000001E-2</v>
      </c>
      <c r="BB651" s="624">
        <v>39164</v>
      </c>
      <c r="BC651" s="355">
        <v>0.34329999999999999</v>
      </c>
      <c r="BD651" s="624">
        <v>39167</v>
      </c>
      <c r="BE651" s="355">
        <v>0.10659</v>
      </c>
      <c r="BF651" s="624">
        <v>39185</v>
      </c>
      <c r="BG651" s="355">
        <v>2.3524E-2</v>
      </c>
      <c r="BH651" s="624">
        <v>39164</v>
      </c>
      <c r="BI651" s="355">
        <v>0.10983</v>
      </c>
      <c r="BJ651" s="624">
        <v>39164</v>
      </c>
      <c r="BK651" s="355">
        <v>3.1363000000000002E-2</v>
      </c>
    </row>
    <row r="652" spans="3:63" x14ac:dyDescent="0.15">
      <c r="C652" s="624"/>
      <c r="D652" s="355">
        <v>3.8460000000000001E-2</v>
      </c>
      <c r="AV652" s="624"/>
      <c r="AX652" s="624">
        <v>39169</v>
      </c>
      <c r="AY652" s="355">
        <v>3.8420000000000003E-2</v>
      </c>
      <c r="AZ652" s="624">
        <v>39233</v>
      </c>
      <c r="BA652" s="355">
        <v>1.66E-2</v>
      </c>
      <c r="BB652" s="624">
        <v>39167</v>
      </c>
      <c r="BC652" s="355">
        <v>0.34439999999999998</v>
      </c>
      <c r="BD652" s="624">
        <v>39168</v>
      </c>
      <c r="BE652" s="355">
        <v>0.10628</v>
      </c>
      <c r="BF652" s="624">
        <v>39188</v>
      </c>
      <c r="BG652" s="355">
        <v>2.3861E-2</v>
      </c>
      <c r="BH652" s="624">
        <v>39167</v>
      </c>
      <c r="BI652" s="355">
        <v>0.10986600000000001</v>
      </c>
      <c r="BJ652" s="624">
        <v>39167</v>
      </c>
      <c r="BK652" s="355">
        <v>3.0474000000000001E-2</v>
      </c>
    </row>
    <row r="653" spans="3:63" x14ac:dyDescent="0.15">
      <c r="C653" s="624"/>
      <c r="D653" s="355">
        <v>3.8420000000000003E-2</v>
      </c>
      <c r="AV653" s="624"/>
      <c r="AX653" s="624">
        <v>39170</v>
      </c>
      <c r="AY653" s="355">
        <v>3.8449999999999998E-2</v>
      </c>
      <c r="AZ653" s="624">
        <v>39234</v>
      </c>
      <c r="BA653" s="355">
        <v>1.66E-2</v>
      </c>
      <c r="BB653" s="624">
        <v>39168</v>
      </c>
      <c r="BC653" s="355">
        <v>0.34489999999999998</v>
      </c>
      <c r="BD653" s="624">
        <v>39169</v>
      </c>
      <c r="BE653" s="355">
        <v>0.10637000000000001</v>
      </c>
      <c r="BF653" s="624">
        <v>39189</v>
      </c>
      <c r="BG653" s="355">
        <v>2.3814999999999999E-2</v>
      </c>
      <c r="BH653" s="624">
        <v>39168</v>
      </c>
      <c r="BI653" s="355">
        <v>0.10958900000000001</v>
      </c>
      <c r="BJ653" s="624">
        <v>39168</v>
      </c>
      <c r="BK653" s="355">
        <v>3.1123999999999999E-2</v>
      </c>
    </row>
    <row r="654" spans="3:63" x14ac:dyDescent="0.15">
      <c r="C654" s="624"/>
      <c r="D654" s="355">
        <v>3.8449999999999998E-2</v>
      </c>
      <c r="AV654" s="624"/>
      <c r="AX654" s="624">
        <v>39171</v>
      </c>
      <c r="AY654" s="355">
        <v>3.848E-2</v>
      </c>
      <c r="AZ654" s="624">
        <v>39237</v>
      </c>
      <c r="BA654" s="355">
        <v>1.67E-2</v>
      </c>
      <c r="BB654" s="624">
        <v>39169</v>
      </c>
      <c r="BC654" s="355">
        <v>0.34289999999999998</v>
      </c>
      <c r="BD654" s="624">
        <v>39170</v>
      </c>
      <c r="BE654" s="355">
        <v>0.10632999999999999</v>
      </c>
      <c r="BF654" s="624">
        <v>39190</v>
      </c>
      <c r="BG654" s="355">
        <v>2.3803999999999999E-2</v>
      </c>
      <c r="BH654" s="624">
        <v>39169</v>
      </c>
      <c r="BI654" s="355">
        <v>0.10899200000000001</v>
      </c>
      <c r="BJ654" s="624">
        <v>39169</v>
      </c>
      <c r="BK654" s="355">
        <v>3.0998000000000001E-2</v>
      </c>
    </row>
    <row r="655" spans="3:63" x14ac:dyDescent="0.15">
      <c r="C655" s="624"/>
      <c r="D655" s="355">
        <v>3.848E-2</v>
      </c>
      <c r="AV655" s="624"/>
      <c r="AX655" s="624">
        <v>39174</v>
      </c>
      <c r="AY655" s="355">
        <v>3.848E-2</v>
      </c>
      <c r="AZ655" s="624">
        <v>39238</v>
      </c>
      <c r="BA655" s="355">
        <v>1.66E-2</v>
      </c>
      <c r="BB655" s="624">
        <v>39170</v>
      </c>
      <c r="BC655" s="355">
        <v>0.34439999999999998</v>
      </c>
      <c r="BD655" s="624">
        <v>39171</v>
      </c>
      <c r="BE655" s="355">
        <v>0.1062</v>
      </c>
      <c r="BF655" s="624">
        <v>39191</v>
      </c>
      <c r="BG655" s="355">
        <v>2.3767E-2</v>
      </c>
      <c r="BH655" s="624">
        <v>39170</v>
      </c>
      <c r="BI655" s="355">
        <v>0.109595</v>
      </c>
      <c r="BJ655" s="624">
        <v>39170</v>
      </c>
      <c r="BK655" s="355">
        <v>3.0925999999999999E-2</v>
      </c>
    </row>
    <row r="656" spans="3:63" x14ac:dyDescent="0.15">
      <c r="C656" s="624"/>
      <c r="D656" s="355">
        <v>3.848E-2</v>
      </c>
      <c r="AV656" s="624"/>
      <c r="AX656" s="624">
        <v>39175</v>
      </c>
      <c r="AY656" s="355">
        <v>3.8440000000000002E-2</v>
      </c>
      <c r="AZ656" s="624">
        <v>39239</v>
      </c>
      <c r="BA656" s="355">
        <v>1.6500000000000001E-2</v>
      </c>
      <c r="BB656" s="624">
        <v>39171</v>
      </c>
      <c r="BC656" s="355">
        <v>0.34539999999999998</v>
      </c>
      <c r="BD656" s="624">
        <v>39174</v>
      </c>
      <c r="BE656" s="355">
        <v>0.10668999999999999</v>
      </c>
      <c r="BF656" s="624">
        <v>39192</v>
      </c>
      <c r="BG656" s="355">
        <v>2.3911000000000002E-2</v>
      </c>
      <c r="BH656" s="624">
        <v>39171</v>
      </c>
      <c r="BI656" s="355">
        <v>0.109637</v>
      </c>
      <c r="BJ656" s="624">
        <v>39171</v>
      </c>
      <c r="BK656" s="355">
        <v>3.0787999999999999E-2</v>
      </c>
    </row>
    <row r="657" spans="3:63" x14ac:dyDescent="0.15">
      <c r="C657" s="624"/>
      <c r="D657" s="355">
        <v>3.8440000000000002E-2</v>
      </c>
      <c r="AV657" s="624"/>
      <c r="AX657" s="624">
        <v>39176</v>
      </c>
      <c r="AY657" s="355">
        <v>3.8490000000000003E-2</v>
      </c>
      <c r="AZ657" s="624">
        <v>39240</v>
      </c>
      <c r="BA657" s="355">
        <v>1.6400000000000001E-2</v>
      </c>
      <c r="BB657" s="624">
        <v>39174</v>
      </c>
      <c r="BC657" s="355">
        <v>0.34660000000000002</v>
      </c>
      <c r="BD657" s="624">
        <v>39175</v>
      </c>
      <c r="BE657" s="355">
        <v>0.10677</v>
      </c>
      <c r="BF657" s="624">
        <v>39195</v>
      </c>
      <c r="BG657" s="355">
        <v>2.4001999999999999E-2</v>
      </c>
      <c r="BH657" s="624">
        <v>39174</v>
      </c>
      <c r="BI657" s="355">
        <v>0.109649</v>
      </c>
      <c r="BJ657" s="624">
        <v>39174</v>
      </c>
      <c r="BK657" s="355">
        <v>3.0884000000000002E-2</v>
      </c>
    </row>
    <row r="658" spans="3:63" x14ac:dyDescent="0.15">
      <c r="C658" s="624"/>
      <c r="D658" s="355">
        <v>3.8490000000000003E-2</v>
      </c>
      <c r="AV658" s="624"/>
      <c r="AX658" s="624">
        <v>39177</v>
      </c>
      <c r="AY658" s="355">
        <v>3.8589999999999999E-2</v>
      </c>
      <c r="AZ658" s="624">
        <v>39241</v>
      </c>
      <c r="BA658" s="355">
        <v>1.6400000000000001E-2</v>
      </c>
      <c r="BB658" s="624">
        <v>39175</v>
      </c>
      <c r="BC658" s="355">
        <v>0.34660000000000002</v>
      </c>
      <c r="BD658" s="624">
        <v>39176</v>
      </c>
      <c r="BE658" s="355">
        <v>0.10680000000000001</v>
      </c>
      <c r="BF658" s="624">
        <v>39196</v>
      </c>
      <c r="BG658" s="355">
        <v>2.4306999999999999E-2</v>
      </c>
      <c r="BH658" s="624">
        <v>39175</v>
      </c>
      <c r="BI658" s="355">
        <v>0.110011</v>
      </c>
      <c r="BJ658" s="624">
        <v>39175</v>
      </c>
      <c r="BK658" s="355">
        <v>3.0627999999999999E-2</v>
      </c>
    </row>
    <row r="659" spans="3:63" x14ac:dyDescent="0.15">
      <c r="C659" s="624"/>
      <c r="D659" s="355">
        <v>3.8589999999999999E-2</v>
      </c>
      <c r="AV659" s="624"/>
      <c r="AX659" s="624">
        <v>39178</v>
      </c>
      <c r="AY659" s="355">
        <v>3.8519999999999999E-2</v>
      </c>
      <c r="AZ659" s="624">
        <v>39244</v>
      </c>
      <c r="BA659" s="355">
        <v>1.6400000000000001E-2</v>
      </c>
      <c r="BB659" s="624">
        <v>39176</v>
      </c>
      <c r="BC659" s="355">
        <v>0.34760000000000002</v>
      </c>
      <c r="BD659" s="624">
        <v>39177</v>
      </c>
      <c r="BE659" s="355">
        <v>0.10718999999999999</v>
      </c>
      <c r="BF659" s="624">
        <v>39197</v>
      </c>
      <c r="BG659" s="355">
        <v>2.4410999999999999E-2</v>
      </c>
      <c r="BH659" s="624">
        <v>39176</v>
      </c>
      <c r="BI659" s="355">
        <v>0.109637</v>
      </c>
      <c r="BJ659" s="624">
        <v>39176</v>
      </c>
      <c r="BK659" s="355">
        <v>3.0693999999999999E-2</v>
      </c>
    </row>
    <row r="660" spans="3:63" x14ac:dyDescent="0.15">
      <c r="C660" s="624"/>
      <c r="D660" s="355">
        <v>3.8519999999999999E-2</v>
      </c>
      <c r="AV660" s="624"/>
      <c r="AX660" s="624">
        <v>39181</v>
      </c>
      <c r="AY660" s="355">
        <v>3.848E-2</v>
      </c>
      <c r="AZ660" s="624">
        <v>39245</v>
      </c>
      <c r="BA660" s="355">
        <v>1.6299999999999999E-2</v>
      </c>
      <c r="BB660" s="624">
        <v>39177</v>
      </c>
      <c r="BC660" s="355">
        <v>0.35</v>
      </c>
      <c r="BD660" s="624">
        <v>39178</v>
      </c>
      <c r="BE660" s="355">
        <v>0.1072</v>
      </c>
      <c r="BF660" s="624">
        <v>39198</v>
      </c>
      <c r="BG660" s="355">
        <v>2.4447E-2</v>
      </c>
      <c r="BH660" s="624">
        <v>39177</v>
      </c>
      <c r="BI660" s="355">
        <v>0.10995099999999999</v>
      </c>
      <c r="BJ660" s="624">
        <v>39177</v>
      </c>
      <c r="BK660" s="355">
        <v>3.0821000000000001E-2</v>
      </c>
    </row>
    <row r="661" spans="3:63" x14ac:dyDescent="0.15">
      <c r="C661" s="624"/>
      <c r="D661" s="355">
        <v>3.848E-2</v>
      </c>
      <c r="AV661" s="624"/>
      <c r="AX661" s="624">
        <v>39182</v>
      </c>
      <c r="AY661" s="355">
        <v>3.8609999999999998E-2</v>
      </c>
      <c r="AZ661" s="624">
        <v>39246</v>
      </c>
      <c r="BA661" s="355">
        <v>1.6299999999999999E-2</v>
      </c>
      <c r="BB661" s="624">
        <v>39178</v>
      </c>
      <c r="BC661" s="355">
        <v>0.34839999999999999</v>
      </c>
      <c r="BD661" s="624">
        <v>39181</v>
      </c>
      <c r="BE661" s="355">
        <v>0.10717</v>
      </c>
      <c r="BF661" s="624">
        <v>39199</v>
      </c>
      <c r="BG661" s="355">
        <v>2.4334000000000001E-2</v>
      </c>
      <c r="BH661" s="624">
        <v>39178</v>
      </c>
      <c r="BI661" s="355">
        <v>0.10976900000000001</v>
      </c>
      <c r="BJ661" s="624">
        <v>39178</v>
      </c>
      <c r="BK661" s="355">
        <v>3.0751000000000001E-2</v>
      </c>
    </row>
    <row r="662" spans="3:63" x14ac:dyDescent="0.15">
      <c r="C662" s="624"/>
      <c r="D662" s="355">
        <v>3.8609999999999998E-2</v>
      </c>
      <c r="AV662" s="624"/>
      <c r="AX662" s="624">
        <v>39183</v>
      </c>
      <c r="AY662" s="355">
        <v>3.857E-2</v>
      </c>
      <c r="AZ662" s="624">
        <v>39247</v>
      </c>
      <c r="BA662" s="355">
        <v>1.6299999999999999E-2</v>
      </c>
      <c r="BB662" s="624">
        <v>39181</v>
      </c>
      <c r="BC662" s="355">
        <v>0.34810000000000002</v>
      </c>
      <c r="BD662" s="624">
        <v>39182</v>
      </c>
      <c r="BE662" s="355">
        <v>0.10707999999999999</v>
      </c>
      <c r="BF662" s="624">
        <v>39202</v>
      </c>
      <c r="BG662" s="355">
        <v>2.4278000000000001E-2</v>
      </c>
      <c r="BH662" s="624">
        <v>39181</v>
      </c>
      <c r="BI662" s="355">
        <v>0.109981</v>
      </c>
      <c r="BJ662" s="624">
        <v>39181</v>
      </c>
      <c r="BK662" s="355">
        <v>3.0865E-2</v>
      </c>
    </row>
    <row r="663" spans="3:63" x14ac:dyDescent="0.15">
      <c r="C663" s="624"/>
      <c r="D663" s="355">
        <v>3.857E-2</v>
      </c>
      <c r="AV663" s="624"/>
      <c r="AX663" s="624">
        <v>39184</v>
      </c>
      <c r="AY663" s="355">
        <v>3.8679999999999999E-2</v>
      </c>
      <c r="AZ663" s="624">
        <v>39248</v>
      </c>
      <c r="BA663" s="355">
        <v>1.6400000000000001E-2</v>
      </c>
      <c r="BB663" s="624">
        <v>39182</v>
      </c>
      <c r="BC663" s="355">
        <v>0.35060000000000002</v>
      </c>
      <c r="BD663" s="624">
        <v>39183</v>
      </c>
      <c r="BE663" s="355">
        <v>0.10717</v>
      </c>
      <c r="BF663" s="624">
        <v>39205</v>
      </c>
      <c r="BG663" s="355">
        <v>2.4317999999999999E-2</v>
      </c>
      <c r="BH663" s="624">
        <v>39182</v>
      </c>
      <c r="BI663" s="355">
        <v>0.109878</v>
      </c>
      <c r="BJ663" s="624">
        <v>39182</v>
      </c>
      <c r="BK663" s="355">
        <v>3.0637999999999999E-2</v>
      </c>
    </row>
    <row r="664" spans="3:63" x14ac:dyDescent="0.15">
      <c r="C664" s="624"/>
      <c r="D664" s="355">
        <v>3.8679999999999999E-2</v>
      </c>
      <c r="AV664" s="624"/>
      <c r="AX664" s="624">
        <v>39185</v>
      </c>
      <c r="AY664" s="355">
        <v>3.875E-2</v>
      </c>
      <c r="AZ664" s="624">
        <v>39251</v>
      </c>
      <c r="BA664" s="355">
        <v>1.6400000000000001E-2</v>
      </c>
      <c r="BB664" s="624">
        <v>39183</v>
      </c>
      <c r="BC664" s="355">
        <v>0.35060000000000002</v>
      </c>
      <c r="BD664" s="624">
        <v>39184</v>
      </c>
      <c r="BE664" s="355">
        <v>0.10728</v>
      </c>
      <c r="BF664" s="624">
        <v>39206</v>
      </c>
      <c r="BG664" s="355">
        <v>2.4451000000000001E-2</v>
      </c>
      <c r="BH664" s="624">
        <v>39183</v>
      </c>
      <c r="BI664" s="355">
        <v>0.10995099999999999</v>
      </c>
      <c r="BJ664" s="624">
        <v>39183</v>
      </c>
      <c r="BK664" s="355">
        <v>3.0865E-2</v>
      </c>
    </row>
    <row r="665" spans="3:63" x14ac:dyDescent="0.15">
      <c r="C665" s="624"/>
      <c r="D665" s="355">
        <v>3.875E-2</v>
      </c>
      <c r="AV665" s="624"/>
      <c r="AX665" s="624">
        <v>39188</v>
      </c>
      <c r="AY665" s="355">
        <v>3.875E-2</v>
      </c>
      <c r="AZ665" s="624">
        <v>39252</v>
      </c>
      <c r="BA665" s="355">
        <v>1.6400000000000001E-2</v>
      </c>
      <c r="BB665" s="624">
        <v>39184</v>
      </c>
      <c r="BC665" s="355">
        <v>0.35139999999999999</v>
      </c>
      <c r="BD665" s="624">
        <v>39185</v>
      </c>
      <c r="BE665" s="355">
        <v>0.1076</v>
      </c>
      <c r="BF665" s="624">
        <v>39209</v>
      </c>
      <c r="BG665" s="355">
        <v>2.4468E-2</v>
      </c>
      <c r="BH665" s="624">
        <v>39184</v>
      </c>
      <c r="BI665" s="355">
        <v>0.109721</v>
      </c>
      <c r="BJ665" s="624">
        <v>39184</v>
      </c>
      <c r="BK665" s="355">
        <v>3.0887999999999999E-2</v>
      </c>
    </row>
    <row r="666" spans="3:63" x14ac:dyDescent="0.15">
      <c r="C666" s="624"/>
      <c r="D666" s="355">
        <v>3.875E-2</v>
      </c>
      <c r="AV666" s="624"/>
      <c r="AX666" s="624">
        <v>39189</v>
      </c>
      <c r="AY666" s="355">
        <v>3.8809999999999997E-2</v>
      </c>
      <c r="AZ666" s="624">
        <v>39253</v>
      </c>
      <c r="BA666" s="355">
        <v>1.6500000000000001E-2</v>
      </c>
      <c r="BB666" s="624">
        <v>39185</v>
      </c>
      <c r="BC666" s="355">
        <v>0.3538</v>
      </c>
      <c r="BD666" s="624">
        <v>39188</v>
      </c>
      <c r="BE666" s="355">
        <v>0.10734</v>
      </c>
      <c r="BF666" s="624">
        <v>39210</v>
      </c>
      <c r="BG666" s="355">
        <v>2.4486000000000001E-2</v>
      </c>
      <c r="BH666" s="624">
        <v>39185</v>
      </c>
      <c r="BI666" s="355">
        <v>0.110011</v>
      </c>
      <c r="BJ666" s="624">
        <v>39185</v>
      </c>
      <c r="BK666" s="355">
        <v>3.0613999999999999E-2</v>
      </c>
    </row>
    <row r="667" spans="3:63" x14ac:dyDescent="0.15">
      <c r="C667" s="624"/>
      <c r="D667" s="355">
        <v>3.8809999999999997E-2</v>
      </c>
      <c r="AV667" s="624"/>
      <c r="AX667" s="624">
        <v>39190</v>
      </c>
      <c r="AY667" s="355">
        <v>3.8859999999999999E-2</v>
      </c>
      <c r="AZ667" s="624">
        <v>39254</v>
      </c>
      <c r="BA667" s="355">
        <v>1.6400000000000001E-2</v>
      </c>
      <c r="BB667" s="624">
        <v>39188</v>
      </c>
      <c r="BC667" s="355">
        <v>0.35470000000000002</v>
      </c>
      <c r="BD667" s="624">
        <v>39189</v>
      </c>
      <c r="BE667" s="355">
        <v>0.10763</v>
      </c>
      <c r="BF667" s="624">
        <v>39211</v>
      </c>
      <c r="BG667" s="355">
        <v>2.4486000000000001E-2</v>
      </c>
      <c r="BH667" s="624">
        <v>39188</v>
      </c>
      <c r="BI667" s="355">
        <v>0.109987</v>
      </c>
      <c r="BJ667" s="624">
        <v>39188</v>
      </c>
      <c r="BK667" s="355">
        <v>3.0675000000000001E-2</v>
      </c>
    </row>
    <row r="668" spans="3:63" x14ac:dyDescent="0.15">
      <c r="C668" s="624"/>
      <c r="D668" s="355">
        <v>3.8859999999999999E-2</v>
      </c>
      <c r="AV668" s="624"/>
      <c r="AX668" s="624">
        <v>39191</v>
      </c>
      <c r="AY668" s="355">
        <v>3.8859999999999999E-2</v>
      </c>
      <c r="AZ668" s="624">
        <v>39255</v>
      </c>
      <c r="BA668" s="355">
        <v>1.6500000000000001E-2</v>
      </c>
      <c r="BB668" s="624">
        <v>39189</v>
      </c>
      <c r="BC668" s="355">
        <v>0.35670000000000002</v>
      </c>
      <c r="BD668" s="624">
        <v>39190</v>
      </c>
      <c r="BE668" s="355">
        <v>0.10768999999999999</v>
      </c>
      <c r="BF668" s="624">
        <v>39212</v>
      </c>
      <c r="BG668" s="355">
        <v>2.4125000000000001E-2</v>
      </c>
      <c r="BH668" s="624">
        <v>39189</v>
      </c>
      <c r="BI668" s="355">
        <v>0.10989</v>
      </c>
      <c r="BJ668" s="624">
        <v>39189</v>
      </c>
      <c r="BK668" s="355">
        <v>3.0669999999999999E-2</v>
      </c>
    </row>
    <row r="669" spans="3:63" x14ac:dyDescent="0.15">
      <c r="C669" s="624"/>
      <c r="D669" s="355">
        <v>3.8859999999999999E-2</v>
      </c>
      <c r="AV669" s="624"/>
      <c r="AX669" s="624">
        <v>39192</v>
      </c>
      <c r="AY669" s="355">
        <v>3.8830000000000003E-2</v>
      </c>
      <c r="AZ669" s="624">
        <v>39258</v>
      </c>
      <c r="BA669" s="355">
        <v>1.6799999999999999E-2</v>
      </c>
      <c r="BB669" s="624">
        <v>39190</v>
      </c>
      <c r="BC669" s="355">
        <v>0.35759999999999997</v>
      </c>
      <c r="BD669" s="624">
        <v>39191</v>
      </c>
      <c r="BE669" s="355">
        <v>0.10764</v>
      </c>
      <c r="BF669" s="624">
        <v>39213</v>
      </c>
      <c r="BG669" s="355">
        <v>2.4351999999999999E-2</v>
      </c>
      <c r="BH669" s="624">
        <v>39190</v>
      </c>
      <c r="BI669" s="355">
        <v>0.110059</v>
      </c>
      <c r="BJ669" s="624">
        <v>39190</v>
      </c>
      <c r="BK669" s="355">
        <v>3.0841E-2</v>
      </c>
    </row>
    <row r="670" spans="3:63" x14ac:dyDescent="0.15">
      <c r="C670" s="624"/>
      <c r="D670" s="355">
        <v>3.8830000000000003E-2</v>
      </c>
      <c r="AV670" s="624"/>
      <c r="AX670" s="624">
        <v>39195</v>
      </c>
      <c r="AY670" s="355">
        <v>3.8809999999999997E-2</v>
      </c>
      <c r="AZ670" s="624">
        <v>39259</v>
      </c>
      <c r="BA670" s="355">
        <v>1.6899999999999998E-2</v>
      </c>
      <c r="BB670" s="624">
        <v>39191</v>
      </c>
      <c r="BC670" s="355">
        <v>0.35709999999999997</v>
      </c>
      <c r="BD670" s="624">
        <v>39192</v>
      </c>
      <c r="BE670" s="355">
        <v>0.10785</v>
      </c>
      <c r="BF670" s="624">
        <v>39216</v>
      </c>
      <c r="BG670" s="355">
        <v>2.4433E-2</v>
      </c>
      <c r="BH670" s="624">
        <v>39191</v>
      </c>
      <c r="BI670" s="355">
        <v>0.10985399999999999</v>
      </c>
      <c r="BJ670" s="624">
        <v>39191</v>
      </c>
      <c r="BK670" s="355">
        <v>3.0769000000000001E-2</v>
      </c>
    </row>
    <row r="671" spans="3:63" x14ac:dyDescent="0.15">
      <c r="C671" s="624"/>
      <c r="D671" s="355">
        <v>3.8809999999999997E-2</v>
      </c>
      <c r="AV671" s="624"/>
      <c r="AX671" s="624">
        <v>39196</v>
      </c>
      <c r="AY671" s="355">
        <v>3.891E-2</v>
      </c>
      <c r="AZ671" s="624">
        <v>39260</v>
      </c>
      <c r="BA671" s="355">
        <v>1.6899999999999998E-2</v>
      </c>
      <c r="BB671" s="624">
        <v>39192</v>
      </c>
      <c r="BC671" s="355">
        <v>0.35920000000000002</v>
      </c>
      <c r="BD671" s="624">
        <v>39195</v>
      </c>
      <c r="BE671" s="355">
        <v>0.108</v>
      </c>
      <c r="BF671" s="624">
        <v>39217</v>
      </c>
      <c r="BG671" s="355">
        <v>2.4417000000000001E-2</v>
      </c>
      <c r="BH671" s="624">
        <v>39192</v>
      </c>
      <c r="BI671" s="355">
        <v>0.10995099999999999</v>
      </c>
      <c r="BJ671" s="624">
        <v>39192</v>
      </c>
      <c r="BK671" s="355">
        <v>3.0769000000000001E-2</v>
      </c>
    </row>
    <row r="672" spans="3:63" x14ac:dyDescent="0.15">
      <c r="C672" s="624"/>
      <c r="D672" s="355">
        <v>3.891E-2</v>
      </c>
      <c r="AV672" s="624"/>
      <c r="AX672" s="624">
        <v>39197</v>
      </c>
      <c r="AY672" s="355">
        <v>3.891E-2</v>
      </c>
      <c r="AZ672" s="624">
        <v>39261</v>
      </c>
      <c r="BA672" s="355">
        <v>1.7100000000000001E-2</v>
      </c>
      <c r="BB672" s="624">
        <v>39195</v>
      </c>
      <c r="BC672" s="355">
        <v>0.35880000000000001</v>
      </c>
      <c r="BD672" s="624">
        <v>39196</v>
      </c>
      <c r="BE672" s="355">
        <v>0.10783</v>
      </c>
      <c r="BF672" s="624">
        <v>39218</v>
      </c>
      <c r="BG672" s="355">
        <v>2.4539999999999999E-2</v>
      </c>
      <c r="BH672" s="624">
        <v>39195</v>
      </c>
      <c r="BI672" s="355">
        <v>0.110023</v>
      </c>
      <c r="BJ672" s="624">
        <v>39195</v>
      </c>
      <c r="BK672" s="355">
        <v>3.0765000000000001E-2</v>
      </c>
    </row>
    <row r="673" spans="3:63" x14ac:dyDescent="0.15">
      <c r="C673" s="624"/>
      <c r="D673" s="355">
        <v>3.891E-2</v>
      </c>
      <c r="AV673" s="624"/>
      <c r="AX673" s="624">
        <v>39198</v>
      </c>
      <c r="AY673" s="355">
        <v>3.8859999999999999E-2</v>
      </c>
      <c r="AZ673" s="624">
        <v>39262</v>
      </c>
      <c r="BA673" s="355">
        <v>1.72E-2</v>
      </c>
      <c r="BB673" s="624">
        <v>39196</v>
      </c>
      <c r="BC673" s="355">
        <v>0.36059999999999998</v>
      </c>
      <c r="BD673" s="624">
        <v>39197</v>
      </c>
      <c r="BE673" s="355">
        <v>0.10783</v>
      </c>
      <c r="BF673" s="624">
        <v>39219</v>
      </c>
      <c r="BG673" s="355">
        <v>2.4473999999999999E-2</v>
      </c>
      <c r="BH673" s="624">
        <v>39196</v>
      </c>
      <c r="BI673" s="355">
        <v>0.11003499999999999</v>
      </c>
      <c r="BJ673" s="624">
        <v>39196</v>
      </c>
      <c r="BK673" s="355">
        <v>3.0675000000000001E-2</v>
      </c>
    </row>
    <row r="674" spans="3:63" x14ac:dyDescent="0.15">
      <c r="C674" s="624"/>
      <c r="D674" s="355">
        <v>3.8859999999999999E-2</v>
      </c>
      <c r="AV674" s="624"/>
      <c r="AX674" s="624">
        <v>39199</v>
      </c>
      <c r="AY674" s="355">
        <v>3.8929999999999999E-2</v>
      </c>
      <c r="AZ674" s="624">
        <v>39265</v>
      </c>
      <c r="BA674" s="355">
        <v>1.7100000000000001E-2</v>
      </c>
      <c r="BB674" s="624">
        <v>39197</v>
      </c>
      <c r="BC674" s="355">
        <v>0.3614</v>
      </c>
      <c r="BD674" s="624">
        <v>39198</v>
      </c>
      <c r="BE674" s="355">
        <v>0.10765</v>
      </c>
      <c r="BF674" s="624">
        <v>39220</v>
      </c>
      <c r="BG674" s="355">
        <v>2.4566999999999999E-2</v>
      </c>
      <c r="BH674" s="624">
        <v>39197</v>
      </c>
      <c r="BI674" s="355">
        <v>0.110072</v>
      </c>
      <c r="BJ674" s="624">
        <v>39197</v>
      </c>
      <c r="BK674" s="355">
        <v>3.0946000000000001E-2</v>
      </c>
    </row>
    <row r="675" spans="3:63" x14ac:dyDescent="0.15">
      <c r="C675" s="624"/>
      <c r="D675" s="355">
        <v>3.8929999999999999E-2</v>
      </c>
      <c r="AV675" s="624"/>
      <c r="AX675" s="624">
        <v>39202</v>
      </c>
      <c r="AY675" s="355">
        <v>3.8920000000000003E-2</v>
      </c>
      <c r="AZ675" s="624">
        <v>39266</v>
      </c>
      <c r="BA675" s="355">
        <v>1.6899999999999998E-2</v>
      </c>
      <c r="BB675" s="624">
        <v>39198</v>
      </c>
      <c r="BC675" s="355">
        <v>0.36020000000000002</v>
      </c>
      <c r="BD675" s="624">
        <v>39199</v>
      </c>
      <c r="BE675" s="355">
        <v>0.10758</v>
      </c>
      <c r="BF675" s="624">
        <v>39223</v>
      </c>
      <c r="BG675" s="355">
        <v>2.46E-2</v>
      </c>
      <c r="BH675" s="624">
        <v>39198</v>
      </c>
      <c r="BI675" s="355">
        <v>0.110138</v>
      </c>
      <c r="BJ675" s="624">
        <v>39198</v>
      </c>
      <c r="BK675" s="355">
        <v>3.0869000000000001E-2</v>
      </c>
    </row>
    <row r="676" spans="3:63" x14ac:dyDescent="0.15">
      <c r="C676" s="624"/>
      <c r="D676" s="355">
        <v>3.8920000000000003E-2</v>
      </c>
      <c r="AV676" s="624"/>
      <c r="AX676" s="624">
        <v>39203</v>
      </c>
      <c r="AY676" s="355">
        <v>3.8850000000000003E-2</v>
      </c>
      <c r="AZ676" s="624">
        <v>39267</v>
      </c>
      <c r="BA676" s="355">
        <v>1.67E-2</v>
      </c>
      <c r="BB676" s="624">
        <v>39199</v>
      </c>
      <c r="BC676" s="355">
        <v>0.36199999999999999</v>
      </c>
      <c r="BD676" s="624">
        <v>39202</v>
      </c>
      <c r="BE676" s="355">
        <v>0.10738</v>
      </c>
      <c r="BF676" s="624">
        <v>39224</v>
      </c>
      <c r="BG676" s="355">
        <v>2.4639999999999999E-2</v>
      </c>
      <c r="BH676" s="624">
        <v>39199</v>
      </c>
      <c r="BI676" s="355">
        <v>0.110169</v>
      </c>
      <c r="BJ676" s="624">
        <v>39199</v>
      </c>
      <c r="BK676" s="355">
        <v>3.0440999999999999E-2</v>
      </c>
    </row>
    <row r="677" spans="3:63" x14ac:dyDescent="0.15">
      <c r="C677" s="624"/>
      <c r="D677" s="355">
        <v>3.8850000000000003E-2</v>
      </c>
      <c r="AV677" s="624"/>
      <c r="AX677" s="624">
        <v>39204</v>
      </c>
      <c r="AY677" s="355">
        <v>3.884E-2</v>
      </c>
      <c r="AZ677" s="624">
        <v>39268</v>
      </c>
      <c r="BA677" s="355">
        <v>1.66E-2</v>
      </c>
      <c r="BB677" s="624">
        <v>39202</v>
      </c>
      <c r="BC677" s="355">
        <v>0.36020000000000002</v>
      </c>
      <c r="BD677" s="624">
        <v>39203</v>
      </c>
      <c r="BE677" s="355">
        <v>0.10742</v>
      </c>
      <c r="BF677" s="624">
        <v>39225</v>
      </c>
      <c r="BG677" s="355">
        <v>2.4653999999999999E-2</v>
      </c>
      <c r="BH677" s="624">
        <v>39202</v>
      </c>
      <c r="BI677" s="355">
        <v>0.110078</v>
      </c>
      <c r="BJ677" s="624">
        <v>39202</v>
      </c>
      <c r="BK677" s="355">
        <v>3.0483E-2</v>
      </c>
    </row>
    <row r="678" spans="3:63" x14ac:dyDescent="0.15">
      <c r="C678" s="624"/>
      <c r="D678" s="355">
        <v>3.884E-2</v>
      </c>
      <c r="AV678" s="624"/>
      <c r="AX678" s="624">
        <v>39205</v>
      </c>
      <c r="AY678" s="355">
        <v>3.8780000000000002E-2</v>
      </c>
      <c r="AZ678" s="624">
        <v>39269</v>
      </c>
      <c r="BA678" s="355">
        <v>1.66E-2</v>
      </c>
      <c r="BB678" s="624">
        <v>39203</v>
      </c>
      <c r="BC678" s="355">
        <v>0.35970000000000002</v>
      </c>
      <c r="BD678" s="624">
        <v>39204</v>
      </c>
      <c r="BE678" s="355">
        <v>0.10753</v>
      </c>
      <c r="BF678" s="624">
        <v>39226</v>
      </c>
      <c r="BG678" s="355">
        <v>2.4635000000000001E-2</v>
      </c>
      <c r="BH678" s="624">
        <v>39203</v>
      </c>
      <c r="BI678" s="355">
        <v>0.110217</v>
      </c>
      <c r="BJ678" s="624">
        <v>39203</v>
      </c>
      <c r="BK678" s="355">
        <v>3.0488999999999999E-2</v>
      </c>
    </row>
    <row r="679" spans="3:63" x14ac:dyDescent="0.15">
      <c r="C679" s="624"/>
      <c r="D679" s="355">
        <v>3.8780000000000002E-2</v>
      </c>
      <c r="AV679" s="624"/>
      <c r="AX679" s="624">
        <v>39206</v>
      </c>
      <c r="AY679" s="355">
        <v>3.884E-2</v>
      </c>
      <c r="AZ679" s="624">
        <v>39272</v>
      </c>
      <c r="BA679" s="355">
        <v>1.67E-2</v>
      </c>
      <c r="BB679" s="624">
        <v>39204</v>
      </c>
      <c r="BC679" s="355">
        <v>0.3614</v>
      </c>
      <c r="BD679" s="624">
        <v>39205</v>
      </c>
      <c r="BE679" s="355">
        <v>0.10782</v>
      </c>
      <c r="BF679" s="624">
        <v>39227</v>
      </c>
      <c r="BG679" s="355">
        <v>2.4641E-2</v>
      </c>
      <c r="BH679" s="624">
        <v>39204</v>
      </c>
      <c r="BI679" s="355">
        <v>0.11022899999999999</v>
      </c>
      <c r="BJ679" s="624">
        <v>39204</v>
      </c>
      <c r="BK679" s="355">
        <v>3.0623000000000001E-2</v>
      </c>
    </row>
    <row r="680" spans="3:63" x14ac:dyDescent="0.15">
      <c r="C680" s="624"/>
      <c r="D680" s="355">
        <v>3.884E-2</v>
      </c>
      <c r="AV680" s="624"/>
      <c r="AX680" s="624">
        <v>39209</v>
      </c>
      <c r="AY680" s="355">
        <v>3.8859999999999999E-2</v>
      </c>
      <c r="AZ680" s="624">
        <v>39273</v>
      </c>
      <c r="BA680" s="355">
        <v>1.6799999999999999E-2</v>
      </c>
      <c r="BB680" s="624">
        <v>39205</v>
      </c>
      <c r="BC680" s="355">
        <v>0.36109999999999998</v>
      </c>
      <c r="BD680" s="624">
        <v>39206</v>
      </c>
      <c r="BE680" s="355">
        <v>0.10785</v>
      </c>
      <c r="BF680" s="624">
        <v>39230</v>
      </c>
      <c r="BG680" s="355">
        <v>2.4681999999999999E-2</v>
      </c>
      <c r="BH680" s="624">
        <v>39205</v>
      </c>
      <c r="BI680" s="355">
        <v>0.110583</v>
      </c>
      <c r="BJ680" s="624">
        <v>39205</v>
      </c>
      <c r="BK680" s="355">
        <v>3.0443000000000001E-2</v>
      </c>
    </row>
    <row r="681" spans="3:63" x14ac:dyDescent="0.15">
      <c r="C681" s="624"/>
      <c r="D681" s="355">
        <v>3.8859999999999999E-2</v>
      </c>
      <c r="AV681" s="624"/>
      <c r="AX681" s="624">
        <v>39210</v>
      </c>
      <c r="AY681" s="355">
        <v>3.8769999999999999E-2</v>
      </c>
      <c r="AZ681" s="624">
        <v>39274</v>
      </c>
      <c r="BA681" s="355">
        <v>1.6899999999999998E-2</v>
      </c>
      <c r="BB681" s="624">
        <v>39206</v>
      </c>
      <c r="BC681" s="355">
        <v>0.36309999999999998</v>
      </c>
      <c r="BD681" s="624">
        <v>39209</v>
      </c>
      <c r="BE681" s="355">
        <v>0.1084</v>
      </c>
      <c r="BF681" s="624">
        <v>39231</v>
      </c>
      <c r="BG681" s="355">
        <v>2.4671999999999999E-2</v>
      </c>
      <c r="BH681" s="624">
        <v>39206</v>
      </c>
      <c r="BI681" s="355">
        <v>0.111483</v>
      </c>
      <c r="BJ681" s="624">
        <v>39206</v>
      </c>
      <c r="BK681" s="355">
        <v>3.0655999999999999E-2</v>
      </c>
    </row>
    <row r="682" spans="3:63" x14ac:dyDescent="0.15">
      <c r="C682" s="624"/>
      <c r="D682" s="355">
        <v>3.8769999999999999E-2</v>
      </c>
      <c r="AV682" s="624"/>
      <c r="AX682" s="624">
        <v>39211</v>
      </c>
      <c r="AY682" s="355">
        <v>3.8730000000000001E-2</v>
      </c>
      <c r="AZ682" s="624">
        <v>39275</v>
      </c>
      <c r="BA682" s="355">
        <v>1.6899999999999998E-2</v>
      </c>
      <c r="BB682" s="624">
        <v>39209</v>
      </c>
      <c r="BC682" s="355">
        <v>0.36259999999999998</v>
      </c>
      <c r="BD682" s="624">
        <v>39210</v>
      </c>
      <c r="BE682" s="355">
        <v>0.10811999999999999</v>
      </c>
      <c r="BF682" s="624">
        <v>39232</v>
      </c>
      <c r="BG682" s="355">
        <v>2.4479999999999998E-2</v>
      </c>
      <c r="BH682" s="624">
        <v>39209</v>
      </c>
      <c r="BI682" s="355">
        <v>0.112486</v>
      </c>
      <c r="BJ682" s="624">
        <v>39209</v>
      </c>
      <c r="BK682" s="355">
        <v>3.0627999999999999E-2</v>
      </c>
    </row>
    <row r="683" spans="3:63" x14ac:dyDescent="0.15">
      <c r="C683" s="624"/>
      <c r="D683" s="355">
        <v>3.8730000000000001E-2</v>
      </c>
      <c r="AV683" s="624"/>
      <c r="AX683" s="624">
        <v>39212</v>
      </c>
      <c r="AY683" s="355">
        <v>3.8679999999999999E-2</v>
      </c>
      <c r="AZ683" s="624">
        <v>39276</v>
      </c>
      <c r="BA683" s="355">
        <v>1.6899999999999998E-2</v>
      </c>
      <c r="BB683" s="624">
        <v>39210</v>
      </c>
      <c r="BC683" s="355">
        <v>0.36080000000000001</v>
      </c>
      <c r="BD683" s="624">
        <v>39211</v>
      </c>
      <c r="BE683" s="355">
        <v>0.10821</v>
      </c>
      <c r="BF683" s="624">
        <v>39233</v>
      </c>
      <c r="BG683" s="355">
        <v>2.4618000000000001E-2</v>
      </c>
      <c r="BH683" s="624">
        <v>39210</v>
      </c>
      <c r="BI683" s="355">
        <v>0.112524</v>
      </c>
      <c r="BJ683" s="624">
        <v>39210</v>
      </c>
      <c r="BK683" s="355">
        <v>3.0630000000000001E-2</v>
      </c>
    </row>
    <row r="684" spans="3:63" x14ac:dyDescent="0.15">
      <c r="C684" s="624"/>
      <c r="D684" s="355">
        <v>3.8679999999999999E-2</v>
      </c>
      <c r="AV684" s="624"/>
      <c r="AX684" s="624">
        <v>39213</v>
      </c>
      <c r="AY684" s="355">
        <v>3.8730000000000001E-2</v>
      </c>
      <c r="AZ684" s="624">
        <v>39279</v>
      </c>
      <c r="BA684" s="355">
        <v>1.7000000000000001E-2</v>
      </c>
      <c r="BB684" s="624">
        <v>39211</v>
      </c>
      <c r="BC684" s="355">
        <v>0.36149999999999999</v>
      </c>
      <c r="BD684" s="624">
        <v>39212</v>
      </c>
      <c r="BE684" s="355">
        <v>0.10797</v>
      </c>
      <c r="BF684" s="624">
        <v>39234</v>
      </c>
      <c r="BG684" s="355">
        <v>2.4669E-2</v>
      </c>
      <c r="BH684" s="624">
        <v>39211</v>
      </c>
      <c r="BI684" s="355">
        <v>0.113314</v>
      </c>
      <c r="BJ684" s="624">
        <v>39211</v>
      </c>
      <c r="BK684" s="355">
        <v>3.0521E-2</v>
      </c>
    </row>
    <row r="685" spans="3:63" x14ac:dyDescent="0.15">
      <c r="C685" s="624"/>
      <c r="D685" s="355">
        <v>3.8730000000000001E-2</v>
      </c>
      <c r="AV685" s="624"/>
      <c r="AX685" s="624">
        <v>39216</v>
      </c>
      <c r="AY685" s="355">
        <v>3.8769999999999999E-2</v>
      </c>
      <c r="AZ685" s="624">
        <v>39280</v>
      </c>
      <c r="BA685" s="355">
        <v>1.72E-2</v>
      </c>
      <c r="BB685" s="624">
        <v>39212</v>
      </c>
      <c r="BC685" s="355">
        <v>0.3574</v>
      </c>
      <c r="BD685" s="624">
        <v>39213</v>
      </c>
      <c r="BE685" s="355">
        <v>0.1079</v>
      </c>
      <c r="BF685" s="624">
        <v>39237</v>
      </c>
      <c r="BG685" s="355">
        <v>2.4677999999999999E-2</v>
      </c>
      <c r="BH685" s="624">
        <v>39212</v>
      </c>
      <c r="BI685" s="355">
        <v>0.112931</v>
      </c>
      <c r="BJ685" s="624">
        <v>39212</v>
      </c>
      <c r="BK685" s="355">
        <v>3.0741000000000001E-2</v>
      </c>
    </row>
    <row r="686" spans="3:63" x14ac:dyDescent="0.15">
      <c r="C686" s="624"/>
      <c r="D686" s="355">
        <v>3.8769999999999999E-2</v>
      </c>
      <c r="AV686" s="624"/>
      <c r="AX686" s="624">
        <v>39217</v>
      </c>
      <c r="AY686" s="355">
        <v>3.8830000000000003E-2</v>
      </c>
      <c r="AZ686" s="624">
        <v>39281</v>
      </c>
      <c r="BA686" s="355">
        <v>1.7299999999999999E-2</v>
      </c>
      <c r="BB686" s="624">
        <v>39213</v>
      </c>
      <c r="BC686" s="355">
        <v>0.35949999999999999</v>
      </c>
      <c r="BD686" s="624">
        <v>39216</v>
      </c>
      <c r="BE686" s="355">
        <v>0.10825</v>
      </c>
      <c r="BF686" s="624">
        <v>39238</v>
      </c>
      <c r="BG686" s="355">
        <v>2.4674000000000001E-2</v>
      </c>
      <c r="BH686" s="624">
        <v>39213</v>
      </c>
      <c r="BI686" s="355">
        <v>0.11274000000000001</v>
      </c>
      <c r="BJ686" s="624">
        <v>39213</v>
      </c>
      <c r="BK686" s="355">
        <v>3.0372E-2</v>
      </c>
    </row>
    <row r="687" spans="3:63" x14ac:dyDescent="0.15">
      <c r="C687" s="624"/>
      <c r="D687" s="355">
        <v>3.8830000000000003E-2</v>
      </c>
      <c r="AV687" s="624"/>
      <c r="AX687" s="624">
        <v>39218</v>
      </c>
      <c r="AY687" s="355">
        <v>3.8730000000000001E-2</v>
      </c>
      <c r="AZ687" s="624">
        <v>39282</v>
      </c>
      <c r="BA687" s="355">
        <v>1.7100000000000001E-2</v>
      </c>
      <c r="BB687" s="624">
        <v>39216</v>
      </c>
      <c r="BC687" s="355">
        <v>0.35959999999999998</v>
      </c>
      <c r="BD687" s="624">
        <v>39217</v>
      </c>
      <c r="BE687" s="355">
        <v>0.10818999999999999</v>
      </c>
      <c r="BF687" s="624">
        <v>39239</v>
      </c>
      <c r="BG687" s="355">
        <v>2.4590000000000001E-2</v>
      </c>
      <c r="BH687" s="624">
        <v>39216</v>
      </c>
      <c r="BI687" s="355">
        <v>0.113701</v>
      </c>
      <c r="BJ687" s="624">
        <v>39216</v>
      </c>
      <c r="BK687" s="355">
        <v>2.9942E-2</v>
      </c>
    </row>
    <row r="688" spans="3:63" x14ac:dyDescent="0.15">
      <c r="C688" s="624"/>
      <c r="D688" s="355">
        <v>3.8730000000000001E-2</v>
      </c>
      <c r="AV688" s="624"/>
      <c r="AX688" s="624">
        <v>39219</v>
      </c>
      <c r="AY688" s="355">
        <v>3.8690000000000002E-2</v>
      </c>
      <c r="AZ688" s="624">
        <v>39283</v>
      </c>
      <c r="BA688" s="355">
        <v>1.7000000000000001E-2</v>
      </c>
      <c r="BB688" s="624">
        <v>39217</v>
      </c>
      <c r="BC688" s="355">
        <v>0.35899999999999999</v>
      </c>
      <c r="BD688" s="624">
        <v>39218</v>
      </c>
      <c r="BE688" s="355">
        <v>0.10806</v>
      </c>
      <c r="BF688" s="624">
        <v>39240</v>
      </c>
      <c r="BG688" s="355">
        <v>2.4556000000000001E-2</v>
      </c>
      <c r="BH688" s="624">
        <v>39217</v>
      </c>
      <c r="BI688" s="355">
        <v>0.11337899999999999</v>
      </c>
      <c r="BJ688" s="624">
        <v>39217</v>
      </c>
      <c r="BK688" s="355">
        <v>3.0077E-2</v>
      </c>
    </row>
    <row r="689" spans="3:63" x14ac:dyDescent="0.15">
      <c r="C689" s="624"/>
      <c r="D689" s="355">
        <v>3.8690000000000002E-2</v>
      </c>
      <c r="AV689" s="624"/>
      <c r="AX689" s="624">
        <v>39220</v>
      </c>
      <c r="AY689" s="355">
        <v>3.8710000000000001E-2</v>
      </c>
      <c r="AZ689" s="624">
        <v>39286</v>
      </c>
      <c r="BA689" s="355">
        <v>1.7100000000000001E-2</v>
      </c>
      <c r="BB689" s="624">
        <v>39218</v>
      </c>
      <c r="BC689" s="355">
        <v>0.35599999999999998</v>
      </c>
      <c r="BD689" s="624">
        <v>39219</v>
      </c>
      <c r="BE689" s="355">
        <v>0.10754</v>
      </c>
      <c r="BF689" s="624">
        <v>39241</v>
      </c>
      <c r="BG689" s="355">
        <v>2.4322E-2</v>
      </c>
      <c r="BH689" s="624">
        <v>39218</v>
      </c>
      <c r="BI689" s="355">
        <v>0.113507</v>
      </c>
      <c r="BJ689" s="624">
        <v>39218</v>
      </c>
      <c r="BK689" s="355">
        <v>3.0124999999999999E-2</v>
      </c>
    </row>
    <row r="690" spans="3:63" x14ac:dyDescent="0.15">
      <c r="C690" s="624"/>
      <c r="D690" s="355">
        <v>3.8710000000000001E-2</v>
      </c>
      <c r="AV690" s="624"/>
      <c r="AX690" s="624">
        <v>39223</v>
      </c>
      <c r="AY690" s="355">
        <v>3.8640000000000001E-2</v>
      </c>
      <c r="AZ690" s="624">
        <v>39287</v>
      </c>
      <c r="BA690" s="355">
        <v>1.72E-2</v>
      </c>
      <c r="BB690" s="624">
        <v>39219</v>
      </c>
      <c r="BC690" s="355">
        <v>0.35670000000000002</v>
      </c>
      <c r="BD690" s="624">
        <v>39220</v>
      </c>
      <c r="BE690" s="355">
        <v>0.10705000000000001</v>
      </c>
      <c r="BF690" s="624">
        <v>39244</v>
      </c>
      <c r="BG690" s="355">
        <v>2.4507000000000001E-2</v>
      </c>
      <c r="BH690" s="624">
        <v>39219</v>
      </c>
      <c r="BI690" s="355">
        <v>0.113507</v>
      </c>
      <c r="BJ690" s="624">
        <v>39219</v>
      </c>
      <c r="BK690" s="355">
        <v>2.9770999999999999E-2</v>
      </c>
    </row>
    <row r="691" spans="3:63" x14ac:dyDescent="0.15">
      <c r="C691" s="624"/>
      <c r="D691" s="355">
        <v>3.8640000000000001E-2</v>
      </c>
      <c r="AV691" s="624"/>
      <c r="AX691" s="624">
        <v>39224</v>
      </c>
      <c r="AY691" s="355">
        <v>3.8609999999999998E-2</v>
      </c>
      <c r="AZ691" s="624">
        <v>39288</v>
      </c>
      <c r="BA691" s="355">
        <v>1.72E-2</v>
      </c>
      <c r="BB691" s="624">
        <v>39220</v>
      </c>
      <c r="BC691" s="355">
        <v>0.35659999999999997</v>
      </c>
      <c r="BD691" s="624">
        <v>39223</v>
      </c>
      <c r="BE691" s="355">
        <v>0.10748000000000001</v>
      </c>
      <c r="BF691" s="624">
        <v>39245</v>
      </c>
      <c r="BG691" s="355">
        <v>2.4516E-2</v>
      </c>
      <c r="BH691" s="624">
        <v>39220</v>
      </c>
      <c r="BI691" s="355">
        <v>0.11337899999999999</v>
      </c>
      <c r="BJ691" s="624">
        <v>39220</v>
      </c>
      <c r="BK691" s="355">
        <v>3.0452E-2</v>
      </c>
    </row>
    <row r="692" spans="3:63" x14ac:dyDescent="0.15">
      <c r="C692" s="624"/>
      <c r="D692" s="355">
        <v>3.8609999999999998E-2</v>
      </c>
      <c r="AV692" s="624"/>
      <c r="AX692" s="624">
        <v>39225</v>
      </c>
      <c r="AY692" s="355">
        <v>3.8629999999999998E-2</v>
      </c>
      <c r="AZ692" s="624">
        <v>39289</v>
      </c>
      <c r="BA692" s="355">
        <v>1.72E-2</v>
      </c>
      <c r="BB692" s="624">
        <v>39223</v>
      </c>
      <c r="BC692" s="355">
        <v>0.35659999999999997</v>
      </c>
      <c r="BD692" s="624">
        <v>39224</v>
      </c>
      <c r="BE692" s="355">
        <v>0.10732999999999999</v>
      </c>
      <c r="BF692" s="624">
        <v>39246</v>
      </c>
      <c r="BG692" s="355">
        <v>2.4405E-2</v>
      </c>
      <c r="BH692" s="624">
        <v>39223</v>
      </c>
      <c r="BI692" s="355">
        <v>0.114097</v>
      </c>
      <c r="BJ692" s="624">
        <v>39223</v>
      </c>
      <c r="BK692" s="355">
        <v>3.0256999999999999E-2</v>
      </c>
    </row>
    <row r="693" spans="3:63" x14ac:dyDescent="0.15">
      <c r="C693" s="624"/>
      <c r="D693" s="355">
        <v>3.8629999999999998E-2</v>
      </c>
      <c r="AV693" s="624"/>
      <c r="AX693" s="624">
        <v>39226</v>
      </c>
      <c r="AY693" s="355">
        <v>3.8589999999999999E-2</v>
      </c>
      <c r="AZ693" s="624">
        <v>39290</v>
      </c>
      <c r="BA693" s="355">
        <v>1.72E-2</v>
      </c>
      <c r="BB693" s="624">
        <v>39224</v>
      </c>
      <c r="BC693" s="355">
        <v>0.3553</v>
      </c>
      <c r="BD693" s="624">
        <v>39225</v>
      </c>
      <c r="BE693" s="355">
        <v>0.10732999999999999</v>
      </c>
      <c r="BF693" s="624">
        <v>39247</v>
      </c>
      <c r="BG693" s="355">
        <v>2.4417000000000001E-2</v>
      </c>
      <c r="BH693" s="624">
        <v>39224</v>
      </c>
      <c r="BI693" s="355">
        <v>0.11534</v>
      </c>
      <c r="BJ693" s="624">
        <v>39224</v>
      </c>
      <c r="BK693" s="355">
        <v>3.0530000000000002E-2</v>
      </c>
    </row>
    <row r="694" spans="3:63" x14ac:dyDescent="0.15">
      <c r="C694" s="624"/>
      <c r="D694" s="355">
        <v>3.8589999999999999E-2</v>
      </c>
      <c r="AV694" s="624"/>
      <c r="AX694" s="624">
        <v>39227</v>
      </c>
      <c r="AY694" s="355">
        <v>3.8609999999999998E-2</v>
      </c>
      <c r="AZ694" s="624">
        <v>39293</v>
      </c>
      <c r="BA694" s="355">
        <v>1.72E-2</v>
      </c>
      <c r="BB694" s="624">
        <v>39225</v>
      </c>
      <c r="BC694" s="355">
        <v>0.35510000000000003</v>
      </c>
      <c r="BD694" s="624">
        <v>39226</v>
      </c>
      <c r="BE694" s="355">
        <v>0.10718</v>
      </c>
      <c r="BF694" s="624">
        <v>39248</v>
      </c>
      <c r="BG694" s="355">
        <v>2.4473999999999999E-2</v>
      </c>
      <c r="BH694" s="624">
        <v>39225</v>
      </c>
      <c r="BI694" s="355">
        <v>0.11487700000000001</v>
      </c>
      <c r="BJ694" s="624">
        <v>39225</v>
      </c>
      <c r="BK694" s="355">
        <v>3.0367999999999999E-2</v>
      </c>
    </row>
    <row r="695" spans="3:63" x14ac:dyDescent="0.15">
      <c r="C695" s="624"/>
      <c r="D695" s="355">
        <v>3.8609999999999998E-2</v>
      </c>
      <c r="AV695" s="624"/>
      <c r="AX695" s="624">
        <v>39230</v>
      </c>
      <c r="AY695" s="355">
        <v>3.8629999999999998E-2</v>
      </c>
      <c r="AZ695" s="624">
        <v>39294</v>
      </c>
      <c r="BA695" s="355">
        <v>1.7100000000000001E-2</v>
      </c>
      <c r="BB695" s="624">
        <v>39226</v>
      </c>
      <c r="BC695" s="355">
        <v>0.35149999999999998</v>
      </c>
      <c r="BD695" s="624">
        <v>39227</v>
      </c>
      <c r="BE695" s="355">
        <v>0.10732999999999999</v>
      </c>
      <c r="BF695" s="624">
        <v>39251</v>
      </c>
      <c r="BG695" s="355">
        <v>2.4537E-2</v>
      </c>
      <c r="BH695" s="624">
        <v>39226</v>
      </c>
      <c r="BI695" s="355">
        <v>0.11376600000000001</v>
      </c>
      <c r="BJ695" s="624">
        <v>39226</v>
      </c>
      <c r="BK695" s="355">
        <v>3.0553E-2</v>
      </c>
    </row>
    <row r="696" spans="3:63" x14ac:dyDescent="0.15">
      <c r="C696" s="624"/>
      <c r="D696" s="355">
        <v>3.8629999999999998E-2</v>
      </c>
      <c r="AV696" s="624"/>
      <c r="AX696" s="624">
        <v>39231</v>
      </c>
      <c r="AY696" s="355">
        <v>3.8620000000000002E-2</v>
      </c>
      <c r="AZ696" s="624">
        <v>39295</v>
      </c>
      <c r="BA696" s="355">
        <v>1.7000000000000001E-2</v>
      </c>
      <c r="BB696" s="624">
        <v>39227</v>
      </c>
      <c r="BC696" s="355">
        <v>0.3528</v>
      </c>
      <c r="BD696" s="624">
        <v>39230</v>
      </c>
      <c r="BE696" s="355">
        <v>0.10766000000000001</v>
      </c>
      <c r="BF696" s="624">
        <v>39252</v>
      </c>
      <c r="BG696" s="355">
        <v>2.4552000000000001E-2</v>
      </c>
      <c r="BH696" s="624">
        <v>39227</v>
      </c>
      <c r="BI696" s="355">
        <v>0.11435099999999999</v>
      </c>
      <c r="BJ696" s="624">
        <v>39227</v>
      </c>
      <c r="BK696" s="355">
        <v>3.0661000000000001E-2</v>
      </c>
    </row>
    <row r="697" spans="3:63" x14ac:dyDescent="0.15">
      <c r="C697" s="624"/>
      <c r="D697" s="355">
        <v>3.8620000000000002E-2</v>
      </c>
      <c r="AV697" s="624"/>
      <c r="AX697" s="624">
        <v>39232</v>
      </c>
      <c r="AY697" s="355">
        <v>3.8580000000000003E-2</v>
      </c>
      <c r="AZ697" s="624">
        <v>39296</v>
      </c>
      <c r="BA697" s="355">
        <v>1.6899999999999998E-2</v>
      </c>
      <c r="BB697" s="624">
        <v>39230</v>
      </c>
      <c r="BC697" s="355">
        <v>0.35360000000000003</v>
      </c>
      <c r="BD697" s="624">
        <v>39231</v>
      </c>
      <c r="BE697" s="355">
        <v>0.10765</v>
      </c>
      <c r="BF697" s="624">
        <v>39253</v>
      </c>
      <c r="BG697" s="355">
        <v>2.4570000000000002E-2</v>
      </c>
      <c r="BH697" s="624">
        <v>39230</v>
      </c>
      <c r="BI697" s="355">
        <v>0.114416</v>
      </c>
      <c r="BJ697" s="624">
        <v>39230</v>
      </c>
      <c r="BK697" s="355">
        <v>3.0464999999999999E-2</v>
      </c>
    </row>
    <row r="698" spans="3:63" x14ac:dyDescent="0.15">
      <c r="C698" s="624"/>
      <c r="D698" s="355">
        <v>3.8580000000000003E-2</v>
      </c>
      <c r="AV698" s="624"/>
      <c r="AX698" s="624">
        <v>39233</v>
      </c>
      <c r="AY698" s="355">
        <v>3.8640000000000001E-2</v>
      </c>
      <c r="AZ698" s="624">
        <v>39297</v>
      </c>
      <c r="BA698" s="355">
        <v>1.72E-2</v>
      </c>
      <c r="BB698" s="624">
        <v>39231</v>
      </c>
      <c r="BC698" s="355">
        <v>0.35139999999999999</v>
      </c>
      <c r="BD698" s="624">
        <v>39232</v>
      </c>
      <c r="BE698" s="355">
        <v>0.1076</v>
      </c>
      <c r="BF698" s="624">
        <v>39254</v>
      </c>
      <c r="BG698" s="355">
        <v>2.4555E-2</v>
      </c>
      <c r="BH698" s="624">
        <v>39231</v>
      </c>
      <c r="BI698" s="355">
        <v>0.113443</v>
      </c>
      <c r="BJ698" s="624">
        <v>39231</v>
      </c>
      <c r="BK698" s="355">
        <v>3.0474000000000001E-2</v>
      </c>
    </row>
    <row r="699" spans="3:63" x14ac:dyDescent="0.15">
      <c r="C699" s="624"/>
      <c r="D699" s="355">
        <v>3.8640000000000001E-2</v>
      </c>
      <c r="AV699" s="624"/>
      <c r="AX699" s="624">
        <v>39234</v>
      </c>
      <c r="AY699" s="355">
        <v>3.8620000000000002E-2</v>
      </c>
      <c r="AZ699" s="624">
        <v>39300</v>
      </c>
      <c r="BA699" s="355">
        <v>1.72E-2</v>
      </c>
      <c r="BB699" s="624">
        <v>39232</v>
      </c>
      <c r="BC699" s="355">
        <v>0.35189999999999999</v>
      </c>
      <c r="BD699" s="624">
        <v>39233</v>
      </c>
      <c r="BE699" s="355">
        <v>0.10772</v>
      </c>
      <c r="BF699" s="624">
        <v>39255</v>
      </c>
      <c r="BG699" s="355">
        <v>2.4544E-2</v>
      </c>
      <c r="BH699" s="624">
        <v>39232</v>
      </c>
      <c r="BI699" s="355">
        <v>0.11305800000000001</v>
      </c>
      <c r="BJ699" s="624">
        <v>39232</v>
      </c>
      <c r="BK699" s="355">
        <v>3.0450999999999999E-2</v>
      </c>
    </row>
    <row r="700" spans="3:63" x14ac:dyDescent="0.15">
      <c r="C700" s="624"/>
      <c r="D700" s="355">
        <v>3.8620000000000002E-2</v>
      </c>
      <c r="AV700" s="624"/>
      <c r="AX700" s="624">
        <v>39237</v>
      </c>
      <c r="AY700" s="355">
        <v>3.8670000000000003E-2</v>
      </c>
      <c r="AZ700" s="624">
        <v>39301</v>
      </c>
      <c r="BA700" s="355">
        <v>1.7100000000000001E-2</v>
      </c>
      <c r="BB700" s="624">
        <v>39233</v>
      </c>
      <c r="BC700" s="355">
        <v>0.35289999999999999</v>
      </c>
      <c r="BD700" s="624">
        <v>39234</v>
      </c>
      <c r="BE700" s="355">
        <v>0.10763</v>
      </c>
      <c r="BF700" s="624">
        <v>39258</v>
      </c>
      <c r="BG700" s="355">
        <v>2.4486999999999998E-2</v>
      </c>
      <c r="BH700" s="624">
        <v>39233</v>
      </c>
      <c r="BI700" s="355">
        <v>0.113314</v>
      </c>
      <c r="BJ700" s="624">
        <v>39233</v>
      </c>
      <c r="BK700" s="355">
        <v>3.0276000000000001E-2</v>
      </c>
    </row>
    <row r="701" spans="3:63" x14ac:dyDescent="0.15">
      <c r="C701" s="624"/>
      <c r="D701" s="355">
        <v>3.8670000000000003E-2</v>
      </c>
      <c r="AV701" s="624"/>
      <c r="AX701" s="624">
        <v>39238</v>
      </c>
      <c r="AY701" s="355">
        <v>3.8710000000000001E-2</v>
      </c>
      <c r="AZ701" s="624">
        <v>39302</v>
      </c>
      <c r="BA701" s="355">
        <v>1.72E-2</v>
      </c>
      <c r="BB701" s="624">
        <v>39234</v>
      </c>
      <c r="BC701" s="355">
        <v>0.35410000000000003</v>
      </c>
      <c r="BD701" s="624">
        <v>39237</v>
      </c>
      <c r="BE701" s="355">
        <v>0.10777</v>
      </c>
      <c r="BF701" s="624">
        <v>39259</v>
      </c>
      <c r="BG701" s="355">
        <v>2.4426E-2</v>
      </c>
      <c r="BH701" s="624">
        <v>39234</v>
      </c>
      <c r="BI701" s="355">
        <v>0.113353</v>
      </c>
      <c r="BJ701" s="624">
        <v>39234</v>
      </c>
      <c r="BK701" s="355">
        <v>3.0349000000000001E-2</v>
      </c>
    </row>
    <row r="702" spans="3:63" x14ac:dyDescent="0.15">
      <c r="C702" s="624"/>
      <c r="D702" s="355">
        <v>3.8710000000000001E-2</v>
      </c>
      <c r="AV702" s="624"/>
      <c r="AX702" s="624">
        <v>39239</v>
      </c>
      <c r="AY702" s="355">
        <v>3.8710000000000001E-2</v>
      </c>
      <c r="AZ702" s="624">
        <v>39303</v>
      </c>
      <c r="BA702" s="355">
        <v>1.7100000000000001E-2</v>
      </c>
      <c r="BB702" s="624">
        <v>39237</v>
      </c>
      <c r="BC702" s="355">
        <v>0.35470000000000002</v>
      </c>
      <c r="BD702" s="624">
        <v>39238</v>
      </c>
      <c r="BE702" s="355">
        <v>0.10779</v>
      </c>
      <c r="BF702" s="624">
        <v>39260</v>
      </c>
      <c r="BG702" s="355">
        <v>2.4402E-2</v>
      </c>
      <c r="BH702" s="624">
        <v>39237</v>
      </c>
      <c r="BI702" s="355">
        <v>0.113993</v>
      </c>
      <c r="BJ702" s="624">
        <v>39237</v>
      </c>
      <c r="BK702" s="355">
        <v>3.0422999999999999E-2</v>
      </c>
    </row>
    <row r="703" spans="3:63" x14ac:dyDescent="0.15">
      <c r="C703" s="624"/>
      <c r="D703" s="355">
        <v>3.8710000000000001E-2</v>
      </c>
      <c r="AV703" s="624"/>
      <c r="AX703" s="624">
        <v>39240</v>
      </c>
      <c r="AY703" s="355">
        <v>3.8600000000000002E-2</v>
      </c>
      <c r="AZ703" s="624">
        <v>39304</v>
      </c>
      <c r="BA703" s="355">
        <v>1.7000000000000001E-2</v>
      </c>
      <c r="BB703" s="624">
        <v>39238</v>
      </c>
      <c r="BC703" s="355">
        <v>0.35320000000000001</v>
      </c>
      <c r="BD703" s="624">
        <v>39239</v>
      </c>
      <c r="BE703" s="355">
        <v>0.10772</v>
      </c>
      <c r="BF703" s="624">
        <v>39261</v>
      </c>
      <c r="BG703" s="355">
        <v>2.4479999999999998E-2</v>
      </c>
      <c r="BH703" s="624">
        <v>39238</v>
      </c>
      <c r="BI703" s="355">
        <v>0.11334</v>
      </c>
      <c r="BJ703" s="624">
        <v>39238</v>
      </c>
      <c r="BK703" s="355">
        <v>3.0440999999999999E-2</v>
      </c>
    </row>
    <row r="704" spans="3:63" x14ac:dyDescent="0.15">
      <c r="C704" s="624"/>
      <c r="D704" s="355">
        <v>3.8600000000000002E-2</v>
      </c>
      <c r="AV704" s="624"/>
      <c r="AX704" s="624">
        <v>39241</v>
      </c>
      <c r="AY704" s="355">
        <v>3.8510000000000003E-2</v>
      </c>
      <c r="AZ704" s="624">
        <v>39307</v>
      </c>
      <c r="BA704" s="355">
        <v>1.6899999999999998E-2</v>
      </c>
      <c r="BB704" s="624">
        <v>39239</v>
      </c>
      <c r="BC704" s="355">
        <v>0.35260000000000002</v>
      </c>
      <c r="BD704" s="624">
        <v>39240</v>
      </c>
      <c r="BE704" s="355">
        <v>0.10767</v>
      </c>
      <c r="BF704" s="624">
        <v>39262</v>
      </c>
      <c r="BG704" s="355">
        <v>2.4563999999999999E-2</v>
      </c>
      <c r="BH704" s="624">
        <v>39239</v>
      </c>
      <c r="BI704" s="355">
        <v>0.11207</v>
      </c>
      <c r="BJ704" s="624">
        <v>39239</v>
      </c>
      <c r="BK704" s="355">
        <v>3.023E-2</v>
      </c>
    </row>
    <row r="705" spans="3:63" x14ac:dyDescent="0.15">
      <c r="C705" s="624"/>
      <c r="D705" s="355">
        <v>3.8510000000000003E-2</v>
      </c>
      <c r="AV705" s="624"/>
      <c r="AX705" s="624">
        <v>39244</v>
      </c>
      <c r="AY705" s="355">
        <v>3.848E-2</v>
      </c>
      <c r="AZ705" s="624">
        <v>39308</v>
      </c>
      <c r="BA705" s="355">
        <v>1.6899999999999998E-2</v>
      </c>
      <c r="BB705" s="624">
        <v>39240</v>
      </c>
      <c r="BC705" s="355">
        <v>0.34949999999999998</v>
      </c>
      <c r="BD705" s="624">
        <v>39241</v>
      </c>
      <c r="BE705" s="355">
        <v>0.10724</v>
      </c>
      <c r="BF705" s="624">
        <v>39265</v>
      </c>
      <c r="BG705" s="355">
        <v>2.4605999999999999E-2</v>
      </c>
      <c r="BH705" s="624">
        <v>39240</v>
      </c>
      <c r="BI705" s="355">
        <v>0.110926</v>
      </c>
      <c r="BJ705" s="624">
        <v>39240</v>
      </c>
      <c r="BK705" s="355">
        <v>3.0627999999999999E-2</v>
      </c>
    </row>
    <row r="706" spans="3:63" x14ac:dyDescent="0.15">
      <c r="C706" s="624"/>
      <c r="D706" s="355">
        <v>3.848E-2</v>
      </c>
      <c r="AV706" s="624"/>
      <c r="AX706" s="624">
        <v>39245</v>
      </c>
      <c r="AY706" s="355">
        <v>3.8420000000000003E-2</v>
      </c>
      <c r="AZ706" s="624">
        <v>39309</v>
      </c>
      <c r="BA706" s="355">
        <v>1.6899999999999998E-2</v>
      </c>
      <c r="BB706" s="624">
        <v>39241</v>
      </c>
      <c r="BC706" s="355">
        <v>0.34860000000000002</v>
      </c>
      <c r="BD706" s="624">
        <v>39244</v>
      </c>
      <c r="BE706" s="355">
        <v>0.10731</v>
      </c>
      <c r="BF706" s="624">
        <v>39266</v>
      </c>
      <c r="BG706" s="355">
        <v>2.4680000000000001E-2</v>
      </c>
      <c r="BH706" s="624">
        <v>39241</v>
      </c>
      <c r="BI706" s="355">
        <v>0.10989</v>
      </c>
      <c r="BJ706" s="624">
        <v>39241</v>
      </c>
      <c r="BK706" s="355">
        <v>3.0769000000000001E-2</v>
      </c>
    </row>
    <row r="707" spans="3:63" x14ac:dyDescent="0.15">
      <c r="C707" s="624"/>
      <c r="D707" s="355">
        <v>3.8420000000000003E-2</v>
      </c>
      <c r="AV707" s="624"/>
      <c r="AX707" s="624">
        <v>39246</v>
      </c>
      <c r="AY707" s="355">
        <v>3.8399999999999997E-2</v>
      </c>
      <c r="AZ707" s="624">
        <v>39310</v>
      </c>
      <c r="BA707" s="355">
        <v>1.6799999999999999E-2</v>
      </c>
      <c r="BB707" s="624">
        <v>39244</v>
      </c>
      <c r="BC707" s="355">
        <v>0.3493</v>
      </c>
      <c r="BD707" s="624">
        <v>39245</v>
      </c>
      <c r="BE707" s="355">
        <v>0.10747</v>
      </c>
      <c r="BF707" s="624">
        <v>39267</v>
      </c>
      <c r="BG707" s="355">
        <v>2.4725E-2</v>
      </c>
      <c r="BH707" s="624">
        <v>39244</v>
      </c>
      <c r="BI707" s="355">
        <v>0.11108</v>
      </c>
      <c r="BJ707" s="624">
        <v>39244</v>
      </c>
      <c r="BK707" s="355">
        <v>3.0855E-2</v>
      </c>
    </row>
    <row r="708" spans="3:63" x14ac:dyDescent="0.15">
      <c r="C708" s="624"/>
      <c r="D708" s="355">
        <v>3.8399999999999997E-2</v>
      </c>
      <c r="AV708" s="624"/>
      <c r="AX708" s="624">
        <v>39247</v>
      </c>
      <c r="AY708" s="355">
        <v>3.841E-2</v>
      </c>
      <c r="AZ708" s="624">
        <v>39311</v>
      </c>
      <c r="BA708" s="355">
        <v>1.6899999999999998E-2</v>
      </c>
      <c r="BB708" s="624">
        <v>39245</v>
      </c>
      <c r="BC708" s="355">
        <v>0.34649999999999997</v>
      </c>
      <c r="BD708" s="624">
        <v>39246</v>
      </c>
      <c r="BE708" s="355">
        <v>0.10732999999999999</v>
      </c>
      <c r="BF708" s="624">
        <v>39268</v>
      </c>
      <c r="BG708" s="355">
        <v>2.4704E-2</v>
      </c>
      <c r="BH708" s="624">
        <v>39245</v>
      </c>
      <c r="BI708" s="355">
        <v>0.11043600000000001</v>
      </c>
      <c r="BJ708" s="624">
        <v>39245</v>
      </c>
      <c r="BK708" s="355">
        <v>3.0769000000000001E-2</v>
      </c>
    </row>
    <row r="709" spans="3:63" x14ac:dyDescent="0.15">
      <c r="C709" s="624"/>
      <c r="D709" s="355">
        <v>3.841E-2</v>
      </c>
      <c r="AV709" s="624"/>
      <c r="AX709" s="624">
        <v>39248</v>
      </c>
      <c r="AY709" s="355">
        <v>3.8510000000000003E-2</v>
      </c>
      <c r="AZ709" s="624">
        <v>39314</v>
      </c>
      <c r="BA709" s="355">
        <v>1.6799999999999999E-2</v>
      </c>
      <c r="BB709" s="624">
        <v>39246</v>
      </c>
      <c r="BC709" s="355">
        <v>0.34839999999999999</v>
      </c>
      <c r="BD709" s="624">
        <v>39247</v>
      </c>
      <c r="BE709" s="355">
        <v>0.10753</v>
      </c>
      <c r="BF709" s="624">
        <v>39269</v>
      </c>
      <c r="BG709" s="355">
        <v>2.4716999999999999E-2</v>
      </c>
      <c r="BH709" s="624">
        <v>39246</v>
      </c>
      <c r="BI709" s="355">
        <v>0.111111</v>
      </c>
      <c r="BJ709" s="624">
        <v>39246</v>
      </c>
      <c r="BK709" s="355">
        <v>3.0835999999999999E-2</v>
      </c>
    </row>
    <row r="710" spans="3:63" x14ac:dyDescent="0.15">
      <c r="C710" s="624"/>
      <c r="D710" s="355">
        <v>3.8510000000000003E-2</v>
      </c>
      <c r="AV710" s="624"/>
      <c r="AX710" s="624">
        <v>39251</v>
      </c>
      <c r="AY710" s="355">
        <v>3.8550000000000001E-2</v>
      </c>
      <c r="AZ710" s="624">
        <v>39315</v>
      </c>
      <c r="BA710" s="355">
        <v>1.6799999999999999E-2</v>
      </c>
      <c r="BB710" s="624">
        <v>39247</v>
      </c>
      <c r="BC710" s="355">
        <v>0.3488</v>
      </c>
      <c r="BD710" s="624">
        <v>39248</v>
      </c>
      <c r="BE710" s="355">
        <v>0.1077</v>
      </c>
      <c r="BF710" s="624">
        <v>39272</v>
      </c>
      <c r="BG710" s="355">
        <v>2.4759E-2</v>
      </c>
      <c r="BH710" s="624">
        <v>39247</v>
      </c>
      <c r="BI710" s="355">
        <v>0.110522</v>
      </c>
      <c r="BJ710" s="624">
        <v>39247</v>
      </c>
      <c r="BK710" s="355">
        <v>3.0817000000000001E-2</v>
      </c>
    </row>
    <row r="711" spans="3:63" x14ac:dyDescent="0.15">
      <c r="C711" s="624"/>
      <c r="D711" s="355">
        <v>3.8550000000000001E-2</v>
      </c>
      <c r="AV711" s="624"/>
      <c r="AX711" s="624">
        <v>39252</v>
      </c>
      <c r="AY711" s="355">
        <v>3.857E-2</v>
      </c>
      <c r="AZ711" s="624">
        <v>39316</v>
      </c>
      <c r="BA711" s="355">
        <v>1.6899999999999998E-2</v>
      </c>
      <c r="BB711" s="624">
        <v>39248</v>
      </c>
      <c r="BC711" s="355">
        <v>0.35260000000000002</v>
      </c>
      <c r="BD711" s="624">
        <v>39251</v>
      </c>
      <c r="BE711" s="355">
        <v>0.10767</v>
      </c>
      <c r="BF711" s="624">
        <v>39273</v>
      </c>
      <c r="BG711" s="355">
        <v>2.4752E-2</v>
      </c>
      <c r="BH711" s="624">
        <v>39248</v>
      </c>
      <c r="BI711" s="355">
        <v>0.110619</v>
      </c>
      <c r="BJ711" s="624">
        <v>39248</v>
      </c>
      <c r="BK711" s="355">
        <v>3.0825999999999999E-2</v>
      </c>
    </row>
    <row r="712" spans="3:63" x14ac:dyDescent="0.15">
      <c r="C712" s="624"/>
      <c r="D712" s="355">
        <v>3.857E-2</v>
      </c>
      <c r="AV712" s="624"/>
      <c r="AX712" s="624">
        <v>39253</v>
      </c>
      <c r="AY712" s="355">
        <v>3.8530000000000002E-2</v>
      </c>
      <c r="AZ712" s="624">
        <v>39317</v>
      </c>
      <c r="BA712" s="355">
        <v>1.7000000000000001E-2</v>
      </c>
      <c r="BB712" s="624">
        <v>39251</v>
      </c>
      <c r="BC712" s="355">
        <v>0.35299999999999998</v>
      </c>
      <c r="BD712" s="624">
        <v>39252</v>
      </c>
      <c r="BE712" s="355">
        <v>0.10813</v>
      </c>
      <c r="BF712" s="624">
        <v>39274</v>
      </c>
      <c r="BG712" s="355">
        <v>2.4760000000000001E-2</v>
      </c>
      <c r="BH712" s="624">
        <v>39251</v>
      </c>
      <c r="BI712" s="355">
        <v>0.112423</v>
      </c>
      <c r="BJ712" s="624">
        <v>39251</v>
      </c>
      <c r="BK712" s="355">
        <v>3.0779000000000001E-2</v>
      </c>
    </row>
    <row r="713" spans="3:63" x14ac:dyDescent="0.15">
      <c r="C713" s="624"/>
      <c r="D713" s="355">
        <v>3.8530000000000002E-2</v>
      </c>
      <c r="AV713" s="624"/>
      <c r="AX713" s="624">
        <v>39254</v>
      </c>
      <c r="AY713" s="355">
        <v>3.8519999999999999E-2</v>
      </c>
      <c r="AZ713" s="624">
        <v>39318</v>
      </c>
      <c r="BA713" s="355">
        <v>1.7100000000000001E-2</v>
      </c>
      <c r="BB713" s="624">
        <v>39252</v>
      </c>
      <c r="BC713" s="355">
        <v>0.3553</v>
      </c>
      <c r="BD713" s="624">
        <v>39253</v>
      </c>
      <c r="BE713" s="355">
        <v>0.10783</v>
      </c>
      <c r="BF713" s="624">
        <v>39275</v>
      </c>
      <c r="BG713" s="355">
        <v>2.4697E-2</v>
      </c>
      <c r="BH713" s="624">
        <v>39252</v>
      </c>
      <c r="BI713" s="355">
        <v>0.112108</v>
      </c>
      <c r="BJ713" s="624">
        <v>39252</v>
      </c>
      <c r="BK713" s="355">
        <v>3.1074999999999998E-2</v>
      </c>
    </row>
    <row r="714" spans="3:63" x14ac:dyDescent="0.15">
      <c r="C714" s="624"/>
      <c r="D714" s="355">
        <v>3.8519999999999999E-2</v>
      </c>
      <c r="AV714" s="624"/>
      <c r="AX714" s="624">
        <v>39255</v>
      </c>
      <c r="AY714" s="355">
        <v>3.8580000000000003E-2</v>
      </c>
      <c r="AZ714" s="624">
        <v>39321</v>
      </c>
      <c r="BA714" s="355">
        <v>1.7000000000000001E-2</v>
      </c>
      <c r="BB714" s="624">
        <v>39253</v>
      </c>
      <c r="BC714" s="355">
        <v>0.35289999999999999</v>
      </c>
      <c r="BD714" s="624">
        <v>39254</v>
      </c>
      <c r="BE714" s="355">
        <v>0.10792</v>
      </c>
      <c r="BF714" s="624">
        <v>39276</v>
      </c>
      <c r="BG714" s="355">
        <v>2.4740000000000002E-2</v>
      </c>
      <c r="BH714" s="624">
        <v>39253</v>
      </c>
      <c r="BI714" s="355">
        <v>0.11101900000000001</v>
      </c>
      <c r="BJ714" s="624">
        <v>39253</v>
      </c>
      <c r="BK714" s="355">
        <v>3.0911999999999999E-2</v>
      </c>
    </row>
    <row r="715" spans="3:63" x14ac:dyDescent="0.15">
      <c r="C715" s="624"/>
      <c r="D715" s="355">
        <v>3.8580000000000003E-2</v>
      </c>
      <c r="AV715" s="624"/>
      <c r="AX715" s="624">
        <v>39258</v>
      </c>
      <c r="AY715" s="355">
        <v>3.8640000000000001E-2</v>
      </c>
      <c r="AZ715" s="624">
        <v>39322</v>
      </c>
      <c r="BA715" s="355">
        <v>1.7000000000000001E-2</v>
      </c>
      <c r="BB715" s="624">
        <v>39254</v>
      </c>
      <c r="BC715" s="355">
        <v>0.35360000000000003</v>
      </c>
      <c r="BD715" s="624">
        <v>39255</v>
      </c>
      <c r="BE715" s="355">
        <v>0.10779</v>
      </c>
      <c r="BF715" s="624">
        <v>39279</v>
      </c>
      <c r="BG715" s="355">
        <v>2.4782999999999999E-2</v>
      </c>
      <c r="BH715" s="624">
        <v>39254</v>
      </c>
      <c r="BI715" s="355">
        <v>0.111328</v>
      </c>
      <c r="BJ715" s="624">
        <v>39254</v>
      </c>
      <c r="BK715" s="355">
        <v>3.1016999999999999E-2</v>
      </c>
    </row>
    <row r="716" spans="3:63" x14ac:dyDescent="0.15">
      <c r="C716" s="624"/>
      <c r="D716" s="355">
        <v>3.8640000000000001E-2</v>
      </c>
      <c r="AV716" s="624"/>
      <c r="AX716" s="624">
        <v>39259</v>
      </c>
      <c r="AY716" s="355">
        <v>3.8760000000000003E-2</v>
      </c>
      <c r="AZ716" s="624">
        <v>39323</v>
      </c>
      <c r="BA716" s="355">
        <v>1.7100000000000001E-2</v>
      </c>
      <c r="BB716" s="624">
        <v>39255</v>
      </c>
      <c r="BC716" s="355">
        <v>0.35599999999999998</v>
      </c>
      <c r="BD716" s="624">
        <v>39258</v>
      </c>
      <c r="BE716" s="355">
        <v>0.10793</v>
      </c>
      <c r="BF716" s="624">
        <v>39280</v>
      </c>
      <c r="BG716" s="355">
        <v>2.4781000000000001E-2</v>
      </c>
      <c r="BH716" s="624">
        <v>39255</v>
      </c>
      <c r="BI716" s="355">
        <v>0.110619</v>
      </c>
      <c r="BJ716" s="624">
        <v>39255</v>
      </c>
      <c r="BK716" s="355">
        <v>3.0949999999999998E-2</v>
      </c>
    </row>
    <row r="717" spans="3:63" x14ac:dyDescent="0.15">
      <c r="C717" s="624"/>
      <c r="D717" s="355">
        <v>3.8760000000000003E-2</v>
      </c>
      <c r="AV717" s="624"/>
      <c r="AX717" s="624">
        <v>39260</v>
      </c>
      <c r="AY717" s="355">
        <v>3.8699999999999998E-2</v>
      </c>
      <c r="AZ717" s="624">
        <v>39324</v>
      </c>
      <c r="BA717" s="355">
        <v>1.7000000000000001E-2</v>
      </c>
      <c r="BB717" s="624">
        <v>39258</v>
      </c>
      <c r="BC717" s="355">
        <v>0.35499999999999998</v>
      </c>
      <c r="BD717" s="624">
        <v>39259</v>
      </c>
      <c r="BE717" s="355">
        <v>0.10775</v>
      </c>
      <c r="BF717" s="624">
        <v>39281</v>
      </c>
      <c r="BG717" s="355">
        <v>2.4750999999999999E-2</v>
      </c>
      <c r="BH717" s="624">
        <v>39258</v>
      </c>
      <c r="BI717" s="355">
        <v>0.110711</v>
      </c>
      <c r="BJ717" s="624">
        <v>39258</v>
      </c>
      <c r="BK717" s="355">
        <v>3.1016999999999999E-2</v>
      </c>
    </row>
    <row r="718" spans="3:63" x14ac:dyDescent="0.15">
      <c r="C718" s="624"/>
      <c r="D718" s="355">
        <v>3.8699999999999998E-2</v>
      </c>
      <c r="AV718" s="624"/>
      <c r="AX718" s="624">
        <v>39261</v>
      </c>
      <c r="AY718" s="355">
        <v>3.8739999999999997E-2</v>
      </c>
      <c r="AZ718" s="624">
        <v>39325</v>
      </c>
      <c r="BA718" s="355">
        <v>1.7100000000000001E-2</v>
      </c>
      <c r="BB718" s="624">
        <v>39259</v>
      </c>
      <c r="BC718" s="355">
        <v>0.35449999999999998</v>
      </c>
      <c r="BD718" s="624">
        <v>39260</v>
      </c>
      <c r="BE718" s="355">
        <v>0.10779</v>
      </c>
      <c r="BF718" s="624">
        <v>39282</v>
      </c>
      <c r="BG718" s="355">
        <v>2.4773E-2</v>
      </c>
      <c r="BH718" s="624">
        <v>39259</v>
      </c>
      <c r="BI718" s="355">
        <v>0.10995099999999999</v>
      </c>
      <c r="BJ718" s="624">
        <v>39259</v>
      </c>
      <c r="BK718" s="355">
        <v>3.1192000000000001E-2</v>
      </c>
    </row>
    <row r="719" spans="3:63" x14ac:dyDescent="0.15">
      <c r="C719" s="624"/>
      <c r="D719" s="355">
        <v>3.8739999999999997E-2</v>
      </c>
      <c r="AV719" s="624"/>
      <c r="AX719" s="624">
        <v>39262</v>
      </c>
      <c r="AY719" s="355">
        <v>3.8830000000000003E-2</v>
      </c>
      <c r="AZ719" s="624">
        <v>39328</v>
      </c>
      <c r="BA719" s="355">
        <v>1.7000000000000001E-2</v>
      </c>
      <c r="BB719" s="624">
        <v>39260</v>
      </c>
      <c r="BC719" s="355">
        <v>0.35589999999999999</v>
      </c>
      <c r="BD719" s="624">
        <v>39261</v>
      </c>
      <c r="BE719" s="355">
        <v>0.10791000000000001</v>
      </c>
      <c r="BF719" s="624">
        <v>39283</v>
      </c>
      <c r="BG719" s="355">
        <v>2.4799999999999999E-2</v>
      </c>
      <c r="BH719" s="624">
        <v>39260</v>
      </c>
      <c r="BI719" s="355">
        <v>0.111272</v>
      </c>
      <c r="BJ719" s="624">
        <v>39260</v>
      </c>
      <c r="BK719" s="355">
        <v>3.1796999999999999E-2</v>
      </c>
    </row>
    <row r="720" spans="3:63" x14ac:dyDescent="0.15">
      <c r="C720" s="624"/>
      <c r="D720" s="355">
        <v>3.8830000000000003E-2</v>
      </c>
      <c r="AV720" s="624"/>
      <c r="AX720" s="624">
        <v>39265</v>
      </c>
      <c r="AY720" s="355">
        <v>3.8969999999999998E-2</v>
      </c>
      <c r="AZ720" s="624">
        <v>39329</v>
      </c>
      <c r="BA720" s="355">
        <v>1.7000000000000001E-2</v>
      </c>
      <c r="BB720" s="624">
        <v>39261</v>
      </c>
      <c r="BC720" s="355">
        <v>0.35709999999999997</v>
      </c>
      <c r="BD720" s="624">
        <v>39262</v>
      </c>
      <c r="BE720" s="355">
        <v>0.10836999999999999</v>
      </c>
      <c r="BF720" s="624">
        <v>39286</v>
      </c>
      <c r="BG720" s="355">
        <v>2.4819999999999998E-2</v>
      </c>
      <c r="BH720" s="624">
        <v>39261</v>
      </c>
      <c r="BI720" s="355">
        <v>0.110497</v>
      </c>
      <c r="BJ720" s="624">
        <v>39261</v>
      </c>
      <c r="BK720" s="355">
        <v>3.1426999999999997E-2</v>
      </c>
    </row>
    <row r="721" spans="3:63" x14ac:dyDescent="0.15">
      <c r="C721" s="624"/>
      <c r="D721" s="355">
        <v>3.8969999999999998E-2</v>
      </c>
      <c r="AV721" s="624"/>
      <c r="AX721" s="624">
        <v>39266</v>
      </c>
      <c r="AY721" s="355">
        <v>3.8940000000000002E-2</v>
      </c>
      <c r="AZ721" s="624">
        <v>39330</v>
      </c>
      <c r="BA721" s="355">
        <v>1.7100000000000001E-2</v>
      </c>
      <c r="BB721" s="624">
        <v>39262</v>
      </c>
      <c r="BC721" s="355">
        <v>0.35930000000000001</v>
      </c>
      <c r="BD721" s="624">
        <v>39265</v>
      </c>
      <c r="BE721" s="355">
        <v>0.10879999999999999</v>
      </c>
      <c r="BF721" s="624">
        <v>39287</v>
      </c>
      <c r="BG721" s="355">
        <v>2.4841999999999999E-2</v>
      </c>
      <c r="BH721" s="624">
        <v>39262</v>
      </c>
      <c r="BI721" s="355">
        <v>0.11074199999999999</v>
      </c>
      <c r="BJ721" s="624">
        <v>39262</v>
      </c>
      <c r="BK721" s="355">
        <v>3.1545999999999998E-2</v>
      </c>
    </row>
    <row r="722" spans="3:63" x14ac:dyDescent="0.15">
      <c r="C722" s="624"/>
      <c r="D722" s="355">
        <v>3.8940000000000002E-2</v>
      </c>
      <c r="AV722" s="624"/>
      <c r="AX722" s="624">
        <v>39267</v>
      </c>
      <c r="AY722" s="355">
        <v>3.8960000000000002E-2</v>
      </c>
      <c r="AZ722" s="624">
        <v>39331</v>
      </c>
      <c r="BA722" s="355">
        <v>1.72E-2</v>
      </c>
      <c r="BB722" s="624">
        <v>39265</v>
      </c>
      <c r="BC722" s="355">
        <v>0.36280000000000001</v>
      </c>
      <c r="BD722" s="624">
        <v>39266</v>
      </c>
      <c r="BE722" s="355">
        <v>0.10893</v>
      </c>
      <c r="BF722" s="624">
        <v>39288</v>
      </c>
      <c r="BG722" s="355">
        <v>2.4802000000000001E-2</v>
      </c>
      <c r="BH722" s="624">
        <v>39265</v>
      </c>
      <c r="BI722" s="355">
        <v>0.110988</v>
      </c>
      <c r="BJ722" s="624">
        <v>39265</v>
      </c>
      <c r="BK722" s="355">
        <v>3.1516000000000002E-2</v>
      </c>
    </row>
    <row r="723" spans="3:63" x14ac:dyDescent="0.15">
      <c r="C723" s="624"/>
      <c r="D723" s="355">
        <v>3.8960000000000002E-2</v>
      </c>
      <c r="AV723" s="624"/>
      <c r="AX723" s="624">
        <v>39268</v>
      </c>
      <c r="AY723" s="355">
        <v>3.8920000000000003E-2</v>
      </c>
      <c r="AZ723" s="624">
        <v>39332</v>
      </c>
      <c r="BA723" s="355">
        <v>1.72E-2</v>
      </c>
      <c r="BB723" s="624">
        <v>39266</v>
      </c>
      <c r="BC723" s="355">
        <v>0.36149999999999999</v>
      </c>
      <c r="BD723" s="624">
        <v>39267</v>
      </c>
      <c r="BE723" s="355">
        <v>0.10871</v>
      </c>
      <c r="BF723" s="624">
        <v>39289</v>
      </c>
      <c r="BG723" s="355">
        <v>2.4788000000000001E-2</v>
      </c>
      <c r="BH723" s="624">
        <v>39266</v>
      </c>
      <c r="BI723" s="355">
        <v>0.11104899999999999</v>
      </c>
      <c r="BJ723" s="624">
        <v>39266</v>
      </c>
      <c r="BK723" s="355">
        <v>3.1516000000000002E-2</v>
      </c>
    </row>
    <row r="724" spans="3:63" x14ac:dyDescent="0.15">
      <c r="C724" s="624"/>
      <c r="D724" s="355">
        <v>3.8920000000000003E-2</v>
      </c>
      <c r="AV724" s="624"/>
      <c r="AX724" s="624">
        <v>39269</v>
      </c>
      <c r="AY724" s="355">
        <v>3.8890000000000001E-2</v>
      </c>
      <c r="AZ724" s="624">
        <v>39335</v>
      </c>
      <c r="BA724" s="355">
        <v>1.72E-2</v>
      </c>
      <c r="BB724" s="624">
        <v>39267</v>
      </c>
      <c r="BC724" s="355">
        <v>0.36230000000000001</v>
      </c>
      <c r="BD724" s="624">
        <v>39268</v>
      </c>
      <c r="BE724" s="355">
        <v>0.10847999999999999</v>
      </c>
      <c r="BF724" s="624">
        <v>39290</v>
      </c>
      <c r="BG724" s="355">
        <v>2.4631E-2</v>
      </c>
      <c r="BH724" s="624">
        <v>39267</v>
      </c>
      <c r="BI724" s="355">
        <v>0.110988</v>
      </c>
      <c r="BJ724" s="624">
        <v>39267</v>
      </c>
      <c r="BK724" s="355">
        <v>3.1696000000000002E-2</v>
      </c>
    </row>
    <row r="725" spans="3:63" x14ac:dyDescent="0.15">
      <c r="C725" s="624"/>
      <c r="D725" s="355">
        <v>3.8890000000000001E-2</v>
      </c>
      <c r="AV725" s="624"/>
      <c r="AX725" s="624">
        <v>39272</v>
      </c>
      <c r="AY725" s="355">
        <v>3.8969999999999998E-2</v>
      </c>
      <c r="AZ725" s="624">
        <v>39336</v>
      </c>
      <c r="BA725" s="355">
        <v>1.7399999999999999E-2</v>
      </c>
      <c r="BB725" s="624">
        <v>39268</v>
      </c>
      <c r="BC725" s="355">
        <v>0.3604</v>
      </c>
      <c r="BD725" s="624">
        <v>39269</v>
      </c>
      <c r="BE725" s="355">
        <v>0.10876</v>
      </c>
      <c r="BF725" s="624">
        <v>39293</v>
      </c>
      <c r="BG725" s="355">
        <v>2.4673E-2</v>
      </c>
      <c r="BH725" s="624">
        <v>39268</v>
      </c>
      <c r="BI725" s="355">
        <v>0.11108</v>
      </c>
      <c r="BJ725" s="624">
        <v>39268</v>
      </c>
      <c r="BK725" s="355">
        <v>3.2103E-2</v>
      </c>
    </row>
    <row r="726" spans="3:63" x14ac:dyDescent="0.15">
      <c r="C726" s="624"/>
      <c r="D726" s="355">
        <v>3.8969999999999998E-2</v>
      </c>
      <c r="AV726" s="624"/>
      <c r="AX726" s="624">
        <v>39273</v>
      </c>
      <c r="AY726" s="355">
        <v>3.9170000000000003E-2</v>
      </c>
      <c r="AZ726" s="624">
        <v>39337</v>
      </c>
      <c r="BA726" s="355">
        <v>1.7500000000000002E-2</v>
      </c>
      <c r="BB726" s="624">
        <v>39269</v>
      </c>
      <c r="BC726" s="355">
        <v>0.36249999999999999</v>
      </c>
      <c r="BD726" s="624">
        <v>39272</v>
      </c>
      <c r="BE726" s="355">
        <v>0.10858</v>
      </c>
      <c r="BF726" s="624">
        <v>39294</v>
      </c>
      <c r="BG726" s="355">
        <v>2.4728E-2</v>
      </c>
      <c r="BH726" s="624">
        <v>39269</v>
      </c>
      <c r="BI726" s="355">
        <v>0.110619</v>
      </c>
      <c r="BJ726" s="624">
        <v>39269</v>
      </c>
      <c r="BK726" s="355">
        <v>3.1807000000000002E-2</v>
      </c>
    </row>
    <row r="727" spans="3:63" x14ac:dyDescent="0.15">
      <c r="C727" s="624"/>
      <c r="D727" s="355">
        <v>3.9170000000000003E-2</v>
      </c>
      <c r="AV727" s="624"/>
      <c r="AX727" s="624">
        <v>39274</v>
      </c>
      <c r="AY727" s="355">
        <v>3.916E-2</v>
      </c>
      <c r="AZ727" s="624">
        <v>39338</v>
      </c>
      <c r="BA727" s="355">
        <v>1.7399999999999999E-2</v>
      </c>
      <c r="BB727" s="624">
        <v>39272</v>
      </c>
      <c r="BC727" s="355">
        <v>0.36109999999999998</v>
      </c>
      <c r="BD727" s="624">
        <v>39273</v>
      </c>
      <c r="BE727" s="355">
        <v>0.10857</v>
      </c>
      <c r="BF727" s="624">
        <v>39295</v>
      </c>
      <c r="BG727" s="355">
        <v>2.47E-2</v>
      </c>
      <c r="BH727" s="624">
        <v>39272</v>
      </c>
      <c r="BI727" s="355">
        <v>0.11086500000000001</v>
      </c>
      <c r="BJ727" s="624">
        <v>39272</v>
      </c>
      <c r="BK727" s="355">
        <v>3.1576E-2</v>
      </c>
    </row>
    <row r="728" spans="3:63" x14ac:dyDescent="0.15">
      <c r="C728" s="624"/>
      <c r="D728" s="355">
        <v>3.916E-2</v>
      </c>
      <c r="AV728" s="624"/>
      <c r="AX728" s="624">
        <v>39275</v>
      </c>
      <c r="AY728" s="355">
        <v>3.9210000000000002E-2</v>
      </c>
      <c r="AZ728" s="624">
        <v>39339</v>
      </c>
      <c r="BA728" s="355">
        <v>1.7399999999999999E-2</v>
      </c>
      <c r="BB728" s="624">
        <v>39273</v>
      </c>
      <c r="BC728" s="355">
        <v>0.36459999999999998</v>
      </c>
      <c r="BD728" s="624">
        <v>39274</v>
      </c>
      <c r="BE728" s="355">
        <v>0.10889</v>
      </c>
      <c r="BF728" s="624">
        <v>39296</v>
      </c>
      <c r="BG728" s="355">
        <v>2.4749E-2</v>
      </c>
      <c r="BH728" s="624">
        <v>39273</v>
      </c>
      <c r="BI728" s="355">
        <v>0.11104899999999999</v>
      </c>
      <c r="BJ728" s="624">
        <v>39273</v>
      </c>
      <c r="BK728" s="355">
        <v>3.1676000000000003E-2</v>
      </c>
    </row>
    <row r="729" spans="3:63" x14ac:dyDescent="0.15">
      <c r="C729" s="624"/>
      <c r="D729" s="355">
        <v>3.9210000000000002E-2</v>
      </c>
      <c r="AV729" s="624"/>
      <c r="AX729" s="624">
        <v>39276</v>
      </c>
      <c r="AY729" s="355">
        <v>3.9280000000000002E-2</v>
      </c>
      <c r="AZ729" s="624">
        <v>39342</v>
      </c>
      <c r="BA729" s="355">
        <v>1.7399999999999999E-2</v>
      </c>
      <c r="BB729" s="624">
        <v>39274</v>
      </c>
      <c r="BC729" s="355">
        <v>0.36470000000000002</v>
      </c>
      <c r="BD729" s="624">
        <v>39275</v>
      </c>
      <c r="BE729" s="355">
        <v>0.1089</v>
      </c>
      <c r="BF729" s="624">
        <v>39297</v>
      </c>
      <c r="BG729" s="355">
        <v>2.4752E-2</v>
      </c>
      <c r="BH729" s="624">
        <v>39274</v>
      </c>
      <c r="BI729" s="355">
        <v>0.111508</v>
      </c>
      <c r="BJ729" s="624">
        <v>39274</v>
      </c>
      <c r="BK729" s="355">
        <v>3.2765000000000002E-2</v>
      </c>
    </row>
    <row r="730" spans="3:63" x14ac:dyDescent="0.15">
      <c r="C730" s="624"/>
      <c r="D730" s="355">
        <v>3.9280000000000002E-2</v>
      </c>
      <c r="AV730" s="624"/>
      <c r="AX730" s="624">
        <v>39279</v>
      </c>
      <c r="AY730" s="355">
        <v>3.9260000000000003E-2</v>
      </c>
      <c r="AZ730" s="624">
        <v>39343</v>
      </c>
      <c r="BA730" s="355">
        <v>1.7500000000000002E-2</v>
      </c>
      <c r="BB730" s="624">
        <v>39275</v>
      </c>
      <c r="BC730" s="355">
        <v>0.3679</v>
      </c>
      <c r="BD730" s="624">
        <v>39276</v>
      </c>
      <c r="BE730" s="355">
        <v>0.10908</v>
      </c>
      <c r="BF730" s="624">
        <v>39300</v>
      </c>
      <c r="BG730" s="355">
        <v>2.4736999999999999E-2</v>
      </c>
      <c r="BH730" s="624">
        <v>39275</v>
      </c>
      <c r="BI730" s="355">
        <v>0.111235</v>
      </c>
      <c r="BJ730" s="624">
        <v>39275</v>
      </c>
      <c r="BK730" s="355">
        <v>3.2372999999999999E-2</v>
      </c>
    </row>
    <row r="731" spans="3:63" x14ac:dyDescent="0.15">
      <c r="C731" s="624"/>
      <c r="D731" s="355">
        <v>3.9260000000000003E-2</v>
      </c>
      <c r="AV731" s="624"/>
      <c r="AX731" s="624">
        <v>39280</v>
      </c>
      <c r="AY731" s="355">
        <v>3.9269999999999999E-2</v>
      </c>
      <c r="AZ731" s="624">
        <v>39344</v>
      </c>
      <c r="BA731" s="355">
        <v>1.7600000000000001E-2</v>
      </c>
      <c r="BB731" s="624">
        <v>39276</v>
      </c>
      <c r="BC731" s="355">
        <v>0.36730000000000002</v>
      </c>
      <c r="BD731" s="624">
        <v>39279</v>
      </c>
      <c r="BE731" s="355">
        <v>0.1089</v>
      </c>
      <c r="BF731" s="624">
        <v>39301</v>
      </c>
      <c r="BG731" s="355">
        <v>2.4743999999999999E-2</v>
      </c>
      <c r="BH731" s="624">
        <v>39276</v>
      </c>
      <c r="BI731" s="355">
        <v>0.11105</v>
      </c>
      <c r="BJ731" s="624">
        <v>39276</v>
      </c>
      <c r="BK731" s="355">
        <v>3.2744000000000002E-2</v>
      </c>
    </row>
    <row r="732" spans="3:63" x14ac:dyDescent="0.15">
      <c r="C732" s="624"/>
      <c r="D732" s="355">
        <v>3.9269999999999999E-2</v>
      </c>
      <c r="AV732" s="624"/>
      <c r="AX732" s="624">
        <v>39281</v>
      </c>
      <c r="AY732" s="355">
        <v>3.9309999999999998E-2</v>
      </c>
      <c r="AZ732" s="624">
        <v>39345</v>
      </c>
      <c r="BA732" s="355">
        <v>1.77E-2</v>
      </c>
      <c r="BB732" s="624">
        <v>39279</v>
      </c>
      <c r="BC732" s="355">
        <v>0.36759999999999998</v>
      </c>
      <c r="BD732" s="624">
        <v>39280</v>
      </c>
      <c r="BE732" s="355">
        <v>0.10891000000000001</v>
      </c>
      <c r="BF732" s="624">
        <v>39302</v>
      </c>
      <c r="BG732" s="355">
        <v>2.4697E-2</v>
      </c>
      <c r="BH732" s="624">
        <v>39279</v>
      </c>
      <c r="BI732" s="355">
        <v>0.110619</v>
      </c>
      <c r="BJ732" s="624">
        <v>39279</v>
      </c>
      <c r="BK732" s="355">
        <v>3.3703999999999998E-2</v>
      </c>
    </row>
    <row r="733" spans="3:63" x14ac:dyDescent="0.15">
      <c r="C733" s="624"/>
      <c r="D733" s="355">
        <v>3.9309999999999998E-2</v>
      </c>
      <c r="AV733" s="624"/>
      <c r="AX733" s="624">
        <v>39282</v>
      </c>
      <c r="AY733" s="355">
        <v>3.9350000000000003E-2</v>
      </c>
      <c r="AZ733" s="624">
        <v>39346</v>
      </c>
      <c r="BA733" s="355">
        <v>1.77E-2</v>
      </c>
      <c r="BB733" s="624">
        <v>39280</v>
      </c>
      <c r="BC733" s="355">
        <v>0.36799999999999999</v>
      </c>
      <c r="BD733" s="624">
        <v>39281</v>
      </c>
      <c r="BE733" s="355">
        <v>0.10908</v>
      </c>
      <c r="BF733" s="624">
        <v>39303</v>
      </c>
      <c r="BG733" s="355">
        <v>2.4649000000000001E-2</v>
      </c>
      <c r="BH733" s="624">
        <v>39280</v>
      </c>
      <c r="BI733" s="355">
        <v>0.11065</v>
      </c>
      <c r="BJ733" s="624">
        <v>39280</v>
      </c>
      <c r="BK733" s="355">
        <v>3.2948999999999999E-2</v>
      </c>
    </row>
    <row r="734" spans="3:63" x14ac:dyDescent="0.15">
      <c r="C734" s="624"/>
      <c r="D734" s="355">
        <v>3.9350000000000003E-2</v>
      </c>
      <c r="AV734" s="624"/>
      <c r="AX734" s="624">
        <v>39283</v>
      </c>
      <c r="AY734" s="355">
        <v>3.9370000000000002E-2</v>
      </c>
      <c r="AZ734" s="624">
        <v>39349</v>
      </c>
      <c r="BA734" s="355">
        <v>1.7999999999999999E-2</v>
      </c>
      <c r="BB734" s="624">
        <v>39281</v>
      </c>
      <c r="BC734" s="355">
        <v>0.36759999999999998</v>
      </c>
      <c r="BD734" s="624">
        <v>39282</v>
      </c>
      <c r="BE734" s="355">
        <v>0.10927000000000001</v>
      </c>
      <c r="BF734" s="624">
        <v>39304</v>
      </c>
      <c r="BG734" s="355">
        <v>2.4608999999999999E-2</v>
      </c>
      <c r="BH734" s="624">
        <v>39281</v>
      </c>
      <c r="BI734" s="355">
        <v>0.109607</v>
      </c>
      <c r="BJ734" s="624">
        <v>39281</v>
      </c>
      <c r="BK734" s="355">
        <v>3.3278000000000002E-2</v>
      </c>
    </row>
    <row r="735" spans="3:63" x14ac:dyDescent="0.15">
      <c r="C735" s="624"/>
      <c r="D735" s="355">
        <v>3.9370000000000002E-2</v>
      </c>
      <c r="AV735" s="624"/>
      <c r="AX735" s="624">
        <v>39286</v>
      </c>
      <c r="AY735" s="355">
        <v>3.9359999999999999E-2</v>
      </c>
      <c r="AZ735" s="624">
        <v>39350</v>
      </c>
      <c r="BA735" s="355">
        <v>1.8100000000000002E-2</v>
      </c>
      <c r="BB735" s="624">
        <v>39282</v>
      </c>
      <c r="BC735" s="355">
        <v>0.36780000000000002</v>
      </c>
      <c r="BD735" s="624">
        <v>39283</v>
      </c>
      <c r="BE735" s="355">
        <v>0.10928</v>
      </c>
      <c r="BF735" s="624">
        <v>39307</v>
      </c>
      <c r="BG735" s="355">
        <v>2.4655E-2</v>
      </c>
      <c r="BH735" s="624">
        <v>39282</v>
      </c>
      <c r="BI735" s="355">
        <v>0.110375</v>
      </c>
      <c r="BJ735" s="624">
        <v>39282</v>
      </c>
      <c r="BK735" s="355">
        <v>3.3211999999999998E-2</v>
      </c>
    </row>
    <row r="736" spans="3:63" x14ac:dyDescent="0.15">
      <c r="C736" s="624"/>
      <c r="D736" s="355">
        <v>3.9359999999999999E-2</v>
      </c>
      <c r="AV736" s="624"/>
      <c r="AX736" s="624">
        <v>39287</v>
      </c>
      <c r="AY736" s="355">
        <v>3.9379999999999998E-2</v>
      </c>
      <c r="AZ736" s="624">
        <v>39351</v>
      </c>
      <c r="BA736" s="355">
        <v>1.7999999999999999E-2</v>
      </c>
      <c r="BB736" s="624">
        <v>39283</v>
      </c>
      <c r="BC736" s="355">
        <v>0.36699999999999999</v>
      </c>
      <c r="BD736" s="624">
        <v>39286</v>
      </c>
      <c r="BE736" s="355">
        <v>0.10927000000000001</v>
      </c>
      <c r="BF736" s="624">
        <v>39308</v>
      </c>
      <c r="BG736" s="355">
        <v>2.4549000000000001E-2</v>
      </c>
      <c r="BH736" s="624">
        <v>39283</v>
      </c>
      <c r="BI736" s="355">
        <v>0.10989</v>
      </c>
      <c r="BJ736" s="624">
        <v>39283</v>
      </c>
      <c r="BK736" s="355">
        <v>3.3389000000000002E-2</v>
      </c>
    </row>
    <row r="737" spans="3:63" x14ac:dyDescent="0.15">
      <c r="C737" s="624"/>
      <c r="D737" s="355">
        <v>3.9379999999999998E-2</v>
      </c>
      <c r="AV737" s="624"/>
      <c r="AX737" s="624">
        <v>39288</v>
      </c>
      <c r="AY737" s="355">
        <v>3.9230000000000001E-2</v>
      </c>
      <c r="AZ737" s="624">
        <v>39352</v>
      </c>
      <c r="BA737" s="355">
        <v>1.7999999999999999E-2</v>
      </c>
      <c r="BB737" s="624">
        <v>39286</v>
      </c>
      <c r="BC737" s="355">
        <v>0.36680000000000001</v>
      </c>
      <c r="BD737" s="624">
        <v>39287</v>
      </c>
      <c r="BE737" s="355">
        <v>0.10931</v>
      </c>
      <c r="BF737" s="624">
        <v>39309</v>
      </c>
      <c r="BG737" s="355">
        <v>2.4500999999999998E-2</v>
      </c>
      <c r="BH737" s="624">
        <v>39286</v>
      </c>
      <c r="BI737" s="355">
        <v>0.11013199999999999</v>
      </c>
      <c r="BJ737" s="624">
        <v>39286</v>
      </c>
      <c r="BK737" s="355">
        <v>3.4095E-2</v>
      </c>
    </row>
    <row r="738" spans="3:63" x14ac:dyDescent="0.15">
      <c r="C738" s="624"/>
      <c r="D738" s="355">
        <v>3.9230000000000001E-2</v>
      </c>
      <c r="AV738" s="624"/>
      <c r="AX738" s="624">
        <v>39289</v>
      </c>
      <c r="AY738" s="355">
        <v>3.9260000000000003E-2</v>
      </c>
      <c r="AZ738" s="624">
        <v>39353</v>
      </c>
      <c r="BA738" s="355">
        <v>1.7999999999999999E-2</v>
      </c>
      <c r="BB738" s="624">
        <v>39287</v>
      </c>
      <c r="BC738" s="355">
        <v>0.3644</v>
      </c>
      <c r="BD738" s="624">
        <v>39288</v>
      </c>
      <c r="BE738" s="355">
        <v>0.10911</v>
      </c>
      <c r="BF738" s="624">
        <v>39310</v>
      </c>
      <c r="BG738" s="355">
        <v>2.4178000000000002E-2</v>
      </c>
      <c r="BH738" s="624">
        <v>39287</v>
      </c>
      <c r="BI738" s="355">
        <v>0.109975</v>
      </c>
      <c r="BJ738" s="624">
        <v>39287</v>
      </c>
      <c r="BK738" s="355">
        <v>3.2883999999999997E-2</v>
      </c>
    </row>
    <row r="739" spans="3:63" x14ac:dyDescent="0.15">
      <c r="C739" s="624"/>
      <c r="D739" s="355">
        <v>3.9260000000000003E-2</v>
      </c>
      <c r="AV739" s="624"/>
      <c r="AX739" s="624">
        <v>39290</v>
      </c>
      <c r="AY739" s="355">
        <v>3.909E-2</v>
      </c>
      <c r="AZ739" s="624">
        <v>39356</v>
      </c>
      <c r="BA739" s="355">
        <v>1.8100000000000002E-2</v>
      </c>
      <c r="BB739" s="624">
        <v>39288</v>
      </c>
      <c r="BC739" s="355">
        <v>0.36180000000000001</v>
      </c>
      <c r="BD739" s="624">
        <v>39289</v>
      </c>
      <c r="BE739" s="355">
        <v>0.10847999999999999</v>
      </c>
      <c r="BF739" s="624">
        <v>39311</v>
      </c>
      <c r="BG739" s="355">
        <v>2.4192999999999999E-2</v>
      </c>
      <c r="BH739" s="624">
        <v>39288</v>
      </c>
      <c r="BI739" s="355">
        <v>0.10958900000000001</v>
      </c>
      <c r="BJ739" s="624">
        <v>39288</v>
      </c>
      <c r="BK739" s="355">
        <v>3.3522999999999997E-2</v>
      </c>
    </row>
    <row r="740" spans="3:63" x14ac:dyDescent="0.15">
      <c r="C740" s="624"/>
      <c r="D740" s="355">
        <v>3.909E-2</v>
      </c>
      <c r="AV740" s="624"/>
      <c r="AX740" s="624">
        <v>39293</v>
      </c>
      <c r="AY740" s="355">
        <v>3.9129999999999998E-2</v>
      </c>
      <c r="AZ740" s="624">
        <v>39357</v>
      </c>
      <c r="BA740" s="355">
        <v>1.7999999999999999E-2</v>
      </c>
      <c r="BB740" s="624">
        <v>39289</v>
      </c>
      <c r="BC740" s="355">
        <v>0.35970000000000002</v>
      </c>
      <c r="BD740" s="624">
        <v>39290</v>
      </c>
      <c r="BE740" s="355">
        <v>0.10825</v>
      </c>
      <c r="BF740" s="624">
        <v>39314</v>
      </c>
      <c r="BG740" s="355">
        <v>2.4396000000000001E-2</v>
      </c>
      <c r="BH740" s="624">
        <v>39289</v>
      </c>
      <c r="BI740" s="355">
        <v>0.108108</v>
      </c>
      <c r="BJ740" s="624">
        <v>39289</v>
      </c>
      <c r="BK740" s="355">
        <v>3.3568000000000001E-2</v>
      </c>
    </row>
    <row r="741" spans="3:63" x14ac:dyDescent="0.15">
      <c r="C741" s="624"/>
      <c r="D741" s="355">
        <v>3.9129999999999998E-2</v>
      </c>
      <c r="AV741" s="624"/>
      <c r="AX741" s="624">
        <v>39294</v>
      </c>
      <c r="AY741" s="355">
        <v>3.9129999999999998E-2</v>
      </c>
      <c r="AZ741" s="624">
        <v>39358</v>
      </c>
      <c r="BA741" s="355">
        <v>1.8100000000000002E-2</v>
      </c>
      <c r="BB741" s="624">
        <v>39290</v>
      </c>
      <c r="BC741" s="355">
        <v>0.35830000000000001</v>
      </c>
      <c r="BD741" s="624">
        <v>39293</v>
      </c>
      <c r="BE741" s="355">
        <v>0.10825</v>
      </c>
      <c r="BF741" s="624">
        <v>39315</v>
      </c>
      <c r="BG741" s="355">
        <v>2.4313000000000001E-2</v>
      </c>
      <c r="BH741" s="624">
        <v>39290</v>
      </c>
      <c r="BI741" s="355">
        <v>0.108225</v>
      </c>
      <c r="BJ741" s="624">
        <v>39290</v>
      </c>
      <c r="BK741" s="355">
        <v>3.4494999999999998E-2</v>
      </c>
    </row>
    <row r="742" spans="3:63" x14ac:dyDescent="0.15">
      <c r="C742" s="624"/>
      <c r="D742" s="355">
        <v>3.9129999999999998E-2</v>
      </c>
      <c r="AV742" s="624"/>
      <c r="AX742" s="624">
        <v>39295</v>
      </c>
      <c r="AY742" s="355">
        <v>3.909E-2</v>
      </c>
      <c r="AZ742" s="624">
        <v>39359</v>
      </c>
      <c r="BA742" s="355">
        <v>1.8100000000000002E-2</v>
      </c>
      <c r="BB742" s="624">
        <v>39293</v>
      </c>
      <c r="BC742" s="355">
        <v>0.36180000000000001</v>
      </c>
      <c r="BD742" s="624">
        <v>39294</v>
      </c>
      <c r="BE742" s="355">
        <v>0.10857</v>
      </c>
      <c r="BF742" s="624">
        <v>39316</v>
      </c>
      <c r="BG742" s="355">
        <v>2.4438000000000001E-2</v>
      </c>
      <c r="BH742" s="624">
        <v>39293</v>
      </c>
      <c r="BI742" s="355">
        <v>0.108401</v>
      </c>
      <c r="BJ742" s="624">
        <v>39293</v>
      </c>
      <c r="BK742" s="355">
        <v>3.3478000000000001E-2</v>
      </c>
    </row>
    <row r="743" spans="3:63" x14ac:dyDescent="0.15">
      <c r="C743" s="624"/>
      <c r="D743" s="355">
        <v>3.909E-2</v>
      </c>
      <c r="AV743" s="624"/>
      <c r="AX743" s="624">
        <v>39296</v>
      </c>
      <c r="AY743" s="355">
        <v>3.9109999999999999E-2</v>
      </c>
      <c r="AZ743" s="624">
        <v>39360</v>
      </c>
      <c r="BA743" s="355">
        <v>1.8200000000000001E-2</v>
      </c>
      <c r="BB743" s="624">
        <v>39294</v>
      </c>
      <c r="BC743" s="355">
        <v>0.36070000000000002</v>
      </c>
      <c r="BD743" s="624">
        <v>39295</v>
      </c>
      <c r="BE743" s="355">
        <v>0.10821</v>
      </c>
      <c r="BF743" s="624">
        <v>39317</v>
      </c>
      <c r="BG743" s="355">
        <v>2.4365999999999999E-2</v>
      </c>
      <c r="BH743" s="624">
        <v>39294</v>
      </c>
      <c r="BI743" s="355">
        <v>0.10834199999999999</v>
      </c>
      <c r="BJ743" s="624">
        <v>39294</v>
      </c>
      <c r="BK743" s="355">
        <v>3.3278000000000002E-2</v>
      </c>
    </row>
    <row r="744" spans="3:63" x14ac:dyDescent="0.15">
      <c r="C744" s="624"/>
      <c r="D744" s="355">
        <v>3.9109999999999999E-2</v>
      </c>
      <c r="AV744" s="624"/>
      <c r="AX744" s="624">
        <v>39297</v>
      </c>
      <c r="AY744" s="355">
        <v>3.925E-2</v>
      </c>
      <c r="AZ744" s="624">
        <v>39363</v>
      </c>
      <c r="BA744" s="355">
        <v>1.7999999999999999E-2</v>
      </c>
      <c r="BB744" s="624">
        <v>39295</v>
      </c>
      <c r="BC744" s="355">
        <v>0.36049999999999999</v>
      </c>
      <c r="BD744" s="624">
        <v>39296</v>
      </c>
      <c r="BE744" s="355">
        <v>0.10842</v>
      </c>
      <c r="BF744" s="624">
        <v>39318</v>
      </c>
      <c r="BG744" s="355">
        <v>2.4343E-2</v>
      </c>
      <c r="BH744" s="624">
        <v>39295</v>
      </c>
      <c r="BI744" s="355">
        <v>0.10775899999999999</v>
      </c>
      <c r="BJ744" s="624">
        <v>39295</v>
      </c>
      <c r="BK744" s="355">
        <v>3.3501000000000003E-2</v>
      </c>
    </row>
    <row r="745" spans="3:63" x14ac:dyDescent="0.15">
      <c r="C745" s="624"/>
      <c r="D745" s="355">
        <v>3.925E-2</v>
      </c>
      <c r="AV745" s="624"/>
      <c r="AX745" s="624">
        <v>39300</v>
      </c>
      <c r="AY745" s="355">
        <v>3.9239999999999997E-2</v>
      </c>
      <c r="AZ745" s="624">
        <v>39364</v>
      </c>
      <c r="BA745" s="355">
        <v>1.8100000000000002E-2</v>
      </c>
      <c r="BB745" s="624">
        <v>39296</v>
      </c>
      <c r="BC745" s="355">
        <v>0.36180000000000001</v>
      </c>
      <c r="BD745" s="624">
        <v>39297</v>
      </c>
      <c r="BE745" s="355">
        <v>0.10811</v>
      </c>
      <c r="BF745" s="624">
        <v>39321</v>
      </c>
      <c r="BG745" s="355">
        <v>2.4378E-2</v>
      </c>
      <c r="BH745" s="624">
        <v>39296</v>
      </c>
      <c r="BI745" s="355">
        <v>0.107527</v>
      </c>
      <c r="BJ745" s="624">
        <v>39296</v>
      </c>
      <c r="BK745" s="355">
        <v>3.3422E-2</v>
      </c>
    </row>
    <row r="746" spans="3:63" x14ac:dyDescent="0.15">
      <c r="C746" s="624"/>
      <c r="D746" s="355">
        <v>3.9239999999999997E-2</v>
      </c>
      <c r="AV746" s="624"/>
      <c r="AX746" s="624">
        <v>39301</v>
      </c>
      <c r="AY746" s="355">
        <v>3.9260000000000003E-2</v>
      </c>
      <c r="AZ746" s="624">
        <v>39365</v>
      </c>
      <c r="BA746" s="355">
        <v>1.8100000000000002E-2</v>
      </c>
      <c r="BB746" s="624">
        <v>39297</v>
      </c>
      <c r="BC746" s="355">
        <v>0.36320000000000002</v>
      </c>
      <c r="BD746" s="624">
        <v>39300</v>
      </c>
      <c r="BE746" s="355">
        <v>0.1085</v>
      </c>
      <c r="BF746" s="624">
        <v>39322</v>
      </c>
      <c r="BG746" s="355">
        <v>2.4289999999999999E-2</v>
      </c>
      <c r="BH746" s="624">
        <v>39297</v>
      </c>
      <c r="BI746" s="355">
        <v>0.107124</v>
      </c>
      <c r="BJ746" s="624">
        <v>39297</v>
      </c>
      <c r="BK746" s="355">
        <v>3.3669999999999999E-2</v>
      </c>
    </row>
    <row r="747" spans="3:63" x14ac:dyDescent="0.15">
      <c r="C747" s="624"/>
      <c r="D747" s="355">
        <v>3.9260000000000003E-2</v>
      </c>
      <c r="AV747" s="624"/>
      <c r="AX747" s="624">
        <v>39302</v>
      </c>
      <c r="AY747" s="355">
        <v>3.9309999999999998E-2</v>
      </c>
      <c r="AZ747" s="624">
        <v>39366</v>
      </c>
      <c r="BA747" s="355">
        <v>1.84E-2</v>
      </c>
      <c r="BB747" s="624">
        <v>39300</v>
      </c>
      <c r="BC747" s="355">
        <v>0.3644</v>
      </c>
      <c r="BD747" s="624">
        <v>39301</v>
      </c>
      <c r="BE747" s="355">
        <v>0.1082</v>
      </c>
      <c r="BF747" s="624">
        <v>39323</v>
      </c>
      <c r="BG747" s="355">
        <v>2.4327999999999999E-2</v>
      </c>
      <c r="BH747" s="624">
        <v>39300</v>
      </c>
      <c r="BI747" s="355">
        <v>0.107527</v>
      </c>
      <c r="BJ747" s="624">
        <v>39300</v>
      </c>
      <c r="BK747" s="355">
        <v>3.3501000000000003E-2</v>
      </c>
    </row>
    <row r="748" spans="3:63" x14ac:dyDescent="0.15">
      <c r="C748" s="624"/>
      <c r="D748" s="355">
        <v>3.9309999999999998E-2</v>
      </c>
      <c r="AV748" s="624"/>
      <c r="AX748" s="624">
        <v>39303</v>
      </c>
      <c r="AY748" s="355">
        <v>3.9269999999999999E-2</v>
      </c>
      <c r="AZ748" s="624">
        <v>39367</v>
      </c>
      <c r="BA748" s="355">
        <v>1.83E-2</v>
      </c>
      <c r="BB748" s="624">
        <v>39301</v>
      </c>
      <c r="BC748" s="355">
        <v>0.36359999999999998</v>
      </c>
      <c r="BD748" s="624">
        <v>39302</v>
      </c>
      <c r="BE748" s="355">
        <v>0.10822</v>
      </c>
      <c r="BF748" s="624">
        <v>39324</v>
      </c>
      <c r="BG748" s="355">
        <v>2.4287E-2</v>
      </c>
      <c r="BH748" s="624">
        <v>39301</v>
      </c>
      <c r="BI748" s="355">
        <v>0.10700900000000001</v>
      </c>
      <c r="BJ748" s="624">
        <v>39301</v>
      </c>
      <c r="BK748" s="355">
        <v>3.3223000000000003E-2</v>
      </c>
    </row>
    <row r="749" spans="3:63" x14ac:dyDescent="0.15">
      <c r="C749" s="624"/>
      <c r="D749" s="355">
        <v>3.9269999999999999E-2</v>
      </c>
      <c r="AV749" s="624"/>
      <c r="AX749" s="624">
        <v>39304</v>
      </c>
      <c r="AY749" s="355">
        <v>3.9280000000000002E-2</v>
      </c>
      <c r="AZ749" s="624">
        <v>39370</v>
      </c>
      <c r="BA749" s="355">
        <v>1.83E-2</v>
      </c>
      <c r="BB749" s="624">
        <v>39302</v>
      </c>
      <c r="BC749" s="355">
        <v>0.36670000000000003</v>
      </c>
      <c r="BD749" s="624">
        <v>39303</v>
      </c>
      <c r="BE749" s="355">
        <v>0.10803</v>
      </c>
      <c r="BF749" s="624">
        <v>39325</v>
      </c>
      <c r="BG749" s="355">
        <v>2.445E-2</v>
      </c>
      <c r="BH749" s="624">
        <v>39302</v>
      </c>
      <c r="BI749" s="355">
        <v>0.108225</v>
      </c>
      <c r="BJ749" s="624">
        <v>39302</v>
      </c>
      <c r="BK749" s="355">
        <v>3.2393999999999999E-2</v>
      </c>
    </row>
    <row r="750" spans="3:63" x14ac:dyDescent="0.15">
      <c r="C750" s="624"/>
      <c r="D750" s="355">
        <v>3.9280000000000002E-2</v>
      </c>
      <c r="AV750" s="624"/>
      <c r="AX750" s="624">
        <v>39307</v>
      </c>
      <c r="AY750" s="355">
        <v>3.916E-2</v>
      </c>
      <c r="AZ750" s="624">
        <v>39371</v>
      </c>
      <c r="BA750" s="355">
        <v>1.83E-2</v>
      </c>
      <c r="BB750" s="624">
        <v>39303</v>
      </c>
      <c r="BC750" s="355">
        <v>0.36199999999999999</v>
      </c>
      <c r="BD750" s="624">
        <v>39304</v>
      </c>
      <c r="BE750" s="355">
        <v>0.10774</v>
      </c>
      <c r="BF750" s="624">
        <v>39328</v>
      </c>
      <c r="BG750" s="355">
        <v>2.4473999999999999E-2</v>
      </c>
      <c r="BH750" s="624">
        <v>39303</v>
      </c>
      <c r="BI750" s="355">
        <v>0.107067</v>
      </c>
      <c r="BJ750" s="624">
        <v>39303</v>
      </c>
      <c r="BK750" s="355">
        <v>3.2258000000000002E-2</v>
      </c>
    </row>
    <row r="751" spans="3:63" x14ac:dyDescent="0.15">
      <c r="C751" s="624"/>
      <c r="D751" s="355">
        <v>3.916E-2</v>
      </c>
      <c r="AV751" s="624"/>
      <c r="AX751" s="624">
        <v>39308</v>
      </c>
      <c r="AY751" s="355">
        <v>3.9059999999999997E-2</v>
      </c>
      <c r="AZ751" s="624">
        <v>39372</v>
      </c>
      <c r="BA751" s="355">
        <v>1.8200000000000001E-2</v>
      </c>
      <c r="BB751" s="624">
        <v>39304</v>
      </c>
      <c r="BC751" s="355">
        <v>0.36280000000000001</v>
      </c>
      <c r="BD751" s="624">
        <v>39307</v>
      </c>
      <c r="BE751" s="355">
        <v>0.10759000000000001</v>
      </c>
      <c r="BF751" s="624">
        <v>39329</v>
      </c>
      <c r="BG751" s="355">
        <v>2.445E-2</v>
      </c>
      <c r="BH751" s="624">
        <v>39304</v>
      </c>
      <c r="BI751" s="355">
        <v>0.106576</v>
      </c>
      <c r="BJ751" s="624">
        <v>39304</v>
      </c>
      <c r="BK751" s="355">
        <v>3.2051000000000003E-2</v>
      </c>
    </row>
    <row r="752" spans="3:63" x14ac:dyDescent="0.15">
      <c r="C752" s="624"/>
      <c r="D752" s="355">
        <v>3.9059999999999997E-2</v>
      </c>
      <c r="AV752" s="624"/>
      <c r="AX752" s="624">
        <v>39309</v>
      </c>
      <c r="AY752" s="355">
        <v>3.8890000000000001E-2</v>
      </c>
      <c r="AZ752" s="624">
        <v>39373</v>
      </c>
      <c r="BA752" s="355">
        <v>1.8499999999999999E-2</v>
      </c>
      <c r="BB752" s="624">
        <v>39307</v>
      </c>
      <c r="BC752" s="355">
        <v>0.36049999999999999</v>
      </c>
      <c r="BD752" s="624">
        <v>39308</v>
      </c>
      <c r="BE752" s="355">
        <v>0.10678</v>
      </c>
      <c r="BF752" s="624">
        <v>39330</v>
      </c>
      <c r="BG752" s="355">
        <v>2.4414000000000002E-2</v>
      </c>
      <c r="BH752" s="624">
        <v>39307</v>
      </c>
      <c r="BI752" s="355">
        <v>0.10706599999999999</v>
      </c>
      <c r="BJ752" s="624">
        <v>39307</v>
      </c>
      <c r="BK752" s="355">
        <v>3.1796999999999999E-2</v>
      </c>
    </row>
    <row r="753" spans="3:63" x14ac:dyDescent="0.15">
      <c r="C753" s="624"/>
      <c r="D753" s="355">
        <v>3.8890000000000001E-2</v>
      </c>
      <c r="AV753" s="624"/>
      <c r="AX753" s="624">
        <v>39310</v>
      </c>
      <c r="AY753" s="355">
        <v>3.8809999999999997E-2</v>
      </c>
      <c r="AZ753" s="624">
        <v>39374</v>
      </c>
      <c r="BA753" s="355">
        <v>1.84E-2</v>
      </c>
      <c r="BB753" s="624">
        <v>39308</v>
      </c>
      <c r="BC753" s="355">
        <v>0.3553</v>
      </c>
      <c r="BD753" s="624">
        <v>39309</v>
      </c>
      <c r="BE753" s="355">
        <v>0.10655000000000001</v>
      </c>
      <c r="BF753" s="624">
        <v>39331</v>
      </c>
      <c r="BG753" s="355">
        <v>2.4517000000000001E-2</v>
      </c>
      <c r="BH753" s="624">
        <v>39308</v>
      </c>
      <c r="BI753" s="355">
        <v>0.106667</v>
      </c>
      <c r="BJ753" s="624">
        <v>39308</v>
      </c>
      <c r="BK753" s="355">
        <v>3.1516000000000002E-2</v>
      </c>
    </row>
    <row r="754" spans="3:63" x14ac:dyDescent="0.15">
      <c r="C754" s="624"/>
      <c r="D754" s="355">
        <v>3.8809999999999997E-2</v>
      </c>
      <c r="AV754" s="624"/>
      <c r="AX754" s="624">
        <v>39311</v>
      </c>
      <c r="AY754" s="355">
        <v>3.8809999999999997E-2</v>
      </c>
      <c r="AZ754" s="624">
        <v>39377</v>
      </c>
      <c r="BA754" s="355">
        <v>1.83E-2</v>
      </c>
      <c r="BB754" s="624">
        <v>39309</v>
      </c>
      <c r="BC754" s="355">
        <v>0.3508</v>
      </c>
      <c r="BD754" s="624">
        <v>39310</v>
      </c>
      <c r="BE754" s="355">
        <v>0.10603</v>
      </c>
      <c r="BF754" s="624">
        <v>39332</v>
      </c>
      <c r="BG754" s="355">
        <v>2.4582E-2</v>
      </c>
      <c r="BH754" s="624">
        <v>39309</v>
      </c>
      <c r="BI754" s="355">
        <v>0.10627</v>
      </c>
      <c r="BJ754" s="624">
        <v>39309</v>
      </c>
      <c r="BK754" s="355">
        <v>3.0835999999999999E-2</v>
      </c>
    </row>
    <row r="755" spans="3:63" x14ac:dyDescent="0.15">
      <c r="C755" s="624"/>
      <c r="D755" s="355">
        <v>3.8809999999999997E-2</v>
      </c>
      <c r="AV755" s="624"/>
      <c r="AX755" s="624">
        <v>39314</v>
      </c>
      <c r="AY755" s="355">
        <v>3.8780000000000002E-2</v>
      </c>
      <c r="AZ755" s="624">
        <v>39378</v>
      </c>
      <c r="BA755" s="355">
        <v>1.8499999999999999E-2</v>
      </c>
      <c r="BB755" s="624">
        <v>39310</v>
      </c>
      <c r="BC755" s="355">
        <v>0.3508</v>
      </c>
      <c r="BD755" s="624">
        <v>39311</v>
      </c>
      <c r="BE755" s="355">
        <v>0.10607999999999999</v>
      </c>
      <c r="BF755" s="624">
        <v>39335</v>
      </c>
      <c r="BG755" s="355">
        <v>2.46E-2</v>
      </c>
      <c r="BH755" s="624">
        <v>39310</v>
      </c>
      <c r="BI755" s="355">
        <v>0.104658</v>
      </c>
      <c r="BJ755" s="624">
        <v>39310</v>
      </c>
      <c r="BK755" s="355">
        <v>3.0303E-2</v>
      </c>
    </row>
    <row r="756" spans="3:63" x14ac:dyDescent="0.15">
      <c r="C756" s="624"/>
      <c r="D756" s="355">
        <v>3.8780000000000002E-2</v>
      </c>
      <c r="AV756" s="624"/>
      <c r="AX756" s="624">
        <v>39315</v>
      </c>
      <c r="AY756" s="355">
        <v>3.8620000000000002E-2</v>
      </c>
      <c r="AZ756" s="624">
        <v>39379</v>
      </c>
      <c r="BA756" s="355">
        <v>1.8499999999999999E-2</v>
      </c>
      <c r="BB756" s="624">
        <v>39311</v>
      </c>
      <c r="BC756" s="355">
        <v>0.35260000000000002</v>
      </c>
      <c r="BD756" s="624">
        <v>39314</v>
      </c>
      <c r="BE756" s="355">
        <v>0.10584</v>
      </c>
      <c r="BF756" s="624">
        <v>39336</v>
      </c>
      <c r="BG756" s="355">
        <v>2.4657999999999999E-2</v>
      </c>
      <c r="BH756" s="624">
        <v>39311</v>
      </c>
      <c r="BI756" s="355">
        <v>0.105708</v>
      </c>
      <c r="BJ756" s="624">
        <v>39311</v>
      </c>
      <c r="BK756" s="355">
        <v>2.9940000000000001E-2</v>
      </c>
    </row>
    <row r="757" spans="3:63" x14ac:dyDescent="0.15">
      <c r="C757" s="624"/>
      <c r="D757" s="355">
        <v>3.8620000000000002E-2</v>
      </c>
      <c r="AV757" s="624"/>
      <c r="AX757" s="624">
        <v>39316</v>
      </c>
      <c r="AY757" s="355">
        <v>3.882E-2</v>
      </c>
      <c r="AZ757" s="624">
        <v>39380</v>
      </c>
      <c r="BA757" s="355">
        <v>1.8700000000000001E-2</v>
      </c>
      <c r="BB757" s="624">
        <v>39314</v>
      </c>
      <c r="BC757" s="355">
        <v>0.35089999999999999</v>
      </c>
      <c r="BD757" s="624">
        <v>39315</v>
      </c>
      <c r="BE757" s="355">
        <v>0.10544000000000001</v>
      </c>
      <c r="BF757" s="624">
        <v>39337</v>
      </c>
      <c r="BG757" s="355">
        <v>2.4728E-2</v>
      </c>
      <c r="BH757" s="624">
        <v>39314</v>
      </c>
      <c r="BI757" s="355">
        <v>0.105932</v>
      </c>
      <c r="BJ757" s="624">
        <v>39314</v>
      </c>
      <c r="BK757" s="355">
        <v>3.0505999999999998E-2</v>
      </c>
    </row>
    <row r="758" spans="3:63" x14ac:dyDescent="0.15">
      <c r="C758" s="624"/>
      <c r="D758" s="355">
        <v>3.882E-2</v>
      </c>
      <c r="AV758" s="624"/>
      <c r="AX758" s="624">
        <v>39317</v>
      </c>
      <c r="AY758" s="355">
        <v>3.8870000000000002E-2</v>
      </c>
      <c r="AZ758" s="624">
        <v>39381</v>
      </c>
      <c r="BA758" s="355">
        <v>1.8700000000000001E-2</v>
      </c>
      <c r="BB758" s="624">
        <v>39315</v>
      </c>
      <c r="BC758" s="355">
        <v>0.34970000000000001</v>
      </c>
      <c r="BD758" s="624">
        <v>39316</v>
      </c>
      <c r="BE758" s="355">
        <v>0.10609</v>
      </c>
      <c r="BF758" s="624">
        <v>39338</v>
      </c>
      <c r="BG758" s="355">
        <v>2.4728E-2</v>
      </c>
      <c r="BH758" s="624">
        <v>39315</v>
      </c>
      <c r="BI758" s="355">
        <v>0.105904</v>
      </c>
      <c r="BJ758" s="624">
        <v>39315</v>
      </c>
      <c r="BK758" s="355">
        <v>3.0404E-2</v>
      </c>
    </row>
    <row r="759" spans="3:63" x14ac:dyDescent="0.15">
      <c r="C759" s="624"/>
      <c r="D759" s="355">
        <v>3.8870000000000002E-2</v>
      </c>
      <c r="AV759" s="624"/>
      <c r="AX759" s="624">
        <v>39318</v>
      </c>
      <c r="AY759" s="355">
        <v>3.8899999999999997E-2</v>
      </c>
      <c r="AZ759" s="624">
        <v>39384</v>
      </c>
      <c r="BA759" s="355">
        <v>1.8700000000000001E-2</v>
      </c>
      <c r="BB759" s="624">
        <v>39316</v>
      </c>
      <c r="BC759" s="355">
        <v>0.3528</v>
      </c>
      <c r="BD759" s="624">
        <v>39317</v>
      </c>
      <c r="BE759" s="355">
        <v>0.10614999999999999</v>
      </c>
      <c r="BF759" s="624">
        <v>39339</v>
      </c>
      <c r="BG759" s="355">
        <v>2.4729999999999999E-2</v>
      </c>
      <c r="BH759" s="624">
        <v>39316</v>
      </c>
      <c r="BI759" s="355">
        <v>0.10649599999999999</v>
      </c>
      <c r="BJ759" s="624">
        <v>39316</v>
      </c>
      <c r="BK759" s="355">
        <v>3.0863999999999999E-2</v>
      </c>
    </row>
    <row r="760" spans="3:63" x14ac:dyDescent="0.15">
      <c r="C760" s="624"/>
      <c r="D760" s="355">
        <v>3.8899999999999997E-2</v>
      </c>
      <c r="AV760" s="624"/>
      <c r="AX760" s="624">
        <v>39321</v>
      </c>
      <c r="AY760" s="355">
        <v>3.8960000000000002E-2</v>
      </c>
      <c r="AZ760" s="624">
        <v>39385</v>
      </c>
      <c r="BA760" s="355">
        <v>1.8700000000000001E-2</v>
      </c>
      <c r="BB760" s="624">
        <v>39317</v>
      </c>
      <c r="BC760" s="355">
        <v>0.35310000000000002</v>
      </c>
      <c r="BD760" s="624">
        <v>39318</v>
      </c>
      <c r="BE760" s="355">
        <v>0.10619000000000001</v>
      </c>
      <c r="BF760" s="624">
        <v>39342</v>
      </c>
      <c r="BG760" s="355">
        <v>2.4660999999999999E-2</v>
      </c>
      <c r="BH760" s="624">
        <v>39317</v>
      </c>
      <c r="BI760" s="355">
        <v>0.106576</v>
      </c>
      <c r="BJ760" s="624">
        <v>39317</v>
      </c>
      <c r="BK760" s="355">
        <v>3.0693999999999999E-2</v>
      </c>
    </row>
    <row r="761" spans="3:63" x14ac:dyDescent="0.15">
      <c r="C761" s="624"/>
      <c r="D761" s="355">
        <v>3.8960000000000002E-2</v>
      </c>
      <c r="AV761" s="624"/>
      <c r="AX761" s="624">
        <v>39322</v>
      </c>
      <c r="AY761" s="355">
        <v>3.884E-2</v>
      </c>
      <c r="AZ761" s="624">
        <v>39386</v>
      </c>
      <c r="BA761" s="355">
        <v>1.8700000000000001E-2</v>
      </c>
      <c r="BB761" s="624">
        <v>39318</v>
      </c>
      <c r="BC761" s="355">
        <v>0.35720000000000002</v>
      </c>
      <c r="BD761" s="624">
        <v>39321</v>
      </c>
      <c r="BE761" s="355">
        <v>0.10638</v>
      </c>
      <c r="BF761" s="624">
        <v>39343</v>
      </c>
      <c r="BG761" s="355">
        <v>2.4707E-2</v>
      </c>
      <c r="BH761" s="624">
        <v>39318</v>
      </c>
      <c r="BI761" s="355">
        <v>0.10627</v>
      </c>
      <c r="BJ761" s="624">
        <v>39318</v>
      </c>
      <c r="BK761" s="355">
        <v>3.023E-2</v>
      </c>
    </row>
    <row r="762" spans="3:63" x14ac:dyDescent="0.15">
      <c r="C762" s="624"/>
      <c r="D762" s="355">
        <v>3.884E-2</v>
      </c>
      <c r="AV762" s="624"/>
      <c r="AX762" s="624">
        <v>39323</v>
      </c>
      <c r="AY762" s="355">
        <v>3.9019999999999999E-2</v>
      </c>
      <c r="AZ762" s="624">
        <v>39387</v>
      </c>
      <c r="BA762" s="355">
        <v>1.8700000000000001E-2</v>
      </c>
      <c r="BB762" s="624">
        <v>39321</v>
      </c>
      <c r="BC762" s="355">
        <v>0.35639999999999999</v>
      </c>
      <c r="BD762" s="624">
        <v>39322</v>
      </c>
      <c r="BE762" s="355">
        <v>0.10606</v>
      </c>
      <c r="BF762" s="624">
        <v>39344</v>
      </c>
      <c r="BG762" s="355">
        <v>2.4878999999999998E-2</v>
      </c>
      <c r="BH762" s="624">
        <v>39321</v>
      </c>
      <c r="BI762" s="355">
        <v>0.106667</v>
      </c>
      <c r="BJ762" s="624">
        <v>39321</v>
      </c>
      <c r="BK762" s="355">
        <v>3.0440999999999999E-2</v>
      </c>
    </row>
    <row r="763" spans="3:63" x14ac:dyDescent="0.15">
      <c r="C763" s="624"/>
      <c r="D763" s="355">
        <v>3.9019999999999999E-2</v>
      </c>
      <c r="AV763" s="624"/>
      <c r="AX763" s="624">
        <v>39324</v>
      </c>
      <c r="AY763" s="355">
        <v>3.8980000000000001E-2</v>
      </c>
      <c r="AZ763" s="624">
        <v>39388</v>
      </c>
      <c r="BA763" s="355">
        <v>1.8700000000000001E-2</v>
      </c>
      <c r="BB763" s="624">
        <v>39322</v>
      </c>
      <c r="BC763" s="355">
        <v>0.35410000000000003</v>
      </c>
      <c r="BD763" s="624">
        <v>39323</v>
      </c>
      <c r="BE763" s="355">
        <v>0.10614</v>
      </c>
      <c r="BF763" s="624">
        <v>39345</v>
      </c>
      <c r="BG763" s="355">
        <v>2.5163999999999999E-2</v>
      </c>
      <c r="BH763" s="624">
        <v>39322</v>
      </c>
      <c r="BI763" s="355">
        <v>0.105988</v>
      </c>
      <c r="BJ763" s="624">
        <v>39322</v>
      </c>
      <c r="BK763" s="355">
        <v>3.0675000000000001E-2</v>
      </c>
    </row>
    <row r="764" spans="3:63" x14ac:dyDescent="0.15">
      <c r="C764" s="624"/>
      <c r="D764" s="355">
        <v>3.8980000000000001E-2</v>
      </c>
      <c r="AV764" s="624"/>
      <c r="AX764" s="624">
        <v>39325</v>
      </c>
      <c r="AY764" s="355">
        <v>3.8980000000000001E-2</v>
      </c>
      <c r="AZ764" s="624">
        <v>39391</v>
      </c>
      <c r="BA764" s="355">
        <v>1.8800000000000001E-2</v>
      </c>
      <c r="BB764" s="624">
        <v>39323</v>
      </c>
      <c r="BC764" s="355">
        <v>0.35749999999999998</v>
      </c>
      <c r="BD764" s="624">
        <v>39324</v>
      </c>
      <c r="BE764" s="355">
        <v>0.10634</v>
      </c>
      <c r="BF764" s="624">
        <v>39346</v>
      </c>
      <c r="BG764" s="355">
        <v>2.5100000000000001E-2</v>
      </c>
      <c r="BH764" s="624">
        <v>39323</v>
      </c>
      <c r="BI764" s="355">
        <v>0.106491</v>
      </c>
      <c r="BJ764" s="624">
        <v>39323</v>
      </c>
      <c r="BK764" s="355">
        <v>3.0533999999999999E-2</v>
      </c>
    </row>
    <row r="765" spans="3:63" x14ac:dyDescent="0.15">
      <c r="C765" s="624"/>
      <c r="D765" s="355">
        <v>3.8980000000000001E-2</v>
      </c>
      <c r="AV765" s="624"/>
      <c r="AX765" s="624">
        <v>39328</v>
      </c>
      <c r="AY765" s="355">
        <v>3.9070000000000001E-2</v>
      </c>
      <c r="AZ765" s="624">
        <v>39392</v>
      </c>
      <c r="BA765" s="355">
        <v>1.8800000000000001E-2</v>
      </c>
      <c r="BB765" s="624">
        <v>39324</v>
      </c>
      <c r="BC765" s="355">
        <v>0.35659999999999997</v>
      </c>
      <c r="BD765" s="624">
        <v>39325</v>
      </c>
      <c r="BE765" s="355">
        <v>0.10657</v>
      </c>
      <c r="BF765" s="624">
        <v>39349</v>
      </c>
      <c r="BG765" s="355">
        <v>2.5122999999999999E-2</v>
      </c>
      <c r="BH765" s="624">
        <v>39324</v>
      </c>
      <c r="BI765" s="355">
        <v>0.106214</v>
      </c>
      <c r="BJ765" s="624">
        <v>39324</v>
      </c>
      <c r="BK765" s="355">
        <v>3.0769000000000001E-2</v>
      </c>
    </row>
    <row r="766" spans="3:63" x14ac:dyDescent="0.15">
      <c r="C766" s="624"/>
      <c r="D766" s="355">
        <v>3.9070000000000001E-2</v>
      </c>
      <c r="AV766" s="624"/>
      <c r="AX766" s="624">
        <v>39329</v>
      </c>
      <c r="AY766" s="355">
        <v>3.8949999999999999E-2</v>
      </c>
      <c r="AZ766" s="624">
        <v>39393</v>
      </c>
      <c r="BA766" s="355">
        <v>1.8700000000000001E-2</v>
      </c>
      <c r="BB766" s="624">
        <v>39325</v>
      </c>
      <c r="BC766" s="355">
        <v>0.35680000000000001</v>
      </c>
      <c r="BD766" s="624">
        <v>39328</v>
      </c>
      <c r="BE766" s="355">
        <v>0.10668999999999999</v>
      </c>
      <c r="BF766" s="624">
        <v>39350</v>
      </c>
      <c r="BG766" s="355">
        <v>2.5163999999999999E-2</v>
      </c>
      <c r="BH766" s="624">
        <v>39325</v>
      </c>
      <c r="BI766" s="355">
        <v>0.106457</v>
      </c>
      <c r="BJ766" s="624">
        <v>39325</v>
      </c>
      <c r="BK766" s="355">
        <v>3.0807000000000001E-2</v>
      </c>
    </row>
    <row r="767" spans="3:63" x14ac:dyDescent="0.15">
      <c r="C767" s="624"/>
      <c r="D767" s="355">
        <v>3.8949999999999999E-2</v>
      </c>
      <c r="AV767" s="624"/>
      <c r="AX767" s="624">
        <v>39330</v>
      </c>
      <c r="AY767" s="355">
        <v>3.9010000000000003E-2</v>
      </c>
      <c r="AZ767" s="624">
        <v>39394</v>
      </c>
      <c r="BA767" s="355">
        <v>1.8800000000000001E-2</v>
      </c>
      <c r="BB767" s="624">
        <v>39328</v>
      </c>
      <c r="BC767" s="355">
        <v>0.3569</v>
      </c>
      <c r="BD767" s="624">
        <v>39329</v>
      </c>
      <c r="BE767" s="355">
        <v>0.10648000000000001</v>
      </c>
      <c r="BF767" s="624">
        <v>39351</v>
      </c>
      <c r="BG767" s="355">
        <v>2.5212999999999999E-2</v>
      </c>
      <c r="BH767" s="624">
        <v>39328</v>
      </c>
      <c r="BI767" s="355">
        <v>0.106502</v>
      </c>
      <c r="BJ767" s="624">
        <v>39328</v>
      </c>
      <c r="BK767" s="355">
        <v>3.0931E-2</v>
      </c>
    </row>
    <row r="768" spans="3:63" x14ac:dyDescent="0.15">
      <c r="C768" s="624"/>
      <c r="D768" s="355">
        <v>3.9010000000000003E-2</v>
      </c>
      <c r="AV768" s="624"/>
      <c r="AX768" s="624">
        <v>39331</v>
      </c>
      <c r="AY768" s="355">
        <v>3.9019999999999999E-2</v>
      </c>
      <c r="AZ768" s="624">
        <v>39395</v>
      </c>
      <c r="BA768" s="355">
        <v>1.8800000000000001E-2</v>
      </c>
      <c r="BB768" s="624">
        <v>39329</v>
      </c>
      <c r="BC768" s="355">
        <v>0.35639999999999999</v>
      </c>
      <c r="BD768" s="624">
        <v>39330</v>
      </c>
      <c r="BE768" s="355">
        <v>0.10629</v>
      </c>
      <c r="BF768" s="624">
        <v>39352</v>
      </c>
      <c r="BG768" s="355">
        <v>2.5163999999999999E-2</v>
      </c>
      <c r="BH768" s="624">
        <v>39329</v>
      </c>
      <c r="BI768" s="355">
        <v>0.10695200000000001</v>
      </c>
      <c r="BJ768" s="624">
        <v>39329</v>
      </c>
      <c r="BK768" s="355">
        <v>3.0647000000000001E-2</v>
      </c>
    </row>
    <row r="769" spans="3:63" x14ac:dyDescent="0.15">
      <c r="C769" s="624"/>
      <c r="D769" s="355">
        <v>3.9019999999999999E-2</v>
      </c>
      <c r="AV769" s="624"/>
      <c r="AX769" s="624">
        <v>39332</v>
      </c>
      <c r="AY769" s="355">
        <v>3.9109999999999999E-2</v>
      </c>
      <c r="AZ769" s="624">
        <v>39398</v>
      </c>
      <c r="BA769" s="355">
        <v>1.8700000000000001E-2</v>
      </c>
      <c r="BB769" s="624">
        <v>39330</v>
      </c>
      <c r="BC769" s="355">
        <v>0.35709999999999997</v>
      </c>
      <c r="BD769" s="624">
        <v>39331</v>
      </c>
      <c r="BE769" s="355">
        <v>0.10647</v>
      </c>
      <c r="BF769" s="624">
        <v>39353</v>
      </c>
      <c r="BG769" s="355">
        <v>2.5148E-2</v>
      </c>
      <c r="BH769" s="624">
        <v>39330</v>
      </c>
      <c r="BI769" s="355">
        <v>0.106304</v>
      </c>
      <c r="BJ769" s="624">
        <v>39330</v>
      </c>
      <c r="BK769" s="355">
        <v>3.0693999999999999E-2</v>
      </c>
    </row>
    <row r="770" spans="3:63" x14ac:dyDescent="0.15">
      <c r="C770" s="624"/>
      <c r="D770" s="355">
        <v>3.9109999999999999E-2</v>
      </c>
      <c r="AV770" s="624"/>
      <c r="AX770" s="624">
        <v>39335</v>
      </c>
      <c r="AY770" s="355">
        <v>3.918E-2</v>
      </c>
      <c r="AZ770" s="624">
        <v>39399</v>
      </c>
      <c r="BA770" s="355">
        <v>1.8800000000000001E-2</v>
      </c>
      <c r="BB770" s="624">
        <v>39331</v>
      </c>
      <c r="BC770" s="355">
        <v>0.35909999999999997</v>
      </c>
      <c r="BD770" s="624">
        <v>39332</v>
      </c>
      <c r="BE770" s="355">
        <v>0.10634</v>
      </c>
      <c r="BF770" s="624">
        <v>39356</v>
      </c>
      <c r="BG770" s="355">
        <v>2.5087999999999999E-2</v>
      </c>
      <c r="BH770" s="624">
        <v>39331</v>
      </c>
      <c r="BI770" s="355">
        <v>0.10627</v>
      </c>
      <c r="BJ770" s="624">
        <v>39331</v>
      </c>
      <c r="BK770" s="355">
        <v>3.0721999999999999E-2</v>
      </c>
    </row>
    <row r="771" spans="3:63" x14ac:dyDescent="0.15">
      <c r="C771" s="624"/>
      <c r="D771" s="355">
        <v>3.918E-2</v>
      </c>
      <c r="AV771" s="624"/>
      <c r="AX771" s="624">
        <v>39336</v>
      </c>
      <c r="AY771" s="355">
        <v>3.9289999999999999E-2</v>
      </c>
      <c r="AZ771" s="624">
        <v>39400</v>
      </c>
      <c r="BA771" s="355">
        <v>1.8800000000000001E-2</v>
      </c>
      <c r="BB771" s="624">
        <v>39332</v>
      </c>
      <c r="BC771" s="355">
        <v>0.36109999999999998</v>
      </c>
      <c r="BD771" s="624">
        <v>39335</v>
      </c>
      <c r="BE771" s="355">
        <v>0.10639</v>
      </c>
      <c r="BF771" s="624">
        <v>39357</v>
      </c>
      <c r="BG771" s="355">
        <v>2.5038000000000001E-2</v>
      </c>
      <c r="BH771" s="624">
        <v>39332</v>
      </c>
      <c r="BI771" s="355">
        <v>0.106157</v>
      </c>
      <c r="BJ771" s="624">
        <v>39332</v>
      </c>
      <c r="BK771" s="355">
        <v>3.0561999999999999E-2</v>
      </c>
    </row>
    <row r="772" spans="3:63" x14ac:dyDescent="0.15">
      <c r="C772" s="624"/>
      <c r="D772" s="355">
        <v>3.9289999999999999E-2</v>
      </c>
      <c r="AV772" s="624"/>
      <c r="AX772" s="624">
        <v>39337</v>
      </c>
      <c r="AY772" s="355">
        <v>3.9419999999999997E-2</v>
      </c>
      <c r="AZ772" s="624">
        <v>39401</v>
      </c>
      <c r="BA772" s="355">
        <v>1.8800000000000001E-2</v>
      </c>
      <c r="BB772" s="624">
        <v>39335</v>
      </c>
      <c r="BC772" s="355">
        <v>0.36370000000000002</v>
      </c>
      <c r="BD772" s="624">
        <v>39336</v>
      </c>
      <c r="BE772" s="355">
        <v>0.10680000000000001</v>
      </c>
      <c r="BF772" s="624">
        <v>39358</v>
      </c>
      <c r="BG772" s="355">
        <v>2.5284000000000001E-2</v>
      </c>
      <c r="BH772" s="624">
        <v>39335</v>
      </c>
      <c r="BI772" s="355">
        <v>0.106045</v>
      </c>
      <c r="BJ772" s="624">
        <v>39335</v>
      </c>
      <c r="BK772" s="355">
        <v>3.0921000000000001E-2</v>
      </c>
    </row>
    <row r="773" spans="3:63" x14ac:dyDescent="0.15">
      <c r="C773" s="624"/>
      <c r="D773" s="355">
        <v>3.9419999999999997E-2</v>
      </c>
      <c r="AV773" s="624"/>
      <c r="AX773" s="624">
        <v>39338</v>
      </c>
      <c r="AY773" s="355">
        <v>3.9440000000000003E-2</v>
      </c>
      <c r="AZ773" s="624">
        <v>39402</v>
      </c>
      <c r="BA773" s="355">
        <v>1.8800000000000001E-2</v>
      </c>
      <c r="BB773" s="624">
        <v>39336</v>
      </c>
      <c r="BC773" s="355">
        <v>0.36659999999999998</v>
      </c>
      <c r="BD773" s="624">
        <v>39337</v>
      </c>
      <c r="BE773" s="355">
        <v>0.10734</v>
      </c>
      <c r="BF773" s="624">
        <v>39359</v>
      </c>
      <c r="BG773" s="355">
        <v>2.5326000000000001E-2</v>
      </c>
      <c r="BH773" s="624">
        <v>39336</v>
      </c>
      <c r="BI773" s="355">
        <v>0.106326</v>
      </c>
      <c r="BJ773" s="624">
        <v>39336</v>
      </c>
      <c r="BK773" s="355">
        <v>3.1056E-2</v>
      </c>
    </row>
    <row r="774" spans="3:63" x14ac:dyDescent="0.15">
      <c r="C774" s="624"/>
      <c r="D774" s="355">
        <v>3.9440000000000003E-2</v>
      </c>
      <c r="AV774" s="624"/>
      <c r="AX774" s="624">
        <v>39339</v>
      </c>
      <c r="AY774" s="355">
        <v>3.9460000000000002E-2</v>
      </c>
      <c r="AZ774" s="624">
        <v>39405</v>
      </c>
      <c r="BA774" s="355">
        <v>1.8700000000000001E-2</v>
      </c>
      <c r="BB774" s="624">
        <v>39337</v>
      </c>
      <c r="BC774" s="355">
        <v>0.36840000000000001</v>
      </c>
      <c r="BD774" s="624">
        <v>39338</v>
      </c>
      <c r="BE774" s="355">
        <v>0.10774</v>
      </c>
      <c r="BF774" s="624">
        <v>39360</v>
      </c>
      <c r="BG774" s="355">
        <v>2.5354999999999999E-2</v>
      </c>
      <c r="BH774" s="624">
        <v>39337</v>
      </c>
      <c r="BI774" s="355">
        <v>0.105932</v>
      </c>
      <c r="BJ774" s="624">
        <v>39337</v>
      </c>
      <c r="BK774" s="355">
        <v>3.1104E-2</v>
      </c>
    </row>
    <row r="775" spans="3:63" x14ac:dyDescent="0.15">
      <c r="C775" s="624"/>
      <c r="D775" s="355">
        <v>3.9460000000000002E-2</v>
      </c>
      <c r="AV775" s="624"/>
      <c r="AX775" s="624">
        <v>39342</v>
      </c>
      <c r="AY775" s="355">
        <v>3.9489999999999997E-2</v>
      </c>
      <c r="AZ775" s="624">
        <v>39406</v>
      </c>
      <c r="BA775" s="355">
        <v>1.8499999999999999E-2</v>
      </c>
      <c r="BB775" s="624">
        <v>39338</v>
      </c>
      <c r="BC775" s="355">
        <v>0.36709999999999998</v>
      </c>
      <c r="BD775" s="624">
        <v>39339</v>
      </c>
      <c r="BE775" s="355">
        <v>0.10772</v>
      </c>
      <c r="BF775" s="624">
        <v>39363</v>
      </c>
      <c r="BG775" s="355">
        <v>2.5349E-2</v>
      </c>
      <c r="BH775" s="624">
        <v>39338</v>
      </c>
      <c r="BI775" s="355">
        <v>0.10638300000000001</v>
      </c>
      <c r="BJ775" s="624">
        <v>39338</v>
      </c>
      <c r="BK775" s="355">
        <v>3.1153E-2</v>
      </c>
    </row>
    <row r="776" spans="3:63" x14ac:dyDescent="0.15">
      <c r="C776" s="624"/>
      <c r="D776" s="355">
        <v>3.9489999999999997E-2</v>
      </c>
      <c r="AV776" s="624"/>
      <c r="AX776" s="624">
        <v>39343</v>
      </c>
      <c r="AY776" s="355">
        <v>3.9620000000000002E-2</v>
      </c>
      <c r="AZ776" s="624">
        <v>39407</v>
      </c>
      <c r="BA776" s="355">
        <v>1.84E-2</v>
      </c>
      <c r="BB776" s="624">
        <v>39339</v>
      </c>
      <c r="BC776" s="355">
        <v>0.36759999999999998</v>
      </c>
      <c r="BD776" s="624">
        <v>39342</v>
      </c>
      <c r="BE776" s="355">
        <v>0.10753</v>
      </c>
      <c r="BF776" s="624">
        <v>39364</v>
      </c>
      <c r="BG776" s="355">
        <v>2.5354999999999999E-2</v>
      </c>
      <c r="BH776" s="624">
        <v>39339</v>
      </c>
      <c r="BI776" s="355">
        <v>0.106587</v>
      </c>
      <c r="BJ776" s="624">
        <v>39339</v>
      </c>
      <c r="BK776" s="355">
        <v>3.1299E-2</v>
      </c>
    </row>
    <row r="777" spans="3:63" x14ac:dyDescent="0.15">
      <c r="C777" s="624"/>
      <c r="D777" s="355">
        <v>3.9620000000000002E-2</v>
      </c>
      <c r="AV777" s="624"/>
      <c r="AX777" s="624">
        <v>39344</v>
      </c>
      <c r="AY777" s="355">
        <v>3.9690000000000003E-2</v>
      </c>
      <c r="AZ777" s="624">
        <v>39408</v>
      </c>
      <c r="BA777" s="355">
        <v>1.83E-2</v>
      </c>
      <c r="BB777" s="624">
        <v>39342</v>
      </c>
      <c r="BC777" s="355">
        <v>0.36649999999999999</v>
      </c>
      <c r="BD777" s="624">
        <v>39343</v>
      </c>
      <c r="BE777" s="355">
        <v>0.10798000000000001</v>
      </c>
      <c r="BF777" s="624">
        <v>39365</v>
      </c>
      <c r="BG777" s="355">
        <v>2.5426000000000001E-2</v>
      </c>
      <c r="BH777" s="624">
        <v>39342</v>
      </c>
      <c r="BI777" s="355">
        <v>0.10652499999999999</v>
      </c>
      <c r="BJ777" s="624">
        <v>39342</v>
      </c>
      <c r="BK777" s="355">
        <v>3.1153E-2</v>
      </c>
    </row>
    <row r="778" spans="3:63" x14ac:dyDescent="0.15">
      <c r="C778" s="624"/>
      <c r="D778" s="355">
        <v>3.9690000000000003E-2</v>
      </c>
      <c r="AV778" s="624"/>
      <c r="AX778" s="624">
        <v>39345</v>
      </c>
      <c r="AY778" s="355">
        <v>3.9870000000000003E-2</v>
      </c>
      <c r="AZ778" s="624">
        <v>39409</v>
      </c>
      <c r="BA778" s="355">
        <v>1.8200000000000001E-2</v>
      </c>
      <c r="BB778" s="624">
        <v>39343</v>
      </c>
      <c r="BC778" s="355">
        <v>0.37090000000000001</v>
      </c>
      <c r="BD778" s="624">
        <v>39344</v>
      </c>
      <c r="BE778" s="355">
        <v>0.10803</v>
      </c>
      <c r="BF778" s="624">
        <v>39366</v>
      </c>
      <c r="BG778" s="355">
        <v>2.5447000000000001E-2</v>
      </c>
      <c r="BH778" s="624">
        <v>39343</v>
      </c>
      <c r="BI778" s="355">
        <v>0.106667</v>
      </c>
      <c r="BJ778" s="624">
        <v>39343</v>
      </c>
      <c r="BK778" s="355">
        <v>3.1348000000000001E-2</v>
      </c>
    </row>
    <row r="779" spans="3:63" x14ac:dyDescent="0.15">
      <c r="C779" s="624"/>
      <c r="D779" s="355">
        <v>3.9870000000000003E-2</v>
      </c>
      <c r="AV779" s="624"/>
      <c r="AX779" s="624">
        <v>39346</v>
      </c>
      <c r="AY779" s="355">
        <v>3.993E-2</v>
      </c>
      <c r="AZ779" s="624">
        <v>39412</v>
      </c>
      <c r="BA779" s="355">
        <v>1.8200000000000001E-2</v>
      </c>
      <c r="BB779" s="624">
        <v>39344</v>
      </c>
      <c r="BC779" s="355">
        <v>0.37009999999999998</v>
      </c>
      <c r="BD779" s="624">
        <v>39345</v>
      </c>
      <c r="BE779" s="355">
        <v>0.10859000000000001</v>
      </c>
      <c r="BF779" s="624">
        <v>39367</v>
      </c>
      <c r="BG779" s="355">
        <v>2.5409999999999999E-2</v>
      </c>
      <c r="BH779" s="624">
        <v>39344</v>
      </c>
      <c r="BI779" s="355">
        <v>0.10846</v>
      </c>
      <c r="BJ779" s="624">
        <v>39344</v>
      </c>
      <c r="BK779" s="355">
        <v>3.1269999999999999E-2</v>
      </c>
    </row>
    <row r="780" spans="3:63" x14ac:dyDescent="0.15">
      <c r="C780" s="624"/>
      <c r="D780" s="355">
        <v>3.993E-2</v>
      </c>
      <c r="AV780" s="624"/>
      <c r="AX780" s="624">
        <v>39349</v>
      </c>
      <c r="AY780" s="355">
        <v>3.9980000000000002E-2</v>
      </c>
      <c r="AZ780" s="624">
        <v>39413</v>
      </c>
      <c r="BA780" s="355">
        <v>1.7999999999999999E-2</v>
      </c>
      <c r="BB780" s="624">
        <v>39345</v>
      </c>
      <c r="BC780" s="355">
        <v>0.373</v>
      </c>
      <c r="BD780" s="624">
        <v>39346</v>
      </c>
      <c r="BE780" s="355">
        <v>0.10854</v>
      </c>
      <c r="BF780" s="624">
        <v>39370</v>
      </c>
      <c r="BG780" s="355">
        <v>2.5451999999999999E-2</v>
      </c>
      <c r="BH780" s="624">
        <v>39345</v>
      </c>
      <c r="BI780" s="355">
        <v>0.10881399999999999</v>
      </c>
      <c r="BJ780" s="624">
        <v>39345</v>
      </c>
      <c r="BK780" s="355">
        <v>3.1348000000000001E-2</v>
      </c>
    </row>
    <row r="781" spans="3:63" x14ac:dyDescent="0.15">
      <c r="C781" s="624"/>
      <c r="D781" s="355">
        <v>3.9980000000000002E-2</v>
      </c>
      <c r="AV781" s="624"/>
      <c r="AX781" s="624">
        <v>39350</v>
      </c>
      <c r="AY781" s="355">
        <v>4.0050000000000002E-2</v>
      </c>
      <c r="AZ781" s="624">
        <v>39415</v>
      </c>
      <c r="BA781" s="355">
        <v>1.7399999999999999E-2</v>
      </c>
      <c r="BB781" s="624">
        <v>39346</v>
      </c>
      <c r="BC781" s="355">
        <v>0.37469999999999998</v>
      </c>
      <c r="BD781" s="624">
        <v>39349</v>
      </c>
      <c r="BE781" s="355">
        <v>0.10875</v>
      </c>
      <c r="BF781" s="624">
        <v>39371</v>
      </c>
      <c r="BG781" s="355">
        <v>2.5413999999999999E-2</v>
      </c>
      <c r="BH781" s="624">
        <v>39346</v>
      </c>
      <c r="BI781" s="355">
        <v>0.109141</v>
      </c>
      <c r="BJ781" s="624">
        <v>39346</v>
      </c>
      <c r="BK781" s="355">
        <v>3.1357999999999997E-2</v>
      </c>
    </row>
    <row r="782" spans="3:63" x14ac:dyDescent="0.15">
      <c r="C782" s="624"/>
      <c r="D782" s="355">
        <v>4.0050000000000002E-2</v>
      </c>
      <c r="AV782" s="624"/>
      <c r="AX782" s="624">
        <v>39351</v>
      </c>
      <c r="AY782" s="355">
        <v>4.0030000000000003E-2</v>
      </c>
      <c r="AZ782" s="624">
        <v>39416</v>
      </c>
      <c r="BA782" s="355">
        <v>1.77E-2</v>
      </c>
      <c r="BB782" s="624">
        <v>39349</v>
      </c>
      <c r="BC782" s="355">
        <v>0.37409999999999999</v>
      </c>
      <c r="BD782" s="624">
        <v>39350</v>
      </c>
      <c r="BE782" s="355">
        <v>0.10856</v>
      </c>
      <c r="BF782" s="624">
        <v>39372</v>
      </c>
      <c r="BG782" s="355">
        <v>2.5284000000000001E-2</v>
      </c>
      <c r="BH782" s="624">
        <v>39349</v>
      </c>
      <c r="BI782" s="355">
        <v>0.109338</v>
      </c>
      <c r="BJ782" s="624">
        <v>39349</v>
      </c>
      <c r="BK782" s="355">
        <v>3.125E-2</v>
      </c>
    </row>
    <row r="783" spans="3:63" x14ac:dyDescent="0.15">
      <c r="C783" s="624"/>
      <c r="D783" s="355">
        <v>4.0030000000000003E-2</v>
      </c>
      <c r="AV783" s="624"/>
      <c r="AX783" s="624">
        <v>39352</v>
      </c>
      <c r="AY783" s="355">
        <v>4.0070000000000001E-2</v>
      </c>
      <c r="AZ783" s="624">
        <v>39419</v>
      </c>
      <c r="BA783" s="355">
        <v>1.7899999999999999E-2</v>
      </c>
      <c r="BB783" s="624">
        <v>39350</v>
      </c>
      <c r="BC783" s="355">
        <v>0.3745</v>
      </c>
      <c r="BD783" s="624">
        <v>39351</v>
      </c>
      <c r="BE783" s="355">
        <v>0.1086</v>
      </c>
      <c r="BF783" s="624">
        <v>39373</v>
      </c>
      <c r="BG783" s="355">
        <v>2.5132000000000002E-2</v>
      </c>
      <c r="BH783" s="624">
        <v>39350</v>
      </c>
      <c r="BI783" s="355">
        <v>0.10899200000000001</v>
      </c>
      <c r="BJ783" s="624">
        <v>39350</v>
      </c>
      <c r="BK783" s="355">
        <v>3.1299E-2</v>
      </c>
    </row>
    <row r="784" spans="3:63" x14ac:dyDescent="0.15">
      <c r="C784" s="624"/>
      <c r="D784" s="355">
        <v>4.0070000000000001E-2</v>
      </c>
      <c r="AV784" s="624"/>
      <c r="AX784" s="624">
        <v>39353</v>
      </c>
      <c r="AY784" s="355">
        <v>4.0239999999999998E-2</v>
      </c>
      <c r="AZ784" s="624">
        <v>39420</v>
      </c>
      <c r="BA784" s="355">
        <v>1.83E-2</v>
      </c>
      <c r="BB784" s="624">
        <v>39351</v>
      </c>
      <c r="BC784" s="355">
        <v>0.37359999999999999</v>
      </c>
      <c r="BD784" s="624">
        <v>39352</v>
      </c>
      <c r="BE784" s="355">
        <v>0.10866000000000001</v>
      </c>
      <c r="BF784" s="624">
        <v>39374</v>
      </c>
      <c r="BG784" s="355">
        <v>2.5165E-2</v>
      </c>
      <c r="BH784" s="624">
        <v>39351</v>
      </c>
      <c r="BI784" s="355">
        <v>0.109164</v>
      </c>
      <c r="BJ784" s="624">
        <v>39351</v>
      </c>
      <c r="BK784" s="355">
        <v>3.1615999999999998E-2</v>
      </c>
    </row>
    <row r="785" spans="3:63" x14ac:dyDescent="0.15">
      <c r="C785" s="624"/>
      <c r="D785" s="355">
        <v>4.0239999999999998E-2</v>
      </c>
      <c r="AV785" s="624"/>
      <c r="AX785" s="624">
        <v>39356</v>
      </c>
      <c r="AY785" s="355">
        <v>4.02E-2</v>
      </c>
      <c r="AZ785" s="624">
        <v>39421</v>
      </c>
      <c r="BA785" s="355">
        <v>1.84E-2</v>
      </c>
      <c r="BB785" s="624">
        <v>39352</v>
      </c>
      <c r="BC785" s="355">
        <v>0.3745</v>
      </c>
      <c r="BD785" s="624">
        <v>39353</v>
      </c>
      <c r="BE785" s="355">
        <v>0.10929999999999999</v>
      </c>
      <c r="BF785" s="624">
        <v>39377</v>
      </c>
      <c r="BG785" s="355">
        <v>2.5069000000000001E-2</v>
      </c>
      <c r="BH785" s="624">
        <v>39352</v>
      </c>
      <c r="BI785" s="355">
        <v>0.10942200000000001</v>
      </c>
      <c r="BJ785" s="624">
        <v>39352</v>
      </c>
      <c r="BK785" s="355">
        <v>3.1447000000000003E-2</v>
      </c>
    </row>
    <row r="786" spans="3:63" x14ac:dyDescent="0.15">
      <c r="C786" s="624"/>
      <c r="D786" s="355">
        <v>4.02E-2</v>
      </c>
      <c r="AV786" s="624"/>
      <c r="AX786" s="624">
        <v>39357</v>
      </c>
      <c r="AY786" s="355">
        <v>4.0079999999999998E-2</v>
      </c>
      <c r="AZ786" s="624">
        <v>39422</v>
      </c>
      <c r="BA786" s="355">
        <v>1.8499999999999999E-2</v>
      </c>
      <c r="BB786" s="624">
        <v>39353</v>
      </c>
      <c r="BC786" s="355">
        <v>0.37840000000000001</v>
      </c>
      <c r="BD786" s="624">
        <v>39356</v>
      </c>
      <c r="BE786" s="355">
        <v>0.10939</v>
      </c>
      <c r="BF786" s="624">
        <v>39378</v>
      </c>
      <c r="BG786" s="355">
        <v>2.5239999999999999E-2</v>
      </c>
      <c r="BH786" s="624">
        <v>39353</v>
      </c>
      <c r="BI786" s="355">
        <v>0.109308</v>
      </c>
      <c r="BJ786" s="624">
        <v>39353</v>
      </c>
      <c r="BK786" s="355">
        <v>3.1368E-2</v>
      </c>
    </row>
    <row r="787" spans="3:63" x14ac:dyDescent="0.15">
      <c r="C787" s="624"/>
      <c r="D787" s="355">
        <v>4.0079999999999998E-2</v>
      </c>
      <c r="AV787" s="624"/>
      <c r="AX787" s="624">
        <v>39358</v>
      </c>
      <c r="AY787" s="355">
        <v>3.9980000000000002E-2</v>
      </c>
      <c r="AZ787" s="624">
        <v>39423</v>
      </c>
      <c r="BA787" s="355">
        <v>1.84E-2</v>
      </c>
      <c r="BB787" s="624">
        <v>39356</v>
      </c>
      <c r="BC787" s="355">
        <v>0.378</v>
      </c>
      <c r="BD787" s="624">
        <v>39357</v>
      </c>
      <c r="BE787" s="355">
        <v>0.10913</v>
      </c>
      <c r="BF787" s="624">
        <v>39379</v>
      </c>
      <c r="BG787" s="355">
        <v>2.5271999999999999E-2</v>
      </c>
      <c r="BH787" s="624">
        <v>39356</v>
      </c>
      <c r="BI787" s="355">
        <v>0.10989</v>
      </c>
      <c r="BJ787" s="624">
        <v>39356</v>
      </c>
      <c r="BK787" s="355">
        <v>3.1413000000000003E-2</v>
      </c>
    </row>
    <row r="788" spans="3:63" x14ac:dyDescent="0.15">
      <c r="C788" s="624"/>
      <c r="D788" s="355">
        <v>3.9980000000000002E-2</v>
      </c>
      <c r="AV788" s="624"/>
      <c r="AX788" s="624">
        <v>39359</v>
      </c>
      <c r="AY788" s="355">
        <v>4.0050000000000002E-2</v>
      </c>
      <c r="AZ788" s="624">
        <v>39426</v>
      </c>
      <c r="BA788" s="355">
        <v>1.84E-2</v>
      </c>
      <c r="BB788" s="624">
        <v>39357</v>
      </c>
      <c r="BC788" s="355">
        <v>0.37530000000000002</v>
      </c>
      <c r="BD788" s="624">
        <v>39358</v>
      </c>
      <c r="BE788" s="355">
        <v>0.10917</v>
      </c>
      <c r="BF788" s="624">
        <v>39380</v>
      </c>
      <c r="BG788" s="355">
        <v>2.5277999999999998E-2</v>
      </c>
      <c r="BH788" s="624">
        <v>39357</v>
      </c>
      <c r="BI788" s="355">
        <v>0.10963100000000001</v>
      </c>
      <c r="BJ788" s="624">
        <v>39357</v>
      </c>
      <c r="BK788" s="355">
        <v>3.1545999999999998E-2</v>
      </c>
    </row>
    <row r="789" spans="3:63" x14ac:dyDescent="0.15">
      <c r="C789" s="624"/>
      <c r="D789" s="355">
        <v>4.0050000000000002E-2</v>
      </c>
      <c r="AV789" s="624"/>
      <c r="AX789" s="624">
        <v>39360</v>
      </c>
      <c r="AY789" s="355">
        <v>4.0050000000000002E-2</v>
      </c>
      <c r="AZ789" s="624">
        <v>39427</v>
      </c>
      <c r="BA789" s="355">
        <v>1.84E-2</v>
      </c>
      <c r="BB789" s="624">
        <v>39358</v>
      </c>
      <c r="BC789" s="355">
        <v>0.37319999999999998</v>
      </c>
      <c r="BD789" s="624">
        <v>39359</v>
      </c>
      <c r="BE789" s="355">
        <v>0.10909000000000001</v>
      </c>
      <c r="BF789" s="624">
        <v>39381</v>
      </c>
      <c r="BG789" s="355">
        <v>2.5322999999999998E-2</v>
      </c>
      <c r="BH789" s="624">
        <v>39358</v>
      </c>
      <c r="BI789" s="355">
        <v>0.109565</v>
      </c>
      <c r="BJ789" s="624">
        <v>39358</v>
      </c>
      <c r="BK789" s="355">
        <v>3.1600999999999997E-2</v>
      </c>
    </row>
    <row r="790" spans="3:63" x14ac:dyDescent="0.15">
      <c r="C790" s="624"/>
      <c r="D790" s="355">
        <v>4.0050000000000002E-2</v>
      </c>
      <c r="AV790" s="624"/>
      <c r="AX790" s="624">
        <v>39363</v>
      </c>
      <c r="AY790" s="355">
        <v>3.9919999999999997E-2</v>
      </c>
      <c r="AZ790" s="624">
        <v>39428</v>
      </c>
      <c r="BA790" s="355">
        <v>1.8499999999999999E-2</v>
      </c>
      <c r="BB790" s="624">
        <v>39359</v>
      </c>
      <c r="BC790" s="355">
        <v>0.37530000000000002</v>
      </c>
      <c r="BD790" s="624">
        <v>39360</v>
      </c>
      <c r="BE790" s="355">
        <v>0.10913</v>
      </c>
      <c r="BF790" s="624">
        <v>39384</v>
      </c>
      <c r="BG790" s="355">
        <v>2.5361999999999999E-2</v>
      </c>
      <c r="BH790" s="624">
        <v>39359</v>
      </c>
      <c r="BI790" s="355">
        <v>0.109607</v>
      </c>
      <c r="BJ790" s="624">
        <v>39359</v>
      </c>
      <c r="BK790" s="355">
        <v>3.1545999999999998E-2</v>
      </c>
    </row>
    <row r="791" spans="3:63" x14ac:dyDescent="0.15">
      <c r="C791" s="624"/>
      <c r="D791" s="355">
        <v>3.9919999999999997E-2</v>
      </c>
      <c r="AV791" s="624"/>
      <c r="AX791" s="624">
        <v>39364</v>
      </c>
      <c r="AY791" s="355">
        <v>4.0009999999999997E-2</v>
      </c>
      <c r="AZ791" s="624">
        <v>39429</v>
      </c>
      <c r="BA791" s="355">
        <v>1.8499999999999999E-2</v>
      </c>
      <c r="BB791" s="624">
        <v>39360</v>
      </c>
      <c r="BC791" s="355">
        <v>0.37540000000000001</v>
      </c>
      <c r="BD791" s="624">
        <v>39363</v>
      </c>
      <c r="BE791" s="355">
        <v>0.10919</v>
      </c>
      <c r="BF791" s="624">
        <v>39385</v>
      </c>
      <c r="BG791" s="355">
        <v>2.5409999999999999E-2</v>
      </c>
      <c r="BH791" s="624">
        <v>39360</v>
      </c>
      <c r="BI791" s="355">
        <v>0.110072</v>
      </c>
      <c r="BJ791" s="624">
        <v>39360</v>
      </c>
      <c r="BK791" s="355">
        <v>3.1822999999999997E-2</v>
      </c>
    </row>
    <row r="792" spans="3:63" x14ac:dyDescent="0.15">
      <c r="C792" s="624"/>
      <c r="D792" s="355">
        <v>4.0009999999999997E-2</v>
      </c>
      <c r="AV792" s="624"/>
      <c r="AX792" s="624">
        <v>39365</v>
      </c>
      <c r="AY792" s="355">
        <v>4.0070000000000001E-2</v>
      </c>
      <c r="AZ792" s="624">
        <v>39430</v>
      </c>
      <c r="BA792" s="355">
        <v>1.84E-2</v>
      </c>
      <c r="BB792" s="624">
        <v>39363</v>
      </c>
      <c r="BC792" s="355">
        <v>0.37419999999999998</v>
      </c>
      <c r="BD792" s="624">
        <v>39364</v>
      </c>
      <c r="BE792" s="355">
        <v>0.10886999999999999</v>
      </c>
      <c r="BF792" s="624">
        <v>39386</v>
      </c>
      <c r="BG792" s="355">
        <v>2.5436E-2</v>
      </c>
      <c r="BH792" s="624">
        <v>39363</v>
      </c>
      <c r="BI792" s="355">
        <v>0.10995099999999999</v>
      </c>
      <c r="BJ792" s="624">
        <v>39363</v>
      </c>
      <c r="BK792" s="355">
        <v>3.1732000000000003E-2</v>
      </c>
    </row>
    <row r="793" spans="3:63" x14ac:dyDescent="0.15">
      <c r="C793" s="624"/>
      <c r="D793" s="355">
        <v>4.0070000000000001E-2</v>
      </c>
      <c r="AV793" s="624"/>
      <c r="AX793" s="624">
        <v>39366</v>
      </c>
      <c r="AY793" s="355">
        <v>4.0140000000000002E-2</v>
      </c>
      <c r="AZ793" s="624">
        <v>39433</v>
      </c>
      <c r="BA793" s="355">
        <v>1.84E-2</v>
      </c>
      <c r="BB793" s="624">
        <v>39364</v>
      </c>
      <c r="BC793" s="355">
        <v>0.3765</v>
      </c>
      <c r="BD793" s="624">
        <v>39365</v>
      </c>
      <c r="BE793" s="355">
        <v>0.10868</v>
      </c>
      <c r="BF793" s="624">
        <v>39387</v>
      </c>
      <c r="BG793" s="355">
        <v>2.5336000000000001E-2</v>
      </c>
      <c r="BH793" s="624">
        <v>39364</v>
      </c>
      <c r="BI793" s="355">
        <v>0.110235</v>
      </c>
      <c r="BJ793" s="624">
        <v>39364</v>
      </c>
      <c r="BK793" s="355">
        <v>3.1746000000000003E-2</v>
      </c>
    </row>
    <row r="794" spans="3:63" x14ac:dyDescent="0.15">
      <c r="C794" s="624"/>
      <c r="D794" s="355">
        <v>4.0140000000000002E-2</v>
      </c>
      <c r="AV794" s="624"/>
      <c r="AX794" s="624">
        <v>39367</v>
      </c>
      <c r="AY794" s="355">
        <v>4.0120000000000003E-2</v>
      </c>
      <c r="AZ794" s="624">
        <v>39434</v>
      </c>
      <c r="BA794" s="355">
        <v>1.84E-2</v>
      </c>
      <c r="BB794" s="624">
        <v>39365</v>
      </c>
      <c r="BC794" s="355">
        <v>0.37659999999999999</v>
      </c>
      <c r="BD794" s="624">
        <v>39366</v>
      </c>
      <c r="BE794" s="355">
        <v>0.10904</v>
      </c>
      <c r="BF794" s="624">
        <v>39388</v>
      </c>
      <c r="BG794" s="355">
        <v>2.5381000000000001E-2</v>
      </c>
      <c r="BH794" s="624">
        <v>39365</v>
      </c>
      <c r="BI794" s="355">
        <v>0.110254</v>
      </c>
      <c r="BJ794" s="624">
        <v>39365</v>
      </c>
      <c r="BK794" s="355">
        <v>3.1772000000000002E-2</v>
      </c>
    </row>
    <row r="795" spans="3:63" x14ac:dyDescent="0.15">
      <c r="C795" s="624"/>
      <c r="D795" s="355">
        <v>4.0120000000000003E-2</v>
      </c>
      <c r="AV795" s="624"/>
      <c r="AX795" s="624">
        <v>39370</v>
      </c>
      <c r="AY795" s="355">
        <v>4.0160000000000001E-2</v>
      </c>
      <c r="AZ795" s="624">
        <v>39435</v>
      </c>
      <c r="BA795" s="355">
        <v>1.84E-2</v>
      </c>
      <c r="BB795" s="624">
        <v>39366</v>
      </c>
      <c r="BC795" s="355">
        <v>0.3805</v>
      </c>
      <c r="BD795" s="624">
        <v>39367</v>
      </c>
      <c r="BE795" s="355">
        <v>0.10894</v>
      </c>
      <c r="BF795" s="624">
        <v>39391</v>
      </c>
      <c r="BG795" s="355">
        <v>2.5413000000000002E-2</v>
      </c>
      <c r="BH795" s="624">
        <v>39366</v>
      </c>
      <c r="BI795" s="355">
        <v>0.110375</v>
      </c>
      <c r="BJ795" s="624">
        <v>39366</v>
      </c>
      <c r="BK795" s="355">
        <v>3.1801999999999997E-2</v>
      </c>
    </row>
    <row r="796" spans="3:63" x14ac:dyDescent="0.15">
      <c r="C796" s="624"/>
      <c r="D796" s="355">
        <v>4.0160000000000001E-2</v>
      </c>
      <c r="AV796" s="624"/>
      <c r="AX796" s="624">
        <v>39371</v>
      </c>
      <c r="AY796" s="355">
        <v>4.011E-2</v>
      </c>
      <c r="AZ796" s="624">
        <v>39436</v>
      </c>
      <c r="BA796" s="355">
        <v>1.84E-2</v>
      </c>
      <c r="BB796" s="624">
        <v>39367</v>
      </c>
      <c r="BC796" s="355">
        <v>0.38080000000000003</v>
      </c>
      <c r="BD796" s="624">
        <v>39370</v>
      </c>
      <c r="BE796" s="355">
        <v>0.10886999999999999</v>
      </c>
      <c r="BF796" s="624">
        <v>39392</v>
      </c>
      <c r="BG796" s="355">
        <v>2.5458000000000001E-2</v>
      </c>
      <c r="BH796" s="624">
        <v>39367</v>
      </c>
      <c r="BI796" s="355">
        <v>0.110314</v>
      </c>
      <c r="BJ796" s="624">
        <v>39367</v>
      </c>
      <c r="BK796" s="355">
        <v>3.1746000000000003E-2</v>
      </c>
    </row>
    <row r="797" spans="3:63" x14ac:dyDescent="0.15">
      <c r="C797" s="624"/>
      <c r="D797" s="355">
        <v>4.011E-2</v>
      </c>
      <c r="AV797" s="624"/>
      <c r="AX797" s="624">
        <v>39372</v>
      </c>
      <c r="AY797" s="355">
        <v>4.0160000000000001E-2</v>
      </c>
      <c r="AZ797" s="624">
        <v>39437</v>
      </c>
      <c r="BA797" s="355">
        <v>1.84E-2</v>
      </c>
      <c r="BB797" s="624">
        <v>39370</v>
      </c>
      <c r="BC797" s="355">
        <v>0.38290000000000002</v>
      </c>
      <c r="BD797" s="624">
        <v>39371</v>
      </c>
      <c r="BE797" s="355">
        <v>0.10886999999999999</v>
      </c>
      <c r="BF797" s="624">
        <v>39393</v>
      </c>
      <c r="BG797" s="355">
        <v>2.5440000000000001E-2</v>
      </c>
      <c r="BH797" s="624">
        <v>39370</v>
      </c>
      <c r="BI797" s="355">
        <v>0.109709</v>
      </c>
      <c r="BJ797" s="624">
        <v>39370</v>
      </c>
      <c r="BK797" s="355">
        <v>3.1781999999999998E-2</v>
      </c>
    </row>
    <row r="798" spans="3:63" x14ac:dyDescent="0.15">
      <c r="C798" s="624"/>
      <c r="D798" s="355">
        <v>4.0160000000000001E-2</v>
      </c>
      <c r="AV798" s="624"/>
      <c r="AX798" s="624">
        <v>39373</v>
      </c>
      <c r="AY798" s="355">
        <v>4.0300000000000002E-2</v>
      </c>
      <c r="AZ798" s="624">
        <v>39440</v>
      </c>
      <c r="BA798" s="355">
        <v>1.83E-2</v>
      </c>
      <c r="BB798" s="624">
        <v>39371</v>
      </c>
      <c r="BC798" s="355">
        <v>0.38169999999999998</v>
      </c>
      <c r="BD798" s="624">
        <v>39372</v>
      </c>
      <c r="BE798" s="355">
        <v>0.10893</v>
      </c>
      <c r="BF798" s="624">
        <v>39394</v>
      </c>
      <c r="BG798" s="355">
        <v>2.5427999999999999E-2</v>
      </c>
      <c r="BH798" s="624">
        <v>39371</v>
      </c>
      <c r="BI798" s="355">
        <v>0.10922999999999999</v>
      </c>
      <c r="BJ798" s="624">
        <v>39371</v>
      </c>
      <c r="BK798" s="355">
        <v>3.1796999999999999E-2</v>
      </c>
    </row>
    <row r="799" spans="3:63" x14ac:dyDescent="0.15">
      <c r="C799" s="624"/>
      <c r="D799" s="355">
        <v>4.0300000000000002E-2</v>
      </c>
      <c r="AV799" s="624"/>
      <c r="AX799" s="624">
        <v>39374</v>
      </c>
      <c r="AY799" s="355">
        <v>4.0289999999999999E-2</v>
      </c>
      <c r="AZ799" s="624">
        <v>39441</v>
      </c>
      <c r="BA799" s="355">
        <v>1.8100000000000002E-2</v>
      </c>
      <c r="BB799" s="624">
        <v>39372</v>
      </c>
      <c r="BC799" s="355">
        <v>0.3831</v>
      </c>
      <c r="BD799" s="624">
        <v>39373</v>
      </c>
      <c r="BE799" s="355">
        <v>0.10897</v>
      </c>
      <c r="BF799" s="624">
        <v>39395</v>
      </c>
      <c r="BG799" s="355">
        <v>2.5444999999999999E-2</v>
      </c>
      <c r="BH799" s="624">
        <v>39372</v>
      </c>
      <c r="BI799" s="355">
        <v>0.10985399999999999</v>
      </c>
      <c r="BJ799" s="624">
        <v>39372</v>
      </c>
      <c r="BK799" s="355">
        <v>3.1648000000000003E-2</v>
      </c>
    </row>
    <row r="800" spans="3:63" x14ac:dyDescent="0.15">
      <c r="C800" s="624"/>
      <c r="D800" s="355">
        <v>4.0289999999999999E-2</v>
      </c>
      <c r="AV800" s="624"/>
      <c r="AX800" s="624">
        <v>39377</v>
      </c>
      <c r="AY800" s="355">
        <v>4.011E-2</v>
      </c>
      <c r="AZ800" s="624">
        <v>39442</v>
      </c>
      <c r="BA800" s="355">
        <v>1.77E-2</v>
      </c>
      <c r="BB800" s="624">
        <v>39373</v>
      </c>
      <c r="BC800" s="355">
        <v>0.38750000000000001</v>
      </c>
      <c r="BD800" s="624">
        <v>39374</v>
      </c>
      <c r="BE800" s="355">
        <v>0.10911</v>
      </c>
      <c r="BF800" s="624">
        <v>39398</v>
      </c>
      <c r="BG800" s="355">
        <v>2.5406999999999999E-2</v>
      </c>
      <c r="BH800" s="624">
        <v>39373</v>
      </c>
      <c r="BI800" s="355">
        <v>0.10976900000000001</v>
      </c>
      <c r="BJ800" s="624">
        <v>39373</v>
      </c>
      <c r="BK800" s="355">
        <v>3.1725999999999997E-2</v>
      </c>
    </row>
    <row r="801" spans="3:63" x14ac:dyDescent="0.15">
      <c r="C801" s="624"/>
      <c r="D801" s="355">
        <v>4.011E-2</v>
      </c>
      <c r="AV801" s="624"/>
      <c r="AX801" s="624">
        <v>39378</v>
      </c>
      <c r="AY801" s="355">
        <v>4.0230000000000002E-2</v>
      </c>
      <c r="AZ801" s="624">
        <v>39443</v>
      </c>
      <c r="BA801" s="355">
        <v>1.83E-2</v>
      </c>
      <c r="BB801" s="624">
        <v>39374</v>
      </c>
      <c r="BC801" s="355">
        <v>0.38779999999999998</v>
      </c>
      <c r="BD801" s="624">
        <v>39377</v>
      </c>
      <c r="BE801" s="355">
        <v>0.10893</v>
      </c>
      <c r="BF801" s="624">
        <v>39399</v>
      </c>
      <c r="BG801" s="355">
        <v>2.5364999999999999E-2</v>
      </c>
      <c r="BH801" s="624">
        <v>39374</v>
      </c>
      <c r="BI801" s="355">
        <v>0.110011</v>
      </c>
      <c r="BJ801" s="624">
        <v>39374</v>
      </c>
      <c r="BK801" s="355">
        <v>3.1736E-2</v>
      </c>
    </row>
    <row r="802" spans="3:63" x14ac:dyDescent="0.15">
      <c r="C802" s="624"/>
      <c r="D802" s="355">
        <v>4.0230000000000002E-2</v>
      </c>
      <c r="AV802" s="624"/>
      <c r="AX802" s="624">
        <v>39379</v>
      </c>
      <c r="AY802" s="355">
        <v>4.0230000000000002E-2</v>
      </c>
      <c r="AZ802" s="624">
        <v>39444</v>
      </c>
      <c r="BA802" s="355">
        <v>1.8700000000000001E-2</v>
      </c>
      <c r="BB802" s="624">
        <v>39377</v>
      </c>
      <c r="BC802" s="355">
        <v>0.3886</v>
      </c>
      <c r="BD802" s="624">
        <v>39378</v>
      </c>
      <c r="BE802" s="355">
        <v>0.10886999999999999</v>
      </c>
      <c r="BF802" s="624">
        <v>39400</v>
      </c>
      <c r="BG802" s="355">
        <v>2.5433999999999998E-2</v>
      </c>
      <c r="BH802" s="624">
        <v>39377</v>
      </c>
      <c r="BI802" s="355">
        <v>0.10940900000000001</v>
      </c>
      <c r="BJ802" s="624">
        <v>39377</v>
      </c>
      <c r="BK802" s="355">
        <v>3.1751000000000001E-2</v>
      </c>
    </row>
    <row r="803" spans="3:63" x14ac:dyDescent="0.15">
      <c r="C803" s="624"/>
      <c r="D803" s="355">
        <v>4.0230000000000002E-2</v>
      </c>
      <c r="AV803" s="624"/>
      <c r="AX803" s="624">
        <v>39380</v>
      </c>
      <c r="AY803" s="355">
        <v>4.0309999999999999E-2</v>
      </c>
      <c r="AZ803" s="624">
        <v>39447</v>
      </c>
      <c r="BA803" s="355">
        <v>1.8499999999999999E-2</v>
      </c>
      <c r="BB803" s="624">
        <v>39378</v>
      </c>
      <c r="BC803" s="355">
        <v>0.38900000000000001</v>
      </c>
      <c r="BD803" s="624">
        <v>39379</v>
      </c>
      <c r="BE803" s="355">
        <v>0.10891000000000001</v>
      </c>
      <c r="BF803" s="624">
        <v>39401</v>
      </c>
      <c r="BG803" s="355">
        <v>2.5453E-2</v>
      </c>
      <c r="BH803" s="624">
        <v>39378</v>
      </c>
      <c r="BI803" s="355">
        <v>0.10940900000000001</v>
      </c>
      <c r="BJ803" s="624">
        <v>39378</v>
      </c>
      <c r="BK803" s="355">
        <v>3.1607999999999997E-2</v>
      </c>
    </row>
    <row r="804" spans="3:63" x14ac:dyDescent="0.15">
      <c r="C804" s="624"/>
      <c r="D804" s="355">
        <v>4.0309999999999999E-2</v>
      </c>
      <c r="AV804" s="624"/>
      <c r="AX804" s="624">
        <v>39381</v>
      </c>
      <c r="AY804" s="355">
        <v>4.045E-2</v>
      </c>
      <c r="AZ804" s="624">
        <v>39448</v>
      </c>
      <c r="BA804" s="355">
        <v>1.8499999999999999E-2</v>
      </c>
      <c r="BB804" s="624">
        <v>39379</v>
      </c>
      <c r="BC804" s="355">
        <v>0.39050000000000001</v>
      </c>
      <c r="BD804" s="624">
        <v>39380</v>
      </c>
      <c r="BE804" s="355">
        <v>0.10911999999999999</v>
      </c>
      <c r="BF804" s="624">
        <v>39402</v>
      </c>
      <c r="BG804" s="355">
        <v>2.5429E-2</v>
      </c>
      <c r="BH804" s="624">
        <v>39379</v>
      </c>
      <c r="BI804" s="355">
        <v>0.10899200000000001</v>
      </c>
      <c r="BJ804" s="624">
        <v>39379</v>
      </c>
      <c r="BK804" s="355">
        <v>3.1181E-2</v>
      </c>
    </row>
    <row r="805" spans="3:63" x14ac:dyDescent="0.15">
      <c r="C805" s="624"/>
      <c r="D805" s="355">
        <v>4.045E-2</v>
      </c>
      <c r="AV805" s="624"/>
      <c r="AX805" s="624">
        <v>39384</v>
      </c>
      <c r="AY805" s="355">
        <v>4.0489999999999998E-2</v>
      </c>
      <c r="AZ805" s="624">
        <v>39449</v>
      </c>
      <c r="BA805" s="355">
        <v>1.8700000000000001E-2</v>
      </c>
      <c r="BB805" s="624">
        <v>39380</v>
      </c>
      <c r="BC805" s="355">
        <v>0.39489999999999997</v>
      </c>
      <c r="BD805" s="624">
        <v>39381</v>
      </c>
      <c r="BE805" s="355">
        <v>0.10995000000000001</v>
      </c>
      <c r="BF805" s="624">
        <v>39405</v>
      </c>
      <c r="BG805" s="355">
        <v>2.5416000000000001E-2</v>
      </c>
      <c r="BH805" s="624">
        <v>39380</v>
      </c>
      <c r="BI805" s="355">
        <v>0.109182</v>
      </c>
      <c r="BJ805" s="624">
        <v>39380</v>
      </c>
      <c r="BK805" s="355">
        <v>3.1696000000000002E-2</v>
      </c>
    </row>
    <row r="806" spans="3:63" x14ac:dyDescent="0.15">
      <c r="C806" s="624"/>
      <c r="D806" s="355">
        <v>4.0489999999999998E-2</v>
      </c>
      <c r="AV806" s="624"/>
      <c r="AX806" s="624">
        <v>39385</v>
      </c>
      <c r="AY806" s="355">
        <v>4.0509999999999997E-2</v>
      </c>
      <c r="AZ806" s="624">
        <v>39450</v>
      </c>
      <c r="BA806" s="355">
        <v>1.8700000000000001E-2</v>
      </c>
      <c r="BB806" s="624">
        <v>39381</v>
      </c>
      <c r="BC806" s="355">
        <v>0.39839999999999998</v>
      </c>
      <c r="BD806" s="624">
        <v>39384</v>
      </c>
      <c r="BE806" s="355">
        <v>0.10989</v>
      </c>
      <c r="BF806" s="624">
        <v>39406</v>
      </c>
      <c r="BG806" s="355">
        <v>2.5405E-2</v>
      </c>
      <c r="BH806" s="624">
        <v>39381</v>
      </c>
      <c r="BI806" s="355">
        <v>0.10958900000000001</v>
      </c>
      <c r="BJ806" s="624">
        <v>39381</v>
      </c>
      <c r="BK806" s="355">
        <v>3.1378999999999997E-2</v>
      </c>
    </row>
    <row r="807" spans="3:63" x14ac:dyDescent="0.15">
      <c r="C807" s="624"/>
      <c r="D807" s="355">
        <v>4.0509999999999997E-2</v>
      </c>
      <c r="AV807" s="624"/>
      <c r="AX807" s="624">
        <v>39386</v>
      </c>
      <c r="AY807" s="355">
        <v>4.0559999999999999E-2</v>
      </c>
      <c r="AZ807" s="624">
        <v>39451</v>
      </c>
      <c r="BA807" s="355">
        <v>1.7899999999999999E-2</v>
      </c>
      <c r="BB807" s="624">
        <v>39384</v>
      </c>
      <c r="BC807" s="355">
        <v>0.39810000000000001</v>
      </c>
      <c r="BD807" s="624">
        <v>39385</v>
      </c>
      <c r="BE807" s="355">
        <v>0.11028</v>
      </c>
      <c r="BF807" s="624">
        <v>39407</v>
      </c>
      <c r="BG807" s="355">
        <v>2.5384E-2</v>
      </c>
      <c r="BH807" s="624">
        <v>39384</v>
      </c>
      <c r="BI807" s="355">
        <v>0.110011</v>
      </c>
      <c r="BJ807" s="624">
        <v>39384</v>
      </c>
      <c r="BK807" s="355">
        <v>3.1612000000000001E-2</v>
      </c>
    </row>
    <row r="808" spans="3:63" x14ac:dyDescent="0.15">
      <c r="C808" s="624"/>
      <c r="D808" s="355">
        <v>4.0559999999999999E-2</v>
      </c>
      <c r="AV808" s="624"/>
      <c r="AX808" s="624">
        <v>39387</v>
      </c>
      <c r="AY808" s="355">
        <v>4.0480000000000002E-2</v>
      </c>
      <c r="AZ808" s="624">
        <v>39454</v>
      </c>
      <c r="BA808" s="355">
        <v>1.78E-2</v>
      </c>
      <c r="BB808" s="624">
        <v>39385</v>
      </c>
      <c r="BC808" s="355">
        <v>0.39689999999999998</v>
      </c>
      <c r="BD808" s="624">
        <v>39386</v>
      </c>
      <c r="BE808" s="355">
        <v>0.11083999999999999</v>
      </c>
      <c r="BF808" s="624">
        <v>39408</v>
      </c>
      <c r="BG808" s="355">
        <v>2.5302000000000002E-2</v>
      </c>
      <c r="BH808" s="624">
        <v>39385</v>
      </c>
      <c r="BI808" s="355">
        <v>0.10986</v>
      </c>
      <c r="BJ808" s="624">
        <v>39385</v>
      </c>
      <c r="BK808" s="355">
        <v>3.1505999999999999E-2</v>
      </c>
    </row>
    <row r="809" spans="3:63" x14ac:dyDescent="0.15">
      <c r="C809" s="624"/>
      <c r="D809" s="355">
        <v>4.0480000000000002E-2</v>
      </c>
      <c r="AV809" s="624"/>
      <c r="AX809" s="624">
        <v>39388</v>
      </c>
      <c r="AY809" s="355">
        <v>4.0599999999999997E-2</v>
      </c>
      <c r="AZ809" s="624">
        <v>39455</v>
      </c>
      <c r="BA809" s="355">
        <v>1.7899999999999999E-2</v>
      </c>
      <c r="BB809" s="624">
        <v>39386</v>
      </c>
      <c r="BC809" s="355">
        <v>0.3997</v>
      </c>
      <c r="BD809" s="624">
        <v>39387</v>
      </c>
      <c r="BE809" s="355">
        <v>0.10995000000000001</v>
      </c>
      <c r="BF809" s="624">
        <v>39409</v>
      </c>
      <c r="BG809" s="355">
        <v>2.5183000000000001E-2</v>
      </c>
      <c r="BH809" s="624">
        <v>39386</v>
      </c>
      <c r="BI809" s="355">
        <v>0.109987</v>
      </c>
      <c r="BJ809" s="624">
        <v>39386</v>
      </c>
      <c r="BK809" s="355">
        <v>3.1586999999999997E-2</v>
      </c>
    </row>
    <row r="810" spans="3:63" x14ac:dyDescent="0.15">
      <c r="C810" s="624"/>
      <c r="D810" s="355">
        <v>4.0599999999999997E-2</v>
      </c>
      <c r="AV810" s="624"/>
      <c r="AX810" s="624">
        <v>39391</v>
      </c>
      <c r="AY810" s="355">
        <v>4.0550000000000003E-2</v>
      </c>
      <c r="AZ810" s="624">
        <v>39456</v>
      </c>
      <c r="BA810" s="355">
        <v>1.77E-2</v>
      </c>
      <c r="BB810" s="624">
        <v>39387</v>
      </c>
      <c r="BC810" s="355">
        <v>0.39419999999999999</v>
      </c>
      <c r="BD810" s="624">
        <v>39388</v>
      </c>
      <c r="BE810" s="355">
        <v>0.11022</v>
      </c>
      <c r="BF810" s="624">
        <v>39412</v>
      </c>
      <c r="BG810" s="355">
        <v>2.5167999999999999E-2</v>
      </c>
      <c r="BH810" s="624">
        <v>39387</v>
      </c>
      <c r="BI810" s="355">
        <v>0.10929</v>
      </c>
      <c r="BJ810" s="624">
        <v>39387</v>
      </c>
      <c r="BK810" s="355">
        <v>3.1595999999999999E-2</v>
      </c>
    </row>
    <row r="811" spans="3:63" x14ac:dyDescent="0.15">
      <c r="C811" s="624"/>
      <c r="D811" s="355">
        <v>4.0550000000000003E-2</v>
      </c>
      <c r="AV811" s="624"/>
      <c r="AX811" s="624">
        <v>39392</v>
      </c>
      <c r="AY811" s="355">
        <v>4.0680000000000001E-2</v>
      </c>
      <c r="AZ811" s="624">
        <v>39457</v>
      </c>
      <c r="BA811" s="355">
        <v>1.7899999999999999E-2</v>
      </c>
      <c r="BB811" s="624">
        <v>39388</v>
      </c>
      <c r="BC811" s="355">
        <v>0.3977</v>
      </c>
      <c r="BD811" s="624">
        <v>39391</v>
      </c>
      <c r="BE811" s="355">
        <v>0.10994</v>
      </c>
      <c r="BF811" s="624">
        <v>39413</v>
      </c>
      <c r="BG811" s="355">
        <v>2.5138000000000001E-2</v>
      </c>
      <c r="BH811" s="624">
        <v>39388</v>
      </c>
      <c r="BI811" s="355">
        <v>0.10976900000000001</v>
      </c>
      <c r="BJ811" s="624">
        <v>39388</v>
      </c>
      <c r="BK811" s="355">
        <v>3.1470999999999999E-2</v>
      </c>
    </row>
    <row r="812" spans="3:63" x14ac:dyDescent="0.15">
      <c r="C812" s="624"/>
      <c r="D812" s="355">
        <v>4.0680000000000001E-2</v>
      </c>
      <c r="AV812" s="624"/>
      <c r="AX812" s="624">
        <v>39393</v>
      </c>
      <c r="AY812" s="355">
        <v>4.0820000000000002E-2</v>
      </c>
      <c r="AZ812" s="624">
        <v>39458</v>
      </c>
      <c r="BA812" s="355">
        <v>1.78E-2</v>
      </c>
      <c r="BB812" s="624">
        <v>39391</v>
      </c>
      <c r="BC812" s="355">
        <v>0.39700000000000002</v>
      </c>
      <c r="BD812" s="624">
        <v>39392</v>
      </c>
      <c r="BE812" s="355">
        <v>0.11018</v>
      </c>
      <c r="BF812" s="624">
        <v>39414</v>
      </c>
      <c r="BG812" s="355">
        <v>2.5139999999999999E-2</v>
      </c>
      <c r="BH812" s="624">
        <v>39391</v>
      </c>
      <c r="BI812" s="355">
        <v>0.109135</v>
      </c>
      <c r="BJ812" s="624">
        <v>39391</v>
      </c>
      <c r="BK812" s="355">
        <v>3.1586000000000003E-2</v>
      </c>
    </row>
    <row r="813" spans="3:63" x14ac:dyDescent="0.15">
      <c r="C813" s="624"/>
      <c r="D813" s="355">
        <v>4.0820000000000002E-2</v>
      </c>
      <c r="AV813" s="624"/>
      <c r="AX813" s="624">
        <v>39394</v>
      </c>
      <c r="AY813" s="355">
        <v>4.088E-2</v>
      </c>
      <c r="AZ813" s="624">
        <v>39461</v>
      </c>
      <c r="BA813" s="355">
        <v>1.8200000000000001E-2</v>
      </c>
      <c r="BB813" s="624">
        <v>39392</v>
      </c>
      <c r="BC813" s="355">
        <v>0.40079999999999999</v>
      </c>
      <c r="BD813" s="624">
        <v>39393</v>
      </c>
      <c r="BE813" s="355">
        <v>0.11022999999999999</v>
      </c>
      <c r="BF813" s="624">
        <v>39415</v>
      </c>
      <c r="BG813" s="355">
        <v>2.5152999999999998E-2</v>
      </c>
      <c r="BH813" s="624">
        <v>39392</v>
      </c>
      <c r="BI813" s="355">
        <v>0.109679</v>
      </c>
      <c r="BJ813" s="624">
        <v>39392</v>
      </c>
      <c r="BK813" s="355">
        <v>3.1718000000000003E-2</v>
      </c>
    </row>
    <row r="814" spans="3:63" x14ac:dyDescent="0.15">
      <c r="C814" s="624"/>
      <c r="D814" s="355">
        <v>4.088E-2</v>
      </c>
      <c r="AV814" s="624"/>
      <c r="AX814" s="624">
        <v>39395</v>
      </c>
      <c r="AY814" s="355">
        <v>4.0890000000000003E-2</v>
      </c>
      <c r="AZ814" s="624">
        <v>39462</v>
      </c>
      <c r="BA814" s="355">
        <v>1.83E-2</v>
      </c>
      <c r="BB814" s="624">
        <v>39393</v>
      </c>
      <c r="BC814" s="355">
        <v>0.40189999999999998</v>
      </c>
      <c r="BD814" s="624">
        <v>39394</v>
      </c>
      <c r="BE814" s="355">
        <v>0.11022</v>
      </c>
      <c r="BF814" s="624">
        <v>39416</v>
      </c>
      <c r="BG814" s="355">
        <v>2.5246000000000001E-2</v>
      </c>
      <c r="BH814" s="624">
        <v>39393</v>
      </c>
      <c r="BI814" s="355">
        <v>0.10931399999999999</v>
      </c>
      <c r="BJ814" s="624">
        <v>39393</v>
      </c>
      <c r="BK814" s="355">
        <v>3.1701E-2</v>
      </c>
    </row>
    <row r="815" spans="3:63" x14ac:dyDescent="0.15">
      <c r="C815" s="624"/>
      <c r="D815" s="355">
        <v>4.0890000000000003E-2</v>
      </c>
      <c r="AV815" s="624"/>
      <c r="AX815" s="624">
        <v>39398</v>
      </c>
      <c r="AY815" s="355">
        <v>4.0640000000000003E-2</v>
      </c>
      <c r="AZ815" s="624">
        <v>39463</v>
      </c>
      <c r="BA815" s="355">
        <v>1.7999999999999999E-2</v>
      </c>
      <c r="BB815" s="624">
        <v>39394</v>
      </c>
      <c r="BC815" s="355">
        <v>0.40400000000000003</v>
      </c>
      <c r="BD815" s="624">
        <v>39395</v>
      </c>
      <c r="BE815" s="355">
        <v>0.10983</v>
      </c>
      <c r="BF815" s="624">
        <v>39419</v>
      </c>
      <c r="BG815" s="355">
        <v>2.5316000000000002E-2</v>
      </c>
      <c r="BH815" s="624">
        <v>39394</v>
      </c>
      <c r="BI815" s="355">
        <v>0.109349</v>
      </c>
      <c r="BJ815" s="624">
        <v>39394</v>
      </c>
      <c r="BK815" s="355">
        <v>3.1655999999999997E-2</v>
      </c>
    </row>
    <row r="816" spans="3:63" x14ac:dyDescent="0.15">
      <c r="C816" s="624"/>
      <c r="D816" s="355">
        <v>4.0640000000000003E-2</v>
      </c>
      <c r="AV816" s="624"/>
      <c r="AX816" s="624">
        <v>39399</v>
      </c>
      <c r="AY816" s="355">
        <v>4.0750000000000001E-2</v>
      </c>
      <c r="AZ816" s="624">
        <v>39464</v>
      </c>
      <c r="BA816" s="355">
        <v>1.7999999999999999E-2</v>
      </c>
      <c r="BB816" s="624">
        <v>39395</v>
      </c>
      <c r="BC816" s="355">
        <v>0.40329999999999999</v>
      </c>
      <c r="BD816" s="624">
        <v>39398</v>
      </c>
      <c r="BE816" s="355">
        <v>0.10942</v>
      </c>
      <c r="BF816" s="624">
        <v>39420</v>
      </c>
      <c r="BG816" s="355">
        <v>2.5371000000000001E-2</v>
      </c>
      <c r="BH816" s="624">
        <v>39395</v>
      </c>
      <c r="BI816" s="355">
        <v>0.10940900000000001</v>
      </c>
      <c r="BJ816" s="624">
        <v>39395</v>
      </c>
      <c r="BK816" s="355">
        <v>3.1716000000000001E-2</v>
      </c>
    </row>
    <row r="817" spans="3:63" x14ac:dyDescent="0.15">
      <c r="C817" s="624"/>
      <c r="D817" s="355">
        <v>4.0750000000000001E-2</v>
      </c>
      <c r="AV817" s="624"/>
      <c r="AX817" s="624">
        <v>39400</v>
      </c>
      <c r="AY817" s="355">
        <v>4.0829999999999998E-2</v>
      </c>
      <c r="AZ817" s="624">
        <v>39465</v>
      </c>
      <c r="BA817" s="355">
        <v>1.7999999999999999E-2</v>
      </c>
      <c r="BB817" s="624">
        <v>39398</v>
      </c>
      <c r="BC817" s="355">
        <v>0.39889999999999998</v>
      </c>
      <c r="BD817" s="624">
        <v>39399</v>
      </c>
      <c r="BE817" s="355">
        <v>0.10945000000000001</v>
      </c>
      <c r="BF817" s="624">
        <v>39421</v>
      </c>
      <c r="BG817" s="355">
        <v>2.5322999999999998E-2</v>
      </c>
      <c r="BH817" s="624">
        <v>39398</v>
      </c>
      <c r="BI817" s="355">
        <v>0.108932</v>
      </c>
      <c r="BJ817" s="624">
        <v>39398</v>
      </c>
      <c r="BK817" s="355">
        <v>3.1565999999999997E-2</v>
      </c>
    </row>
    <row r="818" spans="3:63" x14ac:dyDescent="0.15">
      <c r="C818" s="624"/>
      <c r="D818" s="355">
        <v>4.0829999999999998E-2</v>
      </c>
      <c r="AV818" s="624"/>
      <c r="AX818" s="624">
        <v>39401</v>
      </c>
      <c r="AY818" s="355">
        <v>4.0770000000000001E-2</v>
      </c>
      <c r="AZ818" s="624">
        <v>39468</v>
      </c>
      <c r="BA818" s="355">
        <v>1.7899999999999999E-2</v>
      </c>
      <c r="BB818" s="624">
        <v>39399</v>
      </c>
      <c r="BC818" s="355">
        <v>0.40129999999999999</v>
      </c>
      <c r="BD818" s="624">
        <v>39400</v>
      </c>
      <c r="BE818" s="355">
        <v>0.10931</v>
      </c>
      <c r="BF818" s="624">
        <v>39422</v>
      </c>
      <c r="BG818" s="355">
        <v>2.5323999999999999E-2</v>
      </c>
      <c r="BH818" s="624">
        <v>39399</v>
      </c>
      <c r="BI818" s="355">
        <v>0.108932</v>
      </c>
      <c r="BJ818" s="624">
        <v>39399</v>
      </c>
      <c r="BK818" s="355">
        <v>3.1666E-2</v>
      </c>
    </row>
    <row r="819" spans="3:63" x14ac:dyDescent="0.15">
      <c r="C819" s="624"/>
      <c r="D819" s="355">
        <v>4.0770000000000001E-2</v>
      </c>
      <c r="AV819" s="624"/>
      <c r="AX819" s="624">
        <v>39402</v>
      </c>
      <c r="AY819" s="355">
        <v>4.0849999999999997E-2</v>
      </c>
      <c r="AZ819" s="624">
        <v>39469</v>
      </c>
      <c r="BA819" s="355">
        <v>1.8100000000000002E-2</v>
      </c>
      <c r="BB819" s="624">
        <v>39400</v>
      </c>
      <c r="BC819" s="355">
        <v>0.40200000000000002</v>
      </c>
      <c r="BD819" s="624">
        <v>39401</v>
      </c>
      <c r="BE819" s="355">
        <v>0.10896</v>
      </c>
      <c r="BF819" s="624">
        <v>39423</v>
      </c>
      <c r="BG819" s="355">
        <v>2.5378000000000001E-2</v>
      </c>
      <c r="BH819" s="624">
        <v>39400</v>
      </c>
      <c r="BI819" s="355">
        <v>0.108572</v>
      </c>
      <c r="BJ819" s="624">
        <v>39400</v>
      </c>
      <c r="BK819" s="355">
        <v>3.1738000000000002E-2</v>
      </c>
    </row>
    <row r="820" spans="3:63" x14ac:dyDescent="0.15">
      <c r="C820" s="624"/>
      <c r="D820" s="355">
        <v>4.0849999999999997E-2</v>
      </c>
      <c r="AV820" s="624"/>
      <c r="AX820" s="624">
        <v>39405</v>
      </c>
      <c r="AY820" s="355">
        <v>4.0849999999999997E-2</v>
      </c>
      <c r="AZ820" s="624">
        <v>39470</v>
      </c>
      <c r="BA820" s="355">
        <v>1.78E-2</v>
      </c>
      <c r="BB820" s="624">
        <v>39401</v>
      </c>
      <c r="BC820" s="355">
        <v>0.39839999999999998</v>
      </c>
      <c r="BD820" s="624">
        <v>39402</v>
      </c>
      <c r="BE820" s="355">
        <v>0.109</v>
      </c>
      <c r="BF820" s="624">
        <v>39426</v>
      </c>
      <c r="BG820" s="355">
        <v>2.5375999999999999E-2</v>
      </c>
      <c r="BH820" s="624">
        <v>39401</v>
      </c>
      <c r="BI820" s="355">
        <v>0.10695200000000001</v>
      </c>
      <c r="BJ820" s="624">
        <v>39401</v>
      </c>
      <c r="BK820" s="355">
        <v>3.1717000000000002E-2</v>
      </c>
    </row>
    <row r="821" spans="3:63" x14ac:dyDescent="0.15">
      <c r="C821" s="624"/>
      <c r="D821" s="355">
        <v>4.0849999999999997E-2</v>
      </c>
      <c r="AV821" s="624"/>
      <c r="AX821" s="624">
        <v>39406</v>
      </c>
      <c r="AY821" s="355">
        <v>4.1110000000000001E-2</v>
      </c>
      <c r="AZ821" s="624">
        <v>39471</v>
      </c>
      <c r="BA821" s="355">
        <v>1.78E-2</v>
      </c>
      <c r="BB821" s="624">
        <v>39402</v>
      </c>
      <c r="BC821" s="355">
        <v>0.39900000000000002</v>
      </c>
      <c r="BD821" s="624">
        <v>39405</v>
      </c>
      <c r="BE821" s="355">
        <v>0.1086</v>
      </c>
      <c r="BF821" s="624">
        <v>39427</v>
      </c>
      <c r="BG821" s="355">
        <v>2.5423000000000001E-2</v>
      </c>
      <c r="BH821" s="624">
        <v>39402</v>
      </c>
      <c r="BI821" s="355">
        <v>0.107296</v>
      </c>
      <c r="BJ821" s="624">
        <v>39402</v>
      </c>
      <c r="BK821" s="355">
        <v>3.1775999999999999E-2</v>
      </c>
    </row>
    <row r="822" spans="3:63" x14ac:dyDescent="0.15">
      <c r="C822" s="624"/>
      <c r="D822" s="355">
        <v>4.1110000000000001E-2</v>
      </c>
      <c r="AV822" s="624"/>
      <c r="AX822" s="624">
        <v>39407</v>
      </c>
      <c r="AY822" s="355">
        <v>4.1140000000000003E-2</v>
      </c>
      <c r="AZ822" s="624">
        <v>39472</v>
      </c>
      <c r="BA822" s="355">
        <v>1.78E-2</v>
      </c>
      <c r="BB822" s="624">
        <v>39405</v>
      </c>
      <c r="BC822" s="355">
        <v>0.39700000000000002</v>
      </c>
      <c r="BD822" s="624">
        <v>39406</v>
      </c>
      <c r="BE822" s="355">
        <v>0.10825</v>
      </c>
      <c r="BF822" s="624">
        <v>39428</v>
      </c>
      <c r="BG822" s="355">
        <v>2.5396999999999999E-2</v>
      </c>
      <c r="BH822" s="624">
        <v>39405</v>
      </c>
      <c r="BI822" s="355">
        <v>0.106781</v>
      </c>
      <c r="BJ822" s="624">
        <v>39405</v>
      </c>
      <c r="BK822" s="355">
        <v>3.1761999999999999E-2</v>
      </c>
    </row>
    <row r="823" spans="3:63" x14ac:dyDescent="0.15">
      <c r="C823" s="624"/>
      <c r="D823" s="355">
        <v>4.1140000000000003E-2</v>
      </c>
      <c r="AV823" s="624"/>
      <c r="AX823" s="624">
        <v>39408</v>
      </c>
      <c r="AY823" s="355">
        <v>4.113E-2</v>
      </c>
      <c r="AZ823" s="624">
        <v>39475</v>
      </c>
      <c r="BA823" s="355">
        <v>1.7899999999999999E-2</v>
      </c>
      <c r="BB823" s="624">
        <v>39406</v>
      </c>
      <c r="BC823" s="355">
        <v>0.40410000000000001</v>
      </c>
      <c r="BD823" s="624">
        <v>39407</v>
      </c>
      <c r="BE823" s="355">
        <v>0.10725999999999999</v>
      </c>
      <c r="BF823" s="624">
        <v>39429</v>
      </c>
      <c r="BG823" s="355">
        <v>2.5378999999999999E-2</v>
      </c>
      <c r="BH823" s="624">
        <v>39406</v>
      </c>
      <c r="BI823" s="355">
        <v>0.107239</v>
      </c>
      <c r="BJ823" s="624">
        <v>39406</v>
      </c>
      <c r="BK823" s="355">
        <v>3.1760999999999998E-2</v>
      </c>
    </row>
    <row r="824" spans="3:63" x14ac:dyDescent="0.15">
      <c r="C824" s="624"/>
      <c r="D824" s="355">
        <v>4.113E-2</v>
      </c>
      <c r="AV824" s="624"/>
      <c r="AX824" s="624">
        <v>39409</v>
      </c>
      <c r="AY824" s="355">
        <v>4.1119999999999997E-2</v>
      </c>
      <c r="AZ824" s="624">
        <v>39476</v>
      </c>
      <c r="BA824" s="355">
        <v>1.7899999999999999E-2</v>
      </c>
      <c r="BB824" s="624">
        <v>39407</v>
      </c>
      <c r="BC824" s="355">
        <v>0.4027</v>
      </c>
      <c r="BD824" s="624">
        <v>39408</v>
      </c>
      <c r="BE824" s="355">
        <v>0.10711</v>
      </c>
      <c r="BF824" s="624">
        <v>39430</v>
      </c>
      <c r="BG824" s="355">
        <v>2.5419000000000001E-2</v>
      </c>
      <c r="BH824" s="624">
        <v>39407</v>
      </c>
      <c r="BI824" s="355">
        <v>0.105876</v>
      </c>
      <c r="BJ824" s="624">
        <v>39407</v>
      </c>
      <c r="BK824" s="355">
        <v>3.1766000000000003E-2</v>
      </c>
    </row>
    <row r="825" spans="3:63" x14ac:dyDescent="0.15">
      <c r="C825" s="624"/>
      <c r="D825" s="355">
        <v>4.1119999999999997E-2</v>
      </c>
      <c r="AV825" s="624"/>
      <c r="AX825" s="624">
        <v>39412</v>
      </c>
      <c r="AY825" s="355">
        <v>4.1169999999999998E-2</v>
      </c>
      <c r="AZ825" s="624">
        <v>39477</v>
      </c>
      <c r="BA825" s="355">
        <v>1.7999999999999999E-2</v>
      </c>
      <c r="BB825" s="624">
        <v>39408</v>
      </c>
      <c r="BC825" s="355">
        <v>0.4027</v>
      </c>
      <c r="BD825" s="624">
        <v>39409</v>
      </c>
      <c r="BE825" s="355">
        <v>0.10743</v>
      </c>
      <c r="BF825" s="624">
        <v>39433</v>
      </c>
      <c r="BG825" s="355">
        <v>2.5291000000000001E-2</v>
      </c>
      <c r="BH825" s="624">
        <v>39408</v>
      </c>
      <c r="BI825" s="355">
        <v>0.10644000000000001</v>
      </c>
      <c r="BJ825" s="624">
        <v>39408</v>
      </c>
      <c r="BK825" s="355">
        <v>3.1877999999999997E-2</v>
      </c>
    </row>
    <row r="826" spans="3:63" x14ac:dyDescent="0.15">
      <c r="C826" s="624"/>
      <c r="D826" s="355">
        <v>4.1169999999999998E-2</v>
      </c>
      <c r="AV826" s="624"/>
      <c r="AX826" s="624">
        <v>39413</v>
      </c>
      <c r="AY826" s="355">
        <v>4.1110000000000001E-2</v>
      </c>
      <c r="AZ826" s="624">
        <v>39478</v>
      </c>
      <c r="BA826" s="355">
        <v>1.7999999999999999E-2</v>
      </c>
      <c r="BB826" s="624">
        <v>39409</v>
      </c>
      <c r="BC826" s="355">
        <v>0.4027</v>
      </c>
      <c r="BD826" s="624">
        <v>39412</v>
      </c>
      <c r="BE826" s="355">
        <v>0.1072</v>
      </c>
      <c r="BF826" s="624">
        <v>39434</v>
      </c>
      <c r="BG826" s="355">
        <v>2.5283E-2</v>
      </c>
      <c r="BH826" s="624">
        <v>39409</v>
      </c>
      <c r="BI826" s="355">
        <v>0.106826</v>
      </c>
      <c r="BJ826" s="624">
        <v>39409</v>
      </c>
      <c r="BK826" s="355">
        <v>3.2103E-2</v>
      </c>
    </row>
    <row r="827" spans="3:63" x14ac:dyDescent="0.15">
      <c r="C827" s="624"/>
      <c r="D827" s="355">
        <v>4.1110000000000001E-2</v>
      </c>
      <c r="AV827" s="624"/>
      <c r="AX827" s="624">
        <v>39414</v>
      </c>
      <c r="AY827" s="355">
        <v>4.113E-2</v>
      </c>
      <c r="AZ827" s="624">
        <v>39479</v>
      </c>
      <c r="BA827" s="355">
        <v>1.7899999999999999E-2</v>
      </c>
      <c r="BB827" s="624">
        <v>39412</v>
      </c>
      <c r="BC827" s="355">
        <v>0.40250000000000002</v>
      </c>
      <c r="BD827" s="624">
        <v>39413</v>
      </c>
      <c r="BE827" s="355">
        <v>0.10739</v>
      </c>
      <c r="BF827" s="624">
        <v>39435</v>
      </c>
      <c r="BG827" s="355">
        <v>2.5253999999999999E-2</v>
      </c>
      <c r="BH827" s="624">
        <v>39412</v>
      </c>
      <c r="BI827" s="355">
        <v>0.10644000000000001</v>
      </c>
      <c r="BJ827" s="624">
        <v>39412</v>
      </c>
      <c r="BK827" s="355">
        <v>3.2030999999999997E-2</v>
      </c>
    </row>
    <row r="828" spans="3:63" x14ac:dyDescent="0.15">
      <c r="C828" s="624"/>
      <c r="D828" s="355">
        <v>4.113E-2</v>
      </c>
      <c r="AV828" s="624"/>
      <c r="AX828" s="624">
        <v>39415</v>
      </c>
      <c r="AY828" s="355">
        <v>4.0960000000000003E-2</v>
      </c>
      <c r="AZ828" s="624">
        <v>39482</v>
      </c>
      <c r="BA828" s="355">
        <v>1.8200000000000001E-2</v>
      </c>
      <c r="BB828" s="624">
        <v>39413</v>
      </c>
      <c r="BC828" s="355">
        <v>0.4042</v>
      </c>
      <c r="BD828" s="624">
        <v>39414</v>
      </c>
      <c r="BE828" s="355">
        <v>0.10768999999999999</v>
      </c>
      <c r="BF828" s="624">
        <v>39436</v>
      </c>
      <c r="BG828" s="355">
        <v>2.5288000000000001E-2</v>
      </c>
      <c r="BH828" s="624">
        <v>39413</v>
      </c>
      <c r="BI828" s="355">
        <v>0.106157</v>
      </c>
      <c r="BJ828" s="624">
        <v>39413</v>
      </c>
      <c r="BK828" s="355">
        <v>3.2167000000000001E-2</v>
      </c>
    </row>
    <row r="829" spans="3:63" x14ac:dyDescent="0.15">
      <c r="C829" s="624"/>
      <c r="D829" s="355">
        <v>4.0960000000000003E-2</v>
      </c>
      <c r="AV829" s="624"/>
      <c r="AX829" s="624">
        <v>39416</v>
      </c>
      <c r="AY829" s="355">
        <v>4.0800000000000003E-2</v>
      </c>
      <c r="AZ829" s="624">
        <v>39483</v>
      </c>
      <c r="BA829" s="355">
        <v>1.7999999999999999E-2</v>
      </c>
      <c r="BB829" s="624">
        <v>39414</v>
      </c>
      <c r="BC829" s="355">
        <v>0.4078</v>
      </c>
      <c r="BD829" s="624">
        <v>39415</v>
      </c>
      <c r="BE829" s="355">
        <v>0.10761</v>
      </c>
      <c r="BF829" s="624">
        <v>39440</v>
      </c>
      <c r="BG829" s="355">
        <v>2.5347000000000001E-2</v>
      </c>
      <c r="BH829" s="624">
        <v>39414</v>
      </c>
      <c r="BI829" s="355">
        <v>0.106129</v>
      </c>
      <c r="BJ829" s="624">
        <v>39414</v>
      </c>
      <c r="BK829" s="355">
        <v>3.2446999999999997E-2</v>
      </c>
    </row>
    <row r="830" spans="3:63" x14ac:dyDescent="0.15">
      <c r="C830" s="624"/>
      <c r="D830" s="355">
        <v>4.0800000000000003E-2</v>
      </c>
      <c r="AV830" s="624"/>
      <c r="AX830" s="624">
        <v>39419</v>
      </c>
      <c r="AY830" s="355">
        <v>4.086E-2</v>
      </c>
      <c r="AZ830" s="624">
        <v>39484</v>
      </c>
      <c r="BA830" s="355">
        <v>1.7500000000000002E-2</v>
      </c>
      <c r="BB830" s="624">
        <v>39415</v>
      </c>
      <c r="BC830" s="355">
        <v>0.40579999999999999</v>
      </c>
      <c r="BD830" s="624">
        <v>39416</v>
      </c>
      <c r="BE830" s="355">
        <v>0.10804999999999999</v>
      </c>
      <c r="BF830" s="624">
        <v>39442</v>
      </c>
      <c r="BG830" s="355">
        <v>2.5368000000000002E-2</v>
      </c>
      <c r="BH830" s="624">
        <v>39415</v>
      </c>
      <c r="BI830" s="355">
        <v>0.10661</v>
      </c>
      <c r="BJ830" s="624">
        <v>39415</v>
      </c>
      <c r="BK830" s="355">
        <v>3.2309999999999998E-2</v>
      </c>
    </row>
    <row r="831" spans="3:63" x14ac:dyDescent="0.15">
      <c r="C831" s="624"/>
      <c r="D831" s="355">
        <v>4.086E-2</v>
      </c>
      <c r="AV831" s="624"/>
      <c r="AX831" s="624">
        <v>39420</v>
      </c>
      <c r="AY831" s="355">
        <v>4.1000000000000002E-2</v>
      </c>
      <c r="AZ831" s="624">
        <v>39485</v>
      </c>
      <c r="BA831" s="355">
        <v>1.7299999999999999E-2</v>
      </c>
      <c r="BB831" s="624">
        <v>39416</v>
      </c>
      <c r="BC831" s="355">
        <v>0.40550000000000003</v>
      </c>
      <c r="BD831" s="624">
        <v>39419</v>
      </c>
      <c r="BE831" s="355">
        <v>0.10815</v>
      </c>
      <c r="BF831" s="624">
        <v>39443</v>
      </c>
      <c r="BG831" s="355">
        <v>2.5364000000000001E-2</v>
      </c>
      <c r="BH831" s="624">
        <v>39416</v>
      </c>
      <c r="BI831" s="355">
        <v>0.107158</v>
      </c>
      <c r="BJ831" s="624">
        <v>39416</v>
      </c>
      <c r="BK831" s="355">
        <v>3.2426000000000003E-2</v>
      </c>
    </row>
    <row r="832" spans="3:63" x14ac:dyDescent="0.15">
      <c r="C832" s="624"/>
      <c r="D832" s="355">
        <v>4.1000000000000002E-2</v>
      </c>
      <c r="AV832" s="624"/>
      <c r="AX832" s="624">
        <v>39421</v>
      </c>
      <c r="AY832" s="355">
        <v>4.0759999999999998E-2</v>
      </c>
      <c r="AZ832" s="624">
        <v>39486</v>
      </c>
      <c r="BA832" s="355">
        <v>1.7399999999999999E-2</v>
      </c>
      <c r="BB832" s="624">
        <v>39419</v>
      </c>
      <c r="BC832" s="355">
        <v>0.40660000000000002</v>
      </c>
      <c r="BD832" s="624">
        <v>39420</v>
      </c>
      <c r="BE832" s="355">
        <v>0.10811</v>
      </c>
      <c r="BF832" s="624">
        <v>39444</v>
      </c>
      <c r="BG832" s="355">
        <v>2.5357000000000001E-2</v>
      </c>
      <c r="BH832" s="624">
        <v>39419</v>
      </c>
      <c r="BI832" s="355">
        <v>0.107181</v>
      </c>
      <c r="BJ832" s="624">
        <v>39419</v>
      </c>
      <c r="BK832" s="355">
        <v>3.2522000000000002E-2</v>
      </c>
    </row>
    <row r="833" spans="3:63" x14ac:dyDescent="0.15">
      <c r="C833" s="624"/>
      <c r="D833" s="355">
        <v>4.0759999999999998E-2</v>
      </c>
      <c r="AV833" s="624"/>
      <c r="AX833" s="624">
        <v>39422</v>
      </c>
      <c r="AY833" s="355">
        <v>4.0820000000000002E-2</v>
      </c>
      <c r="AZ833" s="624">
        <v>39489</v>
      </c>
      <c r="BA833" s="355">
        <v>1.7500000000000002E-2</v>
      </c>
      <c r="BB833" s="624">
        <v>39420</v>
      </c>
      <c r="BC833" s="355">
        <v>0.40870000000000001</v>
      </c>
      <c r="BD833" s="624">
        <v>39421</v>
      </c>
      <c r="BE833" s="355">
        <v>0.1082</v>
      </c>
      <c r="BF833" s="624">
        <v>39447</v>
      </c>
      <c r="BG833" s="355">
        <v>2.5374000000000001E-2</v>
      </c>
      <c r="BH833" s="624">
        <v>39420</v>
      </c>
      <c r="BI833" s="355">
        <v>0.107469</v>
      </c>
      <c r="BJ833" s="624">
        <v>39420</v>
      </c>
      <c r="BK833" s="355">
        <v>3.2786999999999997E-2</v>
      </c>
    </row>
    <row r="834" spans="3:63" x14ac:dyDescent="0.15">
      <c r="C834" s="624"/>
      <c r="D834" s="355">
        <v>4.0820000000000002E-2</v>
      </c>
      <c r="AV834" s="624"/>
      <c r="AX834" s="624">
        <v>39423</v>
      </c>
      <c r="AY834" s="355">
        <v>4.0840000000000001E-2</v>
      </c>
      <c r="AZ834" s="624">
        <v>39490</v>
      </c>
      <c r="BA834" s="355">
        <v>1.7500000000000002E-2</v>
      </c>
      <c r="BB834" s="624">
        <v>39421</v>
      </c>
      <c r="BC834" s="355">
        <v>0.40760000000000002</v>
      </c>
      <c r="BD834" s="624">
        <v>39422</v>
      </c>
      <c r="BE834" s="355">
        <v>0.10829999999999999</v>
      </c>
      <c r="BF834" s="624">
        <v>39448</v>
      </c>
      <c r="BG834" s="355">
        <v>2.5368999999999999E-2</v>
      </c>
      <c r="BH834" s="624">
        <v>39421</v>
      </c>
      <c r="BI834" s="355">
        <v>0.107916</v>
      </c>
      <c r="BJ834" s="624">
        <v>39421</v>
      </c>
      <c r="BK834" s="355">
        <v>3.3027000000000001E-2</v>
      </c>
    </row>
    <row r="835" spans="3:63" x14ac:dyDescent="0.15">
      <c r="C835" s="624"/>
      <c r="D835" s="355">
        <v>4.0840000000000001E-2</v>
      </c>
      <c r="AV835" s="624"/>
      <c r="AX835" s="624">
        <v>39426</v>
      </c>
      <c r="AY835" s="355">
        <v>4.0939999999999997E-2</v>
      </c>
      <c r="AZ835" s="624">
        <v>39491</v>
      </c>
      <c r="BA835" s="355">
        <v>1.7500000000000002E-2</v>
      </c>
      <c r="BB835" s="624">
        <v>39422</v>
      </c>
      <c r="BC835" s="355">
        <v>0.40839999999999999</v>
      </c>
      <c r="BD835" s="624">
        <v>39423</v>
      </c>
      <c r="BE835" s="355">
        <v>0.10854999999999999</v>
      </c>
      <c r="BF835" s="624">
        <v>39449</v>
      </c>
      <c r="BG835" s="355">
        <v>2.5364999999999999E-2</v>
      </c>
      <c r="BH835" s="624">
        <v>39422</v>
      </c>
      <c r="BI835" s="355">
        <v>0.107962</v>
      </c>
      <c r="BJ835" s="624">
        <v>39422</v>
      </c>
      <c r="BK835" s="355">
        <v>3.3002999999999998E-2</v>
      </c>
    </row>
    <row r="836" spans="3:63" x14ac:dyDescent="0.15">
      <c r="C836" s="624"/>
      <c r="D836" s="355">
        <v>4.0939999999999997E-2</v>
      </c>
      <c r="AV836" s="624"/>
      <c r="AX836" s="624">
        <v>39427</v>
      </c>
      <c r="AY836" s="355">
        <v>4.0849999999999997E-2</v>
      </c>
      <c r="AZ836" s="624">
        <v>39492</v>
      </c>
      <c r="BA836" s="355">
        <v>1.7600000000000001E-2</v>
      </c>
      <c r="BB836" s="624">
        <v>39423</v>
      </c>
      <c r="BC836" s="355">
        <v>0.41010000000000002</v>
      </c>
      <c r="BD836" s="624">
        <v>39426</v>
      </c>
      <c r="BE836" s="355">
        <v>0.10827000000000001</v>
      </c>
      <c r="BF836" s="624">
        <v>39450</v>
      </c>
      <c r="BG836" s="355">
        <v>2.5381000000000001E-2</v>
      </c>
      <c r="BH836" s="624">
        <v>39423</v>
      </c>
      <c r="BI836" s="355">
        <v>0.107846</v>
      </c>
      <c r="BJ836" s="624">
        <v>39423</v>
      </c>
      <c r="BK836" s="355">
        <v>3.2975999999999998E-2</v>
      </c>
    </row>
    <row r="837" spans="3:63" x14ac:dyDescent="0.15">
      <c r="C837" s="624"/>
      <c r="D837" s="355">
        <v>4.0849999999999997E-2</v>
      </c>
      <c r="AV837" s="624"/>
      <c r="AX837" s="624">
        <v>39428</v>
      </c>
      <c r="AY837" s="355">
        <v>4.0919999999999998E-2</v>
      </c>
      <c r="AZ837" s="624">
        <v>39493</v>
      </c>
      <c r="BA837" s="355">
        <v>1.7600000000000001E-2</v>
      </c>
      <c r="BB837" s="624">
        <v>39426</v>
      </c>
      <c r="BC837" s="355">
        <v>0.41220000000000001</v>
      </c>
      <c r="BD837" s="624">
        <v>39427</v>
      </c>
      <c r="BE837" s="355">
        <v>0.10824</v>
      </c>
      <c r="BF837" s="624">
        <v>39451</v>
      </c>
      <c r="BG837" s="355">
        <v>2.5433999999999998E-2</v>
      </c>
      <c r="BH837" s="624">
        <v>39426</v>
      </c>
      <c r="BI837" s="355">
        <v>0.10791000000000001</v>
      </c>
      <c r="BJ837" s="624">
        <v>39426</v>
      </c>
      <c r="BK837" s="355">
        <v>3.3059999999999999E-2</v>
      </c>
    </row>
    <row r="838" spans="3:63" x14ac:dyDescent="0.15">
      <c r="C838" s="624"/>
      <c r="D838" s="355">
        <v>4.0919999999999998E-2</v>
      </c>
      <c r="AV838" s="624"/>
      <c r="AX838" s="624">
        <v>39429</v>
      </c>
      <c r="AY838" s="355">
        <v>4.0809999999999999E-2</v>
      </c>
      <c r="AZ838" s="624">
        <v>39496</v>
      </c>
      <c r="BA838" s="355">
        <v>1.7600000000000001E-2</v>
      </c>
      <c r="BB838" s="624">
        <v>39427</v>
      </c>
      <c r="BC838" s="355">
        <v>0.4083</v>
      </c>
      <c r="BD838" s="624">
        <v>39428</v>
      </c>
      <c r="BE838" s="355">
        <v>0.1081</v>
      </c>
      <c r="BF838" s="624">
        <v>39454</v>
      </c>
      <c r="BG838" s="355">
        <v>2.5446E-2</v>
      </c>
      <c r="BH838" s="624">
        <v>39427</v>
      </c>
      <c r="BI838" s="355">
        <v>0.10775899999999999</v>
      </c>
      <c r="BJ838" s="624">
        <v>39427</v>
      </c>
      <c r="BK838" s="355">
        <v>3.3014000000000002E-2</v>
      </c>
    </row>
    <row r="839" spans="3:63" x14ac:dyDescent="0.15">
      <c r="C839" s="624"/>
      <c r="D839" s="355">
        <v>4.0809999999999999E-2</v>
      </c>
      <c r="AV839" s="624"/>
      <c r="AX839" s="624">
        <v>39430</v>
      </c>
      <c r="AY839" s="355">
        <v>4.052E-2</v>
      </c>
      <c r="AZ839" s="624">
        <v>39497</v>
      </c>
      <c r="BA839" s="355">
        <v>1.77E-2</v>
      </c>
      <c r="BB839" s="624">
        <v>39428</v>
      </c>
      <c r="BC839" s="355">
        <v>0.41120000000000001</v>
      </c>
      <c r="BD839" s="624">
        <v>39429</v>
      </c>
      <c r="BE839" s="355">
        <v>0.10791000000000001</v>
      </c>
      <c r="BF839" s="624">
        <v>39455</v>
      </c>
      <c r="BG839" s="355">
        <v>2.5461000000000001E-2</v>
      </c>
      <c r="BH839" s="624">
        <v>39428</v>
      </c>
      <c r="BI839" s="355">
        <v>0.107631</v>
      </c>
      <c r="BJ839" s="624">
        <v>39428</v>
      </c>
      <c r="BK839" s="355">
        <v>3.3057999999999997E-2</v>
      </c>
    </row>
    <row r="840" spans="3:63" x14ac:dyDescent="0.15">
      <c r="C840" s="624"/>
      <c r="D840" s="355">
        <v>4.052E-2</v>
      </c>
      <c r="AV840" s="624"/>
      <c r="AX840" s="624">
        <v>39433</v>
      </c>
      <c r="AY840" s="355">
        <v>4.0469999999999999E-2</v>
      </c>
      <c r="AZ840" s="624">
        <v>39498</v>
      </c>
      <c r="BA840" s="355">
        <v>1.77E-2</v>
      </c>
      <c r="BB840" s="624">
        <v>39429</v>
      </c>
      <c r="BC840" s="355">
        <v>0.40639999999999998</v>
      </c>
      <c r="BD840" s="624">
        <v>39430</v>
      </c>
      <c r="BE840" s="355">
        <v>0.10752</v>
      </c>
      <c r="BF840" s="624">
        <v>39456</v>
      </c>
      <c r="BG840" s="355">
        <v>2.5457E-2</v>
      </c>
      <c r="BH840" s="624">
        <v>39429</v>
      </c>
      <c r="BI840" s="355">
        <v>0.10741199999999999</v>
      </c>
      <c r="BJ840" s="624">
        <v>39429</v>
      </c>
      <c r="BK840" s="355">
        <v>3.3159000000000001E-2</v>
      </c>
    </row>
    <row r="841" spans="3:63" x14ac:dyDescent="0.15">
      <c r="C841" s="624"/>
      <c r="D841" s="355">
        <v>4.0469999999999999E-2</v>
      </c>
      <c r="AV841" s="624"/>
      <c r="AX841" s="624">
        <v>39434</v>
      </c>
      <c r="AY841" s="355">
        <v>4.0480000000000002E-2</v>
      </c>
      <c r="AZ841" s="624">
        <v>39499</v>
      </c>
      <c r="BA841" s="355">
        <v>1.78E-2</v>
      </c>
      <c r="BB841" s="624">
        <v>39430</v>
      </c>
      <c r="BC841" s="355">
        <v>0.39950000000000002</v>
      </c>
      <c r="BD841" s="624">
        <v>39433</v>
      </c>
      <c r="BE841" s="355">
        <v>0.10684</v>
      </c>
      <c r="BF841" s="624">
        <v>39457</v>
      </c>
      <c r="BG841" s="355">
        <v>2.5454000000000001E-2</v>
      </c>
      <c r="BH841" s="624">
        <v>39430</v>
      </c>
      <c r="BI841" s="355">
        <v>0.106929</v>
      </c>
      <c r="BJ841" s="624">
        <v>39430</v>
      </c>
      <c r="BK841" s="355">
        <v>3.3168000000000003E-2</v>
      </c>
    </row>
    <row r="842" spans="3:63" x14ac:dyDescent="0.15">
      <c r="C842" s="624"/>
      <c r="D842" s="355">
        <v>4.0480000000000002E-2</v>
      </c>
      <c r="AV842" s="624"/>
      <c r="AX842" s="624">
        <v>39435</v>
      </c>
      <c r="AY842" s="355">
        <v>4.0430000000000001E-2</v>
      </c>
      <c r="AZ842" s="624">
        <v>39500</v>
      </c>
      <c r="BA842" s="355">
        <v>1.7999999999999999E-2</v>
      </c>
      <c r="BB842" s="624">
        <v>39433</v>
      </c>
      <c r="BC842" s="355">
        <v>0.39700000000000002</v>
      </c>
      <c r="BD842" s="624">
        <v>39434</v>
      </c>
      <c r="BE842" s="355">
        <v>0.10645</v>
      </c>
      <c r="BF842" s="624">
        <v>39458</v>
      </c>
      <c r="BG842" s="355">
        <v>2.5444999999999999E-2</v>
      </c>
      <c r="BH842" s="624">
        <v>39433</v>
      </c>
      <c r="BI842" s="355">
        <v>0.10627</v>
      </c>
      <c r="BJ842" s="624">
        <v>39433</v>
      </c>
      <c r="BK842" s="355">
        <v>3.295E-2</v>
      </c>
    </row>
    <row r="843" spans="3:63" x14ac:dyDescent="0.15">
      <c r="C843" s="624"/>
      <c r="D843" s="355">
        <v>4.0430000000000001E-2</v>
      </c>
      <c r="AV843" s="624"/>
      <c r="AX843" s="624">
        <v>39436</v>
      </c>
      <c r="AY843" s="355">
        <v>4.036E-2</v>
      </c>
      <c r="AZ843" s="624">
        <v>39503</v>
      </c>
      <c r="BA843" s="355">
        <v>1.7899999999999999E-2</v>
      </c>
      <c r="BB843" s="624">
        <v>39434</v>
      </c>
      <c r="BC843" s="355">
        <v>0.39950000000000002</v>
      </c>
      <c r="BD843" s="624">
        <v>39435</v>
      </c>
      <c r="BE843" s="355">
        <v>0.10645</v>
      </c>
      <c r="BF843" s="624">
        <v>39461</v>
      </c>
      <c r="BG843" s="355">
        <v>2.5451000000000001E-2</v>
      </c>
      <c r="BH843" s="624">
        <v>39434</v>
      </c>
      <c r="BI843" s="355">
        <v>0.10638300000000001</v>
      </c>
      <c r="BJ843" s="624">
        <v>39434</v>
      </c>
      <c r="BK843" s="355">
        <v>3.2807999999999997E-2</v>
      </c>
    </row>
    <row r="844" spans="3:63" x14ac:dyDescent="0.15">
      <c r="C844" s="624"/>
      <c r="D844" s="355">
        <v>4.036E-2</v>
      </c>
      <c r="AV844" s="624"/>
      <c r="AX844" s="624">
        <v>39437</v>
      </c>
      <c r="AY844" s="355">
        <v>4.0430000000000001E-2</v>
      </c>
      <c r="AZ844" s="624">
        <v>39504</v>
      </c>
      <c r="BA844" s="355">
        <v>1.7999999999999999E-2</v>
      </c>
      <c r="BB844" s="624">
        <v>39435</v>
      </c>
      <c r="BC844" s="355">
        <v>0.39760000000000001</v>
      </c>
      <c r="BD844" s="624">
        <v>39436</v>
      </c>
      <c r="BE844" s="355">
        <v>0.10596999999999999</v>
      </c>
      <c r="BF844" s="624">
        <v>39462</v>
      </c>
      <c r="BG844" s="355">
        <v>2.5464000000000001E-2</v>
      </c>
      <c r="BH844" s="624">
        <v>39435</v>
      </c>
      <c r="BI844" s="355">
        <v>0.106101</v>
      </c>
      <c r="BJ844" s="624">
        <v>39435</v>
      </c>
      <c r="BK844" s="355">
        <v>3.2467999999999997E-2</v>
      </c>
    </row>
    <row r="845" spans="3:63" x14ac:dyDescent="0.15">
      <c r="C845" s="624"/>
      <c r="D845" s="355">
        <v>4.0430000000000001E-2</v>
      </c>
      <c r="AV845" s="624"/>
      <c r="AX845" s="624">
        <v>39440</v>
      </c>
      <c r="AY845" s="355">
        <v>4.045E-2</v>
      </c>
      <c r="AZ845" s="624">
        <v>39505</v>
      </c>
      <c r="BA845" s="355">
        <v>1.8100000000000002E-2</v>
      </c>
      <c r="BB845" s="624">
        <v>39436</v>
      </c>
      <c r="BC845" s="355">
        <v>0.39579999999999999</v>
      </c>
      <c r="BD845" s="624">
        <v>39437</v>
      </c>
      <c r="BE845" s="355">
        <v>0.10632</v>
      </c>
      <c r="BF845" s="624">
        <v>39463</v>
      </c>
      <c r="BG845" s="355">
        <v>2.5451999999999999E-2</v>
      </c>
      <c r="BH845" s="624">
        <v>39436</v>
      </c>
      <c r="BI845" s="355">
        <v>0.105932</v>
      </c>
      <c r="BJ845" s="624">
        <v>39436</v>
      </c>
      <c r="BK845" s="355">
        <v>3.2590000000000001E-2</v>
      </c>
    </row>
    <row r="846" spans="3:63" x14ac:dyDescent="0.15">
      <c r="C846" s="624"/>
      <c r="D846" s="355">
        <v>4.045E-2</v>
      </c>
      <c r="AV846" s="624"/>
      <c r="AX846" s="624">
        <v>39441</v>
      </c>
      <c r="AY846" s="355">
        <v>4.0460000000000003E-2</v>
      </c>
      <c r="AZ846" s="624">
        <v>39506</v>
      </c>
      <c r="BA846" s="355">
        <v>1.8200000000000001E-2</v>
      </c>
      <c r="BB846" s="624">
        <v>39437</v>
      </c>
      <c r="BC846" s="355">
        <v>0.39710000000000001</v>
      </c>
      <c r="BD846" s="624">
        <v>39440</v>
      </c>
      <c r="BE846" s="355">
        <v>0.10642</v>
      </c>
      <c r="BF846" s="624">
        <v>39464</v>
      </c>
      <c r="BG846" s="355">
        <v>2.5441999999999999E-2</v>
      </c>
      <c r="BH846" s="624">
        <v>39437</v>
      </c>
      <c r="BI846" s="355">
        <v>0.106073</v>
      </c>
      <c r="BJ846" s="624">
        <v>39437</v>
      </c>
      <c r="BK846" s="355">
        <v>3.2960999999999997E-2</v>
      </c>
    </row>
    <row r="847" spans="3:63" x14ac:dyDescent="0.15">
      <c r="C847" s="624"/>
      <c r="D847" s="355">
        <v>4.0460000000000003E-2</v>
      </c>
      <c r="AV847" s="624"/>
      <c r="AX847" s="624">
        <v>39442</v>
      </c>
      <c r="AY847" s="355">
        <v>4.0579999999999998E-2</v>
      </c>
      <c r="AZ847" s="624">
        <v>39507</v>
      </c>
      <c r="BA847" s="355">
        <v>1.8100000000000002E-2</v>
      </c>
      <c r="BB847" s="624">
        <v>39440</v>
      </c>
      <c r="BC847" s="355">
        <v>0.39889999999999998</v>
      </c>
      <c r="BD847" s="624">
        <v>39441</v>
      </c>
      <c r="BE847" s="355">
        <v>0.10643</v>
      </c>
      <c r="BF847" s="624">
        <v>39465</v>
      </c>
      <c r="BG847" s="355">
        <v>2.5444000000000001E-2</v>
      </c>
      <c r="BH847" s="624">
        <v>39440</v>
      </c>
      <c r="BI847" s="355">
        <v>0.106242</v>
      </c>
      <c r="BJ847" s="624">
        <v>39440</v>
      </c>
      <c r="BK847" s="355">
        <v>3.3057999999999997E-2</v>
      </c>
    </row>
    <row r="848" spans="3:63" x14ac:dyDescent="0.15">
      <c r="C848" s="624"/>
      <c r="D848" s="355">
        <v>4.0579999999999998E-2</v>
      </c>
      <c r="AV848" s="624"/>
      <c r="AX848" s="624">
        <v>39443</v>
      </c>
      <c r="AY848" s="355">
        <v>4.0640000000000003E-2</v>
      </c>
      <c r="AZ848" s="624">
        <v>39510</v>
      </c>
      <c r="BA848" s="355">
        <v>1.8100000000000002E-2</v>
      </c>
      <c r="BB848" s="624">
        <v>39441</v>
      </c>
      <c r="BC848" s="355">
        <v>0.3997</v>
      </c>
      <c r="BD848" s="624">
        <v>39442</v>
      </c>
      <c r="BE848" s="355">
        <v>0.10650999999999999</v>
      </c>
      <c r="BF848" s="624">
        <v>39468</v>
      </c>
      <c r="BG848" s="355">
        <v>2.5277999999999998E-2</v>
      </c>
      <c r="BH848" s="624">
        <v>39441</v>
      </c>
      <c r="BI848" s="355">
        <v>0.106327</v>
      </c>
      <c r="BJ848" s="624">
        <v>39441</v>
      </c>
      <c r="BK848" s="355">
        <v>3.2872999999999999E-2</v>
      </c>
    </row>
    <row r="849" spans="3:63" x14ac:dyDescent="0.15">
      <c r="C849" s="624"/>
      <c r="D849" s="355">
        <v>4.0640000000000003E-2</v>
      </c>
      <c r="AV849" s="624"/>
      <c r="AX849" s="624">
        <v>39444</v>
      </c>
      <c r="AY849" s="355">
        <v>4.0759999999999998E-2</v>
      </c>
      <c r="AZ849" s="624">
        <v>39511</v>
      </c>
      <c r="BA849" s="355">
        <v>1.8200000000000001E-2</v>
      </c>
      <c r="BB849" s="624">
        <v>39442</v>
      </c>
      <c r="BC849" s="355">
        <v>0.4017</v>
      </c>
      <c r="BD849" s="624">
        <v>39443</v>
      </c>
      <c r="BE849" s="355">
        <v>0.10628</v>
      </c>
      <c r="BF849" s="624">
        <v>39469</v>
      </c>
      <c r="BG849" s="355">
        <v>2.5319999999999999E-2</v>
      </c>
      <c r="BH849" s="624">
        <v>39442</v>
      </c>
      <c r="BI849" s="355">
        <v>0.106129</v>
      </c>
      <c r="BJ849" s="624">
        <v>39442</v>
      </c>
      <c r="BK849" s="355">
        <v>3.313E-2</v>
      </c>
    </row>
    <row r="850" spans="3:63" x14ac:dyDescent="0.15">
      <c r="C850" s="624"/>
      <c r="D850" s="355">
        <v>4.0759999999999998E-2</v>
      </c>
      <c r="AV850" s="624"/>
      <c r="AX850" s="624">
        <v>39447</v>
      </c>
      <c r="AY850" s="355">
        <v>4.0590000000000001E-2</v>
      </c>
      <c r="AZ850" s="624">
        <v>39512</v>
      </c>
      <c r="BA850" s="355">
        <v>1.83E-2</v>
      </c>
      <c r="BB850" s="624">
        <v>39443</v>
      </c>
      <c r="BC850" s="355">
        <v>0.40460000000000002</v>
      </c>
      <c r="BD850" s="624">
        <v>39444</v>
      </c>
      <c r="BE850" s="355">
        <v>0.10684</v>
      </c>
      <c r="BF850" s="624">
        <v>39470</v>
      </c>
      <c r="BG850" s="355">
        <v>2.5267999999999999E-2</v>
      </c>
      <c r="BH850" s="624">
        <v>39443</v>
      </c>
      <c r="BI850" s="355">
        <v>0.106186</v>
      </c>
      <c r="BJ850" s="624">
        <v>39443</v>
      </c>
      <c r="BK850" s="355">
        <v>3.3168000000000003E-2</v>
      </c>
    </row>
    <row r="851" spans="3:63" x14ac:dyDescent="0.15">
      <c r="C851" s="624"/>
      <c r="D851" s="355">
        <v>4.0590000000000001E-2</v>
      </c>
      <c r="AV851" s="624"/>
      <c r="AX851" s="624">
        <v>39448</v>
      </c>
      <c r="AY851" s="355">
        <v>4.0599999999999997E-2</v>
      </c>
      <c r="AZ851" s="624">
        <v>39513</v>
      </c>
      <c r="BA851" s="355">
        <v>1.84E-2</v>
      </c>
      <c r="BB851" s="624">
        <v>39444</v>
      </c>
      <c r="BC851" s="355">
        <v>0.40889999999999999</v>
      </c>
      <c r="BD851" s="624">
        <v>39447</v>
      </c>
      <c r="BE851" s="355">
        <v>0.10686</v>
      </c>
      <c r="BF851" s="624">
        <v>39471</v>
      </c>
      <c r="BG851" s="355">
        <v>2.5339E-2</v>
      </c>
      <c r="BH851" s="624">
        <v>39444</v>
      </c>
      <c r="BI851" s="355">
        <v>0.106326</v>
      </c>
      <c r="BJ851" s="624">
        <v>39444</v>
      </c>
      <c r="BK851" s="355">
        <v>3.3352E-2</v>
      </c>
    </row>
    <row r="852" spans="3:63" x14ac:dyDescent="0.15">
      <c r="C852" s="624"/>
      <c r="D852" s="355">
        <v>4.0599999999999997E-2</v>
      </c>
      <c r="AV852" s="624"/>
      <c r="AX852" s="624">
        <v>39449</v>
      </c>
      <c r="AY852" s="355">
        <v>4.0910000000000002E-2</v>
      </c>
      <c r="AZ852" s="624">
        <v>39514</v>
      </c>
      <c r="BA852" s="355">
        <v>1.8499999999999999E-2</v>
      </c>
      <c r="BB852" s="624">
        <v>39447</v>
      </c>
      <c r="BC852" s="355">
        <v>0.4047</v>
      </c>
      <c r="BD852" s="624">
        <v>39448</v>
      </c>
      <c r="BE852" s="355">
        <v>0.107</v>
      </c>
      <c r="BF852" s="624">
        <v>39472</v>
      </c>
      <c r="BG852" s="355">
        <v>2.5402999999999998E-2</v>
      </c>
      <c r="BH852" s="624">
        <v>39447</v>
      </c>
      <c r="BI852" s="355">
        <v>0.10641100000000001</v>
      </c>
      <c r="BJ852" s="624">
        <v>39447</v>
      </c>
      <c r="BK852" s="355">
        <v>3.3613999999999998E-2</v>
      </c>
    </row>
    <row r="853" spans="3:63" x14ac:dyDescent="0.15">
      <c r="C853" s="624"/>
      <c r="D853" s="355">
        <v>4.0910000000000002E-2</v>
      </c>
      <c r="AV853" s="624"/>
      <c r="AX853" s="624">
        <v>39450</v>
      </c>
      <c r="AY853" s="355">
        <v>4.0989999999999999E-2</v>
      </c>
      <c r="AZ853" s="624">
        <v>39517</v>
      </c>
      <c r="BA853" s="355">
        <v>1.84E-2</v>
      </c>
      <c r="BB853" s="624">
        <v>39448</v>
      </c>
      <c r="BC853" s="355">
        <v>0.40539999999999998</v>
      </c>
      <c r="BD853" s="624">
        <v>39449</v>
      </c>
      <c r="BE853" s="355">
        <v>0.10644000000000001</v>
      </c>
      <c r="BF853" s="624">
        <v>39475</v>
      </c>
      <c r="BG853" s="355">
        <v>2.5389999999999999E-2</v>
      </c>
      <c r="BH853" s="624">
        <v>39448</v>
      </c>
      <c r="BI853" s="355">
        <v>0.10646799999999999</v>
      </c>
      <c r="BJ853" s="624">
        <v>39448</v>
      </c>
      <c r="BK853" s="355">
        <v>3.3612999999999997E-2</v>
      </c>
    </row>
    <row r="854" spans="3:63" x14ac:dyDescent="0.15">
      <c r="C854" s="624"/>
      <c r="D854" s="355">
        <v>4.0989999999999999E-2</v>
      </c>
      <c r="AV854" s="624"/>
      <c r="AX854" s="624">
        <v>39451</v>
      </c>
      <c r="AY854" s="355">
        <v>4.0980000000000003E-2</v>
      </c>
      <c r="AZ854" s="624">
        <v>39518</v>
      </c>
      <c r="BA854" s="355">
        <v>1.84E-2</v>
      </c>
      <c r="BB854" s="624">
        <v>39449</v>
      </c>
      <c r="BC854" s="355">
        <v>0.40720000000000001</v>
      </c>
      <c r="BD854" s="624">
        <v>39450</v>
      </c>
      <c r="BE854" s="355">
        <v>0.10677</v>
      </c>
      <c r="BF854" s="624">
        <v>39476</v>
      </c>
      <c r="BG854" s="355">
        <v>2.5389999999999999E-2</v>
      </c>
      <c r="BH854" s="624">
        <v>39449</v>
      </c>
      <c r="BI854" s="355">
        <v>0.10661</v>
      </c>
      <c r="BJ854" s="624">
        <v>39449</v>
      </c>
      <c r="BK854" s="355">
        <v>3.3466999999999997E-2</v>
      </c>
    </row>
    <row r="855" spans="3:63" x14ac:dyDescent="0.15">
      <c r="C855" s="624"/>
      <c r="D855" s="355">
        <v>4.0980000000000003E-2</v>
      </c>
      <c r="AV855" s="624"/>
      <c r="AX855" s="624">
        <v>39454</v>
      </c>
      <c r="AY855" s="355">
        <v>4.0910000000000002E-2</v>
      </c>
      <c r="AZ855" s="624">
        <v>39519</v>
      </c>
      <c r="BA855" s="355">
        <v>1.8599999999999998E-2</v>
      </c>
      <c r="BB855" s="624">
        <v>39450</v>
      </c>
      <c r="BC855" s="355">
        <v>0.40970000000000001</v>
      </c>
      <c r="BD855" s="624">
        <v>39451</v>
      </c>
      <c r="BE855" s="355">
        <v>0.10655000000000001</v>
      </c>
      <c r="BF855" s="624">
        <v>39477</v>
      </c>
      <c r="BG855" s="355">
        <v>2.5385999999999999E-2</v>
      </c>
      <c r="BH855" s="624">
        <v>39450</v>
      </c>
      <c r="BI855" s="355">
        <v>0.106186</v>
      </c>
      <c r="BJ855" s="624">
        <v>39450</v>
      </c>
      <c r="BK855" s="355">
        <v>3.3489999999999999E-2</v>
      </c>
    </row>
    <row r="856" spans="3:63" x14ac:dyDescent="0.15">
      <c r="C856" s="624"/>
      <c r="D856" s="355">
        <v>4.0910000000000002E-2</v>
      </c>
      <c r="AV856" s="624"/>
      <c r="AX856" s="624">
        <v>39455</v>
      </c>
      <c r="AY856" s="355">
        <v>4.0919999999999998E-2</v>
      </c>
      <c r="AZ856" s="624">
        <v>39520</v>
      </c>
      <c r="BA856" s="355">
        <v>1.8700000000000001E-2</v>
      </c>
      <c r="BB856" s="624">
        <v>39451</v>
      </c>
      <c r="BC856" s="355">
        <v>0.4083</v>
      </c>
      <c r="BD856" s="624">
        <v>39454</v>
      </c>
      <c r="BE856" s="355">
        <v>0.10632</v>
      </c>
      <c r="BF856" s="624">
        <v>39478</v>
      </c>
      <c r="BG856" s="355">
        <v>2.5396999999999999E-2</v>
      </c>
      <c r="BH856" s="624">
        <v>39451</v>
      </c>
      <c r="BI856" s="355">
        <v>0.105989</v>
      </c>
      <c r="BJ856" s="624">
        <v>39451</v>
      </c>
      <c r="BK856" s="355">
        <v>3.3579999999999999E-2</v>
      </c>
    </row>
    <row r="857" spans="3:63" x14ac:dyDescent="0.15">
      <c r="C857" s="624"/>
      <c r="D857" s="355">
        <v>4.0919999999999998E-2</v>
      </c>
      <c r="AV857" s="624"/>
      <c r="AX857" s="624">
        <v>39456</v>
      </c>
      <c r="AY857" s="355">
        <v>4.0840000000000001E-2</v>
      </c>
      <c r="AZ857" s="624">
        <v>39521</v>
      </c>
      <c r="BA857" s="355">
        <v>1.8700000000000001E-2</v>
      </c>
      <c r="BB857" s="624">
        <v>39454</v>
      </c>
      <c r="BC857" s="355">
        <v>0.40810000000000002</v>
      </c>
      <c r="BD857" s="624">
        <v>39455</v>
      </c>
      <c r="BE857" s="355">
        <v>0.10647</v>
      </c>
      <c r="BF857" s="624">
        <v>39479</v>
      </c>
      <c r="BG857" s="355">
        <v>2.5409999999999999E-2</v>
      </c>
      <c r="BH857" s="624">
        <v>39454</v>
      </c>
      <c r="BI857" s="355">
        <v>0.105792</v>
      </c>
      <c r="BJ857" s="624">
        <v>39454</v>
      </c>
      <c r="BK857" s="355">
        <v>3.3556999999999997E-2</v>
      </c>
    </row>
    <row r="858" spans="3:63" x14ac:dyDescent="0.15">
      <c r="C858" s="624"/>
      <c r="D858" s="355">
        <v>4.0840000000000001E-2</v>
      </c>
      <c r="AV858" s="624"/>
      <c r="AX858" s="624">
        <v>39457</v>
      </c>
      <c r="AY858" s="355">
        <v>4.1079999999999998E-2</v>
      </c>
      <c r="AZ858" s="624">
        <v>39524</v>
      </c>
      <c r="BA858" s="355">
        <v>1.8800000000000001E-2</v>
      </c>
      <c r="BB858" s="624">
        <v>39455</v>
      </c>
      <c r="BC858" s="355">
        <v>0.4088</v>
      </c>
      <c r="BD858" s="624">
        <v>39456</v>
      </c>
      <c r="BE858" s="355">
        <v>0.10668</v>
      </c>
      <c r="BF858" s="624">
        <v>39482</v>
      </c>
      <c r="BG858" s="355">
        <v>2.5354999999999999E-2</v>
      </c>
      <c r="BH858" s="624">
        <v>39455</v>
      </c>
      <c r="BI858" s="355">
        <v>0.105781</v>
      </c>
      <c r="BJ858" s="624">
        <v>39455</v>
      </c>
      <c r="BK858" s="355">
        <v>3.3568000000000001E-2</v>
      </c>
    </row>
    <row r="859" spans="3:63" x14ac:dyDescent="0.15">
      <c r="C859" s="624"/>
      <c r="D859" s="355">
        <v>4.1079999999999998E-2</v>
      </c>
      <c r="AV859" s="624"/>
      <c r="AX859" s="624">
        <v>39458</v>
      </c>
      <c r="AY859" s="355">
        <v>4.1009999999999998E-2</v>
      </c>
      <c r="AZ859" s="624">
        <v>39525</v>
      </c>
      <c r="BA859" s="355">
        <v>1.8700000000000001E-2</v>
      </c>
      <c r="BB859" s="624">
        <v>39456</v>
      </c>
      <c r="BC859" s="355">
        <v>0.40739999999999998</v>
      </c>
      <c r="BD859" s="624">
        <v>39457</v>
      </c>
      <c r="BE859" s="355">
        <v>0.10664999999999999</v>
      </c>
      <c r="BF859" s="624">
        <v>39483</v>
      </c>
      <c r="BG859" s="355">
        <v>2.5297E-2</v>
      </c>
      <c r="BH859" s="624">
        <v>39456</v>
      </c>
      <c r="BI859" s="355">
        <v>0.105938</v>
      </c>
      <c r="BJ859" s="624">
        <v>39456</v>
      </c>
      <c r="BK859" s="355">
        <v>3.3863999999999998E-2</v>
      </c>
    </row>
    <row r="860" spans="3:63" x14ac:dyDescent="0.15">
      <c r="C860" s="624"/>
      <c r="D860" s="355">
        <v>4.1009999999999998E-2</v>
      </c>
      <c r="AV860" s="624"/>
      <c r="AX860" s="624">
        <v>39461</v>
      </c>
      <c r="AY860" s="355">
        <v>4.1169999999999998E-2</v>
      </c>
      <c r="AZ860" s="624">
        <v>39526</v>
      </c>
      <c r="BA860" s="355">
        <v>1.8700000000000001E-2</v>
      </c>
      <c r="BB860" s="624">
        <v>39457</v>
      </c>
      <c r="BC860" s="355">
        <v>0.41349999999999998</v>
      </c>
      <c r="BD860" s="624">
        <v>39458</v>
      </c>
      <c r="BE860" s="355">
        <v>0.10650999999999999</v>
      </c>
      <c r="BF860" s="624">
        <v>39484</v>
      </c>
      <c r="BG860" s="355">
        <v>2.5312000000000001E-2</v>
      </c>
      <c r="BH860" s="624">
        <v>39457</v>
      </c>
      <c r="BI860" s="355">
        <v>0.105961</v>
      </c>
      <c r="BJ860" s="624">
        <v>39457</v>
      </c>
      <c r="BK860" s="355">
        <v>3.3979000000000002E-2</v>
      </c>
    </row>
    <row r="861" spans="3:63" x14ac:dyDescent="0.15">
      <c r="C861" s="624"/>
      <c r="D861" s="355">
        <v>4.1169999999999998E-2</v>
      </c>
      <c r="AV861" s="624"/>
      <c r="AX861" s="624">
        <v>39462</v>
      </c>
      <c r="AY861" s="355">
        <v>4.1070000000000002E-2</v>
      </c>
      <c r="AZ861" s="624">
        <v>39527</v>
      </c>
      <c r="BA861" s="355">
        <v>1.8700000000000001E-2</v>
      </c>
      <c r="BB861" s="624">
        <v>39458</v>
      </c>
      <c r="BC861" s="355">
        <v>0.41310000000000002</v>
      </c>
      <c r="BD861" s="624">
        <v>39461</v>
      </c>
      <c r="BE861" s="355">
        <v>0.10668</v>
      </c>
      <c r="BF861" s="624">
        <v>39485</v>
      </c>
      <c r="BG861" s="355">
        <v>2.5297E-2</v>
      </c>
      <c r="BH861" s="624">
        <v>39458</v>
      </c>
      <c r="BI861" s="355">
        <v>0.106061</v>
      </c>
      <c r="BJ861" s="624">
        <v>39458</v>
      </c>
      <c r="BK861" s="355">
        <v>3.3863999999999998E-2</v>
      </c>
    </row>
    <row r="862" spans="3:63" x14ac:dyDescent="0.15">
      <c r="C862" s="624"/>
      <c r="D862" s="355">
        <v>4.1070000000000002E-2</v>
      </c>
      <c r="AV862" s="624"/>
      <c r="AX862" s="624">
        <v>39463</v>
      </c>
      <c r="AY862" s="355">
        <v>4.0829999999999998E-2</v>
      </c>
      <c r="AZ862" s="624">
        <v>39528</v>
      </c>
      <c r="BA862" s="355">
        <v>1.8800000000000001E-2</v>
      </c>
      <c r="BB862" s="624">
        <v>39461</v>
      </c>
      <c r="BC862" s="355">
        <v>0.41639999999999999</v>
      </c>
      <c r="BD862" s="624">
        <v>39462</v>
      </c>
      <c r="BE862" s="355">
        <v>0.10675999999999999</v>
      </c>
      <c r="BF862" s="624">
        <v>39486</v>
      </c>
      <c r="BG862" s="355">
        <v>2.5229000000000001E-2</v>
      </c>
      <c r="BH862" s="624">
        <v>39461</v>
      </c>
      <c r="BI862" s="355">
        <v>0.105943</v>
      </c>
      <c r="BJ862" s="624">
        <v>39461</v>
      </c>
      <c r="BK862" s="355">
        <v>3.3612999999999997E-2</v>
      </c>
    </row>
    <row r="863" spans="3:63" x14ac:dyDescent="0.15">
      <c r="C863" s="624"/>
      <c r="D863" s="355">
        <v>4.0829999999999998E-2</v>
      </c>
      <c r="AV863" s="624"/>
      <c r="AX863" s="624">
        <v>39464</v>
      </c>
      <c r="AY863" s="355">
        <v>4.0820000000000002E-2</v>
      </c>
      <c r="AZ863" s="624">
        <v>39531</v>
      </c>
      <c r="BA863" s="355">
        <v>1.8800000000000001E-2</v>
      </c>
      <c r="BB863" s="624">
        <v>39462</v>
      </c>
      <c r="BC863" s="355">
        <v>0.41339999999999999</v>
      </c>
      <c r="BD863" s="624">
        <v>39463</v>
      </c>
      <c r="BE863" s="355">
        <v>0.10606</v>
      </c>
      <c r="BF863" s="624">
        <v>39489</v>
      </c>
      <c r="BG863" s="355">
        <v>2.5186E-2</v>
      </c>
      <c r="BH863" s="624">
        <v>39462</v>
      </c>
      <c r="BI863" s="355">
        <v>0.105764</v>
      </c>
      <c r="BJ863" s="624">
        <v>39462</v>
      </c>
      <c r="BK863" s="355">
        <v>3.3445000000000003E-2</v>
      </c>
    </row>
    <row r="864" spans="3:63" x14ac:dyDescent="0.15">
      <c r="C864" s="624"/>
      <c r="D864" s="355">
        <v>4.0820000000000002E-2</v>
      </c>
      <c r="AV864" s="624"/>
      <c r="AX864" s="624">
        <v>39465</v>
      </c>
      <c r="AY864" s="355">
        <v>4.0779999999999997E-2</v>
      </c>
      <c r="AZ864" s="624">
        <v>39532</v>
      </c>
      <c r="BA864" s="355">
        <v>1.9E-2</v>
      </c>
      <c r="BB864" s="624">
        <v>39463</v>
      </c>
      <c r="BC864" s="355">
        <v>0.40660000000000002</v>
      </c>
      <c r="BD864" s="624">
        <v>39464</v>
      </c>
      <c r="BE864" s="355">
        <v>0.10557999999999999</v>
      </c>
      <c r="BF864" s="624">
        <v>39490</v>
      </c>
      <c r="BG864" s="355">
        <v>2.5189E-2</v>
      </c>
      <c r="BH864" s="624">
        <v>39463</v>
      </c>
      <c r="BI864" s="355">
        <v>0.105932</v>
      </c>
      <c r="BJ864" s="624">
        <v>39463</v>
      </c>
      <c r="BK864" s="355">
        <v>3.3635999999999999E-2</v>
      </c>
    </row>
    <row r="865" spans="3:63" x14ac:dyDescent="0.15">
      <c r="C865" s="624"/>
      <c r="D865" s="355">
        <v>4.0779999999999997E-2</v>
      </c>
      <c r="AV865" s="624"/>
      <c r="AX865" s="624">
        <v>39468</v>
      </c>
      <c r="AY865" s="355">
        <v>4.0410000000000001E-2</v>
      </c>
      <c r="AZ865" s="624">
        <v>39533</v>
      </c>
      <c r="BA865" s="355">
        <v>1.9300000000000001E-2</v>
      </c>
      <c r="BB865" s="624">
        <v>39464</v>
      </c>
      <c r="BC865" s="355">
        <v>0.4052</v>
      </c>
      <c r="BD865" s="624">
        <v>39465</v>
      </c>
      <c r="BE865" s="355">
        <v>0.10569000000000001</v>
      </c>
      <c r="BF865" s="624">
        <v>39491</v>
      </c>
      <c r="BG865" s="355">
        <v>2.5149000000000001E-2</v>
      </c>
      <c r="BH865" s="624">
        <v>39464</v>
      </c>
      <c r="BI865" s="355">
        <v>0.105319</v>
      </c>
      <c r="BJ865" s="624">
        <v>39464</v>
      </c>
      <c r="BK865" s="355">
        <v>3.3278000000000002E-2</v>
      </c>
    </row>
    <row r="866" spans="3:63" x14ac:dyDescent="0.15">
      <c r="C866" s="624"/>
      <c r="D866" s="355">
        <v>4.0410000000000001E-2</v>
      </c>
      <c r="AV866" s="624"/>
      <c r="AX866" s="624">
        <v>39469</v>
      </c>
      <c r="AY866" s="355">
        <v>4.054E-2</v>
      </c>
      <c r="AZ866" s="624">
        <v>39534</v>
      </c>
      <c r="BA866" s="355">
        <v>1.9199999999999998E-2</v>
      </c>
      <c r="BB866" s="624">
        <v>39465</v>
      </c>
      <c r="BC866" s="355">
        <v>0.4027</v>
      </c>
      <c r="BD866" s="624">
        <v>39468</v>
      </c>
      <c r="BE866" s="355">
        <v>0.10532</v>
      </c>
      <c r="BF866" s="624">
        <v>39492</v>
      </c>
      <c r="BG866" s="355">
        <v>2.5245E-2</v>
      </c>
      <c r="BH866" s="624">
        <v>39465</v>
      </c>
      <c r="BI866" s="355">
        <v>0.105949</v>
      </c>
      <c r="BJ866" s="624">
        <v>39465</v>
      </c>
      <c r="BK866" s="355">
        <v>3.2154000000000002E-2</v>
      </c>
    </row>
    <row r="867" spans="3:63" x14ac:dyDescent="0.15">
      <c r="C867" s="624"/>
      <c r="D867" s="355">
        <v>4.054E-2</v>
      </c>
      <c r="AV867" s="624"/>
      <c r="AX867" s="624">
        <v>39470</v>
      </c>
      <c r="AY867" s="355">
        <v>4.0550000000000003E-2</v>
      </c>
      <c r="AZ867" s="624">
        <v>39535</v>
      </c>
      <c r="BA867" s="355">
        <v>1.9199999999999998E-2</v>
      </c>
      <c r="BB867" s="624">
        <v>39468</v>
      </c>
      <c r="BC867" s="355">
        <v>0.39550000000000002</v>
      </c>
      <c r="BD867" s="624">
        <v>39469</v>
      </c>
      <c r="BE867" s="355">
        <v>0.10559</v>
      </c>
      <c r="BF867" s="624">
        <v>39493</v>
      </c>
      <c r="BG867" s="355">
        <v>2.5191999999999999E-2</v>
      </c>
      <c r="BH867" s="624">
        <v>39468</v>
      </c>
      <c r="BI867" s="355">
        <v>0.105485</v>
      </c>
      <c r="BJ867" s="624">
        <v>39468</v>
      </c>
      <c r="BK867" s="355">
        <v>3.1898000000000003E-2</v>
      </c>
    </row>
    <row r="868" spans="3:63" x14ac:dyDescent="0.15">
      <c r="C868" s="624"/>
      <c r="D868" s="355">
        <v>4.0550000000000003E-2</v>
      </c>
      <c r="AV868" s="624"/>
      <c r="AX868" s="624">
        <v>39471</v>
      </c>
      <c r="AY868" s="355">
        <v>4.0869999999999997E-2</v>
      </c>
      <c r="AZ868" s="624">
        <v>39538</v>
      </c>
      <c r="BA868" s="355">
        <v>1.9199999999999998E-2</v>
      </c>
      <c r="BB868" s="624">
        <v>39469</v>
      </c>
      <c r="BC868" s="355">
        <v>0.40389999999999998</v>
      </c>
      <c r="BD868" s="624">
        <v>39470</v>
      </c>
      <c r="BE868" s="355">
        <v>0.10535</v>
      </c>
      <c r="BF868" s="624">
        <v>39496</v>
      </c>
      <c r="BG868" s="355">
        <v>2.5142999999999999E-2</v>
      </c>
      <c r="BH868" s="624">
        <v>39469</v>
      </c>
      <c r="BI868" s="355">
        <v>0.106101</v>
      </c>
      <c r="BJ868" s="624">
        <v>39469</v>
      </c>
      <c r="BK868" s="355">
        <v>3.2488999999999997E-2</v>
      </c>
    </row>
    <row r="869" spans="3:63" x14ac:dyDescent="0.15">
      <c r="C869" s="624"/>
      <c r="D869" s="355">
        <v>4.0869999999999997E-2</v>
      </c>
      <c r="AV869" s="624"/>
      <c r="AX869" s="624">
        <v>39472</v>
      </c>
      <c r="AY869" s="355">
        <v>4.079E-2</v>
      </c>
      <c r="AZ869" s="624">
        <v>39539</v>
      </c>
      <c r="BA869" s="355">
        <v>1.9199999999999998E-2</v>
      </c>
      <c r="BB869" s="624">
        <v>39470</v>
      </c>
      <c r="BC869" s="355">
        <v>0.40400000000000003</v>
      </c>
      <c r="BD869" s="624">
        <v>39471</v>
      </c>
      <c r="BE869" s="355">
        <v>0.1056</v>
      </c>
      <c r="BF869" s="624">
        <v>39497</v>
      </c>
      <c r="BG869" s="355">
        <v>2.5044E-2</v>
      </c>
      <c r="BH869" s="624">
        <v>39470</v>
      </c>
      <c r="BI869" s="355">
        <v>0.106045</v>
      </c>
      <c r="BJ869" s="624">
        <v>39470</v>
      </c>
      <c r="BK869" s="355">
        <v>3.2072000000000003E-2</v>
      </c>
    </row>
    <row r="870" spans="3:63" x14ac:dyDescent="0.15">
      <c r="C870" s="624"/>
      <c r="D870" s="355">
        <v>4.079E-2</v>
      </c>
      <c r="AV870" s="624"/>
      <c r="AX870" s="624">
        <v>39475</v>
      </c>
      <c r="AY870" s="355">
        <v>4.086E-2</v>
      </c>
      <c r="AZ870" s="624">
        <v>39540</v>
      </c>
      <c r="BA870" s="355">
        <v>1.9199999999999998E-2</v>
      </c>
      <c r="BB870" s="624">
        <v>39471</v>
      </c>
      <c r="BC870" s="355">
        <v>0.40860000000000002</v>
      </c>
      <c r="BD870" s="624">
        <v>39472</v>
      </c>
      <c r="BE870" s="355">
        <v>0.10541</v>
      </c>
      <c r="BF870" s="624">
        <v>39498</v>
      </c>
      <c r="BG870" s="355">
        <v>2.4877E-2</v>
      </c>
      <c r="BH870" s="624">
        <v>39471</v>
      </c>
      <c r="BI870" s="355">
        <v>0.106712</v>
      </c>
      <c r="BJ870" s="624">
        <v>39471</v>
      </c>
      <c r="BK870" s="355">
        <v>3.2134000000000003E-2</v>
      </c>
    </row>
    <row r="871" spans="3:63" x14ac:dyDescent="0.15">
      <c r="C871" s="624"/>
      <c r="D871" s="355">
        <v>4.086E-2</v>
      </c>
      <c r="AV871" s="624"/>
      <c r="AX871" s="624">
        <v>39476</v>
      </c>
      <c r="AY871" s="355">
        <v>4.086E-2</v>
      </c>
      <c r="AZ871" s="624">
        <v>39541</v>
      </c>
      <c r="BA871" s="355">
        <v>1.9400000000000001E-2</v>
      </c>
      <c r="BB871" s="624">
        <v>39472</v>
      </c>
      <c r="BC871" s="355">
        <v>0.40610000000000002</v>
      </c>
      <c r="BD871" s="624">
        <v>39475</v>
      </c>
      <c r="BE871" s="355">
        <v>0.10566</v>
      </c>
      <c r="BF871" s="624">
        <v>39499</v>
      </c>
      <c r="BG871" s="355">
        <v>2.5055999999999998E-2</v>
      </c>
      <c r="BH871" s="624">
        <v>39472</v>
      </c>
      <c r="BI871" s="355">
        <v>0.10698100000000001</v>
      </c>
      <c r="BJ871" s="624">
        <v>39472</v>
      </c>
      <c r="BK871" s="355">
        <v>3.1898000000000003E-2</v>
      </c>
    </row>
    <row r="872" spans="3:63" x14ac:dyDescent="0.15">
      <c r="C872" s="624"/>
      <c r="D872" s="355">
        <v>4.086E-2</v>
      </c>
      <c r="AV872" s="624"/>
      <c r="AX872" s="624">
        <v>39477</v>
      </c>
      <c r="AY872" s="355">
        <v>4.0969999999999999E-2</v>
      </c>
      <c r="AZ872" s="624">
        <v>39542</v>
      </c>
      <c r="BA872" s="355">
        <v>1.9400000000000001E-2</v>
      </c>
      <c r="BB872" s="624">
        <v>39475</v>
      </c>
      <c r="BC872" s="355">
        <v>0.4083</v>
      </c>
      <c r="BD872" s="624">
        <v>39476</v>
      </c>
      <c r="BE872" s="355">
        <v>0.10614999999999999</v>
      </c>
      <c r="BF872" s="624">
        <v>39500</v>
      </c>
      <c r="BG872" s="355">
        <v>2.4972000000000001E-2</v>
      </c>
      <c r="BH872" s="624">
        <v>39475</v>
      </c>
      <c r="BI872" s="355">
        <v>0.10700900000000001</v>
      </c>
      <c r="BJ872" s="624">
        <v>39475</v>
      </c>
      <c r="BK872" s="355">
        <v>3.1847E-2</v>
      </c>
    </row>
    <row r="873" spans="3:63" x14ac:dyDescent="0.15">
      <c r="C873" s="624"/>
      <c r="D873" s="355">
        <v>4.0969999999999999E-2</v>
      </c>
      <c r="AV873" s="624"/>
      <c r="AX873" s="624">
        <v>39478</v>
      </c>
      <c r="AY873" s="355">
        <v>4.0930000000000001E-2</v>
      </c>
      <c r="AZ873" s="624">
        <v>39545</v>
      </c>
      <c r="BA873" s="355">
        <v>1.9199999999999998E-2</v>
      </c>
      <c r="BB873" s="624">
        <v>39476</v>
      </c>
      <c r="BC873" s="355">
        <v>0.40770000000000001</v>
      </c>
      <c r="BD873" s="624">
        <v>39477</v>
      </c>
      <c r="BE873" s="355">
        <v>0.10616</v>
      </c>
      <c r="BF873" s="624">
        <v>39503</v>
      </c>
      <c r="BG873" s="355">
        <v>2.5021999999999999E-2</v>
      </c>
      <c r="BH873" s="624">
        <v>39476</v>
      </c>
      <c r="BI873" s="355">
        <v>0.107262</v>
      </c>
      <c r="BJ873" s="624">
        <v>39476</v>
      </c>
      <c r="BK873" s="355">
        <v>3.1888E-2</v>
      </c>
    </row>
    <row r="874" spans="3:63" x14ac:dyDescent="0.15">
      <c r="C874" s="624"/>
      <c r="D874" s="355">
        <v>4.0930000000000001E-2</v>
      </c>
      <c r="AV874" s="624"/>
      <c r="AX874" s="624">
        <v>39479</v>
      </c>
      <c r="AY874" s="355">
        <v>4.0829999999999998E-2</v>
      </c>
      <c r="AZ874" s="624">
        <v>39546</v>
      </c>
      <c r="BA874" s="355">
        <v>1.9099999999999999E-2</v>
      </c>
      <c r="BB874" s="624">
        <v>39477</v>
      </c>
      <c r="BC874" s="355">
        <v>0.4118</v>
      </c>
      <c r="BD874" s="624">
        <v>39478</v>
      </c>
      <c r="BE874" s="355">
        <v>0.10596999999999999</v>
      </c>
      <c r="BF874" s="624">
        <v>39504</v>
      </c>
      <c r="BG874" s="355">
        <v>2.5047E-2</v>
      </c>
      <c r="BH874" s="624">
        <v>39477</v>
      </c>
      <c r="BI874" s="355">
        <v>0.107527</v>
      </c>
      <c r="BJ874" s="624">
        <v>39477</v>
      </c>
      <c r="BK874" s="355">
        <v>3.1595999999999999E-2</v>
      </c>
    </row>
    <row r="875" spans="3:63" x14ac:dyDescent="0.15">
      <c r="C875" s="624"/>
      <c r="D875" s="355">
        <v>4.0829999999999998E-2</v>
      </c>
      <c r="AV875" s="624"/>
      <c r="AX875" s="624">
        <v>39482</v>
      </c>
      <c r="AY875" s="355">
        <v>4.0829999999999998E-2</v>
      </c>
      <c r="AZ875" s="624">
        <v>39547</v>
      </c>
      <c r="BA875" s="355">
        <v>1.9300000000000001E-2</v>
      </c>
      <c r="BB875" s="624">
        <v>39478</v>
      </c>
      <c r="BC875" s="355">
        <v>0.41320000000000001</v>
      </c>
      <c r="BD875" s="624">
        <v>39479</v>
      </c>
      <c r="BE875" s="355">
        <v>0.10602</v>
      </c>
      <c r="BF875" s="624">
        <v>39505</v>
      </c>
      <c r="BG875" s="355">
        <v>2.5145000000000001E-2</v>
      </c>
      <c r="BH875" s="624">
        <v>39478</v>
      </c>
      <c r="BI875" s="355">
        <v>0.108155</v>
      </c>
      <c r="BJ875" s="624">
        <v>39478</v>
      </c>
      <c r="BK875" s="355">
        <v>3.1827000000000001E-2</v>
      </c>
    </row>
    <row r="876" spans="3:63" x14ac:dyDescent="0.15">
      <c r="C876" s="624"/>
      <c r="D876" s="355">
        <v>4.0829999999999998E-2</v>
      </c>
      <c r="AV876" s="624"/>
      <c r="AX876" s="624">
        <v>39483</v>
      </c>
      <c r="AY876" s="355">
        <v>4.0599999999999997E-2</v>
      </c>
      <c r="AZ876" s="624">
        <v>39548</v>
      </c>
      <c r="BA876" s="355">
        <v>1.9199999999999998E-2</v>
      </c>
      <c r="BB876" s="624">
        <v>39479</v>
      </c>
      <c r="BC876" s="355">
        <v>0.41249999999999998</v>
      </c>
      <c r="BD876" s="624">
        <v>39482</v>
      </c>
      <c r="BE876" s="355">
        <v>0.1062</v>
      </c>
      <c r="BF876" s="624">
        <v>39506</v>
      </c>
      <c r="BG876" s="355">
        <v>2.5073999999999999E-2</v>
      </c>
      <c r="BH876" s="624">
        <v>39479</v>
      </c>
      <c r="BI876" s="355">
        <v>0.108584</v>
      </c>
      <c r="BJ876" s="624">
        <v>39479</v>
      </c>
      <c r="BK876" s="355">
        <v>3.2279000000000002E-2</v>
      </c>
    </row>
    <row r="877" spans="3:63" x14ac:dyDescent="0.15">
      <c r="C877" s="624"/>
      <c r="D877" s="355">
        <v>4.0599999999999997E-2</v>
      </c>
      <c r="AV877" s="624"/>
      <c r="AX877" s="624">
        <v>39484</v>
      </c>
      <c r="AY877" s="355">
        <v>4.0570000000000002E-2</v>
      </c>
      <c r="AZ877" s="624">
        <v>39549</v>
      </c>
      <c r="BA877" s="355">
        <v>1.9400000000000001E-2</v>
      </c>
      <c r="BB877" s="624">
        <v>39482</v>
      </c>
      <c r="BC877" s="355">
        <v>0.41599999999999998</v>
      </c>
      <c r="BD877" s="624">
        <v>39483</v>
      </c>
      <c r="BE877" s="355">
        <v>0.10575</v>
      </c>
      <c r="BF877" s="624">
        <v>39507</v>
      </c>
      <c r="BG877" s="355">
        <v>2.4988E-2</v>
      </c>
      <c r="BH877" s="624">
        <v>39482</v>
      </c>
      <c r="BI877" s="355">
        <v>0.108525</v>
      </c>
      <c r="BJ877" s="624">
        <v>39482</v>
      </c>
      <c r="BK877" s="355">
        <v>3.2309999999999998E-2</v>
      </c>
    </row>
    <row r="878" spans="3:63" x14ac:dyDescent="0.15">
      <c r="C878" s="624"/>
      <c r="D878" s="355">
        <v>4.0570000000000002E-2</v>
      </c>
      <c r="AV878" s="624"/>
      <c r="AX878" s="624">
        <v>39485</v>
      </c>
      <c r="AY878" s="355">
        <v>4.0340000000000001E-2</v>
      </c>
      <c r="AZ878" s="624">
        <v>39552</v>
      </c>
      <c r="BA878" s="355">
        <v>1.95E-2</v>
      </c>
      <c r="BB878" s="624">
        <v>39483</v>
      </c>
      <c r="BC878" s="355">
        <v>0.40720000000000001</v>
      </c>
      <c r="BD878" s="624">
        <v>39484</v>
      </c>
      <c r="BE878" s="355">
        <v>0.10589</v>
      </c>
      <c r="BF878" s="624">
        <v>39510</v>
      </c>
      <c r="BG878" s="355">
        <v>2.4756E-2</v>
      </c>
      <c r="BH878" s="624">
        <v>39483</v>
      </c>
      <c r="BI878" s="355">
        <v>0.10804999999999999</v>
      </c>
      <c r="BJ878" s="624">
        <v>39483</v>
      </c>
      <c r="BK878" s="355">
        <v>3.2081999999999999E-2</v>
      </c>
    </row>
    <row r="879" spans="3:63" x14ac:dyDescent="0.15">
      <c r="C879" s="624"/>
      <c r="D879" s="355">
        <v>4.0340000000000001E-2</v>
      </c>
      <c r="AV879" s="624"/>
      <c r="AX879" s="624">
        <v>39486</v>
      </c>
      <c r="AY879" s="355">
        <v>4.0419999999999998E-2</v>
      </c>
      <c r="AZ879" s="624">
        <v>39553</v>
      </c>
      <c r="BA879" s="355">
        <v>1.95E-2</v>
      </c>
      <c r="BB879" s="624">
        <v>39484</v>
      </c>
      <c r="BC879" s="355">
        <v>0.40579999999999999</v>
      </c>
      <c r="BD879" s="624">
        <v>39485</v>
      </c>
      <c r="BE879" s="355">
        <v>0.10578</v>
      </c>
      <c r="BF879" s="624">
        <v>39511</v>
      </c>
      <c r="BG879" s="355">
        <v>2.4799000000000002E-2</v>
      </c>
      <c r="BH879" s="624">
        <v>39484</v>
      </c>
      <c r="BI879" s="355">
        <v>0.10807899999999999</v>
      </c>
      <c r="BJ879" s="624">
        <v>39484</v>
      </c>
      <c r="BK879" s="355">
        <v>3.2122999999999999E-2</v>
      </c>
    </row>
    <row r="880" spans="3:63" x14ac:dyDescent="0.15">
      <c r="C880" s="624"/>
      <c r="D880" s="355">
        <v>4.0419999999999998E-2</v>
      </c>
      <c r="AV880" s="624"/>
      <c r="AX880" s="624">
        <v>39489</v>
      </c>
      <c r="AY880" s="355">
        <v>4.0500000000000001E-2</v>
      </c>
      <c r="AZ880" s="624">
        <v>39554</v>
      </c>
      <c r="BA880" s="355">
        <v>1.9699999999999999E-2</v>
      </c>
      <c r="BB880" s="624">
        <v>39485</v>
      </c>
      <c r="BC880" s="355">
        <v>0.40150000000000002</v>
      </c>
      <c r="BD880" s="624">
        <v>39486</v>
      </c>
      <c r="BE880" s="355">
        <v>0.10586</v>
      </c>
      <c r="BF880" s="624">
        <v>39512</v>
      </c>
      <c r="BG880" s="355">
        <v>2.4806000000000002E-2</v>
      </c>
      <c r="BH880" s="624">
        <v>39485</v>
      </c>
      <c r="BI880" s="355">
        <v>0.108196</v>
      </c>
      <c r="BJ880" s="624">
        <v>39485</v>
      </c>
      <c r="BK880" s="355">
        <v>3.1595999999999999E-2</v>
      </c>
    </row>
    <row r="881" spans="3:63" x14ac:dyDescent="0.15">
      <c r="C881" s="624"/>
      <c r="D881" s="355">
        <v>4.0500000000000001E-2</v>
      </c>
      <c r="AV881" s="624"/>
      <c r="AX881" s="624">
        <v>39490</v>
      </c>
      <c r="AY881" s="355">
        <v>4.061E-2</v>
      </c>
      <c r="AZ881" s="624">
        <v>39555</v>
      </c>
      <c r="BA881" s="355">
        <v>1.9699999999999999E-2</v>
      </c>
      <c r="BB881" s="624">
        <v>39486</v>
      </c>
      <c r="BC881" s="355">
        <v>0.4007</v>
      </c>
      <c r="BD881" s="624">
        <v>39489</v>
      </c>
      <c r="BE881" s="355">
        <v>0.10566</v>
      </c>
      <c r="BF881" s="624">
        <v>39513</v>
      </c>
      <c r="BG881" s="355">
        <v>2.4857000000000001E-2</v>
      </c>
      <c r="BH881" s="624">
        <v>39486</v>
      </c>
      <c r="BI881" s="355">
        <v>0.108167</v>
      </c>
      <c r="BJ881" s="624">
        <v>39486</v>
      </c>
      <c r="BK881" s="355">
        <v>3.1847E-2</v>
      </c>
    </row>
    <row r="882" spans="3:63" x14ac:dyDescent="0.15">
      <c r="C882" s="624"/>
      <c r="D882" s="355">
        <v>4.061E-2</v>
      </c>
      <c r="AV882" s="624"/>
      <c r="AX882" s="624">
        <v>39491</v>
      </c>
      <c r="AY882" s="355">
        <v>4.0550000000000003E-2</v>
      </c>
      <c r="AZ882" s="624">
        <v>39556</v>
      </c>
      <c r="BA882" s="355">
        <v>1.9599999999999999E-2</v>
      </c>
      <c r="BB882" s="624">
        <v>39489</v>
      </c>
      <c r="BC882" s="355">
        <v>0.40210000000000001</v>
      </c>
      <c r="BD882" s="624">
        <v>39490</v>
      </c>
      <c r="BE882" s="355">
        <v>0.10596999999999999</v>
      </c>
      <c r="BF882" s="624">
        <v>39514</v>
      </c>
      <c r="BG882" s="355">
        <v>2.4670000000000001E-2</v>
      </c>
      <c r="BH882" s="624">
        <v>39489</v>
      </c>
      <c r="BI882" s="355">
        <v>0.107991</v>
      </c>
      <c r="BJ882" s="624">
        <v>39489</v>
      </c>
      <c r="BK882" s="355">
        <v>3.125E-2</v>
      </c>
    </row>
    <row r="883" spans="3:63" x14ac:dyDescent="0.15">
      <c r="C883" s="624"/>
      <c r="D883" s="355">
        <v>4.0550000000000003E-2</v>
      </c>
      <c r="AV883" s="624"/>
      <c r="AX883" s="624">
        <v>39492</v>
      </c>
      <c r="AY883" s="355">
        <v>4.0629999999999999E-2</v>
      </c>
      <c r="AZ883" s="624">
        <v>39559</v>
      </c>
      <c r="BA883" s="355">
        <v>1.9699999999999999E-2</v>
      </c>
      <c r="BB883" s="624">
        <v>39490</v>
      </c>
      <c r="BC883" s="355">
        <v>0.40429999999999999</v>
      </c>
      <c r="BD883" s="624">
        <v>39491</v>
      </c>
      <c r="BE883" s="355">
        <v>0.10582999999999999</v>
      </c>
      <c r="BF883" s="624">
        <v>39517</v>
      </c>
      <c r="BG883" s="355">
        <v>2.4697E-2</v>
      </c>
      <c r="BH883" s="624">
        <v>39490</v>
      </c>
      <c r="BI883" s="355">
        <v>0.107933</v>
      </c>
      <c r="BJ883" s="624">
        <v>39490</v>
      </c>
      <c r="BK883" s="355">
        <v>3.1192000000000001E-2</v>
      </c>
    </row>
    <row r="884" spans="3:63" x14ac:dyDescent="0.15">
      <c r="C884" s="624"/>
      <c r="D884" s="355">
        <v>4.0629999999999999E-2</v>
      </c>
      <c r="AV884" s="624"/>
      <c r="AX884" s="624">
        <v>39493</v>
      </c>
      <c r="AY884" s="355">
        <v>4.0669999999999998E-2</v>
      </c>
      <c r="AZ884" s="624">
        <v>39560</v>
      </c>
      <c r="BA884" s="355">
        <v>1.9800000000000002E-2</v>
      </c>
      <c r="BB884" s="624">
        <v>39491</v>
      </c>
      <c r="BC884" s="355">
        <v>0.40570000000000001</v>
      </c>
      <c r="BD884" s="624">
        <v>39492</v>
      </c>
      <c r="BE884" s="355">
        <v>0.10581</v>
      </c>
      <c r="BF884" s="624">
        <v>39518</v>
      </c>
      <c r="BG884" s="355">
        <v>2.4722000000000001E-2</v>
      </c>
      <c r="BH884" s="624">
        <v>39491</v>
      </c>
      <c r="BI884" s="355">
        <v>0.107846</v>
      </c>
      <c r="BJ884" s="624">
        <v>39491</v>
      </c>
      <c r="BK884" s="355">
        <v>3.1133000000000001E-2</v>
      </c>
    </row>
    <row r="885" spans="3:63" x14ac:dyDescent="0.15">
      <c r="C885" s="624"/>
      <c r="D885" s="355">
        <v>4.0669999999999998E-2</v>
      </c>
      <c r="AV885" s="624"/>
      <c r="AX885" s="624">
        <v>39496</v>
      </c>
      <c r="AY885" s="355">
        <v>4.0680000000000001E-2</v>
      </c>
      <c r="AZ885" s="624">
        <v>39561</v>
      </c>
      <c r="BA885" s="355">
        <v>1.9900000000000001E-2</v>
      </c>
      <c r="BB885" s="624">
        <v>39492</v>
      </c>
      <c r="BC885" s="355">
        <v>0.40799999999999997</v>
      </c>
      <c r="BD885" s="624">
        <v>39493</v>
      </c>
      <c r="BE885" s="355">
        <v>0.10582999999999999</v>
      </c>
      <c r="BF885" s="624">
        <v>39519</v>
      </c>
      <c r="BG885" s="355">
        <v>2.4794E-2</v>
      </c>
      <c r="BH885" s="624">
        <v>39492</v>
      </c>
      <c r="BI885" s="355">
        <v>0.108519</v>
      </c>
      <c r="BJ885" s="624">
        <v>39492</v>
      </c>
      <c r="BK885" s="355">
        <v>3.1279000000000001E-2</v>
      </c>
    </row>
    <row r="886" spans="3:63" x14ac:dyDescent="0.15">
      <c r="C886" s="624"/>
      <c r="D886" s="355">
        <v>4.0680000000000001E-2</v>
      </c>
      <c r="AV886" s="624"/>
      <c r="AX886" s="624">
        <v>39497</v>
      </c>
      <c r="AY886" s="355">
        <v>4.0739999999999998E-2</v>
      </c>
      <c r="AZ886" s="624">
        <v>39562</v>
      </c>
      <c r="BA886" s="355">
        <v>1.9699999999999999E-2</v>
      </c>
      <c r="BB886" s="624">
        <v>39493</v>
      </c>
      <c r="BC886" s="355">
        <v>0.4108</v>
      </c>
      <c r="BD886" s="624">
        <v>39496</v>
      </c>
      <c r="BE886" s="355">
        <v>0.10578</v>
      </c>
      <c r="BF886" s="624">
        <v>39520</v>
      </c>
      <c r="BG886" s="355">
        <v>2.4707E-2</v>
      </c>
      <c r="BH886" s="624">
        <v>39493</v>
      </c>
      <c r="BI886" s="355">
        <v>0.108932</v>
      </c>
      <c r="BJ886" s="624">
        <v>39493</v>
      </c>
      <c r="BK886" s="355">
        <v>3.1565999999999997E-2</v>
      </c>
    </row>
    <row r="887" spans="3:63" x14ac:dyDescent="0.15">
      <c r="C887" s="624"/>
      <c r="D887" s="355">
        <v>4.0739999999999998E-2</v>
      </c>
      <c r="AV887" s="624"/>
      <c r="AX887" s="624">
        <v>39498</v>
      </c>
      <c r="AY887" s="355">
        <v>4.0739999999999998E-2</v>
      </c>
      <c r="AZ887" s="624">
        <v>39563</v>
      </c>
      <c r="BA887" s="355">
        <v>1.9599999999999999E-2</v>
      </c>
      <c r="BB887" s="624">
        <v>39496</v>
      </c>
      <c r="BC887" s="355">
        <v>0.40989999999999999</v>
      </c>
      <c r="BD887" s="624">
        <v>39497</v>
      </c>
      <c r="BE887" s="355">
        <v>0.10594000000000001</v>
      </c>
      <c r="BF887" s="624">
        <v>39521</v>
      </c>
      <c r="BG887" s="355">
        <v>2.4719000000000001E-2</v>
      </c>
      <c r="BH887" s="624">
        <v>39496</v>
      </c>
      <c r="BI887" s="355">
        <v>0.109218</v>
      </c>
      <c r="BJ887" s="624">
        <v>39496</v>
      </c>
      <c r="BK887" s="355">
        <v>3.1496000000000003E-2</v>
      </c>
    </row>
    <row r="888" spans="3:63" x14ac:dyDescent="0.15">
      <c r="C888" s="624"/>
      <c r="D888" s="355">
        <v>4.0739999999999998E-2</v>
      </c>
      <c r="AV888" s="624"/>
      <c r="AX888" s="624">
        <v>39499</v>
      </c>
      <c r="AY888" s="355">
        <v>4.086E-2</v>
      </c>
      <c r="AZ888" s="624">
        <v>39566</v>
      </c>
      <c r="BA888" s="355">
        <v>1.9599999999999999E-2</v>
      </c>
      <c r="BB888" s="624">
        <v>39497</v>
      </c>
      <c r="BC888" s="355">
        <v>0.41170000000000001</v>
      </c>
      <c r="BD888" s="624">
        <v>39498</v>
      </c>
      <c r="BE888" s="355">
        <v>0.10553</v>
      </c>
      <c r="BF888" s="624">
        <v>39524</v>
      </c>
      <c r="BG888" s="355">
        <v>2.4542999999999999E-2</v>
      </c>
      <c r="BH888" s="624">
        <v>39497</v>
      </c>
      <c r="BI888" s="355">
        <v>0.109081</v>
      </c>
      <c r="BJ888" s="624">
        <v>39497</v>
      </c>
      <c r="BK888" s="355">
        <v>3.1635999999999997E-2</v>
      </c>
    </row>
    <row r="889" spans="3:63" x14ac:dyDescent="0.15">
      <c r="C889" s="624"/>
      <c r="D889" s="355">
        <v>4.086E-2</v>
      </c>
      <c r="AV889" s="624"/>
      <c r="AX889" s="624">
        <v>39500</v>
      </c>
      <c r="AY889" s="355">
        <v>4.0919999999999998E-2</v>
      </c>
      <c r="AZ889" s="624">
        <v>39567</v>
      </c>
      <c r="BA889" s="355">
        <v>1.9300000000000001E-2</v>
      </c>
      <c r="BB889" s="624">
        <v>39498</v>
      </c>
      <c r="BC889" s="355">
        <v>0.41160000000000002</v>
      </c>
      <c r="BD889" s="624">
        <v>39499</v>
      </c>
      <c r="BE889" s="355">
        <v>0.10545</v>
      </c>
      <c r="BF889" s="624">
        <v>39525</v>
      </c>
      <c r="BG889" s="355">
        <v>2.4684999999999999E-2</v>
      </c>
      <c r="BH889" s="624">
        <v>39498</v>
      </c>
      <c r="BI889" s="355">
        <v>0.10857799999999999</v>
      </c>
      <c r="BJ889" s="624">
        <v>39498</v>
      </c>
      <c r="BK889" s="355">
        <v>3.1898000000000003E-2</v>
      </c>
    </row>
    <row r="890" spans="3:63" x14ac:dyDescent="0.15">
      <c r="C890" s="624"/>
      <c r="D890" s="355">
        <v>4.0919999999999998E-2</v>
      </c>
      <c r="AV890" s="624"/>
      <c r="AX890" s="624">
        <v>39503</v>
      </c>
      <c r="AY890" s="355">
        <v>4.0930000000000001E-2</v>
      </c>
      <c r="AZ890" s="624">
        <v>39568</v>
      </c>
      <c r="BA890" s="355">
        <v>1.9300000000000001E-2</v>
      </c>
      <c r="BB890" s="624">
        <v>39499</v>
      </c>
      <c r="BC890" s="355">
        <v>0.41489999999999999</v>
      </c>
      <c r="BD890" s="624">
        <v>39500</v>
      </c>
      <c r="BE890" s="355">
        <v>0.10551000000000001</v>
      </c>
      <c r="BF890" s="624">
        <v>39526</v>
      </c>
      <c r="BG890" s="355">
        <v>2.4722999999999998E-2</v>
      </c>
      <c r="BH890" s="624">
        <v>39499</v>
      </c>
      <c r="BI890" s="355">
        <v>0.10917</v>
      </c>
      <c r="BJ890" s="624">
        <v>39499</v>
      </c>
      <c r="BK890" s="355">
        <v>3.1816999999999998E-2</v>
      </c>
    </row>
    <row r="891" spans="3:63" x14ac:dyDescent="0.15">
      <c r="C891" s="624"/>
      <c r="D891" s="355">
        <v>4.0930000000000001E-2</v>
      </c>
      <c r="AV891" s="624"/>
      <c r="AX891" s="624">
        <v>39504</v>
      </c>
      <c r="AY891" s="355">
        <v>4.1239999999999999E-2</v>
      </c>
      <c r="AZ891" s="624">
        <v>39569</v>
      </c>
      <c r="BA891" s="355">
        <v>1.9099999999999999E-2</v>
      </c>
      <c r="BB891" s="624">
        <v>39500</v>
      </c>
      <c r="BC891" s="355">
        <v>0.41549999999999998</v>
      </c>
      <c r="BD891" s="624">
        <v>39503</v>
      </c>
      <c r="BE891" s="355">
        <v>0.10552</v>
      </c>
      <c r="BF891" s="624">
        <v>39527</v>
      </c>
      <c r="BG891" s="355">
        <v>2.4709999999999999E-2</v>
      </c>
      <c r="BH891" s="624">
        <v>39500</v>
      </c>
      <c r="BI891" s="355">
        <v>0.108932</v>
      </c>
      <c r="BJ891" s="624">
        <v>39500</v>
      </c>
      <c r="BK891" s="355">
        <v>3.2279000000000002E-2</v>
      </c>
    </row>
    <row r="892" spans="3:63" x14ac:dyDescent="0.15">
      <c r="C892" s="624"/>
      <c r="D892" s="355">
        <v>4.1239999999999999E-2</v>
      </c>
      <c r="AV892" s="624"/>
      <c r="AX892" s="624">
        <v>39505</v>
      </c>
      <c r="AY892" s="355">
        <v>4.1509999999999998E-2</v>
      </c>
      <c r="AZ892" s="624">
        <v>39570</v>
      </c>
      <c r="BA892" s="355">
        <v>1.9099999999999999E-2</v>
      </c>
      <c r="BB892" s="624">
        <v>39503</v>
      </c>
      <c r="BC892" s="355">
        <v>0.41959999999999997</v>
      </c>
      <c r="BD892" s="624">
        <v>39504</v>
      </c>
      <c r="BE892" s="355">
        <v>0.10559</v>
      </c>
      <c r="BF892" s="624">
        <v>39531</v>
      </c>
      <c r="BG892" s="355">
        <v>2.4833999999999998E-2</v>
      </c>
      <c r="BH892" s="624">
        <v>39503</v>
      </c>
      <c r="BI892" s="355">
        <v>0.10958900000000001</v>
      </c>
      <c r="BJ892" s="624">
        <v>39503</v>
      </c>
      <c r="BK892" s="355">
        <v>3.2807999999999997E-2</v>
      </c>
    </row>
    <row r="893" spans="3:63" x14ac:dyDescent="0.15">
      <c r="C893" s="624"/>
      <c r="D893" s="355">
        <v>4.1509999999999998E-2</v>
      </c>
      <c r="AV893" s="624"/>
      <c r="AX893" s="624">
        <v>39506</v>
      </c>
      <c r="AY893" s="355">
        <v>4.1680000000000002E-2</v>
      </c>
      <c r="AZ893" s="624">
        <v>39573</v>
      </c>
      <c r="BA893" s="355">
        <v>1.9E-2</v>
      </c>
      <c r="BB893" s="624">
        <v>39504</v>
      </c>
      <c r="BC893" s="355">
        <v>0.4239</v>
      </c>
      <c r="BD893" s="624">
        <v>39505</v>
      </c>
      <c r="BE893" s="355">
        <v>0.10629</v>
      </c>
      <c r="BF893" s="624">
        <v>39532</v>
      </c>
      <c r="BG893" s="355">
        <v>2.4922E-2</v>
      </c>
      <c r="BH893" s="624">
        <v>39504</v>
      </c>
      <c r="BI893" s="355">
        <v>0.110108</v>
      </c>
      <c r="BJ893" s="624">
        <v>39504</v>
      </c>
      <c r="BK893" s="355">
        <v>3.3168000000000003E-2</v>
      </c>
    </row>
    <row r="894" spans="3:63" x14ac:dyDescent="0.15">
      <c r="C894" s="624"/>
      <c r="D894" s="355">
        <v>4.1680000000000002E-2</v>
      </c>
      <c r="AV894" s="624"/>
      <c r="AX894" s="624">
        <v>39507</v>
      </c>
      <c r="AY894" s="355">
        <v>4.1640000000000003E-2</v>
      </c>
      <c r="AZ894" s="624">
        <v>39574</v>
      </c>
      <c r="BA894" s="355">
        <v>1.8800000000000001E-2</v>
      </c>
      <c r="BB894" s="624">
        <v>39505</v>
      </c>
      <c r="BC894" s="355">
        <v>0.43</v>
      </c>
      <c r="BD894" s="624">
        <v>39506</v>
      </c>
      <c r="BE894" s="355">
        <v>0.10672</v>
      </c>
      <c r="BF894" s="624">
        <v>39533</v>
      </c>
      <c r="BG894" s="355">
        <v>2.4913000000000001E-2</v>
      </c>
      <c r="BH894" s="624">
        <v>39505</v>
      </c>
      <c r="BI894" s="355">
        <v>0.110461</v>
      </c>
      <c r="BJ894" s="624">
        <v>39505</v>
      </c>
      <c r="BK894" s="355">
        <v>3.3466999999999997E-2</v>
      </c>
    </row>
    <row r="895" spans="3:63" x14ac:dyDescent="0.15">
      <c r="C895" s="624"/>
      <c r="D895" s="355">
        <v>4.1640000000000003E-2</v>
      </c>
      <c r="AV895" s="624"/>
      <c r="AX895" s="624">
        <v>39510</v>
      </c>
      <c r="AY895" s="355">
        <v>4.163E-2</v>
      </c>
      <c r="AZ895" s="624">
        <v>39575</v>
      </c>
      <c r="BA895" s="355">
        <v>1.8499999999999999E-2</v>
      </c>
      <c r="BB895" s="624">
        <v>39506</v>
      </c>
      <c r="BC895" s="355">
        <v>0.43269999999999997</v>
      </c>
      <c r="BD895" s="624">
        <v>39507</v>
      </c>
      <c r="BE895" s="355">
        <v>0.10607</v>
      </c>
      <c r="BF895" s="624">
        <v>39534</v>
      </c>
      <c r="BG895" s="355">
        <v>2.4941000000000001E-2</v>
      </c>
      <c r="BH895" s="624">
        <v>39506</v>
      </c>
      <c r="BI895" s="355">
        <v>0.110223</v>
      </c>
      <c r="BJ895" s="624">
        <v>39506</v>
      </c>
      <c r="BK895" s="355">
        <v>3.3863999999999998E-2</v>
      </c>
    </row>
    <row r="896" spans="3:63" x14ac:dyDescent="0.15">
      <c r="C896" s="624"/>
      <c r="D896" s="355">
        <v>4.163E-2</v>
      </c>
      <c r="AV896" s="624"/>
      <c r="AX896" s="624">
        <v>39511</v>
      </c>
      <c r="AY896" s="355">
        <v>4.1660000000000003E-2</v>
      </c>
      <c r="AZ896" s="624">
        <v>39576</v>
      </c>
      <c r="BA896" s="355">
        <v>1.84E-2</v>
      </c>
      <c r="BB896" s="624">
        <v>39507</v>
      </c>
      <c r="BC896" s="355">
        <v>0.43030000000000002</v>
      </c>
      <c r="BD896" s="624">
        <v>39510</v>
      </c>
      <c r="BE896" s="355">
        <v>0.10553999999999999</v>
      </c>
      <c r="BF896" s="624">
        <v>39535</v>
      </c>
      <c r="BG896" s="355">
        <v>2.5078E-2</v>
      </c>
      <c r="BH896" s="624">
        <v>39507</v>
      </c>
      <c r="BI896" s="355">
        <v>0.109836</v>
      </c>
      <c r="BJ896" s="624">
        <v>39507</v>
      </c>
      <c r="BK896" s="355">
        <v>3.1989999999999998E-2</v>
      </c>
    </row>
    <row r="897" spans="3:63" x14ac:dyDescent="0.15">
      <c r="C897" s="624"/>
      <c r="D897" s="355">
        <v>4.1660000000000003E-2</v>
      </c>
      <c r="AV897" s="624"/>
      <c r="AX897" s="624">
        <v>39512</v>
      </c>
      <c r="AY897" s="355">
        <v>4.1750000000000002E-2</v>
      </c>
      <c r="AZ897" s="624">
        <v>39577</v>
      </c>
      <c r="BA897" s="355">
        <v>1.84E-2</v>
      </c>
      <c r="BB897" s="624">
        <v>39510</v>
      </c>
      <c r="BC897" s="355">
        <v>0.43259999999999998</v>
      </c>
      <c r="BD897" s="624">
        <v>39511</v>
      </c>
      <c r="BE897" s="355">
        <v>0.10553</v>
      </c>
      <c r="BF897" s="624">
        <v>39538</v>
      </c>
      <c r="BG897" s="355">
        <v>2.4930000000000001E-2</v>
      </c>
      <c r="BH897" s="624">
        <v>39510</v>
      </c>
      <c r="BI897" s="355">
        <v>0.10977000000000001</v>
      </c>
      <c r="BJ897" s="624">
        <v>39510</v>
      </c>
      <c r="BK897" s="355">
        <v>3.1615999999999998E-2</v>
      </c>
    </row>
    <row r="898" spans="3:63" x14ac:dyDescent="0.15">
      <c r="C898" s="624"/>
      <c r="D898" s="355">
        <v>4.1750000000000002E-2</v>
      </c>
      <c r="AV898" s="624"/>
      <c r="AX898" s="624">
        <v>39513</v>
      </c>
      <c r="AY898" s="355">
        <v>4.1980000000000003E-2</v>
      </c>
      <c r="AZ898" s="624">
        <v>39580</v>
      </c>
      <c r="BA898" s="355">
        <v>1.89E-2</v>
      </c>
      <c r="BB898" s="624">
        <v>39511</v>
      </c>
      <c r="BC898" s="355">
        <v>0.43159999999999998</v>
      </c>
      <c r="BD898" s="624">
        <v>39512</v>
      </c>
      <c r="BE898" s="355">
        <v>0.1053</v>
      </c>
      <c r="BF898" s="624">
        <v>39539</v>
      </c>
      <c r="BG898" s="355">
        <v>2.5094000000000002E-2</v>
      </c>
      <c r="BH898" s="624">
        <v>39511</v>
      </c>
      <c r="BI898" s="355">
        <v>0.10977000000000001</v>
      </c>
      <c r="BJ898" s="624">
        <v>39511</v>
      </c>
      <c r="BK898" s="355">
        <v>3.1685999999999999E-2</v>
      </c>
    </row>
    <row r="899" spans="3:63" x14ac:dyDescent="0.15">
      <c r="C899" s="624"/>
      <c r="D899" s="355">
        <v>4.1980000000000003E-2</v>
      </c>
      <c r="AV899" s="624"/>
      <c r="AX899" s="624">
        <v>39514</v>
      </c>
      <c r="AY899" s="355">
        <v>4.1930000000000002E-2</v>
      </c>
      <c r="AZ899" s="624">
        <v>39581</v>
      </c>
      <c r="BA899" s="355">
        <v>1.8700000000000001E-2</v>
      </c>
      <c r="BB899" s="624">
        <v>39512</v>
      </c>
      <c r="BC899" s="355">
        <v>0.432</v>
      </c>
      <c r="BD899" s="624">
        <v>39513</v>
      </c>
      <c r="BE899" s="355">
        <v>0.10446999999999999</v>
      </c>
      <c r="BF899" s="624">
        <v>39540</v>
      </c>
      <c r="BG899" s="355">
        <v>2.5041000000000001E-2</v>
      </c>
      <c r="BH899" s="624">
        <v>39512</v>
      </c>
      <c r="BI899" s="355">
        <v>0.11003599999999999</v>
      </c>
      <c r="BJ899" s="624">
        <v>39512</v>
      </c>
      <c r="BK899" s="355">
        <v>3.1676000000000003E-2</v>
      </c>
    </row>
    <row r="900" spans="3:63" x14ac:dyDescent="0.15">
      <c r="C900" s="624"/>
      <c r="D900" s="355">
        <v>4.1930000000000002E-2</v>
      </c>
      <c r="AV900" s="624"/>
      <c r="AX900" s="624">
        <v>39517</v>
      </c>
      <c r="AY900" s="355">
        <v>4.1889999999999997E-2</v>
      </c>
      <c r="AZ900" s="624">
        <v>39582</v>
      </c>
      <c r="BA900" s="355">
        <v>1.8599999999999998E-2</v>
      </c>
      <c r="BB900" s="624">
        <v>39513</v>
      </c>
      <c r="BC900" s="355">
        <v>0.43070000000000003</v>
      </c>
      <c r="BD900" s="624">
        <v>39514</v>
      </c>
      <c r="BE900" s="355">
        <v>0.10445</v>
      </c>
      <c r="BF900" s="624">
        <v>39541</v>
      </c>
      <c r="BG900" s="355">
        <v>2.5028000000000002E-2</v>
      </c>
      <c r="BH900" s="624">
        <v>39513</v>
      </c>
      <c r="BI900" s="355">
        <v>0.109649</v>
      </c>
      <c r="BJ900" s="624">
        <v>39513</v>
      </c>
      <c r="BK900" s="355">
        <v>3.1676000000000003E-2</v>
      </c>
    </row>
    <row r="901" spans="3:63" x14ac:dyDescent="0.15">
      <c r="C901" s="624"/>
      <c r="D901" s="355">
        <v>4.1889999999999997E-2</v>
      </c>
      <c r="AV901" s="624"/>
      <c r="AX901" s="624">
        <v>39518</v>
      </c>
      <c r="AY901" s="355">
        <v>4.1880000000000001E-2</v>
      </c>
      <c r="AZ901" s="624">
        <v>39583</v>
      </c>
      <c r="BA901" s="355">
        <v>1.8800000000000001E-2</v>
      </c>
      <c r="BB901" s="624">
        <v>39514</v>
      </c>
      <c r="BC901" s="355">
        <v>0.43049999999999999</v>
      </c>
      <c r="BD901" s="624">
        <v>39517</v>
      </c>
      <c r="BE901" s="355">
        <v>0.10326</v>
      </c>
      <c r="BF901" s="624">
        <v>39542</v>
      </c>
      <c r="BG901" s="355">
        <v>2.5003000000000001E-2</v>
      </c>
      <c r="BH901" s="624">
        <v>39514</v>
      </c>
      <c r="BI901" s="355">
        <v>0.11013199999999999</v>
      </c>
      <c r="BJ901" s="624">
        <v>39514</v>
      </c>
      <c r="BK901" s="355">
        <v>3.1716000000000001E-2</v>
      </c>
    </row>
    <row r="902" spans="3:63" x14ac:dyDescent="0.15">
      <c r="C902" s="624"/>
      <c r="D902" s="355">
        <v>4.1880000000000001E-2</v>
      </c>
      <c r="AV902" s="624"/>
      <c r="AX902" s="624">
        <v>39519</v>
      </c>
      <c r="AY902" s="355">
        <v>4.2209999999999998E-2</v>
      </c>
      <c r="AZ902" s="624">
        <v>39584</v>
      </c>
      <c r="BA902" s="355">
        <v>1.9E-2</v>
      </c>
      <c r="BB902" s="624">
        <v>39517</v>
      </c>
      <c r="BC902" s="355">
        <v>0.42949999999999999</v>
      </c>
      <c r="BD902" s="624">
        <v>39518</v>
      </c>
      <c r="BE902" s="355">
        <v>0.10375</v>
      </c>
      <c r="BF902" s="624">
        <v>39545</v>
      </c>
      <c r="BG902" s="355">
        <v>2.5031000000000001E-2</v>
      </c>
      <c r="BH902" s="624">
        <v>39517</v>
      </c>
      <c r="BI902" s="355">
        <v>0.108372</v>
      </c>
      <c r="BJ902" s="624">
        <v>39517</v>
      </c>
      <c r="BK902" s="355">
        <v>3.1725999999999997E-2</v>
      </c>
    </row>
    <row r="903" spans="3:63" x14ac:dyDescent="0.15">
      <c r="C903" s="624"/>
      <c r="D903" s="355">
        <v>4.2209999999999998E-2</v>
      </c>
      <c r="AV903" s="624"/>
      <c r="AX903" s="624">
        <v>39520</v>
      </c>
      <c r="AY903" s="355">
        <v>4.2340000000000003E-2</v>
      </c>
      <c r="AZ903" s="624">
        <v>39587</v>
      </c>
      <c r="BA903" s="355">
        <v>1.9E-2</v>
      </c>
      <c r="BB903" s="624">
        <v>39518</v>
      </c>
      <c r="BC903" s="355">
        <v>0.43409999999999999</v>
      </c>
      <c r="BD903" s="624">
        <v>39519</v>
      </c>
      <c r="BE903" s="355">
        <v>0.10295</v>
      </c>
      <c r="BF903" s="624">
        <v>39546</v>
      </c>
      <c r="BG903" s="355">
        <v>2.4962999999999999E-2</v>
      </c>
      <c r="BH903" s="624">
        <v>39518</v>
      </c>
      <c r="BI903" s="355">
        <v>0.109051</v>
      </c>
      <c r="BJ903" s="624">
        <v>39518</v>
      </c>
      <c r="BK903" s="355">
        <v>3.1696000000000002E-2</v>
      </c>
    </row>
    <row r="904" spans="3:63" x14ac:dyDescent="0.15">
      <c r="C904" s="624"/>
      <c r="D904" s="355">
        <v>4.2340000000000003E-2</v>
      </c>
      <c r="AV904" s="624"/>
      <c r="AX904" s="624">
        <v>39521</v>
      </c>
      <c r="AY904" s="355">
        <v>4.2389999999999997E-2</v>
      </c>
      <c r="AZ904" s="624">
        <v>39588</v>
      </c>
      <c r="BA904" s="355">
        <v>1.9199999999999998E-2</v>
      </c>
      <c r="BB904" s="624">
        <v>39519</v>
      </c>
      <c r="BC904" s="355">
        <v>0.43980000000000002</v>
      </c>
      <c r="BD904" s="624">
        <v>39520</v>
      </c>
      <c r="BE904" s="355">
        <v>0.10184</v>
      </c>
      <c r="BF904" s="624">
        <v>39547</v>
      </c>
      <c r="BG904" s="355">
        <v>2.4993999999999999E-2</v>
      </c>
      <c r="BH904" s="624">
        <v>39519</v>
      </c>
      <c r="BI904" s="355">
        <v>0.108962</v>
      </c>
      <c r="BJ904" s="624">
        <v>39519</v>
      </c>
      <c r="BK904" s="355">
        <v>3.1676000000000003E-2</v>
      </c>
    </row>
    <row r="905" spans="3:63" x14ac:dyDescent="0.15">
      <c r="C905" s="624"/>
      <c r="D905" s="355">
        <v>4.2389999999999997E-2</v>
      </c>
      <c r="AV905" s="624"/>
      <c r="AX905" s="624">
        <v>39524</v>
      </c>
      <c r="AY905" s="355">
        <v>4.2479999999999997E-2</v>
      </c>
      <c r="AZ905" s="624">
        <v>39589</v>
      </c>
      <c r="BA905" s="355">
        <v>1.9300000000000001E-2</v>
      </c>
      <c r="BB905" s="624">
        <v>39520</v>
      </c>
      <c r="BC905" s="355">
        <v>0.44119999999999998</v>
      </c>
      <c r="BD905" s="624">
        <v>39521</v>
      </c>
      <c r="BE905" s="355">
        <v>0.10034999999999999</v>
      </c>
      <c r="BF905" s="624">
        <v>39548</v>
      </c>
      <c r="BG905" s="355">
        <v>2.4965999999999999E-2</v>
      </c>
      <c r="BH905" s="624">
        <v>39520</v>
      </c>
      <c r="BI905" s="355">
        <v>0.108401</v>
      </c>
      <c r="BJ905" s="624">
        <v>39520</v>
      </c>
      <c r="BK905" s="355">
        <v>3.1816999999999998E-2</v>
      </c>
    </row>
    <row r="906" spans="3:63" x14ac:dyDescent="0.15">
      <c r="C906" s="624"/>
      <c r="D906" s="355">
        <v>4.2479999999999997E-2</v>
      </c>
      <c r="AV906" s="624"/>
      <c r="AX906" s="624">
        <v>39525</v>
      </c>
      <c r="AY906" s="355">
        <v>4.2320000000000003E-2</v>
      </c>
      <c r="AZ906" s="624">
        <v>39590</v>
      </c>
      <c r="BA906" s="355">
        <v>1.9400000000000001E-2</v>
      </c>
      <c r="BB906" s="624">
        <v>39521</v>
      </c>
      <c r="BC906" s="355">
        <v>0.4425</v>
      </c>
      <c r="BD906" s="624">
        <v>39524</v>
      </c>
      <c r="BE906" s="355">
        <v>9.7900000000000001E-2</v>
      </c>
      <c r="BF906" s="624">
        <v>39549</v>
      </c>
      <c r="BG906" s="355">
        <v>2.5021999999999999E-2</v>
      </c>
      <c r="BH906" s="624">
        <v>39521</v>
      </c>
      <c r="BI906" s="355">
        <v>0.108225</v>
      </c>
      <c r="BJ906" s="624">
        <v>39521</v>
      </c>
      <c r="BK906" s="355">
        <v>3.1866999999999999E-2</v>
      </c>
    </row>
    <row r="907" spans="3:63" x14ac:dyDescent="0.15">
      <c r="C907" s="624"/>
      <c r="D907" s="355">
        <v>4.2320000000000003E-2</v>
      </c>
      <c r="AV907" s="624"/>
      <c r="AX907" s="624">
        <v>39526</v>
      </c>
      <c r="AY907" s="355">
        <v>4.231E-2</v>
      </c>
      <c r="AZ907" s="624">
        <v>39591</v>
      </c>
      <c r="BA907" s="355">
        <v>1.95E-2</v>
      </c>
      <c r="BB907" s="624">
        <v>39524</v>
      </c>
      <c r="BC907" s="355">
        <v>0.4446</v>
      </c>
      <c r="BD907" s="624">
        <v>39525</v>
      </c>
      <c r="BE907" s="355">
        <v>9.9110000000000004E-2</v>
      </c>
      <c r="BF907" s="624">
        <v>39552</v>
      </c>
      <c r="BG907" s="355">
        <v>2.5013000000000001E-2</v>
      </c>
      <c r="BH907" s="624">
        <v>39524</v>
      </c>
      <c r="BI907" s="355">
        <v>0.107643</v>
      </c>
      <c r="BJ907" s="624">
        <v>39524</v>
      </c>
      <c r="BK907" s="355">
        <v>3.1836999999999997E-2</v>
      </c>
    </row>
    <row r="908" spans="3:63" x14ac:dyDescent="0.15">
      <c r="C908" s="624"/>
      <c r="D908" s="355">
        <v>4.231E-2</v>
      </c>
      <c r="AV908" s="624"/>
      <c r="AX908" s="624">
        <v>39527</v>
      </c>
      <c r="AY908" s="355">
        <v>4.2000000000000003E-2</v>
      </c>
      <c r="AZ908" s="624">
        <v>39594</v>
      </c>
      <c r="BA908" s="355">
        <v>1.95E-2</v>
      </c>
      <c r="BB908" s="624">
        <v>39525</v>
      </c>
      <c r="BC908" s="355">
        <v>0.44259999999999999</v>
      </c>
      <c r="BD908" s="624">
        <v>39526</v>
      </c>
      <c r="BE908" s="355">
        <v>9.8839999999999997E-2</v>
      </c>
      <c r="BF908" s="624">
        <v>39553</v>
      </c>
      <c r="BG908" s="355">
        <v>2.4981E-2</v>
      </c>
      <c r="BH908" s="624">
        <v>39525</v>
      </c>
      <c r="BI908" s="355">
        <v>0.10881399999999999</v>
      </c>
      <c r="BJ908" s="624">
        <v>39525</v>
      </c>
      <c r="BK908" s="355">
        <v>3.2041E-2</v>
      </c>
    </row>
    <row r="909" spans="3:63" x14ac:dyDescent="0.15">
      <c r="C909" s="624"/>
      <c r="D909" s="355">
        <v>4.2000000000000003E-2</v>
      </c>
      <c r="AV909" s="624"/>
      <c r="AX909" s="624">
        <v>39528</v>
      </c>
      <c r="AY909" s="355">
        <v>4.2029999999999998E-2</v>
      </c>
      <c r="AZ909" s="624">
        <v>39595</v>
      </c>
      <c r="BA909" s="355">
        <v>1.9400000000000001E-2</v>
      </c>
      <c r="BB909" s="624">
        <v>39526</v>
      </c>
      <c r="BC909" s="355">
        <v>0.441</v>
      </c>
      <c r="BD909" s="624">
        <v>39527</v>
      </c>
      <c r="BE909" s="355">
        <v>9.9040000000000003E-2</v>
      </c>
      <c r="BF909" s="624">
        <v>39554</v>
      </c>
      <c r="BG909" s="355">
        <v>2.5031000000000001E-2</v>
      </c>
      <c r="BH909" s="624">
        <v>39526</v>
      </c>
      <c r="BI909" s="355">
        <v>0.108637</v>
      </c>
      <c r="BJ909" s="624">
        <v>39526</v>
      </c>
      <c r="BK909" s="355">
        <v>3.2143999999999999E-2</v>
      </c>
    </row>
    <row r="910" spans="3:63" x14ac:dyDescent="0.15">
      <c r="C910" s="624"/>
      <c r="D910" s="355">
        <v>4.2029999999999998E-2</v>
      </c>
      <c r="AV910" s="624"/>
      <c r="AX910" s="624">
        <v>39531</v>
      </c>
      <c r="AY910" s="355">
        <v>4.2009999999999999E-2</v>
      </c>
      <c r="AZ910" s="624">
        <v>39596</v>
      </c>
      <c r="BA910" s="355">
        <v>1.9099999999999999E-2</v>
      </c>
      <c r="BB910" s="624">
        <v>39527</v>
      </c>
      <c r="BC910" s="355">
        <v>0.43569999999999998</v>
      </c>
      <c r="BD910" s="624">
        <v>39528</v>
      </c>
      <c r="BE910" s="355">
        <v>9.98E-2</v>
      </c>
      <c r="BF910" s="624">
        <v>39555</v>
      </c>
      <c r="BG910" s="355">
        <v>2.5132000000000002E-2</v>
      </c>
      <c r="BH910" s="624">
        <v>39527</v>
      </c>
      <c r="BI910" s="355">
        <v>0.108483</v>
      </c>
      <c r="BJ910" s="624">
        <v>39527</v>
      </c>
      <c r="BK910" s="355">
        <v>3.1939000000000002E-2</v>
      </c>
    </row>
    <row r="911" spans="3:63" x14ac:dyDescent="0.15">
      <c r="C911" s="624"/>
      <c r="D911" s="355">
        <v>4.2009999999999999E-2</v>
      </c>
      <c r="AV911" s="624"/>
      <c r="AX911" s="624">
        <v>39532</v>
      </c>
      <c r="AY911" s="355">
        <v>4.2349999999999999E-2</v>
      </c>
      <c r="AZ911" s="624">
        <v>39597</v>
      </c>
      <c r="BA911" s="355">
        <v>1.8800000000000001E-2</v>
      </c>
      <c r="BB911" s="624">
        <v>39528</v>
      </c>
      <c r="BC911" s="355">
        <v>0.43669999999999998</v>
      </c>
      <c r="BD911" s="624">
        <v>39531</v>
      </c>
      <c r="BE911" s="355">
        <v>0.10085</v>
      </c>
      <c r="BF911" s="624">
        <v>39556</v>
      </c>
      <c r="BG911" s="355">
        <v>2.5049999999999999E-2</v>
      </c>
      <c r="BH911" s="624">
        <v>39528</v>
      </c>
      <c r="BI911" s="355">
        <v>0.108519</v>
      </c>
      <c r="BJ911" s="624">
        <v>39528</v>
      </c>
      <c r="BK911" s="355">
        <v>3.1968999999999997E-2</v>
      </c>
    </row>
    <row r="912" spans="3:63" x14ac:dyDescent="0.15">
      <c r="C912" s="624"/>
      <c r="D912" s="355">
        <v>4.2349999999999999E-2</v>
      </c>
      <c r="AV912" s="624"/>
      <c r="AX912" s="624">
        <v>39533</v>
      </c>
      <c r="AY912" s="355">
        <v>4.2630000000000001E-2</v>
      </c>
      <c r="AZ912" s="624">
        <v>39598</v>
      </c>
      <c r="BA912" s="355">
        <v>1.8800000000000001E-2</v>
      </c>
      <c r="BB912" s="624">
        <v>39531</v>
      </c>
      <c r="BC912" s="355">
        <v>0.43669999999999998</v>
      </c>
      <c r="BD912" s="624">
        <v>39532</v>
      </c>
      <c r="BE912" s="355">
        <v>0.10176</v>
      </c>
      <c r="BF912" s="624">
        <v>39559</v>
      </c>
      <c r="BG912" s="355">
        <v>2.5055999999999998E-2</v>
      </c>
      <c r="BH912" s="624">
        <v>39531</v>
      </c>
      <c r="BI912" s="355">
        <v>0.108755</v>
      </c>
      <c r="BJ912" s="624">
        <v>39531</v>
      </c>
      <c r="BK912" s="355">
        <v>3.1736E-2</v>
      </c>
    </row>
    <row r="913" spans="3:63" x14ac:dyDescent="0.15">
      <c r="C913" s="624"/>
      <c r="D913" s="355">
        <v>4.2630000000000001E-2</v>
      </c>
      <c r="AV913" s="624"/>
      <c r="AX913" s="624">
        <v>39534</v>
      </c>
      <c r="AY913" s="355">
        <v>4.2540000000000001E-2</v>
      </c>
      <c r="AZ913" s="624">
        <v>39601</v>
      </c>
      <c r="BA913" s="355">
        <v>1.8800000000000001E-2</v>
      </c>
      <c r="BB913" s="624">
        <v>39532</v>
      </c>
      <c r="BC913" s="355">
        <v>0.44390000000000002</v>
      </c>
      <c r="BD913" s="624">
        <v>39533</v>
      </c>
      <c r="BE913" s="355">
        <v>0.1008</v>
      </c>
      <c r="BF913" s="624">
        <v>39560</v>
      </c>
      <c r="BG913" s="355">
        <v>2.5024999999999999E-2</v>
      </c>
      <c r="BH913" s="624">
        <v>39532</v>
      </c>
      <c r="BI913" s="355">
        <v>0.10899200000000001</v>
      </c>
      <c r="BJ913" s="624">
        <v>39532</v>
      </c>
      <c r="BK913" s="355">
        <v>3.1716000000000001E-2</v>
      </c>
    </row>
    <row r="914" spans="3:63" x14ac:dyDescent="0.15">
      <c r="C914" s="624"/>
      <c r="D914" s="355">
        <v>4.2540000000000001E-2</v>
      </c>
      <c r="AV914" s="624"/>
      <c r="AX914" s="624">
        <v>39535</v>
      </c>
      <c r="AY914" s="355">
        <v>4.2569999999999997E-2</v>
      </c>
      <c r="AZ914" s="624">
        <v>39602</v>
      </c>
      <c r="BA914" s="355">
        <v>1.8800000000000001E-2</v>
      </c>
      <c r="BB914" s="624">
        <v>39533</v>
      </c>
      <c r="BC914" s="355">
        <v>0.44929999999999998</v>
      </c>
      <c r="BD914" s="624">
        <v>39534</v>
      </c>
      <c r="BE914" s="355">
        <v>0.10085</v>
      </c>
      <c r="BF914" s="624">
        <v>39561</v>
      </c>
      <c r="BG914" s="355">
        <v>2.4955999999999999E-2</v>
      </c>
      <c r="BH914" s="624">
        <v>39533</v>
      </c>
      <c r="BI914" s="355">
        <v>0.10881399999999999</v>
      </c>
      <c r="BJ914" s="624">
        <v>39533</v>
      </c>
      <c r="BK914" s="355">
        <v>3.1877999999999997E-2</v>
      </c>
    </row>
    <row r="915" spans="3:63" x14ac:dyDescent="0.15">
      <c r="C915" s="624"/>
      <c r="D915" s="355">
        <v>4.2569999999999997E-2</v>
      </c>
      <c r="AV915" s="624"/>
      <c r="AX915" s="624">
        <v>39538</v>
      </c>
      <c r="AY915" s="355">
        <v>4.2560000000000001E-2</v>
      </c>
      <c r="AZ915" s="624">
        <v>39603</v>
      </c>
      <c r="BA915" s="355">
        <v>1.89E-2</v>
      </c>
      <c r="BB915" s="624">
        <v>39534</v>
      </c>
      <c r="BC915" s="355">
        <v>0.44740000000000002</v>
      </c>
      <c r="BD915" s="624">
        <v>39535</v>
      </c>
      <c r="BE915" s="355">
        <v>0.10082000000000001</v>
      </c>
      <c r="BF915" s="624">
        <v>39562</v>
      </c>
      <c r="BG915" s="355">
        <v>2.4893999999999999E-2</v>
      </c>
      <c r="BH915" s="624">
        <v>39534</v>
      </c>
      <c r="BI915" s="355">
        <v>0.108519</v>
      </c>
      <c r="BJ915" s="624">
        <v>39534</v>
      </c>
      <c r="BK915" s="355">
        <v>3.1939000000000002E-2</v>
      </c>
    </row>
    <row r="916" spans="3:63" x14ac:dyDescent="0.15">
      <c r="C916" s="624"/>
      <c r="D916" s="355">
        <v>4.2560000000000001E-2</v>
      </c>
      <c r="AV916" s="624"/>
      <c r="AX916" s="624">
        <v>39539</v>
      </c>
      <c r="AY916" s="355">
        <v>4.2299999999999997E-2</v>
      </c>
      <c r="AZ916" s="624">
        <v>39604</v>
      </c>
      <c r="BA916" s="355">
        <v>1.9099999999999999E-2</v>
      </c>
      <c r="BB916" s="624">
        <v>39535</v>
      </c>
      <c r="BC916" s="355">
        <v>0.4486</v>
      </c>
      <c r="BD916" s="624">
        <v>39538</v>
      </c>
      <c r="BE916" s="355">
        <v>0.10100000000000001</v>
      </c>
      <c r="BF916" s="624">
        <v>39563</v>
      </c>
      <c r="BG916" s="355">
        <v>2.4913000000000001E-2</v>
      </c>
      <c r="BH916" s="624">
        <v>39535</v>
      </c>
      <c r="BI916" s="355">
        <v>0.10828400000000001</v>
      </c>
      <c r="BJ916" s="624">
        <v>39535</v>
      </c>
      <c r="BK916" s="355">
        <v>3.1816999999999998E-2</v>
      </c>
    </row>
    <row r="917" spans="3:63" x14ac:dyDescent="0.15">
      <c r="C917" s="624"/>
      <c r="D917" s="355">
        <v>4.2299999999999997E-2</v>
      </c>
      <c r="AV917" s="624"/>
      <c r="AX917" s="624">
        <v>39540</v>
      </c>
      <c r="AY917" s="355">
        <v>4.2419999999999999E-2</v>
      </c>
      <c r="AZ917" s="624">
        <v>39605</v>
      </c>
      <c r="BA917" s="355">
        <v>1.9400000000000001E-2</v>
      </c>
      <c r="BB917" s="624">
        <v>39538</v>
      </c>
      <c r="BC917" s="355">
        <v>0.4491</v>
      </c>
      <c r="BD917" s="624">
        <v>39539</v>
      </c>
      <c r="BE917" s="355">
        <v>0.10163999999999999</v>
      </c>
      <c r="BF917" s="624">
        <v>39566</v>
      </c>
      <c r="BG917" s="355">
        <v>2.4857000000000001E-2</v>
      </c>
      <c r="BH917" s="624">
        <v>39538</v>
      </c>
      <c r="BI917" s="355">
        <v>0.108519</v>
      </c>
      <c r="BJ917" s="624">
        <v>39538</v>
      </c>
      <c r="BK917" s="355">
        <v>3.1827000000000001E-2</v>
      </c>
    </row>
    <row r="918" spans="3:63" x14ac:dyDescent="0.15">
      <c r="C918" s="624"/>
      <c r="D918" s="355">
        <v>4.2419999999999999E-2</v>
      </c>
      <c r="AV918" s="624"/>
      <c r="AX918" s="624">
        <v>39541</v>
      </c>
      <c r="AY918" s="355">
        <v>4.24E-2</v>
      </c>
      <c r="AZ918" s="624">
        <v>39608</v>
      </c>
      <c r="BA918" s="355">
        <v>1.95E-2</v>
      </c>
      <c r="BB918" s="624">
        <v>39539</v>
      </c>
      <c r="BC918" s="355">
        <v>0.4456</v>
      </c>
      <c r="BD918" s="624">
        <v>39540</v>
      </c>
      <c r="BE918" s="355">
        <v>0.10249</v>
      </c>
      <c r="BF918" s="624">
        <v>39567</v>
      </c>
      <c r="BG918" s="355">
        <v>2.4811E-2</v>
      </c>
      <c r="BH918" s="624">
        <v>39539</v>
      </c>
      <c r="BI918" s="355">
        <v>0.108483</v>
      </c>
      <c r="BJ918" s="624">
        <v>39539</v>
      </c>
      <c r="BK918" s="355">
        <v>3.1746000000000003E-2</v>
      </c>
    </row>
    <row r="919" spans="3:63" x14ac:dyDescent="0.15">
      <c r="C919" s="624"/>
      <c r="D919" s="355">
        <v>4.24E-2</v>
      </c>
      <c r="AV919" s="624"/>
      <c r="AX919" s="624">
        <v>39542</v>
      </c>
      <c r="AY919" s="355">
        <v>4.2479999999999997E-2</v>
      </c>
      <c r="AZ919" s="624">
        <v>39609</v>
      </c>
      <c r="BA919" s="355">
        <v>1.9199999999999998E-2</v>
      </c>
      <c r="BB919" s="624">
        <v>39540</v>
      </c>
      <c r="BC919" s="355">
        <v>0.44979999999999998</v>
      </c>
      <c r="BD919" s="624">
        <v>39541</v>
      </c>
      <c r="BE919" s="355">
        <v>0.10251</v>
      </c>
      <c r="BF919" s="624">
        <v>39568</v>
      </c>
      <c r="BG919" s="355">
        <v>2.4663999999999998E-2</v>
      </c>
      <c r="BH919" s="624">
        <v>39540</v>
      </c>
      <c r="BI919" s="355">
        <v>0.108519</v>
      </c>
      <c r="BJ919" s="624">
        <v>39540</v>
      </c>
      <c r="BK919" s="355">
        <v>3.1685999999999999E-2</v>
      </c>
    </row>
    <row r="920" spans="3:63" x14ac:dyDescent="0.15">
      <c r="C920" s="624"/>
      <c r="D920" s="355">
        <v>4.2479999999999997E-2</v>
      </c>
      <c r="AV920" s="624"/>
      <c r="AX920" s="624">
        <v>39545</v>
      </c>
      <c r="AY920" s="355">
        <v>4.2450000000000002E-2</v>
      </c>
      <c r="AZ920" s="624">
        <v>39610</v>
      </c>
      <c r="BA920" s="355">
        <v>1.95E-2</v>
      </c>
      <c r="BB920" s="624">
        <v>39541</v>
      </c>
      <c r="BC920" s="355">
        <v>0.45079999999999998</v>
      </c>
      <c r="BD920" s="624">
        <v>39542</v>
      </c>
      <c r="BE920" s="355">
        <v>0.10246</v>
      </c>
      <c r="BF920" s="624">
        <v>39569</v>
      </c>
      <c r="BG920" s="355">
        <v>2.4715999999999998E-2</v>
      </c>
      <c r="BH920" s="624">
        <v>39541</v>
      </c>
      <c r="BI920" s="355">
        <v>0.10834199999999999</v>
      </c>
      <c r="BJ920" s="624">
        <v>39541</v>
      </c>
      <c r="BK920" s="355">
        <v>3.1606000000000002E-2</v>
      </c>
    </row>
    <row r="921" spans="3:63" x14ac:dyDescent="0.15">
      <c r="C921" s="624"/>
      <c r="D921" s="355">
        <v>4.2450000000000002E-2</v>
      </c>
      <c r="AV921" s="624"/>
      <c r="AX921" s="624">
        <v>39546</v>
      </c>
      <c r="AY921" s="355">
        <v>4.2450000000000002E-2</v>
      </c>
      <c r="AZ921" s="624">
        <v>39611</v>
      </c>
      <c r="BA921" s="355">
        <v>1.95E-2</v>
      </c>
      <c r="BB921" s="624">
        <v>39542</v>
      </c>
      <c r="BC921" s="355">
        <v>0.45250000000000001</v>
      </c>
      <c r="BD921" s="624">
        <v>39545</v>
      </c>
      <c r="BE921" s="355">
        <v>0.10267</v>
      </c>
      <c r="BF921" s="624">
        <v>39570</v>
      </c>
      <c r="BG921" s="355">
        <v>2.4558E-2</v>
      </c>
      <c r="BH921" s="624">
        <v>39542</v>
      </c>
      <c r="BI921" s="355">
        <v>0.108389</v>
      </c>
      <c r="BJ921" s="624">
        <v>39542</v>
      </c>
      <c r="BK921" s="355">
        <v>3.1586000000000003E-2</v>
      </c>
    </row>
    <row r="922" spans="3:63" x14ac:dyDescent="0.15">
      <c r="C922" s="624"/>
      <c r="D922" s="355">
        <v>4.2450000000000002E-2</v>
      </c>
      <c r="AV922" s="624"/>
      <c r="AX922" s="624">
        <v>39547</v>
      </c>
      <c r="AY922" s="355">
        <v>4.2630000000000001E-2</v>
      </c>
      <c r="AZ922" s="624">
        <v>39612</v>
      </c>
      <c r="BA922" s="355">
        <v>1.9400000000000001E-2</v>
      </c>
      <c r="BB922" s="624">
        <v>39545</v>
      </c>
      <c r="BC922" s="355">
        <v>0.45419999999999999</v>
      </c>
      <c r="BD922" s="624">
        <v>39546</v>
      </c>
      <c r="BE922" s="355">
        <v>0.10245</v>
      </c>
      <c r="BF922" s="624">
        <v>39573</v>
      </c>
      <c r="BG922" s="355">
        <v>2.4587999999999999E-2</v>
      </c>
      <c r="BH922" s="624">
        <v>39545</v>
      </c>
      <c r="BI922" s="355">
        <v>0.10881399999999999</v>
      </c>
      <c r="BJ922" s="624">
        <v>39545</v>
      </c>
      <c r="BK922" s="355">
        <v>3.1646000000000001E-2</v>
      </c>
    </row>
    <row r="923" spans="3:63" x14ac:dyDescent="0.15">
      <c r="C923" s="624"/>
      <c r="D923" s="355">
        <v>4.2630000000000001E-2</v>
      </c>
      <c r="AV923" s="624"/>
      <c r="AX923" s="624">
        <v>39548</v>
      </c>
      <c r="AY923" s="355">
        <v>4.249E-2</v>
      </c>
      <c r="AZ923" s="624">
        <v>39615</v>
      </c>
      <c r="BA923" s="355">
        <v>1.9599999999999999E-2</v>
      </c>
      <c r="BB923" s="624">
        <v>39546</v>
      </c>
      <c r="BC923" s="355">
        <v>0.45440000000000003</v>
      </c>
      <c r="BD923" s="624">
        <v>39547</v>
      </c>
      <c r="BE923" s="355">
        <v>0.10231</v>
      </c>
      <c r="BF923" s="624">
        <v>39574</v>
      </c>
      <c r="BG923" s="355">
        <v>2.4420000000000001E-2</v>
      </c>
      <c r="BH923" s="624">
        <v>39546</v>
      </c>
      <c r="BI923" s="355">
        <v>0.108696</v>
      </c>
      <c r="BJ923" s="624">
        <v>39546</v>
      </c>
      <c r="BK923" s="355">
        <v>3.1498999999999999E-2</v>
      </c>
    </row>
    <row r="924" spans="3:63" x14ac:dyDescent="0.15">
      <c r="C924" s="624"/>
      <c r="D924" s="355">
        <v>4.249E-2</v>
      </c>
      <c r="AV924" s="624"/>
      <c r="AX924" s="624">
        <v>39549</v>
      </c>
      <c r="AY924" s="355">
        <v>4.2630000000000001E-2</v>
      </c>
      <c r="AZ924" s="624">
        <v>39616</v>
      </c>
      <c r="BA924" s="355">
        <v>1.9400000000000001E-2</v>
      </c>
      <c r="BB924" s="624">
        <v>39547</v>
      </c>
      <c r="BC924" s="355">
        <v>0.4582</v>
      </c>
      <c r="BD924" s="624">
        <v>39548</v>
      </c>
      <c r="BE924" s="355">
        <v>0.10241</v>
      </c>
      <c r="BF924" s="624">
        <v>39575</v>
      </c>
      <c r="BG924" s="355">
        <v>2.4101999999999998E-2</v>
      </c>
      <c r="BH924" s="624">
        <v>39547</v>
      </c>
      <c r="BI924" s="355">
        <v>0.10846</v>
      </c>
      <c r="BJ924" s="624">
        <v>39547</v>
      </c>
      <c r="BK924" s="355">
        <v>3.1461999999999997E-2</v>
      </c>
    </row>
    <row r="925" spans="3:63" x14ac:dyDescent="0.15">
      <c r="C925" s="624"/>
      <c r="D925" s="355">
        <v>4.2630000000000001E-2</v>
      </c>
      <c r="AV925" s="624"/>
      <c r="AX925" s="624">
        <v>39552</v>
      </c>
      <c r="AY925" s="355">
        <v>4.2639999999999997E-2</v>
      </c>
      <c r="AZ925" s="624">
        <v>39617</v>
      </c>
      <c r="BA925" s="355">
        <v>1.9300000000000001E-2</v>
      </c>
      <c r="BB925" s="624">
        <v>39548</v>
      </c>
      <c r="BC925" s="355">
        <v>0.45950000000000002</v>
      </c>
      <c r="BD925" s="624">
        <v>39549</v>
      </c>
      <c r="BE925" s="355">
        <v>0.10231999999999999</v>
      </c>
      <c r="BF925" s="624">
        <v>39576</v>
      </c>
      <c r="BG925" s="355">
        <v>2.3942999999999999E-2</v>
      </c>
      <c r="BH925" s="624">
        <v>39548</v>
      </c>
      <c r="BI925" s="355">
        <v>0.10874300000000001</v>
      </c>
      <c r="BJ925" s="624">
        <v>39548</v>
      </c>
      <c r="BK925" s="355">
        <v>3.1775999999999999E-2</v>
      </c>
    </row>
    <row r="926" spans="3:63" x14ac:dyDescent="0.15">
      <c r="C926" s="624"/>
      <c r="D926" s="355">
        <v>4.2639999999999997E-2</v>
      </c>
      <c r="AV926" s="624"/>
      <c r="AX926" s="624">
        <v>39553</v>
      </c>
      <c r="AY926" s="355">
        <v>4.2569999999999997E-2</v>
      </c>
      <c r="AZ926" s="624">
        <v>39618</v>
      </c>
      <c r="BA926" s="355">
        <v>1.9300000000000001E-2</v>
      </c>
      <c r="BB926" s="624">
        <v>39549</v>
      </c>
      <c r="BC926" s="355">
        <v>0.46039999999999998</v>
      </c>
      <c r="BD926" s="624">
        <v>39552</v>
      </c>
      <c r="BE926" s="355">
        <v>0.10206999999999999</v>
      </c>
      <c r="BF926" s="624">
        <v>39577</v>
      </c>
      <c r="BG926" s="355">
        <v>2.4056000000000001E-2</v>
      </c>
      <c r="BH926" s="624">
        <v>39549</v>
      </c>
      <c r="BI926" s="355">
        <v>0.10889699999999999</v>
      </c>
      <c r="BJ926" s="624">
        <v>39549</v>
      </c>
      <c r="BK926" s="355">
        <v>3.1681000000000001E-2</v>
      </c>
    </row>
    <row r="927" spans="3:63" x14ac:dyDescent="0.15">
      <c r="C927" s="624"/>
      <c r="D927" s="355">
        <v>4.2569999999999997E-2</v>
      </c>
      <c r="AV927" s="624"/>
      <c r="AX927" s="624">
        <v>39554</v>
      </c>
      <c r="AY927" s="355">
        <v>4.2799999999999998E-2</v>
      </c>
      <c r="AZ927" s="624">
        <v>39619</v>
      </c>
      <c r="BA927" s="355">
        <v>1.9699999999999999E-2</v>
      </c>
      <c r="BB927" s="624">
        <v>39552</v>
      </c>
      <c r="BC927" s="355">
        <v>0.46479999999999999</v>
      </c>
      <c r="BD927" s="624">
        <v>39553</v>
      </c>
      <c r="BE927" s="355">
        <v>0.10076</v>
      </c>
      <c r="BF927" s="624">
        <v>39580</v>
      </c>
      <c r="BG927" s="355">
        <v>2.3855000000000001E-2</v>
      </c>
      <c r="BH927" s="624">
        <v>39552</v>
      </c>
      <c r="BI927" s="355">
        <v>0.108448</v>
      </c>
      <c r="BJ927" s="624">
        <v>39552</v>
      </c>
      <c r="BK927" s="355">
        <v>3.1666E-2</v>
      </c>
    </row>
    <row r="928" spans="3:63" x14ac:dyDescent="0.15">
      <c r="C928" s="624"/>
      <c r="D928" s="355">
        <v>4.2799999999999998E-2</v>
      </c>
      <c r="AV928" s="624"/>
      <c r="AX928" s="624">
        <v>39555</v>
      </c>
      <c r="AY928" s="355">
        <v>4.2750000000000003E-2</v>
      </c>
      <c r="AZ928" s="624">
        <v>39622</v>
      </c>
      <c r="BA928" s="355">
        <v>1.9599999999999999E-2</v>
      </c>
      <c r="BB928" s="624">
        <v>39553</v>
      </c>
      <c r="BC928" s="355">
        <v>0.46279999999999999</v>
      </c>
      <c r="BD928" s="624">
        <v>39554</v>
      </c>
      <c r="BE928" s="355">
        <v>0.10106999999999999</v>
      </c>
      <c r="BF928" s="624">
        <v>39581</v>
      </c>
      <c r="BG928" s="355">
        <v>2.3677E-2</v>
      </c>
      <c r="BH928" s="624">
        <v>39553</v>
      </c>
      <c r="BI928" s="355">
        <v>0.10857799999999999</v>
      </c>
      <c r="BJ928" s="624">
        <v>39553</v>
      </c>
      <c r="BK928" s="355">
        <v>3.1626000000000001E-2</v>
      </c>
    </row>
    <row r="929" spans="3:63" x14ac:dyDescent="0.15">
      <c r="C929" s="624"/>
      <c r="D929" s="355">
        <v>4.2750000000000003E-2</v>
      </c>
      <c r="AV929" s="624"/>
      <c r="AX929" s="624">
        <v>39556</v>
      </c>
      <c r="AY929" s="355">
        <v>4.2619999999999998E-2</v>
      </c>
      <c r="AZ929" s="624">
        <v>39623</v>
      </c>
      <c r="BA929" s="355">
        <v>1.9699999999999999E-2</v>
      </c>
      <c r="BB929" s="624">
        <v>39554</v>
      </c>
      <c r="BC929" s="355">
        <v>0.46679999999999999</v>
      </c>
      <c r="BD929" s="624">
        <v>39555</v>
      </c>
      <c r="BE929" s="355">
        <v>0.10001</v>
      </c>
      <c r="BF929" s="624">
        <v>39582</v>
      </c>
      <c r="BG929" s="355">
        <v>2.3578999999999999E-2</v>
      </c>
      <c r="BH929" s="624">
        <v>39554</v>
      </c>
      <c r="BI929" s="355">
        <v>0.108815</v>
      </c>
      <c r="BJ929" s="624">
        <v>39554</v>
      </c>
      <c r="BK929" s="355">
        <v>3.1766999999999997E-2</v>
      </c>
    </row>
    <row r="930" spans="3:63" x14ac:dyDescent="0.15">
      <c r="C930" s="624"/>
      <c r="D930" s="355">
        <v>4.2619999999999998E-2</v>
      </c>
      <c r="AV930" s="624"/>
      <c r="AX930" s="624">
        <v>39559</v>
      </c>
      <c r="AY930" s="355">
        <v>4.2750000000000003E-2</v>
      </c>
      <c r="AZ930" s="624">
        <v>39624</v>
      </c>
      <c r="BA930" s="355">
        <v>1.9800000000000002E-2</v>
      </c>
      <c r="BB930" s="624">
        <v>39555</v>
      </c>
      <c r="BC930" s="355">
        <v>0.46350000000000002</v>
      </c>
      <c r="BD930" s="624">
        <v>39556</v>
      </c>
      <c r="BE930" s="355">
        <v>0.10020999999999999</v>
      </c>
      <c r="BF930" s="624">
        <v>39583</v>
      </c>
      <c r="BG930" s="355">
        <v>2.3477000000000001E-2</v>
      </c>
      <c r="BH930" s="624">
        <v>39555</v>
      </c>
      <c r="BI930" s="355">
        <v>0.108815</v>
      </c>
      <c r="BJ930" s="624">
        <v>39555</v>
      </c>
      <c r="BK930" s="355">
        <v>3.1816999999999998E-2</v>
      </c>
    </row>
    <row r="931" spans="3:63" x14ac:dyDescent="0.15">
      <c r="C931" s="624"/>
      <c r="D931" s="355">
        <v>4.2750000000000003E-2</v>
      </c>
      <c r="AV931" s="624"/>
      <c r="AX931" s="624">
        <v>39560</v>
      </c>
      <c r="AY931" s="355">
        <v>4.2880000000000001E-2</v>
      </c>
      <c r="AZ931" s="624">
        <v>39625</v>
      </c>
      <c r="BA931" s="355">
        <v>1.9900000000000001E-2</v>
      </c>
      <c r="BB931" s="624">
        <v>39556</v>
      </c>
      <c r="BC931" s="355">
        <v>0.46050000000000002</v>
      </c>
      <c r="BD931" s="624">
        <v>39559</v>
      </c>
      <c r="BE931" s="355">
        <v>0.10059999999999999</v>
      </c>
      <c r="BF931" s="624">
        <v>39584</v>
      </c>
      <c r="BG931" s="355">
        <v>2.3498999999999999E-2</v>
      </c>
      <c r="BH931" s="624">
        <v>39556</v>
      </c>
      <c r="BI931" s="355">
        <v>0.108696</v>
      </c>
      <c r="BJ931" s="624">
        <v>39556</v>
      </c>
      <c r="BK931" s="355">
        <v>3.1726999999999998E-2</v>
      </c>
    </row>
    <row r="932" spans="3:63" x14ac:dyDescent="0.15">
      <c r="C932" s="624"/>
      <c r="D932" s="355">
        <v>4.2880000000000001E-2</v>
      </c>
      <c r="AV932" s="624"/>
      <c r="AX932" s="624">
        <v>39561</v>
      </c>
      <c r="AY932" s="355">
        <v>4.2709999999999998E-2</v>
      </c>
      <c r="AZ932" s="624">
        <v>39626</v>
      </c>
      <c r="BA932" s="355">
        <v>0.02</v>
      </c>
      <c r="BB932" s="624">
        <v>39559</v>
      </c>
      <c r="BC932" s="355">
        <v>0.4657</v>
      </c>
      <c r="BD932" s="624">
        <v>39560</v>
      </c>
      <c r="BE932" s="355">
        <v>0.10002999999999999</v>
      </c>
      <c r="BF932" s="624">
        <v>39587</v>
      </c>
      <c r="BG932" s="355">
        <v>2.3526999999999999E-2</v>
      </c>
      <c r="BH932" s="624">
        <v>39559</v>
      </c>
      <c r="BI932" s="355">
        <v>0.108755</v>
      </c>
      <c r="BJ932" s="624">
        <v>39559</v>
      </c>
      <c r="BK932" s="355">
        <v>3.1741999999999999E-2</v>
      </c>
    </row>
    <row r="933" spans="3:63" x14ac:dyDescent="0.15">
      <c r="C933" s="624"/>
      <c r="D933" s="355">
        <v>4.2709999999999998E-2</v>
      </c>
      <c r="AV933" s="624"/>
      <c r="AX933" s="624">
        <v>39562</v>
      </c>
      <c r="AY933" s="355">
        <v>4.2419999999999999E-2</v>
      </c>
      <c r="AZ933" s="624">
        <v>39629</v>
      </c>
      <c r="BA933" s="355">
        <v>2.01E-2</v>
      </c>
      <c r="BB933" s="624">
        <v>39560</v>
      </c>
      <c r="BC933" s="355">
        <v>0.46889999999999998</v>
      </c>
      <c r="BD933" s="624">
        <v>39561</v>
      </c>
      <c r="BE933" s="355">
        <v>0.10092</v>
      </c>
      <c r="BF933" s="624">
        <v>39588</v>
      </c>
      <c r="BG933" s="355">
        <v>2.3446999999999999E-2</v>
      </c>
      <c r="BH933" s="624">
        <v>39560</v>
      </c>
      <c r="BI933" s="355">
        <v>0.10879</v>
      </c>
      <c r="BJ933" s="624">
        <v>39560</v>
      </c>
      <c r="BK933" s="355">
        <v>3.1836999999999997E-2</v>
      </c>
    </row>
    <row r="934" spans="3:63" x14ac:dyDescent="0.15">
      <c r="C934" s="624"/>
      <c r="D934" s="355">
        <v>4.2419999999999999E-2</v>
      </c>
      <c r="AV934" s="624"/>
      <c r="AX934" s="624">
        <v>39563</v>
      </c>
      <c r="AY934" s="355">
        <v>4.233E-2</v>
      </c>
      <c r="AZ934" s="624">
        <v>39630</v>
      </c>
      <c r="BA934" s="355">
        <v>0.02</v>
      </c>
      <c r="BB934" s="624">
        <v>39561</v>
      </c>
      <c r="BC934" s="355">
        <v>0.46550000000000002</v>
      </c>
      <c r="BD934" s="624">
        <v>39562</v>
      </c>
      <c r="BE934" s="355">
        <v>0.10037</v>
      </c>
      <c r="BF934" s="624">
        <v>39589</v>
      </c>
      <c r="BG934" s="355">
        <v>2.3264E-2</v>
      </c>
      <c r="BH934" s="624">
        <v>39561</v>
      </c>
      <c r="BI934" s="355">
        <v>0.10834199999999999</v>
      </c>
      <c r="BJ934" s="624">
        <v>39561</v>
      </c>
      <c r="BK934" s="355">
        <v>3.1796999999999999E-2</v>
      </c>
    </row>
    <row r="935" spans="3:63" x14ac:dyDescent="0.15">
      <c r="C935" s="624"/>
      <c r="D935" s="355">
        <v>4.233E-2</v>
      </c>
      <c r="AV935" s="624"/>
      <c r="AX935" s="624">
        <v>39566</v>
      </c>
      <c r="AY935" s="355">
        <v>4.2389999999999997E-2</v>
      </c>
      <c r="AZ935" s="624">
        <v>39631</v>
      </c>
      <c r="BA935" s="355">
        <v>2.01E-2</v>
      </c>
      <c r="BB935" s="624">
        <v>39562</v>
      </c>
      <c r="BC935" s="355">
        <v>0.45639999999999997</v>
      </c>
      <c r="BD935" s="624">
        <v>39563</v>
      </c>
      <c r="BE935" s="355">
        <v>0.10052999999999999</v>
      </c>
      <c r="BF935" s="624">
        <v>39590</v>
      </c>
      <c r="BG935" s="355">
        <v>2.3314999999999999E-2</v>
      </c>
      <c r="BH935" s="624">
        <v>39562</v>
      </c>
      <c r="BI935" s="355">
        <v>0.108519</v>
      </c>
      <c r="BJ935" s="624">
        <v>39562</v>
      </c>
      <c r="BK935" s="355">
        <v>3.1751000000000001E-2</v>
      </c>
    </row>
    <row r="936" spans="3:63" x14ac:dyDescent="0.15">
      <c r="C936" s="624"/>
      <c r="D936" s="355">
        <v>4.2389999999999997E-2</v>
      </c>
      <c r="AV936" s="624"/>
      <c r="AX936" s="624">
        <v>39567</v>
      </c>
      <c r="AY936" s="355">
        <v>4.224E-2</v>
      </c>
      <c r="AZ936" s="624">
        <v>39632</v>
      </c>
      <c r="BA936" s="355">
        <v>1.9900000000000001E-2</v>
      </c>
      <c r="BB936" s="624">
        <v>39563</v>
      </c>
      <c r="BC936" s="355">
        <v>0.45440000000000003</v>
      </c>
      <c r="BD936" s="624">
        <v>39566</v>
      </c>
      <c r="BE936" s="355">
        <v>0.10038</v>
      </c>
      <c r="BF936" s="624">
        <v>39591</v>
      </c>
      <c r="BG936" s="355">
        <v>2.3421999999999998E-2</v>
      </c>
      <c r="BH936" s="624">
        <v>39563</v>
      </c>
      <c r="BI936" s="355">
        <v>0.108372</v>
      </c>
      <c r="BJ936" s="624">
        <v>39563</v>
      </c>
      <c r="BK936" s="355">
        <v>3.1556000000000001E-2</v>
      </c>
    </row>
    <row r="937" spans="3:63" x14ac:dyDescent="0.15">
      <c r="C937" s="624"/>
      <c r="D937" s="355">
        <v>4.224E-2</v>
      </c>
      <c r="AV937" s="624"/>
      <c r="AX937" s="624">
        <v>39568</v>
      </c>
      <c r="AY937" s="355">
        <v>4.231E-2</v>
      </c>
      <c r="AZ937" s="624">
        <v>39633</v>
      </c>
      <c r="BA937" s="355">
        <v>1.9900000000000001E-2</v>
      </c>
      <c r="BB937" s="624">
        <v>39566</v>
      </c>
      <c r="BC937" s="355">
        <v>0.45550000000000002</v>
      </c>
      <c r="BD937" s="624">
        <v>39567</v>
      </c>
      <c r="BE937" s="355">
        <v>9.9699999999999997E-2</v>
      </c>
      <c r="BF937" s="624">
        <v>39594</v>
      </c>
      <c r="BG937" s="355">
        <v>2.3401000000000002E-2</v>
      </c>
      <c r="BH937" s="624">
        <v>39566</v>
      </c>
      <c r="BI937" s="355">
        <v>0.108489</v>
      </c>
      <c r="BJ937" s="624">
        <v>39566</v>
      </c>
      <c r="BK937" s="355">
        <v>3.1545999999999998E-2</v>
      </c>
    </row>
    <row r="938" spans="3:63" x14ac:dyDescent="0.15">
      <c r="C938" s="624"/>
      <c r="D938" s="355">
        <v>4.231E-2</v>
      </c>
      <c r="AV938" s="624"/>
      <c r="AX938" s="624">
        <v>39569</v>
      </c>
      <c r="AY938" s="355">
        <v>4.2070000000000003E-2</v>
      </c>
      <c r="AZ938" s="624">
        <v>39636</v>
      </c>
      <c r="BA938" s="355">
        <v>1.9900000000000001E-2</v>
      </c>
      <c r="BB938" s="624">
        <v>39567</v>
      </c>
      <c r="BC938" s="355">
        <v>0.44969999999999999</v>
      </c>
      <c r="BD938" s="624">
        <v>39568</v>
      </c>
      <c r="BE938" s="355">
        <v>9.9699999999999997E-2</v>
      </c>
      <c r="BF938" s="624">
        <v>39595</v>
      </c>
      <c r="BG938" s="355">
        <v>2.3272000000000001E-2</v>
      </c>
      <c r="BH938" s="624">
        <v>39567</v>
      </c>
      <c r="BI938" s="355">
        <v>0.108307</v>
      </c>
      <c r="BJ938" s="624">
        <v>39567</v>
      </c>
      <c r="BK938" s="355">
        <v>3.1536000000000002E-2</v>
      </c>
    </row>
    <row r="939" spans="3:63" x14ac:dyDescent="0.15">
      <c r="C939" s="624"/>
      <c r="D939" s="355">
        <v>4.2070000000000003E-2</v>
      </c>
      <c r="AV939" s="624"/>
      <c r="AX939" s="624">
        <v>39570</v>
      </c>
      <c r="AY939" s="355">
        <v>4.2029999999999998E-2</v>
      </c>
      <c r="AZ939" s="624">
        <v>39637</v>
      </c>
      <c r="BA939" s="355">
        <v>1.9800000000000002E-2</v>
      </c>
      <c r="BB939" s="624">
        <v>39568</v>
      </c>
      <c r="BC939" s="355">
        <v>0.4526</v>
      </c>
      <c r="BD939" s="624">
        <v>39569</v>
      </c>
      <c r="BE939" s="355">
        <v>9.9750000000000005E-2</v>
      </c>
      <c r="BF939" s="624">
        <v>39596</v>
      </c>
      <c r="BG939" s="355">
        <v>2.3377999999999999E-2</v>
      </c>
      <c r="BH939" s="624">
        <v>39568</v>
      </c>
      <c r="BI939" s="355">
        <v>0.108337</v>
      </c>
      <c r="BJ939" s="624">
        <v>39568</v>
      </c>
      <c r="BK939" s="355">
        <v>3.1531000000000003E-2</v>
      </c>
    </row>
    <row r="940" spans="3:63" x14ac:dyDescent="0.15">
      <c r="C940" s="624"/>
      <c r="D940" s="355">
        <v>4.2029999999999998E-2</v>
      </c>
      <c r="AV940" s="624"/>
      <c r="AX940" s="624">
        <v>39573</v>
      </c>
      <c r="AY940" s="355">
        <v>4.2119999999999998E-2</v>
      </c>
      <c r="AZ940" s="624">
        <v>39638</v>
      </c>
      <c r="BA940" s="355">
        <v>1.9900000000000001E-2</v>
      </c>
      <c r="BB940" s="624">
        <v>39569</v>
      </c>
      <c r="BC940" s="355">
        <v>0.44650000000000001</v>
      </c>
      <c r="BD940" s="624">
        <v>39570</v>
      </c>
      <c r="BE940" s="355">
        <v>9.9010000000000001E-2</v>
      </c>
      <c r="BF940" s="624">
        <v>39597</v>
      </c>
      <c r="BG940" s="355">
        <v>2.3563000000000001E-2</v>
      </c>
      <c r="BH940" s="624">
        <v>39569</v>
      </c>
      <c r="BI940" s="355">
        <v>0.108401</v>
      </c>
      <c r="BJ940" s="624">
        <v>39569</v>
      </c>
      <c r="BK940" s="355">
        <v>3.1716000000000001E-2</v>
      </c>
    </row>
    <row r="941" spans="3:63" x14ac:dyDescent="0.15">
      <c r="C941" s="624"/>
      <c r="D941" s="355">
        <v>4.2119999999999998E-2</v>
      </c>
      <c r="AV941" s="624"/>
      <c r="AX941" s="624">
        <v>39574</v>
      </c>
      <c r="AY941" s="355">
        <v>4.2169999999999999E-2</v>
      </c>
      <c r="AZ941" s="624">
        <v>39639</v>
      </c>
      <c r="BA941" s="355">
        <v>2.01E-2</v>
      </c>
      <c r="BB941" s="624">
        <v>39570</v>
      </c>
      <c r="BC941" s="355">
        <v>0.44919999999999999</v>
      </c>
      <c r="BD941" s="624">
        <v>39573</v>
      </c>
      <c r="BE941" s="355">
        <v>9.9210000000000007E-2</v>
      </c>
      <c r="BF941" s="624">
        <v>39598</v>
      </c>
      <c r="BG941" s="355">
        <v>2.3688000000000001E-2</v>
      </c>
      <c r="BH941" s="624">
        <v>39570</v>
      </c>
      <c r="BI941" s="355">
        <v>0.108414</v>
      </c>
      <c r="BJ941" s="624">
        <v>39570</v>
      </c>
      <c r="BK941" s="355">
        <v>3.1525999999999998E-2</v>
      </c>
    </row>
    <row r="942" spans="3:63" x14ac:dyDescent="0.15">
      <c r="C942" s="624"/>
      <c r="D942" s="355">
        <v>4.2169999999999999E-2</v>
      </c>
      <c r="AV942" s="624"/>
      <c r="AX942" s="624">
        <v>39575</v>
      </c>
      <c r="AY942" s="355">
        <v>4.1980000000000003E-2</v>
      </c>
      <c r="AZ942" s="624">
        <v>39640</v>
      </c>
      <c r="BA942" s="355">
        <v>2.0299999999999999E-2</v>
      </c>
      <c r="BB942" s="624">
        <v>39573</v>
      </c>
      <c r="BC942" s="355">
        <v>0.45</v>
      </c>
      <c r="BD942" s="624">
        <v>39574</v>
      </c>
      <c r="BE942" s="355">
        <v>9.8519999999999996E-2</v>
      </c>
      <c r="BF942" s="624">
        <v>39601</v>
      </c>
      <c r="BG942" s="355">
        <v>2.3549E-2</v>
      </c>
      <c r="BH942" s="624">
        <v>39573</v>
      </c>
      <c r="BI942" s="355">
        <v>0.108525</v>
      </c>
      <c r="BJ942" s="624">
        <v>39573</v>
      </c>
      <c r="BK942" s="355">
        <v>3.1565999999999997E-2</v>
      </c>
    </row>
    <row r="943" spans="3:63" x14ac:dyDescent="0.15">
      <c r="C943" s="624"/>
      <c r="D943" s="355">
        <v>4.1980000000000003E-2</v>
      </c>
      <c r="AV943" s="624"/>
      <c r="AX943" s="624">
        <v>39576</v>
      </c>
      <c r="AY943" s="355">
        <v>4.197E-2</v>
      </c>
      <c r="AZ943" s="624">
        <v>39643</v>
      </c>
      <c r="BA943" s="355">
        <v>2.0299999999999999E-2</v>
      </c>
      <c r="BB943" s="624">
        <v>39574</v>
      </c>
      <c r="BC943" s="355">
        <v>0.45200000000000001</v>
      </c>
      <c r="BD943" s="624">
        <v>39575</v>
      </c>
      <c r="BE943" s="355">
        <v>9.6990000000000007E-2</v>
      </c>
      <c r="BF943" s="624">
        <v>39602</v>
      </c>
      <c r="BG943" s="355">
        <v>2.3512999999999999E-2</v>
      </c>
      <c r="BH943" s="624">
        <v>39574</v>
      </c>
      <c r="BI943" s="355">
        <v>0.10842499999999999</v>
      </c>
      <c r="BJ943" s="624">
        <v>39574</v>
      </c>
      <c r="BK943" s="355">
        <v>3.1569E-2</v>
      </c>
    </row>
    <row r="944" spans="3:63" x14ac:dyDescent="0.15">
      <c r="C944" s="624"/>
      <c r="D944" s="355">
        <v>4.197E-2</v>
      </c>
      <c r="AV944" s="624"/>
      <c r="AX944" s="624">
        <v>39577</v>
      </c>
      <c r="AY944" s="355">
        <v>4.2119999999999998E-2</v>
      </c>
      <c r="AZ944" s="624">
        <v>39644</v>
      </c>
      <c r="BA944" s="355">
        <v>2.0299999999999999E-2</v>
      </c>
      <c r="BB944" s="624">
        <v>39575</v>
      </c>
      <c r="BC944" s="355">
        <v>0.45069999999999999</v>
      </c>
      <c r="BD944" s="624">
        <v>39576</v>
      </c>
      <c r="BE944" s="355">
        <v>9.6079999999999999E-2</v>
      </c>
      <c r="BF944" s="624">
        <v>39603</v>
      </c>
      <c r="BG944" s="355">
        <v>2.3304999999999999E-2</v>
      </c>
      <c r="BH944" s="624">
        <v>39575</v>
      </c>
      <c r="BI944" s="355">
        <v>0.10813200000000001</v>
      </c>
      <c r="BJ944" s="624">
        <v>39575</v>
      </c>
      <c r="BK944" s="355">
        <v>3.1525999999999998E-2</v>
      </c>
    </row>
    <row r="945" spans="3:63" x14ac:dyDescent="0.15">
      <c r="C945" s="624"/>
      <c r="D945" s="355">
        <v>4.2119999999999998E-2</v>
      </c>
      <c r="AV945" s="624"/>
      <c r="AX945" s="624">
        <v>39580</v>
      </c>
      <c r="AY945" s="355">
        <v>4.2220000000000001E-2</v>
      </c>
      <c r="AZ945" s="624">
        <v>39645</v>
      </c>
      <c r="BA945" s="355">
        <v>2.0199999999999999E-2</v>
      </c>
      <c r="BB945" s="624">
        <v>39576</v>
      </c>
      <c r="BC945" s="355">
        <v>0.45140000000000002</v>
      </c>
      <c r="BD945" s="624">
        <v>39577</v>
      </c>
      <c r="BE945" s="355">
        <v>9.572E-2</v>
      </c>
      <c r="BF945" s="624">
        <v>39604</v>
      </c>
      <c r="BG945" s="355">
        <v>2.3255999999999999E-2</v>
      </c>
      <c r="BH945" s="624">
        <v>39576</v>
      </c>
      <c r="BI945" s="355">
        <v>0.10817300000000001</v>
      </c>
      <c r="BJ945" s="624">
        <v>39576</v>
      </c>
      <c r="BK945" s="355">
        <v>3.1323999999999998E-2</v>
      </c>
    </row>
    <row r="946" spans="3:63" x14ac:dyDescent="0.15">
      <c r="C946" s="624"/>
      <c r="D946" s="355">
        <v>4.2220000000000001E-2</v>
      </c>
      <c r="AV946" s="624"/>
      <c r="AX946" s="624">
        <v>39581</v>
      </c>
      <c r="AY946" s="355">
        <v>4.2000000000000003E-2</v>
      </c>
      <c r="AZ946" s="624">
        <v>39646</v>
      </c>
      <c r="BA946" s="355">
        <v>2.0199999999999999E-2</v>
      </c>
      <c r="BB946" s="624">
        <v>39577</v>
      </c>
      <c r="BC946" s="355">
        <v>0.45650000000000002</v>
      </c>
      <c r="BD946" s="624">
        <v>39580</v>
      </c>
      <c r="BE946" s="355">
        <v>9.5600000000000004E-2</v>
      </c>
      <c r="BF946" s="624">
        <v>39605</v>
      </c>
      <c r="BG946" s="355">
        <v>2.324E-2</v>
      </c>
      <c r="BH946" s="624">
        <v>39577</v>
      </c>
      <c r="BI946" s="355">
        <v>0.108155</v>
      </c>
      <c r="BJ946" s="624">
        <v>39577</v>
      </c>
      <c r="BK946" s="355">
        <v>3.124E-2</v>
      </c>
    </row>
    <row r="947" spans="3:63" x14ac:dyDescent="0.15">
      <c r="C947" s="624"/>
      <c r="D947" s="355">
        <v>4.2000000000000003E-2</v>
      </c>
      <c r="AV947" s="624"/>
      <c r="AX947" s="624">
        <v>39582</v>
      </c>
      <c r="AY947" s="355">
        <v>4.1849999999999998E-2</v>
      </c>
      <c r="AZ947" s="624">
        <v>39647</v>
      </c>
      <c r="BA947" s="355">
        <v>2.0199999999999999E-2</v>
      </c>
      <c r="BB947" s="624">
        <v>39580</v>
      </c>
      <c r="BC947" s="355">
        <v>0.4602</v>
      </c>
      <c r="BD947" s="624">
        <v>39581</v>
      </c>
      <c r="BE947" s="355">
        <v>9.5509999999999998E-2</v>
      </c>
      <c r="BF947" s="624">
        <v>39608</v>
      </c>
      <c r="BG947" s="355">
        <v>2.3283000000000002E-2</v>
      </c>
      <c r="BH947" s="624">
        <v>39580</v>
      </c>
      <c r="BI947" s="355">
        <v>0.10804999999999999</v>
      </c>
      <c r="BJ947" s="624">
        <v>39580</v>
      </c>
      <c r="BK947" s="355">
        <v>3.1085000000000002E-2</v>
      </c>
    </row>
    <row r="948" spans="3:63" x14ac:dyDescent="0.15">
      <c r="C948" s="624"/>
      <c r="D948" s="355">
        <v>4.1849999999999998E-2</v>
      </c>
      <c r="AV948" s="624"/>
      <c r="AX948" s="624">
        <v>39583</v>
      </c>
      <c r="AY948" s="355">
        <v>4.1849999999999998E-2</v>
      </c>
      <c r="AZ948" s="624">
        <v>39650</v>
      </c>
      <c r="BA948" s="355">
        <v>2.0199999999999999E-2</v>
      </c>
      <c r="BB948" s="624">
        <v>39581</v>
      </c>
      <c r="BC948" s="355">
        <v>0.45760000000000001</v>
      </c>
      <c r="BD948" s="624">
        <v>39582</v>
      </c>
      <c r="BE948" s="355">
        <v>9.5420000000000005E-2</v>
      </c>
      <c r="BF948" s="624">
        <v>39609</v>
      </c>
      <c r="BG948" s="355">
        <v>2.3210000000000001E-2</v>
      </c>
      <c r="BH948" s="624">
        <v>39581</v>
      </c>
      <c r="BI948" s="355">
        <v>0.10789799999999999</v>
      </c>
      <c r="BJ948" s="624">
        <v>39581</v>
      </c>
      <c r="BK948" s="355">
        <v>3.0949999999999998E-2</v>
      </c>
    </row>
    <row r="949" spans="3:63" x14ac:dyDescent="0.15">
      <c r="C949" s="624"/>
      <c r="D949" s="355">
        <v>4.1849999999999998E-2</v>
      </c>
      <c r="AV949" s="624"/>
      <c r="AX949" s="624">
        <v>39584</v>
      </c>
      <c r="AY949" s="355">
        <v>4.2169999999999999E-2</v>
      </c>
      <c r="AZ949" s="624">
        <v>39651</v>
      </c>
      <c r="BA949" s="355">
        <v>2.0299999999999999E-2</v>
      </c>
      <c r="BB949" s="624">
        <v>39582</v>
      </c>
      <c r="BC949" s="355">
        <v>0.45579999999999998</v>
      </c>
      <c r="BD949" s="624">
        <v>39583</v>
      </c>
      <c r="BE949" s="355">
        <v>9.5680000000000001E-2</v>
      </c>
      <c r="BF949" s="624">
        <v>39610</v>
      </c>
      <c r="BG949" s="355">
        <v>2.3348000000000001E-2</v>
      </c>
      <c r="BH949" s="624">
        <v>39582</v>
      </c>
      <c r="BI949" s="355">
        <v>0.107597</v>
      </c>
      <c r="BJ949" s="624">
        <v>39582</v>
      </c>
      <c r="BK949" s="355">
        <v>3.0807000000000001E-2</v>
      </c>
    </row>
    <row r="950" spans="3:63" x14ac:dyDescent="0.15">
      <c r="C950" s="624"/>
      <c r="D950" s="355">
        <v>4.2169999999999999E-2</v>
      </c>
      <c r="AV950" s="624"/>
      <c r="AX950" s="624">
        <v>39587</v>
      </c>
      <c r="AY950" s="355">
        <v>4.2029999999999998E-2</v>
      </c>
      <c r="AZ950" s="624">
        <v>39652</v>
      </c>
      <c r="BA950" s="355">
        <v>2.0299999999999999E-2</v>
      </c>
      <c r="BB950" s="624">
        <v>39583</v>
      </c>
      <c r="BC950" s="355">
        <v>0.45469999999999999</v>
      </c>
      <c r="BD950" s="624">
        <v>39584</v>
      </c>
      <c r="BE950" s="355">
        <v>9.6339999999999995E-2</v>
      </c>
      <c r="BF950" s="624">
        <v>39611</v>
      </c>
      <c r="BG950" s="355">
        <v>2.3369999999999998E-2</v>
      </c>
      <c r="BH950" s="624">
        <v>39583</v>
      </c>
      <c r="BI950" s="355">
        <v>0.107423</v>
      </c>
      <c r="BJ950" s="624">
        <v>39583</v>
      </c>
      <c r="BK950" s="355">
        <v>3.0841E-2</v>
      </c>
    </row>
    <row r="951" spans="3:63" x14ac:dyDescent="0.15">
      <c r="C951" s="624"/>
      <c r="D951" s="355">
        <v>4.2029999999999998E-2</v>
      </c>
      <c r="AV951" s="624"/>
      <c r="AX951" s="624">
        <v>39588</v>
      </c>
      <c r="AY951" s="355">
        <v>4.2189999999999998E-2</v>
      </c>
      <c r="AZ951" s="624">
        <v>39653</v>
      </c>
      <c r="BA951" s="355">
        <v>2.01E-2</v>
      </c>
      <c r="BB951" s="624">
        <v>39584</v>
      </c>
      <c r="BC951" s="355">
        <v>0.46060000000000001</v>
      </c>
      <c r="BD951" s="624">
        <v>39587</v>
      </c>
      <c r="BE951" s="355">
        <v>9.6009999999999998E-2</v>
      </c>
      <c r="BF951" s="624">
        <v>39612</v>
      </c>
      <c r="BG951" s="355">
        <v>2.3266999999999999E-2</v>
      </c>
      <c r="BH951" s="624">
        <v>39584</v>
      </c>
      <c r="BI951" s="355">
        <v>0.107354</v>
      </c>
      <c r="BJ951" s="624">
        <v>39584</v>
      </c>
      <c r="BK951" s="355">
        <v>3.0879E-2</v>
      </c>
    </row>
    <row r="952" spans="3:63" x14ac:dyDescent="0.15">
      <c r="C952" s="624"/>
      <c r="D952" s="355">
        <v>4.2189999999999998E-2</v>
      </c>
      <c r="AV952" s="624"/>
      <c r="AX952" s="624">
        <v>39589</v>
      </c>
      <c r="AY952" s="355">
        <v>4.2450000000000002E-2</v>
      </c>
      <c r="AZ952" s="624">
        <v>39654</v>
      </c>
      <c r="BA952" s="355">
        <v>2.0199999999999999E-2</v>
      </c>
      <c r="BB952" s="624">
        <v>39587</v>
      </c>
      <c r="BC952" s="355">
        <v>0.45800000000000002</v>
      </c>
      <c r="BD952" s="624">
        <v>39588</v>
      </c>
      <c r="BE952" s="355">
        <v>9.5439999999999997E-2</v>
      </c>
      <c r="BF952" s="624">
        <v>39615</v>
      </c>
      <c r="BG952" s="355">
        <v>2.3255999999999999E-2</v>
      </c>
      <c r="BH952" s="624">
        <v>39587</v>
      </c>
      <c r="BI952" s="355">
        <v>0.107469</v>
      </c>
      <c r="BJ952" s="624">
        <v>39587</v>
      </c>
      <c r="BK952" s="355">
        <v>3.1032000000000001E-2</v>
      </c>
    </row>
    <row r="953" spans="3:63" x14ac:dyDescent="0.15">
      <c r="C953" s="624"/>
      <c r="D953" s="355">
        <v>4.2450000000000002E-2</v>
      </c>
      <c r="AV953" s="624"/>
      <c r="AX953" s="624">
        <v>39590</v>
      </c>
      <c r="AY953" s="355">
        <v>4.2360000000000002E-2</v>
      </c>
      <c r="AZ953" s="624">
        <v>39657</v>
      </c>
      <c r="BA953" s="355">
        <v>2.0199999999999999E-2</v>
      </c>
      <c r="BB953" s="624">
        <v>39588</v>
      </c>
      <c r="BC953" s="355">
        <v>0.4622</v>
      </c>
      <c r="BD953" s="624">
        <v>39589</v>
      </c>
      <c r="BE953" s="355">
        <v>9.5990000000000006E-2</v>
      </c>
      <c r="BF953" s="624">
        <v>39616</v>
      </c>
      <c r="BG953" s="355">
        <v>2.3326E-2</v>
      </c>
      <c r="BH953" s="624">
        <v>39588</v>
      </c>
      <c r="BI953" s="355">
        <v>0.107458</v>
      </c>
      <c r="BJ953" s="624">
        <v>39588</v>
      </c>
      <c r="BK953" s="355">
        <v>3.1254999999999998E-2</v>
      </c>
    </row>
    <row r="954" spans="3:63" x14ac:dyDescent="0.15">
      <c r="C954" s="624"/>
      <c r="D954" s="355">
        <v>4.2360000000000002E-2</v>
      </c>
      <c r="AV954" s="624"/>
      <c r="AX954" s="624">
        <v>39591</v>
      </c>
      <c r="AY954" s="355">
        <v>4.2479999999999997E-2</v>
      </c>
      <c r="AZ954" s="624">
        <v>39658</v>
      </c>
      <c r="BA954" s="355">
        <v>0.02</v>
      </c>
      <c r="BB954" s="624">
        <v>39589</v>
      </c>
      <c r="BC954" s="355">
        <v>0.46329999999999999</v>
      </c>
      <c r="BD954" s="624">
        <v>39590</v>
      </c>
      <c r="BE954" s="355">
        <v>9.5759999999999998E-2</v>
      </c>
      <c r="BF954" s="624">
        <v>39617</v>
      </c>
      <c r="BG954" s="355">
        <v>2.3275000000000001E-2</v>
      </c>
      <c r="BH954" s="624">
        <v>39589</v>
      </c>
      <c r="BI954" s="355">
        <v>0.10763200000000001</v>
      </c>
      <c r="BJ954" s="624">
        <v>39589</v>
      </c>
      <c r="BK954" s="355">
        <v>3.1392000000000003E-2</v>
      </c>
    </row>
    <row r="955" spans="3:63" x14ac:dyDescent="0.15">
      <c r="C955" s="624"/>
      <c r="D955" s="355">
        <v>4.2479999999999997E-2</v>
      </c>
      <c r="AV955" s="624"/>
      <c r="AX955" s="624">
        <v>39594</v>
      </c>
      <c r="AY955" s="355">
        <v>4.2529999999999998E-2</v>
      </c>
      <c r="AZ955" s="624">
        <v>39659</v>
      </c>
      <c r="BA955" s="355">
        <v>2.0299999999999999E-2</v>
      </c>
      <c r="BB955" s="624">
        <v>39590</v>
      </c>
      <c r="BC955" s="355">
        <v>0.46100000000000002</v>
      </c>
      <c r="BD955" s="624">
        <v>39591</v>
      </c>
      <c r="BE955" s="355">
        <v>9.5630000000000007E-2</v>
      </c>
      <c r="BF955" s="624">
        <v>39618</v>
      </c>
      <c r="BG955" s="355">
        <v>2.3255999999999999E-2</v>
      </c>
      <c r="BH955" s="624">
        <v>39590</v>
      </c>
      <c r="BI955" s="355">
        <v>0.10727299999999999</v>
      </c>
      <c r="BJ955" s="624">
        <v>39590</v>
      </c>
      <c r="BK955" s="355">
        <v>3.1303999999999998E-2</v>
      </c>
    </row>
    <row r="956" spans="3:63" x14ac:dyDescent="0.15">
      <c r="C956" s="624"/>
      <c r="D956" s="355">
        <v>4.2529999999999998E-2</v>
      </c>
      <c r="AV956" s="624"/>
      <c r="AX956" s="624">
        <v>39595</v>
      </c>
      <c r="AY956" s="355">
        <v>4.233E-2</v>
      </c>
      <c r="AZ956" s="624">
        <v>39660</v>
      </c>
      <c r="BA956" s="355">
        <v>2.0299999999999999E-2</v>
      </c>
      <c r="BB956" s="624">
        <v>39591</v>
      </c>
      <c r="BC956" s="355">
        <v>0.4622</v>
      </c>
      <c r="BD956" s="624">
        <v>39594</v>
      </c>
      <c r="BE956" s="355">
        <v>9.536E-2</v>
      </c>
      <c r="BF956" s="624">
        <v>39619</v>
      </c>
      <c r="BG956" s="355">
        <v>2.3188E-2</v>
      </c>
      <c r="BH956" s="624">
        <v>39591</v>
      </c>
      <c r="BI956" s="355">
        <v>0.107239</v>
      </c>
      <c r="BJ956" s="624">
        <v>39591</v>
      </c>
      <c r="BK956" s="355">
        <v>3.1182000000000001E-2</v>
      </c>
    </row>
    <row r="957" spans="3:63" x14ac:dyDescent="0.15">
      <c r="C957" s="624"/>
      <c r="D957" s="355">
        <v>4.233E-2</v>
      </c>
      <c r="AV957" s="624"/>
      <c r="AX957" s="624">
        <v>39596</v>
      </c>
      <c r="AY957" s="355">
        <v>4.233E-2</v>
      </c>
      <c r="AZ957" s="624">
        <v>39661</v>
      </c>
      <c r="BA957" s="355">
        <v>2.0299999999999999E-2</v>
      </c>
      <c r="BB957" s="624">
        <v>39594</v>
      </c>
      <c r="BC957" s="355">
        <v>0.4647</v>
      </c>
      <c r="BD957" s="624">
        <v>39595</v>
      </c>
      <c r="BE957" s="355">
        <v>9.5909999999999995E-2</v>
      </c>
      <c r="BF957" s="624">
        <v>39622</v>
      </c>
      <c r="BG957" s="355">
        <v>2.3233E-2</v>
      </c>
      <c r="BH957" s="624">
        <v>39594</v>
      </c>
      <c r="BI957" s="355">
        <v>0.106975</v>
      </c>
      <c r="BJ957" s="624">
        <v>39594</v>
      </c>
      <c r="BK957" s="355">
        <v>3.1175999999999999E-2</v>
      </c>
    </row>
    <row r="958" spans="3:63" x14ac:dyDescent="0.15">
      <c r="C958" s="624"/>
      <c r="D958" s="355">
        <v>4.233E-2</v>
      </c>
      <c r="AV958" s="624"/>
      <c r="AX958" s="624">
        <v>39597</v>
      </c>
      <c r="AY958" s="355">
        <v>4.2180000000000002E-2</v>
      </c>
      <c r="AZ958" s="624">
        <v>39664</v>
      </c>
      <c r="BA958" s="355">
        <v>2.0400000000000001E-2</v>
      </c>
      <c r="BB958" s="624">
        <v>39595</v>
      </c>
      <c r="BC958" s="355">
        <v>0.46129999999999999</v>
      </c>
      <c r="BD958" s="624">
        <v>39596</v>
      </c>
      <c r="BE958" s="355">
        <v>9.6549999999999997E-2</v>
      </c>
      <c r="BF958" s="624">
        <v>39623</v>
      </c>
      <c r="BG958" s="355">
        <v>2.3342999999999999E-2</v>
      </c>
      <c r="BH958" s="624">
        <v>39595</v>
      </c>
      <c r="BI958" s="355">
        <v>0.10700900000000001</v>
      </c>
      <c r="BJ958" s="624">
        <v>39595</v>
      </c>
      <c r="BK958" s="355">
        <v>3.1060999999999998E-2</v>
      </c>
    </row>
    <row r="959" spans="3:63" x14ac:dyDescent="0.15">
      <c r="C959" s="624"/>
      <c r="D959" s="355">
        <v>4.2180000000000002E-2</v>
      </c>
      <c r="AV959" s="624"/>
      <c r="AX959" s="624">
        <v>39598</v>
      </c>
      <c r="AY959" s="355">
        <v>4.2220000000000001E-2</v>
      </c>
      <c r="AZ959" s="624">
        <v>39665</v>
      </c>
      <c r="BA959" s="355">
        <v>2.0299999999999999E-2</v>
      </c>
      <c r="BB959" s="624">
        <v>39596</v>
      </c>
      <c r="BC959" s="355">
        <v>0.46039999999999998</v>
      </c>
      <c r="BD959" s="624">
        <v>39597</v>
      </c>
      <c r="BE959" s="355">
        <v>9.7030000000000005E-2</v>
      </c>
      <c r="BF959" s="624">
        <v>39624</v>
      </c>
      <c r="BG959" s="355">
        <v>2.3408000000000002E-2</v>
      </c>
      <c r="BH959" s="624">
        <v>39596</v>
      </c>
      <c r="BI959" s="355">
        <v>0.107539</v>
      </c>
      <c r="BJ959" s="624">
        <v>39596</v>
      </c>
      <c r="BK959" s="355">
        <v>3.0887999999999999E-2</v>
      </c>
    </row>
    <row r="960" spans="3:63" x14ac:dyDescent="0.15">
      <c r="C960" s="624"/>
      <c r="D960" s="355">
        <v>4.2220000000000001E-2</v>
      </c>
      <c r="AV960" s="624"/>
      <c r="AX960" s="624">
        <v>39601</v>
      </c>
      <c r="AY960" s="355">
        <v>4.2180000000000002E-2</v>
      </c>
      <c r="AZ960" s="624">
        <v>39666</v>
      </c>
      <c r="BA960" s="355">
        <v>2.0299999999999999E-2</v>
      </c>
      <c r="BB960" s="624">
        <v>39597</v>
      </c>
      <c r="BC960" s="355">
        <v>0.45910000000000001</v>
      </c>
      <c r="BD960" s="624">
        <v>39598</v>
      </c>
      <c r="BE960" s="355">
        <v>9.7250000000000003E-2</v>
      </c>
      <c r="BF960" s="624">
        <v>39625</v>
      </c>
      <c r="BG960" s="355">
        <v>2.3314999999999999E-2</v>
      </c>
      <c r="BH960" s="624">
        <v>39597</v>
      </c>
      <c r="BI960" s="355">
        <v>0.107498</v>
      </c>
      <c r="BJ960" s="624">
        <v>39597</v>
      </c>
      <c r="BK960" s="355">
        <v>3.0779999999999998E-2</v>
      </c>
    </row>
    <row r="961" spans="3:63" x14ac:dyDescent="0.15">
      <c r="C961" s="624"/>
      <c r="D961" s="355">
        <v>4.2180000000000002E-2</v>
      </c>
      <c r="AV961" s="624"/>
      <c r="AX961" s="624">
        <v>39602</v>
      </c>
      <c r="AY961" s="355">
        <v>4.2020000000000002E-2</v>
      </c>
      <c r="AZ961" s="624">
        <v>39667</v>
      </c>
      <c r="BA961" s="355">
        <v>2.0199999999999999E-2</v>
      </c>
      <c r="BB961" s="624">
        <v>39598</v>
      </c>
      <c r="BC961" s="355">
        <v>0.46100000000000002</v>
      </c>
      <c r="BD961" s="624">
        <v>39601</v>
      </c>
      <c r="BE961" s="355">
        <v>9.7780000000000006E-2</v>
      </c>
      <c r="BF961" s="624">
        <v>39626</v>
      </c>
      <c r="BG961" s="355">
        <v>2.332E-2</v>
      </c>
      <c r="BH961" s="624">
        <v>39598</v>
      </c>
      <c r="BI961" s="355">
        <v>0.10741100000000001</v>
      </c>
      <c r="BJ961" s="624">
        <v>39598</v>
      </c>
      <c r="BK961" s="355">
        <v>3.0779000000000001E-2</v>
      </c>
    </row>
    <row r="962" spans="3:63" x14ac:dyDescent="0.15">
      <c r="C962" s="624"/>
      <c r="D962" s="355">
        <v>4.2020000000000002E-2</v>
      </c>
      <c r="AV962" s="624"/>
      <c r="AX962" s="624">
        <v>39603</v>
      </c>
      <c r="AY962" s="355">
        <v>4.2029999999999998E-2</v>
      </c>
      <c r="AZ962" s="624">
        <v>39668</v>
      </c>
      <c r="BA962" s="355">
        <v>1.9699999999999999E-2</v>
      </c>
      <c r="BB962" s="624">
        <v>39601</v>
      </c>
      <c r="BC962" s="355">
        <v>0.45950000000000002</v>
      </c>
      <c r="BD962" s="624">
        <v>39602</v>
      </c>
      <c r="BE962" s="355">
        <v>9.8369999999999999E-2</v>
      </c>
      <c r="BF962" s="624">
        <v>39629</v>
      </c>
      <c r="BG962" s="355">
        <v>2.3202E-2</v>
      </c>
      <c r="BH962" s="624">
        <v>39601</v>
      </c>
      <c r="BI962" s="355">
        <v>0.107527</v>
      </c>
      <c r="BJ962" s="624">
        <v>39601</v>
      </c>
      <c r="BK962" s="355">
        <v>3.0713000000000001E-2</v>
      </c>
    </row>
    <row r="963" spans="3:63" x14ac:dyDescent="0.15">
      <c r="C963" s="624"/>
      <c r="D963" s="355">
        <v>4.2029999999999998E-2</v>
      </c>
      <c r="AV963" s="624"/>
      <c r="AX963" s="624">
        <v>39604</v>
      </c>
      <c r="AY963" s="355">
        <v>4.224E-2</v>
      </c>
      <c r="AZ963" s="624">
        <v>39671</v>
      </c>
      <c r="BA963" s="355">
        <v>1.9400000000000001E-2</v>
      </c>
      <c r="BB963" s="624">
        <v>39602</v>
      </c>
      <c r="BC963" s="355">
        <v>0.45810000000000001</v>
      </c>
      <c r="BD963" s="624">
        <v>39603</v>
      </c>
      <c r="BE963" s="355">
        <v>9.8080000000000001E-2</v>
      </c>
      <c r="BF963" s="624">
        <v>39630</v>
      </c>
      <c r="BG963" s="355">
        <v>2.3068000000000002E-2</v>
      </c>
      <c r="BH963" s="624">
        <v>39602</v>
      </c>
      <c r="BI963" s="355">
        <v>0.107331</v>
      </c>
      <c r="BJ963" s="624">
        <v>39602</v>
      </c>
      <c r="BK963" s="355">
        <v>3.0667E-2</v>
      </c>
    </row>
    <row r="964" spans="3:63" x14ac:dyDescent="0.15">
      <c r="C964" s="624"/>
      <c r="D964" s="355">
        <v>4.224E-2</v>
      </c>
      <c r="AV964" s="624"/>
      <c r="AX964" s="624">
        <v>39605</v>
      </c>
      <c r="AY964" s="355">
        <v>4.2479999999999997E-2</v>
      </c>
      <c r="AZ964" s="624">
        <v>39672</v>
      </c>
      <c r="BA964" s="355">
        <v>1.9199999999999998E-2</v>
      </c>
      <c r="BB964" s="624">
        <v>39603</v>
      </c>
      <c r="BC964" s="355">
        <v>0.45710000000000001</v>
      </c>
      <c r="BD964" s="624">
        <v>39604</v>
      </c>
      <c r="BE964" s="355">
        <v>9.7680000000000003E-2</v>
      </c>
      <c r="BF964" s="624">
        <v>39631</v>
      </c>
      <c r="BG964" s="355">
        <v>2.3158999999999999E-2</v>
      </c>
      <c r="BH964" s="624">
        <v>39603</v>
      </c>
      <c r="BI964" s="355">
        <v>0.107308</v>
      </c>
      <c r="BJ964" s="624">
        <v>39603</v>
      </c>
      <c r="BK964" s="355">
        <v>3.0571999999999998E-2</v>
      </c>
    </row>
    <row r="965" spans="3:63" x14ac:dyDescent="0.15">
      <c r="C965" s="624"/>
      <c r="D965" s="355">
        <v>4.2479999999999997E-2</v>
      </c>
      <c r="AV965" s="624"/>
      <c r="AX965" s="624">
        <v>39608</v>
      </c>
      <c r="AY965" s="355">
        <v>4.2279999999999998E-2</v>
      </c>
      <c r="AZ965" s="624">
        <v>39673</v>
      </c>
      <c r="BA965" s="355">
        <v>1.9300000000000001E-2</v>
      </c>
      <c r="BB965" s="624">
        <v>39604</v>
      </c>
      <c r="BC965" s="355">
        <v>0.46089999999999998</v>
      </c>
      <c r="BD965" s="624">
        <v>39605</v>
      </c>
      <c r="BE965" s="355">
        <v>9.6970000000000001E-2</v>
      </c>
      <c r="BF965" s="624">
        <v>39632</v>
      </c>
      <c r="BG965" s="355">
        <v>2.3147999999999998E-2</v>
      </c>
      <c r="BH965" s="624">
        <v>39604</v>
      </c>
      <c r="BI965" s="355">
        <v>0.107469</v>
      </c>
      <c r="BJ965" s="624">
        <v>39604</v>
      </c>
      <c r="BK965" s="355">
        <v>3.0367999999999999E-2</v>
      </c>
    </row>
    <row r="966" spans="3:63" x14ac:dyDescent="0.15">
      <c r="C966" s="624"/>
      <c r="D966" s="355">
        <v>4.2279999999999998E-2</v>
      </c>
      <c r="AV966" s="624"/>
      <c r="AX966" s="624">
        <v>39609</v>
      </c>
      <c r="AY966" s="355">
        <v>4.2189999999999998E-2</v>
      </c>
      <c r="AZ966" s="624">
        <v>39674</v>
      </c>
      <c r="BA966" s="355">
        <v>1.9300000000000001E-2</v>
      </c>
      <c r="BB966" s="624">
        <v>39605</v>
      </c>
      <c r="BC966" s="355">
        <v>0.46360000000000001</v>
      </c>
      <c r="BD966" s="624">
        <v>39608</v>
      </c>
      <c r="BE966" s="355">
        <v>9.6750000000000003E-2</v>
      </c>
      <c r="BF966" s="624">
        <v>39633</v>
      </c>
      <c r="BG966" s="355">
        <v>2.3164000000000001E-2</v>
      </c>
      <c r="BH966" s="624">
        <v>39605</v>
      </c>
      <c r="BI966" s="355">
        <v>0.10695200000000001</v>
      </c>
      <c r="BJ966" s="624">
        <v>39605</v>
      </c>
      <c r="BK966" s="355">
        <v>3.0203000000000001E-2</v>
      </c>
    </row>
    <row r="967" spans="3:63" x14ac:dyDescent="0.15">
      <c r="C967" s="624"/>
      <c r="D967" s="355">
        <v>4.2189999999999998E-2</v>
      </c>
      <c r="AV967" s="624"/>
      <c r="AX967" s="624">
        <v>39610</v>
      </c>
      <c r="AY967" s="355">
        <v>4.2290000000000001E-2</v>
      </c>
      <c r="AZ967" s="624">
        <v>39675</v>
      </c>
      <c r="BA967" s="355">
        <v>1.9199999999999998E-2</v>
      </c>
      <c r="BB967" s="624">
        <v>39608</v>
      </c>
      <c r="BC967" s="355">
        <v>0.46279999999999999</v>
      </c>
      <c r="BD967" s="624">
        <v>39609</v>
      </c>
      <c r="BE967" s="355">
        <v>9.7369999999999998E-2</v>
      </c>
      <c r="BF967" s="624">
        <v>39636</v>
      </c>
      <c r="BG967" s="355">
        <v>2.3096999999999999E-2</v>
      </c>
      <c r="BH967" s="624">
        <v>39608</v>
      </c>
      <c r="BI967" s="355">
        <v>0.106986</v>
      </c>
      <c r="BJ967" s="624">
        <v>39608</v>
      </c>
      <c r="BK967" s="355">
        <v>3.0093000000000002E-2</v>
      </c>
    </row>
    <row r="968" spans="3:63" x14ac:dyDescent="0.15">
      <c r="C968" s="624"/>
      <c r="D968" s="355">
        <v>4.2290000000000001E-2</v>
      </c>
      <c r="AV968" s="624"/>
      <c r="AX968" s="624">
        <v>39611</v>
      </c>
      <c r="AY968" s="355">
        <v>4.2099999999999999E-2</v>
      </c>
      <c r="AZ968" s="624">
        <v>39678</v>
      </c>
      <c r="BA968" s="355">
        <v>1.9099999999999999E-2</v>
      </c>
      <c r="BB968" s="624">
        <v>39609</v>
      </c>
      <c r="BC968" s="355">
        <v>0.45710000000000001</v>
      </c>
      <c r="BD968" s="624">
        <v>39610</v>
      </c>
      <c r="BE968" s="355">
        <v>9.7040000000000001E-2</v>
      </c>
      <c r="BF968" s="624">
        <v>39637</v>
      </c>
      <c r="BG968" s="355">
        <v>2.3119000000000001E-2</v>
      </c>
      <c r="BH968" s="624">
        <v>39609</v>
      </c>
      <c r="BI968" s="355">
        <v>0.106986</v>
      </c>
      <c r="BJ968" s="624">
        <v>39609</v>
      </c>
      <c r="BK968" s="355">
        <v>3.0256999999999999E-2</v>
      </c>
    </row>
    <row r="969" spans="3:63" x14ac:dyDescent="0.15">
      <c r="C969" s="624"/>
      <c r="D969" s="355">
        <v>4.2099999999999999E-2</v>
      </c>
      <c r="AV969" s="624"/>
      <c r="AX969" s="624">
        <v>39612</v>
      </c>
      <c r="AY969" s="355">
        <v>4.2029999999999998E-2</v>
      </c>
      <c r="AZ969" s="624">
        <v>39679</v>
      </c>
      <c r="BA969" s="355">
        <v>1.9300000000000001E-2</v>
      </c>
      <c r="BB969" s="624">
        <v>39610</v>
      </c>
      <c r="BC969" s="355">
        <v>0.45929999999999999</v>
      </c>
      <c r="BD969" s="624">
        <v>39611</v>
      </c>
      <c r="BE969" s="355">
        <v>9.6740000000000007E-2</v>
      </c>
      <c r="BF969" s="624">
        <v>39638</v>
      </c>
      <c r="BG969" s="355">
        <v>2.3196000000000001E-2</v>
      </c>
      <c r="BH969" s="624">
        <v>39610</v>
      </c>
      <c r="BI969" s="355">
        <v>0.107325</v>
      </c>
      <c r="BJ969" s="624">
        <v>39610</v>
      </c>
      <c r="BK969" s="355">
        <v>3.023E-2</v>
      </c>
    </row>
    <row r="970" spans="3:63" x14ac:dyDescent="0.15">
      <c r="C970" s="624"/>
      <c r="D970" s="355">
        <v>4.2029999999999998E-2</v>
      </c>
      <c r="AV970" s="624"/>
      <c r="AX970" s="624">
        <v>39615</v>
      </c>
      <c r="AY970" s="355">
        <v>4.2229999999999997E-2</v>
      </c>
      <c r="AZ970" s="624">
        <v>39680</v>
      </c>
      <c r="BA970" s="355">
        <v>1.9300000000000001E-2</v>
      </c>
      <c r="BB970" s="624">
        <v>39611</v>
      </c>
      <c r="BC970" s="355">
        <v>0.45450000000000002</v>
      </c>
      <c r="BD970" s="624">
        <v>39612</v>
      </c>
      <c r="BE970" s="355">
        <v>9.5759999999999998E-2</v>
      </c>
      <c r="BF970" s="624">
        <v>39639</v>
      </c>
      <c r="BG970" s="355">
        <v>2.3258999999999998E-2</v>
      </c>
      <c r="BH970" s="624">
        <v>39611</v>
      </c>
      <c r="BI970" s="355">
        <v>0.10734200000000001</v>
      </c>
      <c r="BJ970" s="624">
        <v>39611</v>
      </c>
      <c r="BK970" s="355">
        <v>3.0175E-2</v>
      </c>
    </row>
    <row r="971" spans="3:63" x14ac:dyDescent="0.15">
      <c r="C971" s="624"/>
      <c r="D971" s="355">
        <v>4.2229999999999997E-2</v>
      </c>
      <c r="AV971" s="624"/>
      <c r="AX971" s="624">
        <v>39616</v>
      </c>
      <c r="AY971" s="355">
        <v>4.2290000000000001E-2</v>
      </c>
      <c r="AZ971" s="624">
        <v>39681</v>
      </c>
      <c r="BA971" s="355">
        <v>1.9599999999999999E-2</v>
      </c>
      <c r="BB971" s="624">
        <v>39612</v>
      </c>
      <c r="BC971" s="355">
        <v>0.45379999999999998</v>
      </c>
      <c r="BD971" s="624">
        <v>39615</v>
      </c>
      <c r="BE971" s="355">
        <v>9.6129999999999993E-2</v>
      </c>
      <c r="BF971" s="624">
        <v>39640</v>
      </c>
      <c r="BG971" s="355">
        <v>2.3337E-2</v>
      </c>
      <c r="BH971" s="624">
        <v>39612</v>
      </c>
      <c r="BI971" s="355">
        <v>0.10731400000000001</v>
      </c>
      <c r="BJ971" s="624">
        <v>39612</v>
      </c>
      <c r="BK971" s="355">
        <v>3.0058000000000001E-2</v>
      </c>
    </row>
    <row r="972" spans="3:63" x14ac:dyDescent="0.15">
      <c r="C972" s="624"/>
      <c r="D972" s="355">
        <v>4.2290000000000001E-2</v>
      </c>
      <c r="AV972" s="624"/>
      <c r="AX972" s="624">
        <v>39617</v>
      </c>
      <c r="AY972" s="355">
        <v>4.233E-2</v>
      </c>
      <c r="AZ972" s="624">
        <v>39682</v>
      </c>
      <c r="BA972" s="355">
        <v>1.9400000000000001E-2</v>
      </c>
      <c r="BB972" s="624">
        <v>39615</v>
      </c>
      <c r="BC972" s="355">
        <v>0.45729999999999998</v>
      </c>
      <c r="BD972" s="624">
        <v>39616</v>
      </c>
      <c r="BE972" s="355">
        <v>9.5839999999999995E-2</v>
      </c>
      <c r="BF972" s="624">
        <v>39643</v>
      </c>
      <c r="BG972" s="355">
        <v>2.3326E-2</v>
      </c>
      <c r="BH972" s="624">
        <v>39615</v>
      </c>
      <c r="BI972" s="355">
        <v>0.107354</v>
      </c>
      <c r="BJ972" s="624">
        <v>39615</v>
      </c>
      <c r="BK972" s="355">
        <v>3.0047999999999998E-2</v>
      </c>
    </row>
    <row r="973" spans="3:63" x14ac:dyDescent="0.15">
      <c r="C973" s="624"/>
      <c r="D973" s="355">
        <v>4.233E-2</v>
      </c>
      <c r="AV973" s="624"/>
      <c r="AX973" s="624">
        <v>39618</v>
      </c>
      <c r="AY973" s="355">
        <v>4.2279999999999998E-2</v>
      </c>
      <c r="AZ973" s="624">
        <v>39685</v>
      </c>
      <c r="BA973" s="355">
        <v>1.9300000000000001E-2</v>
      </c>
      <c r="BB973" s="624">
        <v>39616</v>
      </c>
      <c r="BC973" s="355">
        <v>0.45860000000000001</v>
      </c>
      <c r="BD973" s="624">
        <v>39617</v>
      </c>
      <c r="BE973" s="355">
        <v>9.7089999999999996E-2</v>
      </c>
      <c r="BF973" s="624">
        <v>39644</v>
      </c>
      <c r="BG973" s="355">
        <v>2.3202E-2</v>
      </c>
      <c r="BH973" s="624">
        <v>39616</v>
      </c>
      <c r="BI973" s="355">
        <v>0.10771799999999999</v>
      </c>
      <c r="BJ973" s="624">
        <v>39616</v>
      </c>
      <c r="BK973" s="355">
        <v>3.0202E-2</v>
      </c>
    </row>
    <row r="974" spans="3:63" x14ac:dyDescent="0.15">
      <c r="C974" s="624"/>
      <c r="D974" s="355">
        <v>4.2279999999999998E-2</v>
      </c>
      <c r="AV974" s="624"/>
      <c r="AX974" s="624">
        <v>39619</v>
      </c>
      <c r="AY974" s="355">
        <v>4.2430000000000002E-2</v>
      </c>
      <c r="AZ974" s="624">
        <v>39686</v>
      </c>
      <c r="BA974" s="355">
        <v>1.9099999999999999E-2</v>
      </c>
      <c r="BB974" s="624">
        <v>39617</v>
      </c>
      <c r="BC974" s="355">
        <v>0.46010000000000001</v>
      </c>
      <c r="BD974" s="624">
        <v>39618</v>
      </c>
      <c r="BE974" s="355">
        <v>9.7470000000000001E-2</v>
      </c>
      <c r="BF974" s="624">
        <v>39645</v>
      </c>
      <c r="BG974" s="355">
        <v>2.3210000000000001E-2</v>
      </c>
      <c r="BH974" s="624">
        <v>39617</v>
      </c>
      <c r="BI974" s="355">
        <v>0.10775899999999999</v>
      </c>
      <c r="BJ974" s="624">
        <v>39617</v>
      </c>
      <c r="BK974" s="355">
        <v>3.0012E-2</v>
      </c>
    </row>
    <row r="975" spans="3:63" x14ac:dyDescent="0.15">
      <c r="C975" s="624"/>
      <c r="D975" s="355">
        <v>4.2430000000000002E-2</v>
      </c>
      <c r="AV975" s="624"/>
      <c r="AX975" s="624">
        <v>39622</v>
      </c>
      <c r="AY975" s="355">
        <v>4.2290000000000001E-2</v>
      </c>
      <c r="AZ975" s="624">
        <v>39687</v>
      </c>
      <c r="BA975" s="355">
        <v>1.9300000000000001E-2</v>
      </c>
      <c r="BB975" s="624">
        <v>39618</v>
      </c>
      <c r="BC975" s="355">
        <v>0.46029999999999999</v>
      </c>
      <c r="BD975" s="624">
        <v>39619</v>
      </c>
      <c r="BE975" s="355">
        <v>9.7089999999999996E-2</v>
      </c>
      <c r="BF975" s="624">
        <v>39646</v>
      </c>
      <c r="BG975" s="355">
        <v>2.3272000000000001E-2</v>
      </c>
      <c r="BH975" s="624">
        <v>39618</v>
      </c>
      <c r="BI975" s="355">
        <v>0.107596</v>
      </c>
      <c r="BJ975" s="624">
        <v>39618</v>
      </c>
      <c r="BK975" s="355">
        <v>2.9922000000000001E-2</v>
      </c>
    </row>
    <row r="976" spans="3:63" x14ac:dyDescent="0.15">
      <c r="C976" s="624"/>
      <c r="D976" s="355">
        <v>4.2290000000000001E-2</v>
      </c>
      <c r="AV976" s="624"/>
      <c r="AX976" s="624">
        <v>39623</v>
      </c>
      <c r="AY976" s="355">
        <v>4.2369999999999998E-2</v>
      </c>
      <c r="AZ976" s="624">
        <v>39688</v>
      </c>
      <c r="BA976" s="355">
        <v>1.9199999999999998E-2</v>
      </c>
      <c r="BB976" s="624">
        <v>39619</v>
      </c>
      <c r="BC976" s="355">
        <v>0.46339999999999998</v>
      </c>
      <c r="BD976" s="624">
        <v>39622</v>
      </c>
      <c r="BE976" s="355">
        <v>9.6430000000000002E-2</v>
      </c>
      <c r="BF976" s="624">
        <v>39647</v>
      </c>
      <c r="BG976" s="355">
        <v>2.3487999999999998E-2</v>
      </c>
      <c r="BH976" s="624">
        <v>39619</v>
      </c>
      <c r="BI976" s="355">
        <v>0.107817</v>
      </c>
      <c r="BJ976" s="624">
        <v>39619</v>
      </c>
      <c r="BK976" s="355">
        <v>3.0057E-2</v>
      </c>
    </row>
    <row r="977" spans="3:63" x14ac:dyDescent="0.15">
      <c r="C977" s="624"/>
      <c r="D977" s="355">
        <v>4.2369999999999998E-2</v>
      </c>
      <c r="AV977" s="624"/>
      <c r="AX977" s="624">
        <v>39624</v>
      </c>
      <c r="AY977" s="355">
        <v>4.2529999999999998E-2</v>
      </c>
      <c r="AZ977" s="624">
        <v>39689</v>
      </c>
      <c r="BA977" s="355">
        <v>1.9300000000000001E-2</v>
      </c>
      <c r="BB977" s="624">
        <v>39622</v>
      </c>
      <c r="BC977" s="355">
        <v>0.46150000000000002</v>
      </c>
      <c r="BD977" s="624">
        <v>39623</v>
      </c>
      <c r="BE977" s="355">
        <v>9.69E-2</v>
      </c>
      <c r="BF977" s="624">
        <v>39650</v>
      </c>
      <c r="BG977" s="355">
        <v>2.3408000000000002E-2</v>
      </c>
      <c r="BH977" s="624">
        <v>39622</v>
      </c>
      <c r="BI977" s="355">
        <v>0.10784000000000001</v>
      </c>
      <c r="BJ977" s="624">
        <v>39622</v>
      </c>
      <c r="BK977" s="355">
        <v>2.9885999999999999E-2</v>
      </c>
    </row>
    <row r="978" spans="3:63" x14ac:dyDescent="0.15">
      <c r="C978" s="624"/>
      <c r="D978" s="355">
        <v>4.2529999999999998E-2</v>
      </c>
      <c r="AV978" s="624"/>
      <c r="AX978" s="624">
        <v>39625</v>
      </c>
      <c r="AY978" s="355">
        <v>4.267E-2</v>
      </c>
      <c r="AZ978" s="624">
        <v>39692</v>
      </c>
      <c r="BA978" s="355">
        <v>1.9199999999999998E-2</v>
      </c>
      <c r="BB978" s="624">
        <v>39623</v>
      </c>
      <c r="BC978" s="355">
        <v>0.4622</v>
      </c>
      <c r="BD978" s="624">
        <v>39624</v>
      </c>
      <c r="BE978" s="355">
        <v>9.6290000000000001E-2</v>
      </c>
      <c r="BF978" s="624">
        <v>39651</v>
      </c>
      <c r="BG978" s="355">
        <v>2.3401000000000002E-2</v>
      </c>
      <c r="BH978" s="624">
        <v>39623</v>
      </c>
      <c r="BI978" s="355">
        <v>0.107904</v>
      </c>
      <c r="BJ978" s="624">
        <v>39623</v>
      </c>
      <c r="BK978" s="355">
        <v>2.9811000000000001E-2</v>
      </c>
    </row>
    <row r="979" spans="3:63" x14ac:dyDescent="0.15">
      <c r="C979" s="624"/>
      <c r="D979" s="355">
        <v>4.267E-2</v>
      </c>
      <c r="AV979" s="624"/>
      <c r="AX979" s="624">
        <v>39626</v>
      </c>
      <c r="AY979" s="355">
        <v>4.2709999999999998E-2</v>
      </c>
      <c r="AZ979" s="624">
        <v>39693</v>
      </c>
      <c r="BA979" s="355">
        <v>1.9E-2</v>
      </c>
      <c r="BB979" s="624">
        <v>39624</v>
      </c>
      <c r="BC979" s="355">
        <v>0.4672</v>
      </c>
      <c r="BD979" s="624">
        <v>39625</v>
      </c>
      <c r="BE979" s="355">
        <v>9.6369999999999997E-2</v>
      </c>
      <c r="BF979" s="624">
        <v>39652</v>
      </c>
      <c r="BG979" s="355">
        <v>2.3741999999999999E-2</v>
      </c>
      <c r="BH979" s="624">
        <v>39624</v>
      </c>
      <c r="BI979" s="355">
        <v>0.108378</v>
      </c>
      <c r="BJ979" s="624">
        <v>39624</v>
      </c>
      <c r="BK979" s="355">
        <v>2.9789E-2</v>
      </c>
    </row>
    <row r="980" spans="3:63" x14ac:dyDescent="0.15">
      <c r="C980" s="624"/>
      <c r="D980" s="355">
        <v>4.2709999999999998E-2</v>
      </c>
      <c r="AV980" s="624"/>
      <c r="AX980" s="624">
        <v>39629</v>
      </c>
      <c r="AY980" s="355">
        <v>4.265E-2</v>
      </c>
      <c r="AZ980" s="624">
        <v>39694</v>
      </c>
      <c r="BA980" s="355">
        <v>1.89E-2</v>
      </c>
      <c r="BB980" s="624">
        <v>39625</v>
      </c>
      <c r="BC980" s="355">
        <v>0.46639999999999998</v>
      </c>
      <c r="BD980" s="624">
        <v>39626</v>
      </c>
      <c r="BE980" s="355">
        <v>9.6019999999999994E-2</v>
      </c>
      <c r="BF980" s="624">
        <v>39653</v>
      </c>
      <c r="BG980" s="355">
        <v>2.3764E-2</v>
      </c>
      <c r="BH980" s="624">
        <v>39625</v>
      </c>
      <c r="BI980" s="355">
        <v>0.108719</v>
      </c>
      <c r="BJ980" s="624">
        <v>39625</v>
      </c>
      <c r="BK980" s="355">
        <v>2.9770999999999999E-2</v>
      </c>
    </row>
    <row r="981" spans="3:63" x14ac:dyDescent="0.15">
      <c r="C981" s="624"/>
      <c r="D981" s="355">
        <v>4.265E-2</v>
      </c>
      <c r="AV981" s="624"/>
      <c r="AX981" s="624">
        <v>39630</v>
      </c>
      <c r="AY981" s="355">
        <v>4.2689999999999999E-2</v>
      </c>
      <c r="AZ981" s="624">
        <v>39695</v>
      </c>
      <c r="BA981" s="355">
        <v>1.8599999999999998E-2</v>
      </c>
      <c r="BB981" s="624">
        <v>39626</v>
      </c>
      <c r="BC981" s="355">
        <v>0.47020000000000001</v>
      </c>
      <c r="BD981" s="624">
        <v>39629</v>
      </c>
      <c r="BE981" s="355">
        <v>9.5490000000000005E-2</v>
      </c>
      <c r="BF981" s="624">
        <v>39654</v>
      </c>
      <c r="BG981" s="355">
        <v>2.3647999999999999E-2</v>
      </c>
      <c r="BH981" s="624">
        <v>39626</v>
      </c>
      <c r="BI981" s="355">
        <v>0.10857799999999999</v>
      </c>
      <c r="BJ981" s="624">
        <v>39626</v>
      </c>
      <c r="BK981" s="355">
        <v>2.9832999999999998E-2</v>
      </c>
    </row>
    <row r="982" spans="3:63" x14ac:dyDescent="0.15">
      <c r="C982" s="624"/>
      <c r="D982" s="355">
        <v>4.2689999999999999E-2</v>
      </c>
      <c r="AV982" s="624"/>
      <c r="AX982" s="624">
        <v>39631</v>
      </c>
      <c r="AY982" s="355">
        <v>4.2790000000000002E-2</v>
      </c>
      <c r="AZ982" s="624">
        <v>39696</v>
      </c>
      <c r="BA982" s="355">
        <v>1.8599999999999998E-2</v>
      </c>
      <c r="BB982" s="624">
        <v>39629</v>
      </c>
      <c r="BC982" s="355">
        <v>0.46970000000000001</v>
      </c>
      <c r="BD982" s="624">
        <v>39630</v>
      </c>
      <c r="BE982" s="355">
        <v>9.5320000000000002E-2</v>
      </c>
      <c r="BF982" s="624">
        <v>39657</v>
      </c>
      <c r="BG982" s="355">
        <v>2.3518000000000001E-2</v>
      </c>
      <c r="BH982" s="624">
        <v>39629</v>
      </c>
      <c r="BI982" s="355">
        <v>0.108366</v>
      </c>
      <c r="BJ982" s="624">
        <v>39629</v>
      </c>
      <c r="BK982" s="355">
        <v>2.9904E-2</v>
      </c>
    </row>
    <row r="983" spans="3:63" x14ac:dyDescent="0.15">
      <c r="C983" s="624"/>
      <c r="D983" s="355">
        <v>4.2790000000000002E-2</v>
      </c>
      <c r="AV983" s="624"/>
      <c r="AX983" s="624">
        <v>39632</v>
      </c>
      <c r="AY983" s="355">
        <v>4.2529999999999998E-2</v>
      </c>
      <c r="AZ983" s="624">
        <v>39699</v>
      </c>
      <c r="BA983" s="355">
        <v>1.84E-2</v>
      </c>
      <c r="BB983" s="624">
        <v>39630</v>
      </c>
      <c r="BC983" s="355">
        <v>0.47089999999999999</v>
      </c>
      <c r="BD983" s="624">
        <v>39631</v>
      </c>
      <c r="BE983" s="355">
        <v>9.468E-2</v>
      </c>
      <c r="BF983" s="624">
        <v>39658</v>
      </c>
      <c r="BG983" s="355">
        <v>2.3529000000000001E-2</v>
      </c>
      <c r="BH983" s="624">
        <v>39630</v>
      </c>
      <c r="BI983" s="355">
        <v>0.108401</v>
      </c>
      <c r="BJ983" s="624">
        <v>39630</v>
      </c>
      <c r="BK983" s="355">
        <v>2.9954000000000001E-2</v>
      </c>
    </row>
    <row r="984" spans="3:63" x14ac:dyDescent="0.15">
      <c r="C984" s="624"/>
      <c r="D984" s="355">
        <v>4.2529999999999998E-2</v>
      </c>
      <c r="AV984" s="624"/>
      <c r="AX984" s="624">
        <v>39633</v>
      </c>
      <c r="AY984" s="355">
        <v>4.258E-2</v>
      </c>
      <c r="AZ984" s="624">
        <v>39700</v>
      </c>
      <c r="BA984" s="355">
        <v>1.8499999999999999E-2</v>
      </c>
      <c r="BB984" s="624">
        <v>39631</v>
      </c>
      <c r="BC984" s="355">
        <v>0.47370000000000001</v>
      </c>
      <c r="BD984" s="624">
        <v>39632</v>
      </c>
      <c r="BE984" s="355">
        <v>9.5689999999999997E-2</v>
      </c>
      <c r="BF984" s="624">
        <v>39659</v>
      </c>
      <c r="BG984" s="355">
        <v>2.3592999999999999E-2</v>
      </c>
      <c r="BH984" s="624">
        <v>39631</v>
      </c>
      <c r="BI984" s="355">
        <v>0.10857799999999999</v>
      </c>
      <c r="BJ984" s="624">
        <v>39631</v>
      </c>
      <c r="BK984" s="355">
        <v>3.0016999999999999E-2</v>
      </c>
    </row>
    <row r="985" spans="3:63" x14ac:dyDescent="0.15">
      <c r="C985" s="624"/>
      <c r="D985" s="355">
        <v>4.258E-2</v>
      </c>
      <c r="AV985" s="624"/>
      <c r="AX985" s="624">
        <v>39636</v>
      </c>
      <c r="AY985" s="355">
        <v>4.2610000000000002E-2</v>
      </c>
      <c r="AZ985" s="624">
        <v>39701</v>
      </c>
      <c r="BA985" s="355">
        <v>1.83E-2</v>
      </c>
      <c r="BB985" s="624">
        <v>39632</v>
      </c>
      <c r="BC985" s="355">
        <v>0.4713</v>
      </c>
      <c r="BD985" s="624">
        <v>39633</v>
      </c>
      <c r="BE985" s="355">
        <v>9.5189999999999997E-2</v>
      </c>
      <c r="BF985" s="624">
        <v>39660</v>
      </c>
      <c r="BG985" s="355">
        <v>2.3512999999999999E-2</v>
      </c>
      <c r="BH985" s="624">
        <v>39632</v>
      </c>
      <c r="BI985" s="355">
        <v>0.108589</v>
      </c>
      <c r="BJ985" s="624">
        <v>39632</v>
      </c>
      <c r="BK985" s="355">
        <v>2.9963E-2</v>
      </c>
    </row>
    <row r="986" spans="3:63" x14ac:dyDescent="0.15">
      <c r="C986" s="624"/>
      <c r="D986" s="355">
        <v>4.2610000000000002E-2</v>
      </c>
      <c r="AV986" s="624"/>
      <c r="AX986" s="624">
        <v>39637</v>
      </c>
      <c r="AY986" s="355">
        <v>4.2529999999999998E-2</v>
      </c>
      <c r="AZ986" s="624">
        <v>39702</v>
      </c>
      <c r="BA986" s="355">
        <v>1.83E-2</v>
      </c>
      <c r="BB986" s="624">
        <v>39633</v>
      </c>
      <c r="BC986" s="355">
        <v>0.47389999999999999</v>
      </c>
      <c r="BD986" s="624">
        <v>39636</v>
      </c>
      <c r="BE986" s="355">
        <v>9.5990000000000006E-2</v>
      </c>
      <c r="BF986" s="624">
        <v>39661</v>
      </c>
      <c r="BG986" s="355">
        <v>2.3595999999999999E-2</v>
      </c>
      <c r="BH986" s="624">
        <v>39633</v>
      </c>
      <c r="BI986" s="355">
        <v>0.108566</v>
      </c>
      <c r="BJ986" s="624">
        <v>39633</v>
      </c>
      <c r="BK986" s="355">
        <v>2.9842E-2</v>
      </c>
    </row>
    <row r="987" spans="3:63" x14ac:dyDescent="0.15">
      <c r="C987" s="624"/>
      <c r="D987" s="355">
        <v>4.2529999999999998E-2</v>
      </c>
      <c r="AV987" s="624"/>
      <c r="AX987" s="624">
        <v>39638</v>
      </c>
      <c r="AY987" s="355">
        <v>4.2689999999999999E-2</v>
      </c>
      <c r="AZ987" s="624">
        <v>39703</v>
      </c>
      <c r="BA987" s="355">
        <v>1.8599999999999998E-2</v>
      </c>
      <c r="BB987" s="624">
        <v>39636</v>
      </c>
      <c r="BC987" s="355">
        <v>0.47610000000000002</v>
      </c>
      <c r="BD987" s="624">
        <v>39637</v>
      </c>
      <c r="BE987" s="355">
        <v>9.7320000000000004E-2</v>
      </c>
      <c r="BF987" s="624">
        <v>39664</v>
      </c>
      <c r="BG987" s="355">
        <v>2.3602000000000001E-2</v>
      </c>
      <c r="BH987" s="624">
        <v>39636</v>
      </c>
      <c r="BI987" s="355">
        <v>0.10868999999999999</v>
      </c>
      <c r="BJ987" s="624">
        <v>39636</v>
      </c>
      <c r="BK987" s="355">
        <v>2.9727E-2</v>
      </c>
    </row>
    <row r="988" spans="3:63" x14ac:dyDescent="0.15">
      <c r="C988" s="624"/>
      <c r="D988" s="355">
        <v>4.2689999999999999E-2</v>
      </c>
      <c r="AV988" s="624"/>
      <c r="AX988" s="624">
        <v>39639</v>
      </c>
      <c r="AY988" s="355">
        <v>4.2819999999999997E-2</v>
      </c>
      <c r="AZ988" s="624">
        <v>39706</v>
      </c>
      <c r="BA988" s="355">
        <v>1.8700000000000001E-2</v>
      </c>
      <c r="BB988" s="624">
        <v>39637</v>
      </c>
      <c r="BC988" s="355">
        <v>0.47639999999999999</v>
      </c>
      <c r="BD988" s="624">
        <v>39638</v>
      </c>
      <c r="BE988" s="355">
        <v>0.1</v>
      </c>
      <c r="BF988" s="624">
        <v>39665</v>
      </c>
      <c r="BG988" s="355">
        <v>2.3702000000000001E-2</v>
      </c>
      <c r="BH988" s="624">
        <v>39637</v>
      </c>
      <c r="BI988" s="355">
        <v>0.108637</v>
      </c>
      <c r="BJ988" s="624">
        <v>39637</v>
      </c>
      <c r="BK988" s="355">
        <v>2.9682E-2</v>
      </c>
    </row>
    <row r="989" spans="3:63" x14ac:dyDescent="0.15">
      <c r="C989" s="624"/>
      <c r="D989" s="355">
        <v>4.2819999999999997E-2</v>
      </c>
      <c r="AV989" s="624"/>
      <c r="AX989" s="624">
        <v>39640</v>
      </c>
      <c r="AY989" s="355">
        <v>4.3020000000000003E-2</v>
      </c>
      <c r="AZ989" s="624">
        <v>39707</v>
      </c>
      <c r="BA989" s="355">
        <v>1.8499999999999999E-2</v>
      </c>
      <c r="BB989" s="624">
        <v>39638</v>
      </c>
      <c r="BC989" s="355">
        <v>0.48049999999999998</v>
      </c>
      <c r="BD989" s="624">
        <v>39639</v>
      </c>
      <c r="BE989" s="355">
        <v>0.10013</v>
      </c>
      <c r="BF989" s="624">
        <v>39666</v>
      </c>
      <c r="BG989" s="355">
        <v>2.3786999999999999E-2</v>
      </c>
      <c r="BH989" s="624">
        <v>39638</v>
      </c>
      <c r="BI989" s="355">
        <v>0.109099</v>
      </c>
      <c r="BJ989" s="624">
        <v>39638</v>
      </c>
      <c r="BK989" s="355">
        <v>2.9744E-2</v>
      </c>
    </row>
    <row r="990" spans="3:63" x14ac:dyDescent="0.15">
      <c r="C990" s="624"/>
      <c r="D990" s="355">
        <v>4.3020000000000003E-2</v>
      </c>
      <c r="AV990" s="624"/>
      <c r="AX990" s="624">
        <v>39643</v>
      </c>
      <c r="AY990" s="355">
        <v>4.3189999999999999E-2</v>
      </c>
      <c r="AZ990" s="624">
        <v>39708</v>
      </c>
      <c r="BA990" s="355">
        <v>1.8800000000000001E-2</v>
      </c>
      <c r="BB990" s="624">
        <v>39639</v>
      </c>
      <c r="BC990" s="355">
        <v>0.48259999999999997</v>
      </c>
      <c r="BD990" s="624">
        <v>39640</v>
      </c>
      <c r="BE990" s="355">
        <v>9.987E-2</v>
      </c>
      <c r="BF990" s="624">
        <v>39667</v>
      </c>
      <c r="BG990" s="355">
        <v>2.3713999999999999E-2</v>
      </c>
      <c r="BH990" s="624">
        <v>39639</v>
      </c>
      <c r="BI990" s="355">
        <v>0.109206</v>
      </c>
      <c r="BJ990" s="624">
        <v>39639</v>
      </c>
      <c r="BK990" s="355">
        <v>2.9690999999999999E-2</v>
      </c>
    </row>
    <row r="991" spans="3:63" x14ac:dyDescent="0.15">
      <c r="C991" s="624"/>
      <c r="D991" s="355">
        <v>4.3189999999999999E-2</v>
      </c>
      <c r="AV991" s="624"/>
      <c r="AX991" s="624">
        <v>39644</v>
      </c>
      <c r="AY991" s="355">
        <v>4.3159999999999997E-2</v>
      </c>
      <c r="AZ991" s="624">
        <v>39709</v>
      </c>
      <c r="BA991" s="355">
        <v>1.8800000000000001E-2</v>
      </c>
      <c r="BB991" s="624">
        <v>39640</v>
      </c>
      <c r="BC991" s="355">
        <v>0.48859999999999998</v>
      </c>
      <c r="BD991" s="624">
        <v>39643</v>
      </c>
      <c r="BE991" s="355">
        <v>9.9599999999999994E-2</v>
      </c>
      <c r="BF991" s="624">
        <v>39668</v>
      </c>
      <c r="BG991" s="355">
        <v>2.3696999999999999E-2</v>
      </c>
      <c r="BH991" s="624">
        <v>39640</v>
      </c>
      <c r="BI991" s="355">
        <v>0.10922999999999999</v>
      </c>
      <c r="BJ991" s="624">
        <v>39640</v>
      </c>
      <c r="BK991" s="355">
        <v>2.9708999999999999E-2</v>
      </c>
    </row>
    <row r="992" spans="3:63" x14ac:dyDescent="0.15">
      <c r="C992" s="624"/>
      <c r="D992" s="355">
        <v>4.3159999999999997E-2</v>
      </c>
      <c r="AV992" s="624"/>
      <c r="AX992" s="624">
        <v>39645</v>
      </c>
      <c r="AY992" s="355">
        <v>4.2999999999999997E-2</v>
      </c>
      <c r="AZ992" s="624">
        <v>39710</v>
      </c>
      <c r="BA992" s="355">
        <v>1.9E-2</v>
      </c>
      <c r="BB992" s="624">
        <v>39643</v>
      </c>
      <c r="BC992" s="355">
        <v>0.48870000000000002</v>
      </c>
      <c r="BD992" s="624">
        <v>39644</v>
      </c>
      <c r="BE992" s="355">
        <v>9.9159999999999998E-2</v>
      </c>
      <c r="BF992" s="624">
        <v>39671</v>
      </c>
      <c r="BG992" s="355">
        <v>2.3715E-2</v>
      </c>
      <c r="BH992" s="624">
        <v>39643</v>
      </c>
      <c r="BI992" s="355">
        <v>0.109553</v>
      </c>
      <c r="BJ992" s="624">
        <v>39643</v>
      </c>
      <c r="BK992" s="355">
        <v>2.9708999999999999E-2</v>
      </c>
    </row>
    <row r="993" spans="3:63" x14ac:dyDescent="0.15">
      <c r="C993" s="624"/>
      <c r="D993" s="355">
        <v>4.2999999999999997E-2</v>
      </c>
      <c r="AV993" s="624"/>
      <c r="AX993" s="624">
        <v>39646</v>
      </c>
      <c r="AY993" s="355">
        <v>4.3060000000000001E-2</v>
      </c>
      <c r="AZ993" s="624">
        <v>39713</v>
      </c>
      <c r="BA993" s="355">
        <v>1.9400000000000001E-2</v>
      </c>
      <c r="BB993" s="624">
        <v>39644</v>
      </c>
      <c r="BC993" s="355">
        <v>0.49059999999999998</v>
      </c>
      <c r="BD993" s="624">
        <v>39645</v>
      </c>
      <c r="BE993" s="355">
        <v>9.9229999999999999E-2</v>
      </c>
      <c r="BF993" s="624">
        <v>39672</v>
      </c>
      <c r="BG993" s="355">
        <v>2.3601E-2</v>
      </c>
      <c r="BH993" s="624">
        <v>39644</v>
      </c>
      <c r="BI993" s="355">
        <v>0.109379</v>
      </c>
      <c r="BJ993" s="624">
        <v>39644</v>
      </c>
      <c r="BK993" s="355">
        <v>2.9887E-2</v>
      </c>
    </row>
    <row r="994" spans="3:63" x14ac:dyDescent="0.15">
      <c r="C994" s="624"/>
      <c r="D994" s="355">
        <v>4.3060000000000001E-2</v>
      </c>
      <c r="AV994" s="624"/>
      <c r="AX994" s="624">
        <v>39647</v>
      </c>
      <c r="AY994" s="355">
        <v>4.3069999999999997E-2</v>
      </c>
      <c r="AZ994" s="624">
        <v>39714</v>
      </c>
      <c r="BA994" s="355">
        <v>1.9199999999999998E-2</v>
      </c>
      <c r="BB994" s="624">
        <v>39645</v>
      </c>
      <c r="BC994" s="355">
        <v>0.49299999999999999</v>
      </c>
      <c r="BD994" s="624">
        <v>39646</v>
      </c>
      <c r="BE994" s="355">
        <v>9.8890000000000006E-2</v>
      </c>
      <c r="BF994" s="624">
        <v>39673</v>
      </c>
      <c r="BG994" s="355">
        <v>2.3414000000000001E-2</v>
      </c>
      <c r="BH994" s="624">
        <v>39645</v>
      </c>
      <c r="BI994" s="355">
        <v>0.10940900000000001</v>
      </c>
      <c r="BJ994" s="624">
        <v>39645</v>
      </c>
      <c r="BK994" s="355">
        <v>2.9869E-2</v>
      </c>
    </row>
    <row r="995" spans="3:63" x14ac:dyDescent="0.15">
      <c r="C995" s="624"/>
      <c r="D995" s="355">
        <v>4.3069999999999997E-2</v>
      </c>
      <c r="AV995" s="624"/>
      <c r="AX995" s="624">
        <v>39650</v>
      </c>
      <c r="AY995" s="355">
        <v>4.3139999999999998E-2</v>
      </c>
      <c r="AZ995" s="624">
        <v>39715</v>
      </c>
      <c r="BA995" s="355">
        <v>1.9099999999999999E-2</v>
      </c>
      <c r="BB995" s="624">
        <v>39646</v>
      </c>
      <c r="BC995" s="355">
        <v>0.49220000000000003</v>
      </c>
      <c r="BD995" s="624">
        <v>39647</v>
      </c>
      <c r="BE995" s="355">
        <v>9.8720000000000002E-2</v>
      </c>
      <c r="BF995" s="624">
        <v>39674</v>
      </c>
      <c r="BG995" s="355">
        <v>2.325E-2</v>
      </c>
      <c r="BH995" s="624">
        <v>39646</v>
      </c>
      <c r="BI995" s="355">
        <v>0.109469</v>
      </c>
      <c r="BJ995" s="624">
        <v>39646</v>
      </c>
      <c r="BK995" s="355">
        <v>2.9904E-2</v>
      </c>
    </row>
    <row r="996" spans="3:63" x14ac:dyDescent="0.15">
      <c r="C996" s="624"/>
      <c r="D996" s="355">
        <v>4.3139999999999998E-2</v>
      </c>
      <c r="AV996" s="624"/>
      <c r="AX996" s="624">
        <v>39651</v>
      </c>
      <c r="AY996" s="355">
        <v>4.2930000000000003E-2</v>
      </c>
      <c r="AZ996" s="624">
        <v>39716</v>
      </c>
      <c r="BA996" s="355">
        <v>1.9099999999999999E-2</v>
      </c>
      <c r="BB996" s="624">
        <v>39647</v>
      </c>
      <c r="BC996" s="355">
        <v>0.49259999999999998</v>
      </c>
      <c r="BD996" s="624">
        <v>39650</v>
      </c>
      <c r="BE996" s="355">
        <v>9.8199999999999996E-2</v>
      </c>
      <c r="BF996" s="624">
        <v>39675</v>
      </c>
      <c r="BG996" s="355">
        <v>2.3052E-2</v>
      </c>
      <c r="BH996" s="624">
        <v>39647</v>
      </c>
      <c r="BI996" s="355">
        <v>0.109373</v>
      </c>
      <c r="BJ996" s="624">
        <v>39647</v>
      </c>
      <c r="BK996" s="355">
        <v>3.0012E-2</v>
      </c>
    </row>
    <row r="997" spans="3:63" x14ac:dyDescent="0.15">
      <c r="C997" s="624"/>
      <c r="D997" s="355">
        <v>4.2930000000000003E-2</v>
      </c>
      <c r="AV997" s="624"/>
      <c r="AX997" s="624">
        <v>39652</v>
      </c>
      <c r="AY997" s="355">
        <v>4.2810000000000001E-2</v>
      </c>
      <c r="AZ997" s="624">
        <v>39717</v>
      </c>
      <c r="BA997" s="355">
        <v>1.9099999999999999E-2</v>
      </c>
      <c r="BB997" s="624">
        <v>39650</v>
      </c>
      <c r="BC997" s="355">
        <v>0.49430000000000002</v>
      </c>
      <c r="BD997" s="624">
        <v>39651</v>
      </c>
      <c r="BE997" s="355">
        <v>9.8570000000000005E-2</v>
      </c>
      <c r="BF997" s="624">
        <v>39678</v>
      </c>
      <c r="BG997" s="355">
        <v>2.2970000000000001E-2</v>
      </c>
      <c r="BH997" s="624">
        <v>39650</v>
      </c>
      <c r="BI997" s="355">
        <v>0.109266</v>
      </c>
      <c r="BJ997" s="624">
        <v>39650</v>
      </c>
      <c r="BK997" s="355">
        <v>2.9975999999999999E-2</v>
      </c>
    </row>
    <row r="998" spans="3:63" x14ac:dyDescent="0.15">
      <c r="C998" s="624"/>
      <c r="D998" s="355">
        <v>4.2810000000000001E-2</v>
      </c>
      <c r="AV998" s="624"/>
      <c r="AX998" s="624">
        <v>39653</v>
      </c>
      <c r="AY998" s="355">
        <v>4.2759999999999999E-2</v>
      </c>
      <c r="AZ998" s="624">
        <v>39720</v>
      </c>
      <c r="BA998" s="355">
        <v>1.89E-2</v>
      </c>
      <c r="BB998" s="624">
        <v>39651</v>
      </c>
      <c r="BC998" s="355">
        <v>0.4869</v>
      </c>
      <c r="BD998" s="624">
        <v>39652</v>
      </c>
      <c r="BE998" s="355">
        <v>9.9080000000000001E-2</v>
      </c>
      <c r="BF998" s="624">
        <v>39679</v>
      </c>
      <c r="BG998" s="355">
        <v>2.291E-2</v>
      </c>
      <c r="BH998" s="624">
        <v>39651</v>
      </c>
      <c r="BI998" s="355">
        <v>0.10949299999999999</v>
      </c>
      <c r="BJ998" s="624">
        <v>39651</v>
      </c>
      <c r="BK998" s="355">
        <v>2.9957999999999999E-2</v>
      </c>
    </row>
    <row r="999" spans="3:63" x14ac:dyDescent="0.15">
      <c r="C999" s="624"/>
      <c r="D999" s="355">
        <v>4.2759999999999999E-2</v>
      </c>
      <c r="AV999" s="624"/>
      <c r="AX999" s="624">
        <v>39654</v>
      </c>
      <c r="AY999" s="355">
        <v>4.2770000000000002E-2</v>
      </c>
      <c r="AZ999" s="624">
        <v>39721</v>
      </c>
      <c r="BA999" s="355">
        <v>1.84E-2</v>
      </c>
      <c r="BB999" s="624">
        <v>39652</v>
      </c>
      <c r="BC999" s="355">
        <v>0.48180000000000001</v>
      </c>
      <c r="BD999" s="624">
        <v>39653</v>
      </c>
      <c r="BE999" s="355">
        <v>9.9150000000000002E-2</v>
      </c>
      <c r="BF999" s="624">
        <v>39680</v>
      </c>
      <c r="BG999" s="355">
        <v>2.2915000000000001E-2</v>
      </c>
      <c r="BH999" s="624">
        <v>39652</v>
      </c>
      <c r="BI999" s="355">
        <v>0.109349</v>
      </c>
      <c r="BJ999" s="624">
        <v>39652</v>
      </c>
      <c r="BK999" s="355">
        <v>2.9957999999999999E-2</v>
      </c>
    </row>
    <row r="1000" spans="3:63" x14ac:dyDescent="0.15">
      <c r="C1000" s="624"/>
      <c r="D1000" s="355">
        <v>4.2770000000000002E-2</v>
      </c>
      <c r="AV1000" s="624"/>
      <c r="AX1000" s="624">
        <v>39657</v>
      </c>
      <c r="AY1000" s="355">
        <v>4.2840000000000003E-2</v>
      </c>
      <c r="AZ1000" s="624">
        <v>39722</v>
      </c>
      <c r="BA1000" s="355">
        <v>1.83E-2</v>
      </c>
      <c r="BB1000" s="624">
        <v>39653</v>
      </c>
      <c r="BC1000" s="355">
        <v>0.4869</v>
      </c>
      <c r="BD1000" s="624">
        <v>39654</v>
      </c>
      <c r="BE1000" s="355">
        <v>9.9299999999999999E-2</v>
      </c>
      <c r="BF1000" s="624">
        <v>39681</v>
      </c>
      <c r="BG1000" s="355">
        <v>2.2977999999999998E-2</v>
      </c>
      <c r="BH1000" s="624">
        <v>39653</v>
      </c>
      <c r="BI1000" s="355">
        <v>0.10939699999999999</v>
      </c>
      <c r="BJ1000" s="624">
        <v>39653</v>
      </c>
      <c r="BK1000" s="355">
        <v>2.9943000000000001E-2</v>
      </c>
    </row>
    <row r="1001" spans="3:63" x14ac:dyDescent="0.15">
      <c r="C1001" s="624"/>
      <c r="D1001" s="355">
        <v>4.2840000000000003E-2</v>
      </c>
      <c r="AV1001" s="624"/>
      <c r="AX1001" s="624">
        <v>39658</v>
      </c>
      <c r="AY1001" s="355">
        <v>4.265E-2</v>
      </c>
      <c r="AZ1001" s="624">
        <v>39723</v>
      </c>
      <c r="BA1001" s="355">
        <v>1.7999999999999999E-2</v>
      </c>
      <c r="BB1001" s="624">
        <v>39654</v>
      </c>
      <c r="BC1001" s="355">
        <v>0.48970000000000002</v>
      </c>
      <c r="BD1001" s="624">
        <v>39657</v>
      </c>
      <c r="BE1001" s="355">
        <v>9.937E-2</v>
      </c>
      <c r="BF1001" s="624">
        <v>39682</v>
      </c>
      <c r="BG1001" s="355">
        <v>2.3019000000000001E-2</v>
      </c>
      <c r="BH1001" s="624">
        <v>39654</v>
      </c>
      <c r="BI1001" s="355">
        <v>0.109487</v>
      </c>
      <c r="BJ1001" s="624">
        <v>39654</v>
      </c>
      <c r="BK1001" s="355">
        <v>2.9922000000000001E-2</v>
      </c>
    </row>
    <row r="1002" spans="3:63" x14ac:dyDescent="0.15">
      <c r="C1002" s="624"/>
      <c r="D1002" s="355">
        <v>4.265E-2</v>
      </c>
      <c r="AV1002" s="624"/>
      <c r="AX1002" s="624">
        <v>39659</v>
      </c>
      <c r="AY1002" s="355">
        <v>4.2659999999999997E-2</v>
      </c>
      <c r="AZ1002" s="624">
        <v>39724</v>
      </c>
      <c r="BA1002" s="355">
        <v>1.7600000000000001E-2</v>
      </c>
      <c r="BB1002" s="624">
        <v>39657</v>
      </c>
      <c r="BC1002" s="355">
        <v>0.4909</v>
      </c>
      <c r="BD1002" s="624">
        <v>39658</v>
      </c>
      <c r="BE1002" s="355">
        <v>9.9080000000000001E-2</v>
      </c>
      <c r="BF1002" s="624">
        <v>39685</v>
      </c>
      <c r="BG1002" s="355">
        <v>2.2835999999999999E-2</v>
      </c>
      <c r="BH1002" s="624">
        <v>39657</v>
      </c>
      <c r="BI1002" s="355">
        <v>0.109667</v>
      </c>
      <c r="BJ1002" s="624">
        <v>39657</v>
      </c>
      <c r="BK1002" s="355">
        <v>2.9887E-2</v>
      </c>
    </row>
    <row r="1003" spans="3:63" x14ac:dyDescent="0.15">
      <c r="C1003" s="624"/>
      <c r="D1003" s="355">
        <v>4.2659999999999997E-2</v>
      </c>
      <c r="AV1003" s="624"/>
      <c r="AX1003" s="624">
        <v>39660</v>
      </c>
      <c r="AY1003" s="355">
        <v>4.2680000000000003E-2</v>
      </c>
      <c r="AZ1003" s="624">
        <v>39727</v>
      </c>
      <c r="BA1003" s="355">
        <v>1.7000000000000001E-2</v>
      </c>
      <c r="BB1003" s="624">
        <v>39658</v>
      </c>
      <c r="BC1003" s="355">
        <v>0.48570000000000002</v>
      </c>
      <c r="BD1003" s="624">
        <v>39659</v>
      </c>
      <c r="BE1003" s="355">
        <v>9.8830000000000001E-2</v>
      </c>
      <c r="BF1003" s="624">
        <v>39686</v>
      </c>
      <c r="BG1003" s="355">
        <v>2.2783999999999999E-2</v>
      </c>
      <c r="BH1003" s="624">
        <v>39658</v>
      </c>
      <c r="BI1003" s="355">
        <v>0.109764</v>
      </c>
      <c r="BJ1003" s="624">
        <v>39658</v>
      </c>
      <c r="BK1003" s="355">
        <v>2.9869E-2</v>
      </c>
    </row>
    <row r="1004" spans="3:63" x14ac:dyDescent="0.15">
      <c r="C1004" s="624"/>
      <c r="D1004" s="355">
        <v>4.2680000000000003E-2</v>
      </c>
      <c r="AV1004" s="624"/>
      <c r="AX1004" s="624">
        <v>39661</v>
      </c>
      <c r="AY1004" s="355">
        <v>4.2599999999999999E-2</v>
      </c>
      <c r="AZ1004" s="624">
        <v>39728</v>
      </c>
      <c r="BA1004" s="355">
        <v>1.7000000000000001E-2</v>
      </c>
      <c r="BB1004" s="624">
        <v>39659</v>
      </c>
      <c r="BC1004" s="355">
        <v>0.48620000000000002</v>
      </c>
      <c r="BD1004" s="624">
        <v>39660</v>
      </c>
      <c r="BE1004" s="355">
        <v>9.8790000000000003E-2</v>
      </c>
      <c r="BF1004" s="624">
        <v>39687</v>
      </c>
      <c r="BG1004" s="355">
        <v>2.2841E-2</v>
      </c>
      <c r="BH1004" s="624">
        <v>39659</v>
      </c>
      <c r="BI1004" s="355">
        <v>0.109691</v>
      </c>
      <c r="BJ1004" s="624">
        <v>39659</v>
      </c>
      <c r="BK1004" s="355">
        <v>2.9860000000000001E-2</v>
      </c>
    </row>
    <row r="1005" spans="3:63" x14ac:dyDescent="0.15">
      <c r="C1005" s="624"/>
      <c r="D1005" s="355">
        <v>4.2599999999999999E-2</v>
      </c>
      <c r="AV1005" s="624"/>
      <c r="AX1005" s="624">
        <v>39664</v>
      </c>
      <c r="AY1005" s="355">
        <v>4.2720000000000001E-2</v>
      </c>
      <c r="AZ1005" s="624">
        <v>39729</v>
      </c>
      <c r="BA1005" s="355">
        <v>1.6899999999999998E-2</v>
      </c>
      <c r="BB1005" s="624">
        <v>39660</v>
      </c>
      <c r="BC1005" s="355">
        <v>0.48499999999999999</v>
      </c>
      <c r="BD1005" s="624">
        <v>39661</v>
      </c>
      <c r="BE1005" s="355">
        <v>9.8519999999999996E-2</v>
      </c>
      <c r="BF1005" s="624">
        <v>39688</v>
      </c>
      <c r="BG1005" s="355">
        <v>2.2841E-2</v>
      </c>
      <c r="BH1005" s="624">
        <v>39660</v>
      </c>
      <c r="BI1005" s="355">
        <v>0.10995099999999999</v>
      </c>
      <c r="BJ1005" s="624">
        <v>39660</v>
      </c>
      <c r="BK1005" s="355">
        <v>2.9832999999999998E-2</v>
      </c>
    </row>
    <row r="1006" spans="3:63" x14ac:dyDescent="0.15">
      <c r="C1006" s="624"/>
      <c r="D1006" s="355">
        <v>4.2720000000000001E-2</v>
      </c>
      <c r="AV1006" s="624"/>
      <c r="AX1006" s="624">
        <v>39665</v>
      </c>
      <c r="AY1006" s="355">
        <v>4.2450000000000002E-2</v>
      </c>
      <c r="AZ1006" s="624">
        <v>39730</v>
      </c>
      <c r="BA1006" s="355">
        <v>1.7100000000000001E-2</v>
      </c>
      <c r="BB1006" s="624">
        <v>39661</v>
      </c>
      <c r="BC1006" s="355">
        <v>0.4849</v>
      </c>
      <c r="BD1006" s="624">
        <v>39664</v>
      </c>
      <c r="BE1006" s="355">
        <v>9.8280000000000006E-2</v>
      </c>
      <c r="BF1006" s="624">
        <v>39689</v>
      </c>
      <c r="BG1006" s="355">
        <v>2.2742999999999999E-2</v>
      </c>
      <c r="BH1006" s="624">
        <v>39661</v>
      </c>
      <c r="BI1006" s="355">
        <v>0.10986600000000001</v>
      </c>
      <c r="BJ1006" s="624">
        <v>39661</v>
      </c>
      <c r="BK1006" s="355">
        <v>2.9832999999999998E-2</v>
      </c>
    </row>
    <row r="1007" spans="3:63" x14ac:dyDescent="0.15">
      <c r="C1007" s="624"/>
      <c r="D1007" s="355">
        <v>4.2450000000000002E-2</v>
      </c>
      <c r="AV1007" s="624"/>
      <c r="AX1007" s="624">
        <v>39666</v>
      </c>
      <c r="AY1007" s="355">
        <v>4.2279999999999998E-2</v>
      </c>
      <c r="AZ1007" s="624">
        <v>39731</v>
      </c>
      <c r="BA1007" s="355">
        <v>1.66E-2</v>
      </c>
      <c r="BB1007" s="624">
        <v>39664</v>
      </c>
      <c r="BC1007" s="355">
        <v>0.48559999999999998</v>
      </c>
      <c r="BD1007" s="624">
        <v>39665</v>
      </c>
      <c r="BE1007" s="355">
        <v>9.8210000000000006E-2</v>
      </c>
      <c r="BF1007" s="624">
        <v>39692</v>
      </c>
      <c r="BG1007" s="355">
        <v>2.264E-2</v>
      </c>
      <c r="BH1007" s="624">
        <v>39664</v>
      </c>
      <c r="BI1007" s="355">
        <v>0.110108</v>
      </c>
      <c r="BJ1007" s="624">
        <v>39664</v>
      </c>
      <c r="BK1007" s="355">
        <v>2.9857999999999999E-2</v>
      </c>
    </row>
    <row r="1008" spans="3:63" x14ac:dyDescent="0.15">
      <c r="C1008" s="624"/>
      <c r="D1008" s="355">
        <v>4.2279999999999998E-2</v>
      </c>
      <c r="AV1008" s="624"/>
      <c r="AX1008" s="624">
        <v>39667</v>
      </c>
      <c r="AY1008" s="355">
        <v>4.2220000000000001E-2</v>
      </c>
      <c r="AZ1008" s="624">
        <v>39734</v>
      </c>
      <c r="BA1008" s="355">
        <v>1.67E-2</v>
      </c>
      <c r="BB1008" s="624">
        <v>39665</v>
      </c>
      <c r="BC1008" s="355">
        <v>0.48070000000000002</v>
      </c>
      <c r="BD1008" s="624">
        <v>39666</v>
      </c>
      <c r="BE1008" s="355">
        <v>9.8570000000000005E-2</v>
      </c>
      <c r="BF1008" s="624">
        <v>39693</v>
      </c>
      <c r="BG1008" s="355">
        <v>2.2547999999999999E-2</v>
      </c>
      <c r="BH1008" s="624">
        <v>39665</v>
      </c>
      <c r="BI1008" s="355">
        <v>0.11043</v>
      </c>
      <c r="BJ1008" s="624">
        <v>39665</v>
      </c>
      <c r="BK1008" s="355">
        <v>2.9753000000000002E-2</v>
      </c>
    </row>
    <row r="1009" spans="3:63" x14ac:dyDescent="0.15">
      <c r="C1009" s="624"/>
      <c r="D1009" s="355">
        <v>4.2220000000000001E-2</v>
      </c>
      <c r="AV1009" s="624"/>
      <c r="AX1009" s="624">
        <v>39668</v>
      </c>
      <c r="AY1009" s="355">
        <v>4.1270000000000001E-2</v>
      </c>
      <c r="AZ1009" s="624">
        <v>39735</v>
      </c>
      <c r="BA1009" s="355">
        <v>1.66E-2</v>
      </c>
      <c r="BB1009" s="624">
        <v>39666</v>
      </c>
      <c r="BC1009" s="355">
        <v>0.4753</v>
      </c>
      <c r="BD1009" s="624">
        <v>39667</v>
      </c>
      <c r="BE1009" s="355">
        <v>9.8379999999999995E-2</v>
      </c>
      <c r="BF1009" s="624">
        <v>39694</v>
      </c>
      <c r="BG1009" s="355">
        <v>2.2477E-2</v>
      </c>
      <c r="BH1009" s="624">
        <v>39666</v>
      </c>
      <c r="BI1009" s="355">
        <v>0.110018</v>
      </c>
      <c r="BJ1009" s="624">
        <v>39666</v>
      </c>
      <c r="BK1009" s="355">
        <v>2.9735000000000001E-2</v>
      </c>
    </row>
    <row r="1010" spans="3:63" x14ac:dyDescent="0.15">
      <c r="C1010" s="624"/>
      <c r="D1010" s="355">
        <v>4.1270000000000001E-2</v>
      </c>
      <c r="AV1010" s="624"/>
      <c r="AX1010" s="624">
        <v>39671</v>
      </c>
      <c r="AY1010" s="355">
        <v>4.0939999999999997E-2</v>
      </c>
      <c r="AZ1010" s="624">
        <v>39736</v>
      </c>
      <c r="BA1010" s="355">
        <v>1.6299999999999999E-2</v>
      </c>
      <c r="BB1010" s="624">
        <v>39667</v>
      </c>
      <c r="BC1010" s="355">
        <v>0.47199999999999998</v>
      </c>
      <c r="BD1010" s="624">
        <v>39668</v>
      </c>
      <c r="BE1010" s="355">
        <v>9.7239999999999993E-2</v>
      </c>
      <c r="BF1010" s="624">
        <v>39695</v>
      </c>
      <c r="BG1010" s="355">
        <v>2.2534999999999999E-2</v>
      </c>
      <c r="BH1010" s="624">
        <v>39667</v>
      </c>
      <c r="BI1010" s="355">
        <v>0.10953599999999999</v>
      </c>
      <c r="BJ1010" s="624">
        <v>39667</v>
      </c>
      <c r="BK1010" s="355">
        <v>2.9762E-2</v>
      </c>
    </row>
    <row r="1011" spans="3:63" x14ac:dyDescent="0.15">
      <c r="C1011" s="624"/>
      <c r="D1011" s="355">
        <v>4.0939999999999997E-2</v>
      </c>
      <c r="AV1011" s="624"/>
      <c r="AX1011" s="624">
        <v>39672</v>
      </c>
      <c r="AY1011" s="355">
        <v>4.1239999999999999E-2</v>
      </c>
      <c r="AZ1011" s="624">
        <v>39737</v>
      </c>
      <c r="BA1011" s="355">
        <v>1.6199999999999999E-2</v>
      </c>
      <c r="BB1011" s="624">
        <v>39668</v>
      </c>
      <c r="BC1011" s="355">
        <v>0.4582</v>
      </c>
      <c r="BD1011" s="624">
        <v>39671</v>
      </c>
      <c r="BE1011" s="355">
        <v>9.6909999999999996E-2</v>
      </c>
      <c r="BF1011" s="624">
        <v>39696</v>
      </c>
      <c r="BG1011" s="355">
        <v>2.2391000000000001E-2</v>
      </c>
      <c r="BH1011" s="624">
        <v>39668</v>
      </c>
      <c r="BI1011" s="355">
        <v>0.109051</v>
      </c>
      <c r="BJ1011" s="624">
        <v>39668</v>
      </c>
      <c r="BK1011" s="355">
        <v>2.9690999999999999E-2</v>
      </c>
    </row>
    <row r="1012" spans="3:63" x14ac:dyDescent="0.15">
      <c r="C1012" s="624"/>
      <c r="D1012" s="355">
        <v>4.1239999999999999E-2</v>
      </c>
      <c r="AV1012" s="624"/>
      <c r="AX1012" s="624">
        <v>39673</v>
      </c>
      <c r="AY1012" s="355">
        <v>4.129E-2</v>
      </c>
      <c r="AZ1012" s="624">
        <v>39738</v>
      </c>
      <c r="BA1012" s="355">
        <v>1.6299999999999999E-2</v>
      </c>
      <c r="BB1012" s="624">
        <v>39671</v>
      </c>
      <c r="BC1012" s="355">
        <v>0.45429999999999998</v>
      </c>
      <c r="BD1012" s="624">
        <v>39672</v>
      </c>
      <c r="BE1012" s="355">
        <v>9.6710000000000004E-2</v>
      </c>
      <c r="BF1012" s="624">
        <v>39699</v>
      </c>
      <c r="BG1012" s="355">
        <v>2.2422000000000001E-2</v>
      </c>
      <c r="BH1012" s="624">
        <v>39671</v>
      </c>
      <c r="BI1012" s="355">
        <v>0.108755</v>
      </c>
      <c r="BJ1012" s="624">
        <v>39671</v>
      </c>
      <c r="BK1012" s="355">
        <v>2.9665E-2</v>
      </c>
    </row>
    <row r="1013" spans="3:63" x14ac:dyDescent="0.15">
      <c r="C1013" s="624"/>
      <c r="D1013" s="355">
        <v>4.129E-2</v>
      </c>
      <c r="AV1013" s="624"/>
      <c r="AX1013" s="624">
        <v>39674</v>
      </c>
      <c r="AY1013" s="355">
        <v>4.1009999999999998E-2</v>
      </c>
      <c r="AZ1013" s="624">
        <v>39741</v>
      </c>
      <c r="BA1013" s="355">
        <v>1.6400000000000001E-2</v>
      </c>
      <c r="BB1013" s="624">
        <v>39672</v>
      </c>
      <c r="BC1013" s="355">
        <v>0.45689999999999997</v>
      </c>
      <c r="BD1013" s="624">
        <v>39673</v>
      </c>
      <c r="BE1013" s="355">
        <v>9.6259999999999998E-2</v>
      </c>
      <c r="BF1013" s="624">
        <v>39700</v>
      </c>
      <c r="BG1013" s="355">
        <v>2.2308000000000001E-2</v>
      </c>
      <c r="BH1013" s="624">
        <v>39672</v>
      </c>
      <c r="BI1013" s="355">
        <v>0.108873</v>
      </c>
      <c r="BJ1013" s="624">
        <v>39672</v>
      </c>
      <c r="BK1013" s="355">
        <v>2.9735000000000001E-2</v>
      </c>
    </row>
    <row r="1014" spans="3:63" x14ac:dyDescent="0.15">
      <c r="C1014" s="624"/>
      <c r="D1014" s="355">
        <v>4.1009999999999998E-2</v>
      </c>
      <c r="AV1014" s="624"/>
      <c r="AX1014" s="624">
        <v>39675</v>
      </c>
      <c r="AY1014" s="355">
        <v>4.0649999999999999E-2</v>
      </c>
      <c r="AZ1014" s="624">
        <v>39742</v>
      </c>
      <c r="BA1014" s="355">
        <v>1.61E-2</v>
      </c>
      <c r="BB1014" s="624">
        <v>39673</v>
      </c>
      <c r="BC1014" s="355">
        <v>0.45179999999999998</v>
      </c>
      <c r="BD1014" s="624">
        <v>39674</v>
      </c>
      <c r="BE1014" s="355">
        <v>9.6180000000000002E-2</v>
      </c>
      <c r="BF1014" s="624">
        <v>39701</v>
      </c>
      <c r="BG1014" s="355">
        <v>2.2155000000000001E-2</v>
      </c>
      <c r="BH1014" s="624">
        <v>39673</v>
      </c>
      <c r="BI1014" s="355">
        <v>0.10882</v>
      </c>
      <c r="BJ1014" s="624">
        <v>39673</v>
      </c>
      <c r="BK1014" s="355">
        <v>2.9696E-2</v>
      </c>
    </row>
    <row r="1015" spans="3:63" x14ac:dyDescent="0.15">
      <c r="C1015" s="624"/>
      <c r="D1015" s="355">
        <v>4.0649999999999999E-2</v>
      </c>
      <c r="AV1015" s="624"/>
      <c r="AX1015" s="624">
        <v>39678</v>
      </c>
      <c r="AY1015" s="355">
        <v>4.0730000000000002E-2</v>
      </c>
      <c r="AZ1015" s="624">
        <v>39743</v>
      </c>
      <c r="BA1015" s="355">
        <v>1.5599999999999999E-2</v>
      </c>
      <c r="BB1015" s="624">
        <v>39674</v>
      </c>
      <c r="BC1015" s="355">
        <v>0.4466</v>
      </c>
      <c r="BD1015" s="624">
        <v>39675</v>
      </c>
      <c r="BE1015" s="355">
        <v>9.6180000000000002E-2</v>
      </c>
      <c r="BF1015" s="624">
        <v>39702</v>
      </c>
      <c r="BG1015" s="355">
        <v>2.1954000000000001E-2</v>
      </c>
      <c r="BH1015" s="624">
        <v>39674</v>
      </c>
      <c r="BI1015" s="355">
        <v>0.108927</v>
      </c>
      <c r="BJ1015" s="624">
        <v>39674</v>
      </c>
      <c r="BK1015" s="355">
        <v>2.9678E-2</v>
      </c>
    </row>
    <row r="1016" spans="3:63" x14ac:dyDescent="0.15">
      <c r="C1016" s="624"/>
      <c r="D1016" s="355">
        <v>4.0730000000000002E-2</v>
      </c>
      <c r="AV1016" s="624"/>
      <c r="AX1016" s="624">
        <v>39679</v>
      </c>
      <c r="AY1016" s="355">
        <v>4.086E-2</v>
      </c>
      <c r="AZ1016" s="624">
        <v>39744</v>
      </c>
      <c r="BA1016" s="355">
        <v>1.55E-2</v>
      </c>
      <c r="BB1016" s="624">
        <v>39675</v>
      </c>
      <c r="BC1016" s="355">
        <v>0.44059999999999999</v>
      </c>
      <c r="BD1016" s="624">
        <v>39678</v>
      </c>
      <c r="BE1016" s="355">
        <v>9.5759999999999998E-2</v>
      </c>
      <c r="BF1016" s="624">
        <v>39703</v>
      </c>
      <c r="BG1016" s="355">
        <v>2.1869E-2</v>
      </c>
      <c r="BH1016" s="624">
        <v>39675</v>
      </c>
      <c r="BI1016" s="355">
        <v>0.108637</v>
      </c>
      <c r="BJ1016" s="624">
        <v>39675</v>
      </c>
      <c r="BK1016" s="355">
        <v>2.9533E-2</v>
      </c>
    </row>
    <row r="1017" spans="3:63" x14ac:dyDescent="0.15">
      <c r="C1017" s="624"/>
      <c r="D1017" s="355">
        <v>4.086E-2</v>
      </c>
      <c r="AV1017" s="624"/>
      <c r="AX1017" s="624">
        <v>39680</v>
      </c>
      <c r="AY1017" s="355">
        <v>4.1000000000000002E-2</v>
      </c>
      <c r="AZ1017" s="624">
        <v>39745</v>
      </c>
      <c r="BA1017" s="355">
        <v>1.49E-2</v>
      </c>
      <c r="BB1017" s="624">
        <v>39678</v>
      </c>
      <c r="BC1017" s="355">
        <v>0.44340000000000002</v>
      </c>
      <c r="BD1017" s="624">
        <v>39679</v>
      </c>
      <c r="BE1017" s="355">
        <v>9.5219999999999999E-2</v>
      </c>
      <c r="BF1017" s="624">
        <v>39706</v>
      </c>
      <c r="BG1017" s="355">
        <v>2.1714000000000001E-2</v>
      </c>
      <c r="BH1017" s="624">
        <v>39678</v>
      </c>
      <c r="BI1017" s="355">
        <v>0.108873</v>
      </c>
      <c r="BJ1017" s="624">
        <v>39678</v>
      </c>
      <c r="BK1017" s="355">
        <v>2.9576999999999999E-2</v>
      </c>
    </row>
    <row r="1018" spans="3:63" x14ac:dyDescent="0.15">
      <c r="C1018" s="624"/>
      <c r="D1018" s="355">
        <v>4.1000000000000002E-2</v>
      </c>
      <c r="AV1018" s="624"/>
      <c r="AX1018" s="624">
        <v>39681</v>
      </c>
      <c r="AY1018" s="355">
        <v>4.1169999999999998E-2</v>
      </c>
      <c r="AZ1018" s="624">
        <v>39748</v>
      </c>
      <c r="BA1018" s="355">
        <v>1.47E-2</v>
      </c>
      <c r="BB1018" s="624">
        <v>39679</v>
      </c>
      <c r="BC1018" s="355">
        <v>0.4451</v>
      </c>
      <c r="BD1018" s="624">
        <v>39680</v>
      </c>
      <c r="BE1018" s="355">
        <v>9.5549999999999996E-2</v>
      </c>
      <c r="BF1018" s="624">
        <v>39707</v>
      </c>
      <c r="BG1018" s="355">
        <v>2.1308000000000001E-2</v>
      </c>
      <c r="BH1018" s="624">
        <v>39679</v>
      </c>
      <c r="BI1018" s="355">
        <v>0.108755</v>
      </c>
      <c r="BJ1018" s="624">
        <v>39679</v>
      </c>
      <c r="BK1018" s="355">
        <v>2.9343000000000001E-2</v>
      </c>
    </row>
    <row r="1019" spans="3:63" x14ac:dyDescent="0.15">
      <c r="C1019" s="624"/>
      <c r="D1019" s="355">
        <v>4.1169999999999998E-2</v>
      </c>
      <c r="AV1019" s="624"/>
      <c r="AX1019" s="624">
        <v>39682</v>
      </c>
      <c r="AY1019" s="355">
        <v>4.1009999999999998E-2</v>
      </c>
      <c r="AZ1019" s="624">
        <v>39749</v>
      </c>
      <c r="BA1019" s="355">
        <v>1.4999999999999999E-2</v>
      </c>
      <c r="BB1019" s="624">
        <v>39680</v>
      </c>
      <c r="BC1019" s="355">
        <v>0.4446</v>
      </c>
      <c r="BD1019" s="624">
        <v>39681</v>
      </c>
      <c r="BE1019" s="355">
        <v>9.4979999999999995E-2</v>
      </c>
      <c r="BF1019" s="624">
        <v>39708</v>
      </c>
      <c r="BG1019" s="355">
        <v>2.1572999999999998E-2</v>
      </c>
      <c r="BH1019" s="624">
        <v>39680</v>
      </c>
      <c r="BI1019" s="355">
        <v>0.109176</v>
      </c>
      <c r="BJ1019" s="624">
        <v>39680</v>
      </c>
      <c r="BK1019" s="355">
        <v>2.93E-2</v>
      </c>
    </row>
    <row r="1020" spans="3:63" x14ac:dyDescent="0.15">
      <c r="C1020" s="624"/>
      <c r="D1020" s="355">
        <v>4.1009999999999998E-2</v>
      </c>
      <c r="AV1020" s="624"/>
      <c r="AX1020" s="624">
        <v>39685</v>
      </c>
      <c r="AY1020" s="355">
        <v>4.0919999999999998E-2</v>
      </c>
      <c r="AZ1020" s="624">
        <v>39750</v>
      </c>
      <c r="BA1020" s="355">
        <v>1.5299999999999999E-2</v>
      </c>
      <c r="BB1020" s="624">
        <v>39681</v>
      </c>
      <c r="BC1020" s="355">
        <v>0.45229999999999998</v>
      </c>
      <c r="BD1020" s="624">
        <v>39682</v>
      </c>
      <c r="BE1020" s="355">
        <v>9.4100000000000003E-2</v>
      </c>
      <c r="BF1020" s="624">
        <v>39709</v>
      </c>
      <c r="BG1020" s="355">
        <v>2.1503999999999999E-2</v>
      </c>
      <c r="BH1020" s="624">
        <v>39681</v>
      </c>
      <c r="BI1020" s="355">
        <v>0.109111</v>
      </c>
      <c r="BJ1020" s="624">
        <v>39681</v>
      </c>
      <c r="BK1020" s="355">
        <v>2.9472999999999999E-2</v>
      </c>
    </row>
    <row r="1021" spans="3:63" x14ac:dyDescent="0.15">
      <c r="C1021" s="624"/>
      <c r="D1021" s="355">
        <v>4.0919999999999998E-2</v>
      </c>
      <c r="AV1021" s="624"/>
      <c r="AX1021" s="624">
        <v>39686</v>
      </c>
      <c r="AY1021" s="355">
        <v>4.0550000000000003E-2</v>
      </c>
      <c r="AZ1021" s="624">
        <v>39751</v>
      </c>
      <c r="BA1021" s="355">
        <v>1.52E-2</v>
      </c>
      <c r="BB1021" s="624">
        <v>39682</v>
      </c>
      <c r="BC1021" s="355">
        <v>0.44840000000000002</v>
      </c>
      <c r="BD1021" s="624">
        <v>39685</v>
      </c>
      <c r="BE1021" s="355">
        <v>9.2689999999999995E-2</v>
      </c>
      <c r="BF1021" s="624">
        <v>39710</v>
      </c>
      <c r="BG1021" s="355">
        <v>2.1817E-2</v>
      </c>
      <c r="BH1021" s="624">
        <v>39682</v>
      </c>
      <c r="BI1021" s="355">
        <v>0.10940900000000001</v>
      </c>
      <c r="BJ1021" s="624">
        <v>39682</v>
      </c>
      <c r="BK1021" s="355">
        <v>2.9446E-2</v>
      </c>
    </row>
    <row r="1022" spans="3:63" x14ac:dyDescent="0.15">
      <c r="C1022" s="624"/>
      <c r="D1022" s="355">
        <v>4.0550000000000003E-2</v>
      </c>
      <c r="AV1022" s="624"/>
      <c r="AX1022" s="624">
        <v>39687</v>
      </c>
      <c r="AY1022" s="355">
        <v>4.0629999999999999E-2</v>
      </c>
      <c r="AZ1022" s="624">
        <v>39752</v>
      </c>
      <c r="BA1022" s="355">
        <v>1.4999999999999999E-2</v>
      </c>
      <c r="BB1022" s="624">
        <v>39685</v>
      </c>
      <c r="BC1022" s="355">
        <v>0.44690000000000002</v>
      </c>
      <c r="BD1022" s="624">
        <v>39686</v>
      </c>
      <c r="BE1022" s="355">
        <v>9.1850000000000001E-2</v>
      </c>
      <c r="BF1022" s="624">
        <v>39713</v>
      </c>
      <c r="BG1022" s="355">
        <v>2.2003000000000002E-2</v>
      </c>
      <c r="BH1022" s="624">
        <v>39685</v>
      </c>
      <c r="BI1022" s="355">
        <v>0.10910499999999999</v>
      </c>
      <c r="BJ1022" s="624">
        <v>39685</v>
      </c>
      <c r="BK1022" s="355">
        <v>2.9326000000000001E-2</v>
      </c>
    </row>
    <row r="1023" spans="3:63" x14ac:dyDescent="0.15">
      <c r="C1023" s="624"/>
      <c r="D1023" s="355">
        <v>4.0629999999999999E-2</v>
      </c>
      <c r="AV1023" s="624"/>
      <c r="AX1023" s="624">
        <v>39688</v>
      </c>
      <c r="AY1023" s="355">
        <v>4.0579999999999998E-2</v>
      </c>
      <c r="AZ1023" s="624">
        <v>39755</v>
      </c>
      <c r="BA1023" s="355">
        <v>1.49E-2</v>
      </c>
      <c r="BB1023" s="624">
        <v>39686</v>
      </c>
      <c r="BC1023" s="355">
        <v>0.44040000000000001</v>
      </c>
      <c r="BD1023" s="624">
        <v>39687</v>
      </c>
      <c r="BE1023" s="355">
        <v>9.2429999999999998E-2</v>
      </c>
      <c r="BF1023" s="624">
        <v>39714</v>
      </c>
      <c r="BG1023" s="355">
        <v>2.1856E-2</v>
      </c>
      <c r="BH1023" s="624">
        <v>39686</v>
      </c>
      <c r="BI1023" s="355">
        <v>0.10886800000000001</v>
      </c>
      <c r="BJ1023" s="624">
        <v>39686</v>
      </c>
      <c r="BK1023" s="355">
        <v>2.9214E-2</v>
      </c>
    </row>
    <row r="1024" spans="3:63" x14ac:dyDescent="0.15">
      <c r="C1024" s="624"/>
      <c r="D1024" s="355">
        <v>4.0579999999999998E-2</v>
      </c>
      <c r="AV1024" s="624"/>
      <c r="AX1024" s="624">
        <v>39689</v>
      </c>
      <c r="AY1024" s="355">
        <v>4.0570000000000002E-2</v>
      </c>
      <c r="AZ1024" s="624">
        <v>39756</v>
      </c>
      <c r="BA1024" s="355">
        <v>1.5299999999999999E-2</v>
      </c>
      <c r="BB1024" s="624">
        <v>39687</v>
      </c>
      <c r="BC1024" s="355">
        <v>0.44109999999999999</v>
      </c>
      <c r="BD1024" s="624">
        <v>39688</v>
      </c>
      <c r="BE1024" s="355">
        <v>9.2329999999999995E-2</v>
      </c>
      <c r="BF1024" s="624">
        <v>39715</v>
      </c>
      <c r="BG1024" s="355">
        <v>2.1760000000000002E-2</v>
      </c>
      <c r="BH1024" s="624">
        <v>39687</v>
      </c>
      <c r="BI1024" s="355">
        <v>0.109111</v>
      </c>
      <c r="BJ1024" s="624">
        <v>39687</v>
      </c>
      <c r="BK1024" s="355">
        <v>2.9350999999999999E-2</v>
      </c>
    </row>
    <row r="1025" spans="3:63" x14ac:dyDescent="0.15">
      <c r="C1025" s="624"/>
      <c r="D1025" s="355">
        <v>4.0570000000000002E-2</v>
      </c>
      <c r="AV1025" s="624"/>
      <c r="AX1025" s="624">
        <v>39692</v>
      </c>
      <c r="AY1025" s="355">
        <v>4.0529999999999997E-2</v>
      </c>
      <c r="AZ1025" s="624">
        <v>39757</v>
      </c>
      <c r="BA1025" s="355">
        <v>1.5100000000000001E-2</v>
      </c>
      <c r="BB1025" s="624">
        <v>39688</v>
      </c>
      <c r="BC1025" s="355">
        <v>0.43830000000000002</v>
      </c>
      <c r="BD1025" s="624">
        <v>39689</v>
      </c>
      <c r="BE1025" s="355">
        <v>9.1800000000000007E-2</v>
      </c>
      <c r="BF1025" s="624">
        <v>39716</v>
      </c>
      <c r="BG1025" s="355">
        <v>2.1642000000000002E-2</v>
      </c>
      <c r="BH1025" s="624">
        <v>39688</v>
      </c>
      <c r="BI1025" s="355">
        <v>0.109296</v>
      </c>
      <c r="BJ1025" s="624">
        <v>39688</v>
      </c>
      <c r="BK1025" s="355">
        <v>2.9326000000000001E-2</v>
      </c>
    </row>
    <row r="1026" spans="3:63" x14ac:dyDescent="0.15">
      <c r="C1026" s="624"/>
      <c r="D1026" s="355">
        <v>4.0529999999999997E-2</v>
      </c>
      <c r="AV1026" s="624"/>
      <c r="AX1026" s="624">
        <v>39693</v>
      </c>
      <c r="AY1026" s="355">
        <v>4.0349999999999997E-2</v>
      </c>
      <c r="AZ1026" s="624">
        <v>39758</v>
      </c>
      <c r="BA1026" s="355">
        <v>1.46E-2</v>
      </c>
      <c r="BB1026" s="624">
        <v>39689</v>
      </c>
      <c r="BC1026" s="355">
        <v>0.44019999999999998</v>
      </c>
      <c r="BD1026" s="624">
        <v>39692</v>
      </c>
      <c r="BE1026" s="355">
        <v>8.9050000000000004E-2</v>
      </c>
      <c r="BF1026" s="624">
        <v>39717</v>
      </c>
      <c r="BG1026" s="355">
        <v>2.1482999999999999E-2</v>
      </c>
      <c r="BH1026" s="624">
        <v>39689</v>
      </c>
      <c r="BI1026" s="355">
        <v>0.10931399999999999</v>
      </c>
      <c r="BJ1026" s="624">
        <v>39689</v>
      </c>
      <c r="BK1026" s="355">
        <v>2.9222999999999999E-2</v>
      </c>
    </row>
    <row r="1027" spans="3:63" x14ac:dyDescent="0.15">
      <c r="C1027" s="624"/>
      <c r="D1027" s="355">
        <v>4.0349999999999997E-2</v>
      </c>
      <c r="AV1027" s="624"/>
      <c r="AX1027" s="624">
        <v>39694</v>
      </c>
      <c r="AY1027" s="355">
        <v>3.9800000000000002E-2</v>
      </c>
      <c r="AZ1027" s="624">
        <v>39759</v>
      </c>
      <c r="BA1027" s="355">
        <v>1.4999999999999999E-2</v>
      </c>
      <c r="BB1027" s="624">
        <v>39692</v>
      </c>
      <c r="BC1027" s="355">
        <v>0.43690000000000001</v>
      </c>
      <c r="BD1027" s="624">
        <v>39693</v>
      </c>
      <c r="BE1027" s="355">
        <v>8.8480000000000003E-2</v>
      </c>
      <c r="BF1027" s="624">
        <v>39720</v>
      </c>
      <c r="BG1027" s="355">
        <v>2.1285999999999999E-2</v>
      </c>
      <c r="BH1027" s="624">
        <v>39692</v>
      </c>
      <c r="BI1027" s="355">
        <v>0.10917</v>
      </c>
      <c r="BJ1027" s="624">
        <v>39692</v>
      </c>
      <c r="BK1027" s="355">
        <v>2.9155E-2</v>
      </c>
    </row>
    <row r="1028" spans="3:63" x14ac:dyDescent="0.15">
      <c r="C1028" s="624"/>
      <c r="D1028" s="355">
        <v>3.9800000000000002E-2</v>
      </c>
      <c r="AV1028" s="624"/>
      <c r="AX1028" s="624">
        <v>39695</v>
      </c>
      <c r="AY1028" s="355">
        <v>3.9289999999999999E-2</v>
      </c>
      <c r="AZ1028" s="624">
        <v>39762</v>
      </c>
      <c r="BA1028" s="355">
        <v>1.4999999999999999E-2</v>
      </c>
      <c r="BB1028" s="624">
        <v>39693</v>
      </c>
      <c r="BC1028" s="355">
        <v>0.43319999999999997</v>
      </c>
      <c r="BD1028" s="624">
        <v>39694</v>
      </c>
      <c r="BE1028" s="355">
        <v>8.7679999999999994E-2</v>
      </c>
      <c r="BF1028" s="624">
        <v>39721</v>
      </c>
      <c r="BG1028" s="355">
        <v>2.1288000000000001E-2</v>
      </c>
      <c r="BH1028" s="624">
        <v>39693</v>
      </c>
      <c r="BI1028" s="355">
        <v>0.10857799999999999</v>
      </c>
      <c r="BJ1028" s="624">
        <v>39693</v>
      </c>
      <c r="BK1028" s="355">
        <v>2.9104000000000001E-2</v>
      </c>
    </row>
    <row r="1029" spans="3:63" x14ac:dyDescent="0.15">
      <c r="C1029" s="624"/>
      <c r="D1029" s="355">
        <v>3.9289999999999999E-2</v>
      </c>
      <c r="AV1029" s="624"/>
      <c r="AX1029" s="624">
        <v>39696</v>
      </c>
      <c r="AY1029" s="355">
        <v>3.9239999999999997E-2</v>
      </c>
      <c r="AZ1029" s="624">
        <v>39763</v>
      </c>
      <c r="BA1029" s="355">
        <v>1.4800000000000001E-2</v>
      </c>
      <c r="BB1029" s="624">
        <v>39694</v>
      </c>
      <c r="BC1029" s="355">
        <v>0.42949999999999999</v>
      </c>
      <c r="BD1029" s="624">
        <v>39695</v>
      </c>
      <c r="BE1029" s="355">
        <v>8.8929999999999995E-2</v>
      </c>
      <c r="BF1029" s="624">
        <v>39722</v>
      </c>
      <c r="BG1029" s="355">
        <v>2.1455999999999999E-2</v>
      </c>
      <c r="BH1029" s="624">
        <v>39694</v>
      </c>
      <c r="BI1029" s="355">
        <v>0.108489</v>
      </c>
      <c r="BJ1029" s="624">
        <v>39694</v>
      </c>
      <c r="BK1029" s="355">
        <v>2.9052999999999999E-2</v>
      </c>
    </row>
    <row r="1030" spans="3:63" x14ac:dyDescent="0.15">
      <c r="C1030" s="624"/>
      <c r="D1030" s="355">
        <v>3.9239999999999997E-2</v>
      </c>
      <c r="AV1030" s="624"/>
      <c r="AX1030" s="624">
        <v>39699</v>
      </c>
      <c r="AY1030" s="355">
        <v>3.916E-2</v>
      </c>
      <c r="AZ1030" s="624">
        <v>39764</v>
      </c>
      <c r="BA1030" s="355">
        <v>1.47E-2</v>
      </c>
      <c r="BB1030" s="624">
        <v>39695</v>
      </c>
      <c r="BC1030" s="355">
        <v>0.41970000000000002</v>
      </c>
      <c r="BD1030" s="624">
        <v>39696</v>
      </c>
      <c r="BE1030" s="355">
        <v>8.9950000000000002E-2</v>
      </c>
      <c r="BF1030" s="624">
        <v>39723</v>
      </c>
      <c r="BG1030" s="355">
        <v>2.1447999999999998E-2</v>
      </c>
      <c r="BH1030" s="624">
        <v>39695</v>
      </c>
      <c r="BI1030" s="355">
        <v>0.106958</v>
      </c>
      <c r="BJ1030" s="624">
        <v>39695</v>
      </c>
      <c r="BK1030" s="355">
        <v>2.9019E-2</v>
      </c>
    </row>
    <row r="1031" spans="3:63" x14ac:dyDescent="0.15">
      <c r="C1031" s="624"/>
      <c r="D1031" s="355">
        <v>3.916E-2</v>
      </c>
      <c r="AV1031" s="624"/>
      <c r="AX1031" s="624">
        <v>39700</v>
      </c>
      <c r="AY1031" s="355">
        <v>3.909E-2</v>
      </c>
      <c r="AZ1031" s="624">
        <v>39765</v>
      </c>
      <c r="BA1031" s="355">
        <v>1.5100000000000001E-2</v>
      </c>
      <c r="BB1031" s="624">
        <v>39696</v>
      </c>
      <c r="BC1031" s="355">
        <v>0.41349999999999998</v>
      </c>
      <c r="BD1031" s="624">
        <v>39699</v>
      </c>
      <c r="BE1031" s="355">
        <v>9.2429999999999998E-2</v>
      </c>
      <c r="BF1031" s="624">
        <v>39724</v>
      </c>
      <c r="BG1031" s="355">
        <v>2.1248E-2</v>
      </c>
      <c r="BH1031" s="624">
        <v>39696</v>
      </c>
      <c r="BI1031" s="355">
        <v>0.106849</v>
      </c>
      <c r="BJ1031" s="624">
        <v>39696</v>
      </c>
      <c r="BK1031" s="355">
        <v>2.8836000000000001E-2</v>
      </c>
    </row>
    <row r="1032" spans="3:63" x14ac:dyDescent="0.15">
      <c r="C1032" s="624"/>
      <c r="D1032" s="355">
        <v>3.909E-2</v>
      </c>
      <c r="AV1032" s="624"/>
      <c r="AX1032" s="624">
        <v>39701</v>
      </c>
      <c r="AY1032" s="355">
        <v>3.8850000000000003E-2</v>
      </c>
      <c r="AZ1032" s="624">
        <v>39766</v>
      </c>
      <c r="BA1032" s="355">
        <v>1.4800000000000001E-2</v>
      </c>
      <c r="BB1032" s="624">
        <v>39699</v>
      </c>
      <c r="BC1032" s="355">
        <v>0.40600000000000003</v>
      </c>
      <c r="BD1032" s="624">
        <v>39700</v>
      </c>
      <c r="BE1032" s="355">
        <v>9.0740000000000001E-2</v>
      </c>
      <c r="BF1032" s="624">
        <v>39727</v>
      </c>
      <c r="BG1032" s="355">
        <v>2.0927000000000001E-2</v>
      </c>
      <c r="BH1032" s="624">
        <v>39699</v>
      </c>
      <c r="BI1032" s="355">
        <v>0.107643</v>
      </c>
      <c r="BJ1032" s="624">
        <v>39699</v>
      </c>
      <c r="BK1032" s="355">
        <v>2.8944000000000001E-2</v>
      </c>
    </row>
    <row r="1033" spans="3:63" x14ac:dyDescent="0.15">
      <c r="C1033" s="624"/>
      <c r="D1033" s="355">
        <v>3.8850000000000003E-2</v>
      </c>
      <c r="AV1033" s="624"/>
      <c r="AX1033" s="624">
        <v>39702</v>
      </c>
      <c r="AY1033" s="355">
        <v>3.884E-2</v>
      </c>
      <c r="AZ1033" s="624">
        <v>39769</v>
      </c>
      <c r="BA1033" s="355">
        <v>1.46E-2</v>
      </c>
      <c r="BB1033" s="624">
        <v>39700</v>
      </c>
      <c r="BC1033" s="355">
        <v>0.40760000000000002</v>
      </c>
      <c r="BD1033" s="624">
        <v>39701</v>
      </c>
      <c r="BE1033" s="355">
        <v>9.1429999999999997E-2</v>
      </c>
      <c r="BF1033" s="624">
        <v>39728</v>
      </c>
      <c r="BG1033" s="355">
        <v>2.0868000000000001E-2</v>
      </c>
      <c r="BH1033" s="624">
        <v>39700</v>
      </c>
      <c r="BI1033" s="355">
        <v>0.107141</v>
      </c>
      <c r="BJ1033" s="624">
        <v>39700</v>
      </c>
      <c r="BK1033" s="355">
        <v>2.8961000000000001E-2</v>
      </c>
    </row>
    <row r="1034" spans="3:63" x14ac:dyDescent="0.15">
      <c r="C1034" s="624"/>
      <c r="D1034" s="355">
        <v>3.884E-2</v>
      </c>
      <c r="AV1034" s="624"/>
      <c r="AX1034" s="624">
        <v>39703</v>
      </c>
      <c r="AY1034" s="355">
        <v>3.916E-2</v>
      </c>
      <c r="AZ1034" s="624">
        <v>39770</v>
      </c>
      <c r="BA1034" s="355">
        <v>1.46E-2</v>
      </c>
      <c r="BB1034" s="624">
        <v>39701</v>
      </c>
      <c r="BC1034" s="355">
        <v>0.41320000000000001</v>
      </c>
      <c r="BD1034" s="624">
        <v>39702</v>
      </c>
      <c r="BE1034" s="355">
        <v>9.0139999999999998E-2</v>
      </c>
      <c r="BF1034" s="624">
        <v>39729</v>
      </c>
      <c r="BG1034" s="355">
        <v>2.0833000000000001E-2</v>
      </c>
      <c r="BH1034" s="624">
        <v>39701</v>
      </c>
      <c r="BI1034" s="355">
        <v>0.107084</v>
      </c>
      <c r="BJ1034" s="624">
        <v>39701</v>
      </c>
      <c r="BK1034" s="355">
        <v>2.8868000000000001E-2</v>
      </c>
    </row>
    <row r="1035" spans="3:63" x14ac:dyDescent="0.15">
      <c r="C1035" s="624"/>
      <c r="D1035" s="355">
        <v>3.916E-2</v>
      </c>
      <c r="AV1035" s="624"/>
      <c r="AX1035" s="624">
        <v>39706</v>
      </c>
      <c r="AY1035" s="355">
        <v>3.9199999999999999E-2</v>
      </c>
      <c r="AZ1035" s="624">
        <v>39771</v>
      </c>
      <c r="BA1035" s="355">
        <v>1.4200000000000001E-2</v>
      </c>
      <c r="BB1035" s="624">
        <v>39702</v>
      </c>
      <c r="BC1035" s="355">
        <v>0.41360000000000002</v>
      </c>
      <c r="BD1035" s="624">
        <v>39703</v>
      </c>
      <c r="BE1035" s="355">
        <v>9.0149999999999994E-2</v>
      </c>
      <c r="BF1035" s="624">
        <v>39731</v>
      </c>
      <c r="BG1035" s="355">
        <v>2.0632999999999999E-2</v>
      </c>
      <c r="BH1035" s="624">
        <v>39702</v>
      </c>
      <c r="BI1035" s="355">
        <v>0.105988</v>
      </c>
      <c r="BJ1035" s="624">
        <v>39702</v>
      </c>
      <c r="BK1035" s="355">
        <v>2.8794E-2</v>
      </c>
    </row>
    <row r="1036" spans="3:63" x14ac:dyDescent="0.15">
      <c r="C1036" s="624"/>
      <c r="D1036" s="355">
        <v>3.9199999999999999E-2</v>
      </c>
      <c r="AV1036" s="624"/>
      <c r="AX1036" s="624">
        <v>39707</v>
      </c>
      <c r="AY1036" s="355">
        <v>3.9039999999999998E-2</v>
      </c>
      <c r="AZ1036" s="624">
        <v>39772</v>
      </c>
      <c r="BA1036" s="355">
        <v>1.41E-2</v>
      </c>
      <c r="BB1036" s="624">
        <v>39703</v>
      </c>
      <c r="BC1036" s="355">
        <v>0.42709999999999998</v>
      </c>
      <c r="BD1036" s="624">
        <v>39706</v>
      </c>
      <c r="BE1036" s="355">
        <v>9.0219999999999995E-2</v>
      </c>
      <c r="BF1036" s="624">
        <v>39734</v>
      </c>
      <c r="BG1036" s="355">
        <v>2.0722000000000001E-2</v>
      </c>
      <c r="BH1036" s="624">
        <v>39703</v>
      </c>
      <c r="BI1036" s="355">
        <v>0.105848</v>
      </c>
      <c r="BJ1036" s="624">
        <v>39703</v>
      </c>
      <c r="BK1036" s="355">
        <v>2.8826999999999998E-2</v>
      </c>
    </row>
    <row r="1037" spans="3:63" x14ac:dyDescent="0.15">
      <c r="C1037" s="624"/>
      <c r="D1037" s="355">
        <v>3.9039999999999998E-2</v>
      </c>
      <c r="AV1037" s="624"/>
      <c r="AX1037" s="624">
        <v>39708</v>
      </c>
      <c r="AY1037" s="355">
        <v>3.9309999999999998E-2</v>
      </c>
      <c r="AZ1037" s="624">
        <v>39773</v>
      </c>
      <c r="BA1037" s="355">
        <v>1.43E-2</v>
      </c>
      <c r="BB1037" s="624">
        <v>39706</v>
      </c>
      <c r="BC1037" s="355">
        <v>0.42380000000000001</v>
      </c>
      <c r="BD1037" s="624">
        <v>39707</v>
      </c>
      <c r="BE1037" s="355">
        <v>8.6860000000000007E-2</v>
      </c>
      <c r="BF1037" s="624">
        <v>39735</v>
      </c>
      <c r="BG1037" s="355">
        <v>2.0799000000000002E-2</v>
      </c>
      <c r="BH1037" s="624">
        <v>39706</v>
      </c>
      <c r="BI1037" s="355">
        <v>0.105694</v>
      </c>
      <c r="BJ1037" s="624">
        <v>39706</v>
      </c>
      <c r="BK1037" s="355">
        <v>2.8965000000000001E-2</v>
      </c>
    </row>
    <row r="1038" spans="3:63" x14ac:dyDescent="0.15">
      <c r="C1038" s="624"/>
      <c r="D1038" s="355">
        <v>3.9309999999999998E-2</v>
      </c>
      <c r="AV1038" s="624"/>
      <c r="AX1038" s="624">
        <v>39709</v>
      </c>
      <c r="AY1038" s="355">
        <v>3.9350000000000003E-2</v>
      </c>
      <c r="AZ1038" s="624">
        <v>39776</v>
      </c>
      <c r="BA1038" s="355">
        <v>1.46E-2</v>
      </c>
      <c r="BB1038" s="624">
        <v>39707</v>
      </c>
      <c r="BC1038" s="355">
        <v>0.4244</v>
      </c>
      <c r="BD1038" s="624">
        <v>39708</v>
      </c>
      <c r="BE1038" s="355">
        <v>8.8870000000000005E-2</v>
      </c>
      <c r="BF1038" s="624">
        <v>39736</v>
      </c>
      <c r="BG1038" s="355">
        <v>2.061E-2</v>
      </c>
      <c r="BH1038" s="624">
        <v>39707</v>
      </c>
      <c r="BI1038" s="355">
        <v>0.105764</v>
      </c>
      <c r="BJ1038" s="624">
        <v>39707</v>
      </c>
      <c r="BK1038" s="355">
        <v>2.9194999999999999E-2</v>
      </c>
    </row>
    <row r="1039" spans="3:63" x14ac:dyDescent="0.15">
      <c r="C1039" s="624"/>
      <c r="D1039" s="355">
        <v>3.9350000000000003E-2</v>
      </c>
      <c r="AV1039" s="624"/>
      <c r="AX1039" s="624">
        <v>39710</v>
      </c>
      <c r="AY1039" s="355">
        <v>3.9559999999999998E-2</v>
      </c>
      <c r="AZ1039" s="624">
        <v>39777</v>
      </c>
      <c r="BA1039" s="355">
        <v>1.47E-2</v>
      </c>
      <c r="BB1039" s="624">
        <v>39708</v>
      </c>
      <c r="BC1039" s="355">
        <v>0.42480000000000001</v>
      </c>
      <c r="BD1039" s="624">
        <v>39709</v>
      </c>
      <c r="BE1039" s="355">
        <v>8.6459999999999995E-2</v>
      </c>
      <c r="BF1039" s="624">
        <v>39737</v>
      </c>
      <c r="BG1039" s="355">
        <v>2.0480999999999999E-2</v>
      </c>
      <c r="BH1039" s="624">
        <v>39708</v>
      </c>
      <c r="BI1039" s="355">
        <v>0.10635500000000001</v>
      </c>
      <c r="BJ1039" s="624">
        <v>39708</v>
      </c>
      <c r="BK1039" s="355">
        <v>2.9190000000000001E-2</v>
      </c>
    </row>
    <row r="1040" spans="3:63" x14ac:dyDescent="0.15">
      <c r="C1040" s="624"/>
      <c r="D1040" s="355">
        <v>3.9559999999999998E-2</v>
      </c>
      <c r="AV1040" s="624"/>
      <c r="AX1040" s="624">
        <v>39713</v>
      </c>
      <c r="AY1040" s="355">
        <v>3.9960000000000002E-2</v>
      </c>
      <c r="AZ1040" s="624">
        <v>39778</v>
      </c>
      <c r="BA1040" s="355">
        <v>1.46E-2</v>
      </c>
      <c r="BB1040" s="624">
        <v>39709</v>
      </c>
      <c r="BC1040" s="355">
        <v>0.43219999999999997</v>
      </c>
      <c r="BD1040" s="624">
        <v>39710</v>
      </c>
      <c r="BE1040" s="355">
        <v>8.7870000000000004E-2</v>
      </c>
      <c r="BF1040" s="624">
        <v>39738</v>
      </c>
      <c r="BG1040" s="355">
        <v>2.0455000000000001E-2</v>
      </c>
      <c r="BH1040" s="624">
        <v>39709</v>
      </c>
      <c r="BI1040" s="355">
        <v>0.10627</v>
      </c>
      <c r="BJ1040" s="624">
        <v>39709</v>
      </c>
      <c r="BK1040" s="355">
        <v>2.9288999999999999E-2</v>
      </c>
    </row>
    <row r="1041" spans="3:63" x14ac:dyDescent="0.15">
      <c r="C1041" s="624"/>
      <c r="D1041" s="355">
        <v>3.9960000000000002E-2</v>
      </c>
      <c r="AV1041" s="624"/>
      <c r="AX1041" s="624">
        <v>39714</v>
      </c>
      <c r="AY1041" s="355">
        <v>3.9849999999999997E-2</v>
      </c>
      <c r="AZ1041" s="624">
        <v>39779</v>
      </c>
      <c r="BA1041" s="355">
        <v>1.4500000000000001E-2</v>
      </c>
      <c r="BB1041" s="624">
        <v>39710</v>
      </c>
      <c r="BC1041" s="355">
        <v>0.43959999999999999</v>
      </c>
      <c r="BD1041" s="624">
        <v>39713</v>
      </c>
      <c r="BE1041" s="355">
        <v>8.7660000000000002E-2</v>
      </c>
      <c r="BF1041" s="624">
        <v>39741</v>
      </c>
      <c r="BG1041" s="355">
        <v>2.0407000000000002E-2</v>
      </c>
      <c r="BH1041" s="624">
        <v>39710</v>
      </c>
      <c r="BI1041" s="355">
        <v>0.10674400000000001</v>
      </c>
      <c r="BJ1041" s="624">
        <v>39710</v>
      </c>
      <c r="BK1041" s="355">
        <v>2.9287000000000001E-2</v>
      </c>
    </row>
    <row r="1042" spans="3:63" x14ac:dyDescent="0.15">
      <c r="C1042" s="624"/>
      <c r="D1042" s="355">
        <v>3.9849999999999997E-2</v>
      </c>
      <c r="AV1042" s="624"/>
      <c r="AX1042" s="624">
        <v>39715</v>
      </c>
      <c r="AY1042" s="355">
        <v>3.9949999999999999E-2</v>
      </c>
      <c r="AZ1042" s="624">
        <v>39780</v>
      </c>
      <c r="BA1042" s="355">
        <v>1.41E-2</v>
      </c>
      <c r="BB1042" s="624">
        <v>39713</v>
      </c>
      <c r="BC1042" s="355">
        <v>0.44690000000000002</v>
      </c>
      <c r="BD1042" s="624">
        <v>39714</v>
      </c>
      <c r="BE1042" s="355">
        <v>8.6989999999999998E-2</v>
      </c>
      <c r="BF1042" s="624">
        <v>39742</v>
      </c>
      <c r="BG1042" s="355">
        <v>2.0367E-2</v>
      </c>
      <c r="BH1042" s="624">
        <v>39713</v>
      </c>
      <c r="BI1042" s="355">
        <v>0.10743999999999999</v>
      </c>
      <c r="BJ1042" s="624">
        <v>39713</v>
      </c>
      <c r="BK1042" s="355">
        <v>2.9506999999999999E-2</v>
      </c>
    </row>
    <row r="1043" spans="3:63" x14ac:dyDescent="0.15">
      <c r="C1043" s="624"/>
      <c r="D1043" s="355">
        <v>3.9949999999999999E-2</v>
      </c>
      <c r="AV1043" s="624"/>
      <c r="AX1043" s="624">
        <v>39716</v>
      </c>
      <c r="AY1043" s="355">
        <v>3.993E-2</v>
      </c>
      <c r="AZ1043" s="624">
        <v>39783</v>
      </c>
      <c r="BA1043" s="355">
        <v>1.4E-2</v>
      </c>
      <c r="BB1043" s="624">
        <v>39714</v>
      </c>
      <c r="BC1043" s="355">
        <v>0.4425</v>
      </c>
      <c r="BD1043" s="624">
        <v>39715</v>
      </c>
      <c r="BE1043" s="355">
        <v>8.6599999999999996E-2</v>
      </c>
      <c r="BF1043" s="624">
        <v>39743</v>
      </c>
      <c r="BG1043" s="355">
        <v>2.0271999999999998E-2</v>
      </c>
      <c r="BH1043" s="624">
        <v>39714</v>
      </c>
      <c r="BI1043" s="355">
        <v>0.107267</v>
      </c>
      <c r="BJ1043" s="624">
        <v>39714</v>
      </c>
      <c r="BK1043" s="355">
        <v>2.9599E-2</v>
      </c>
    </row>
    <row r="1044" spans="3:63" x14ac:dyDescent="0.15">
      <c r="C1044" s="624"/>
      <c r="D1044" s="355">
        <v>3.993E-2</v>
      </c>
      <c r="AV1044" s="624"/>
      <c r="AX1044" s="624">
        <v>39717</v>
      </c>
      <c r="AY1044" s="355">
        <v>3.9940000000000003E-2</v>
      </c>
      <c r="AZ1044" s="624">
        <v>39784</v>
      </c>
      <c r="BA1044" s="355">
        <v>1.4E-2</v>
      </c>
      <c r="BB1044" s="624">
        <v>39715</v>
      </c>
      <c r="BC1044" s="355">
        <v>0.43830000000000002</v>
      </c>
      <c r="BD1044" s="624">
        <v>39716</v>
      </c>
      <c r="BE1044" s="355">
        <v>8.6239999999999997E-2</v>
      </c>
      <c r="BF1044" s="624">
        <v>39744</v>
      </c>
      <c r="BG1044" s="355">
        <v>2.0072E-2</v>
      </c>
      <c r="BH1044" s="624">
        <v>39715</v>
      </c>
      <c r="BI1044" s="355">
        <v>0.107003</v>
      </c>
      <c r="BJ1044" s="624">
        <v>39715</v>
      </c>
      <c r="BK1044" s="355">
        <v>2.9437999999999999E-2</v>
      </c>
    </row>
    <row r="1045" spans="3:63" x14ac:dyDescent="0.15">
      <c r="C1045" s="624"/>
      <c r="D1045" s="355">
        <v>3.9940000000000003E-2</v>
      </c>
      <c r="AV1045" s="624"/>
      <c r="AX1045" s="624">
        <v>39720</v>
      </c>
      <c r="AY1045" s="355">
        <v>3.9510000000000003E-2</v>
      </c>
      <c r="AZ1045" s="624">
        <v>39785</v>
      </c>
      <c r="BA1045" s="355">
        <v>1.3899999999999999E-2</v>
      </c>
      <c r="BB1045" s="624">
        <v>39716</v>
      </c>
      <c r="BC1045" s="355">
        <v>0.43790000000000001</v>
      </c>
      <c r="BD1045" s="624">
        <v>39717</v>
      </c>
      <c r="BE1045" s="355">
        <v>8.5849999999999996E-2</v>
      </c>
      <c r="BF1045" s="624">
        <v>39745</v>
      </c>
      <c r="BG1045" s="355">
        <v>2.0008000000000001E-2</v>
      </c>
      <c r="BH1045" s="624">
        <v>39716</v>
      </c>
      <c r="BI1045" s="355">
        <v>0.106652</v>
      </c>
      <c r="BJ1045" s="624">
        <v>39716</v>
      </c>
      <c r="BK1045" s="355">
        <v>2.9464000000000001E-2</v>
      </c>
    </row>
    <row r="1046" spans="3:63" x14ac:dyDescent="0.15">
      <c r="C1046" s="624"/>
      <c r="D1046" s="355">
        <v>3.9510000000000003E-2</v>
      </c>
      <c r="AV1046" s="624"/>
      <c r="AX1046" s="624">
        <v>39721</v>
      </c>
      <c r="AY1046" s="355">
        <v>3.8989999999999997E-2</v>
      </c>
      <c r="AZ1046" s="624">
        <v>39786</v>
      </c>
      <c r="BA1046" s="355">
        <v>1.4500000000000001E-2</v>
      </c>
      <c r="BB1046" s="624">
        <v>39717</v>
      </c>
      <c r="BC1046" s="355">
        <v>0.43469999999999998</v>
      </c>
      <c r="BD1046" s="624">
        <v>39720</v>
      </c>
      <c r="BE1046" s="355">
        <v>8.4190000000000001E-2</v>
      </c>
      <c r="BF1046" s="624">
        <v>39748</v>
      </c>
      <c r="BG1046" s="355">
        <v>2.0059E-2</v>
      </c>
      <c r="BH1046" s="624">
        <v>39717</v>
      </c>
      <c r="BI1046" s="355">
        <v>0.106581</v>
      </c>
      <c r="BJ1046" s="624">
        <v>39717</v>
      </c>
      <c r="BK1046" s="355">
        <v>2.9499000000000001E-2</v>
      </c>
    </row>
    <row r="1047" spans="3:63" x14ac:dyDescent="0.15">
      <c r="C1047" s="624"/>
      <c r="D1047" s="355">
        <v>3.8989999999999997E-2</v>
      </c>
      <c r="AV1047" s="624"/>
      <c r="AX1047" s="624">
        <v>39722</v>
      </c>
      <c r="AY1047" s="355">
        <v>3.8859999999999999E-2</v>
      </c>
      <c r="AZ1047" s="624">
        <v>39787</v>
      </c>
      <c r="BA1047" s="355">
        <v>1.47E-2</v>
      </c>
      <c r="BB1047" s="624">
        <v>39720</v>
      </c>
      <c r="BC1047" s="355">
        <v>0.42480000000000001</v>
      </c>
      <c r="BD1047" s="624">
        <v>39721</v>
      </c>
      <c r="BE1047" s="355">
        <v>8.43E-2</v>
      </c>
      <c r="BF1047" s="624">
        <v>39749</v>
      </c>
      <c r="BG1047" s="355">
        <v>2.0039999999999999E-2</v>
      </c>
      <c r="BH1047" s="624">
        <v>39720</v>
      </c>
      <c r="BI1047" s="355">
        <v>0.105809</v>
      </c>
      <c r="BJ1047" s="624">
        <v>39720</v>
      </c>
      <c r="BK1047" s="355">
        <v>2.9395000000000001E-2</v>
      </c>
    </row>
    <row r="1048" spans="3:63" x14ac:dyDescent="0.15">
      <c r="C1048" s="624"/>
      <c r="D1048" s="355">
        <v>3.8859999999999999E-2</v>
      </c>
      <c r="AV1048" s="624"/>
      <c r="AX1048" s="624">
        <v>39723</v>
      </c>
      <c r="AY1048" s="355">
        <v>3.857E-2</v>
      </c>
      <c r="AZ1048" s="624">
        <v>39790</v>
      </c>
      <c r="BA1048" s="355">
        <v>1.54E-2</v>
      </c>
      <c r="BB1048" s="624">
        <v>39721</v>
      </c>
      <c r="BC1048" s="355">
        <v>0.41499999999999998</v>
      </c>
      <c r="BD1048" s="624">
        <v>39722</v>
      </c>
      <c r="BE1048" s="355">
        <v>8.4099999999999994E-2</v>
      </c>
      <c r="BF1048" s="624">
        <v>39750</v>
      </c>
      <c r="BG1048" s="355">
        <v>2.0122999999999999E-2</v>
      </c>
      <c r="BH1048" s="624">
        <v>39721</v>
      </c>
      <c r="BI1048" s="355">
        <v>0.105253</v>
      </c>
      <c r="BJ1048" s="624">
        <v>39721</v>
      </c>
      <c r="BK1048" s="355">
        <v>2.9536E-2</v>
      </c>
    </row>
    <row r="1049" spans="3:63" x14ac:dyDescent="0.15">
      <c r="C1049" s="624"/>
      <c r="D1049" s="355">
        <v>3.857E-2</v>
      </c>
      <c r="AV1049" s="624"/>
      <c r="AX1049" s="624">
        <v>39724</v>
      </c>
      <c r="AY1049" s="355">
        <v>3.85E-2</v>
      </c>
      <c r="AZ1049" s="624">
        <v>39791</v>
      </c>
      <c r="BA1049" s="355">
        <v>1.5299999999999999E-2</v>
      </c>
      <c r="BB1049" s="624">
        <v>39722</v>
      </c>
      <c r="BC1049" s="355">
        <v>0.41220000000000001</v>
      </c>
      <c r="BD1049" s="624">
        <v>39723</v>
      </c>
      <c r="BE1049" s="355">
        <v>8.1769999999999995E-2</v>
      </c>
      <c r="BF1049" s="624">
        <v>39751</v>
      </c>
      <c r="BG1049" s="355">
        <v>2.0240999999999999E-2</v>
      </c>
      <c r="BH1049" s="624">
        <v>39723</v>
      </c>
      <c r="BI1049" s="355">
        <v>0.106101</v>
      </c>
      <c r="BJ1049" s="624">
        <v>39722</v>
      </c>
      <c r="BK1049" s="355">
        <v>2.9420000000000002E-2</v>
      </c>
    </row>
    <row r="1050" spans="3:63" x14ac:dyDescent="0.15">
      <c r="C1050" s="624"/>
      <c r="D1050" s="355">
        <v>3.85E-2</v>
      </c>
      <c r="AV1050" s="624"/>
      <c r="AX1050" s="624">
        <v>39727</v>
      </c>
      <c r="AY1050" s="355">
        <v>3.807E-2</v>
      </c>
      <c r="AZ1050" s="624">
        <v>39792</v>
      </c>
      <c r="BA1050" s="355">
        <v>1.54E-2</v>
      </c>
      <c r="BB1050" s="624">
        <v>39723</v>
      </c>
      <c r="BC1050" s="355">
        <v>0.40289999999999998</v>
      </c>
      <c r="BD1050" s="624">
        <v>39724</v>
      </c>
      <c r="BE1050" s="355">
        <v>8.1720000000000001E-2</v>
      </c>
      <c r="BF1050" s="624">
        <v>39752</v>
      </c>
      <c r="BG1050" s="355">
        <v>2.0222E-2</v>
      </c>
      <c r="BH1050" s="624">
        <v>39724</v>
      </c>
      <c r="BI1050" s="355">
        <v>0.106101</v>
      </c>
      <c r="BJ1050" s="624">
        <v>39723</v>
      </c>
      <c r="BK1050" s="355">
        <v>2.9333999999999999E-2</v>
      </c>
    </row>
    <row r="1051" spans="3:63" x14ac:dyDescent="0.15">
      <c r="C1051" s="624"/>
      <c r="D1051" s="355">
        <v>3.807E-2</v>
      </c>
      <c r="AV1051" s="624"/>
      <c r="AX1051" s="624">
        <v>39728</v>
      </c>
      <c r="AY1051" s="355">
        <v>3.8210000000000001E-2</v>
      </c>
      <c r="AZ1051" s="624">
        <v>39793</v>
      </c>
      <c r="BA1051" s="355">
        <v>1.54E-2</v>
      </c>
      <c r="BB1051" s="624">
        <v>39724</v>
      </c>
      <c r="BC1051" s="355">
        <v>0.40479999999999999</v>
      </c>
      <c r="BD1051" s="624">
        <v>39727</v>
      </c>
      <c r="BE1051" s="355">
        <v>7.911E-2</v>
      </c>
      <c r="BF1051" s="624">
        <v>39755</v>
      </c>
      <c r="BG1051" s="355">
        <v>2.0555E-2</v>
      </c>
      <c r="BH1051" s="624">
        <v>39727</v>
      </c>
      <c r="BI1051" s="355">
        <v>0.104186</v>
      </c>
      <c r="BJ1051" s="624">
        <v>39724</v>
      </c>
      <c r="BK1051" s="355">
        <v>2.9288999999999999E-2</v>
      </c>
    </row>
    <row r="1052" spans="3:63" x14ac:dyDescent="0.15">
      <c r="C1052" s="624"/>
      <c r="D1052" s="355">
        <v>3.8210000000000001E-2</v>
      </c>
      <c r="AV1052" s="624"/>
      <c r="AX1052" s="624">
        <v>39729</v>
      </c>
      <c r="AY1052" s="355">
        <v>3.8300000000000001E-2</v>
      </c>
      <c r="AZ1052" s="624">
        <v>39794</v>
      </c>
      <c r="BA1052" s="355">
        <v>1.52E-2</v>
      </c>
      <c r="BB1052" s="624">
        <v>39727</v>
      </c>
      <c r="BC1052" s="355">
        <v>0.3911</v>
      </c>
      <c r="BD1052" s="624">
        <v>39728</v>
      </c>
      <c r="BE1052" s="355">
        <v>7.5039999999999996E-2</v>
      </c>
      <c r="BF1052" s="624">
        <v>39756</v>
      </c>
      <c r="BG1052" s="355">
        <v>2.0971E-2</v>
      </c>
      <c r="BH1052" s="624">
        <v>39728</v>
      </c>
      <c r="BI1052" s="355">
        <v>0.104562</v>
      </c>
      <c r="BJ1052" s="624">
        <v>39727</v>
      </c>
      <c r="BK1052" s="355">
        <v>2.9045000000000001E-2</v>
      </c>
    </row>
    <row r="1053" spans="3:63" x14ac:dyDescent="0.15">
      <c r="C1053" s="624"/>
      <c r="D1053" s="355">
        <v>3.8300000000000001E-2</v>
      </c>
      <c r="AV1053" s="624"/>
      <c r="AX1053" s="624">
        <v>39730</v>
      </c>
      <c r="AY1053" s="355">
        <v>3.8249999999999999E-2</v>
      </c>
      <c r="AZ1053" s="624">
        <v>39797</v>
      </c>
      <c r="BA1053" s="355">
        <v>1.5800000000000002E-2</v>
      </c>
      <c r="BB1053" s="624">
        <v>39728</v>
      </c>
      <c r="BC1053" s="355">
        <v>0.39550000000000002</v>
      </c>
      <c r="BD1053" s="624">
        <v>39729</v>
      </c>
      <c r="BE1053" s="355">
        <v>7.1749999999999994E-2</v>
      </c>
      <c r="BF1053" s="624">
        <v>39757</v>
      </c>
      <c r="BG1053" s="355">
        <v>2.1075E-2</v>
      </c>
      <c r="BH1053" s="624">
        <v>39729</v>
      </c>
      <c r="BI1053" s="355">
        <v>0.10427500000000001</v>
      </c>
      <c r="BJ1053" s="624">
        <v>39728</v>
      </c>
      <c r="BK1053" s="355">
        <v>2.9019E-2</v>
      </c>
    </row>
    <row r="1054" spans="3:63" x14ac:dyDescent="0.15">
      <c r="C1054" s="624"/>
      <c r="D1054" s="355">
        <v>3.8249999999999999E-2</v>
      </c>
      <c r="AV1054" s="624"/>
      <c r="AX1054" s="624">
        <v>39731</v>
      </c>
      <c r="AY1054" s="355">
        <v>3.8150000000000003E-2</v>
      </c>
      <c r="AZ1054" s="624">
        <v>39798</v>
      </c>
      <c r="BA1054" s="355">
        <v>1.6299999999999999E-2</v>
      </c>
      <c r="BB1054" s="624">
        <v>39729</v>
      </c>
      <c r="BC1054" s="355">
        <v>0.39489999999999997</v>
      </c>
      <c r="BD1054" s="624">
        <v>39730</v>
      </c>
      <c r="BE1054" s="355">
        <v>7.2510000000000005E-2</v>
      </c>
      <c r="BF1054" s="624">
        <v>39758</v>
      </c>
      <c r="BG1054" s="355">
        <v>2.0948999999999999E-2</v>
      </c>
      <c r="BH1054" s="624">
        <v>39730</v>
      </c>
      <c r="BI1054" s="355">
        <v>0.103951</v>
      </c>
      <c r="BJ1054" s="624">
        <v>39729</v>
      </c>
      <c r="BK1054" s="355">
        <v>2.9121000000000001E-2</v>
      </c>
    </row>
    <row r="1055" spans="3:63" x14ac:dyDescent="0.15">
      <c r="C1055" s="624"/>
      <c r="D1055" s="355">
        <v>3.8150000000000003E-2</v>
      </c>
      <c r="AV1055" s="624"/>
      <c r="AX1055" s="624">
        <v>39734</v>
      </c>
      <c r="AY1055" s="355">
        <v>3.8179999999999999E-2</v>
      </c>
      <c r="AZ1055" s="624">
        <v>39799</v>
      </c>
      <c r="BA1055" s="355">
        <v>1.6799999999999999E-2</v>
      </c>
      <c r="BB1055" s="624">
        <v>39730</v>
      </c>
      <c r="BC1055" s="355">
        <v>0.37940000000000002</v>
      </c>
      <c r="BD1055" s="624">
        <v>39731</v>
      </c>
      <c r="BE1055" s="355">
        <v>7.6520000000000005E-2</v>
      </c>
      <c r="BF1055" s="624">
        <v>39759</v>
      </c>
      <c r="BG1055" s="355">
        <v>2.0924999999999999E-2</v>
      </c>
      <c r="BH1055" s="624">
        <v>39731</v>
      </c>
      <c r="BI1055" s="355">
        <v>0.101369</v>
      </c>
      <c r="BJ1055" s="624">
        <v>39730</v>
      </c>
      <c r="BK1055" s="355">
        <v>2.9111999999999999E-2</v>
      </c>
    </row>
    <row r="1056" spans="3:63" x14ac:dyDescent="0.15">
      <c r="C1056" s="624"/>
      <c r="D1056" s="355">
        <v>3.8179999999999999E-2</v>
      </c>
      <c r="AV1056" s="624"/>
      <c r="AX1056" s="624">
        <v>39735</v>
      </c>
      <c r="AY1056" s="355">
        <v>3.8260000000000002E-2</v>
      </c>
      <c r="AZ1056" s="624">
        <v>39800</v>
      </c>
      <c r="BA1056" s="355">
        <v>1.6500000000000001E-2</v>
      </c>
      <c r="BB1056" s="624">
        <v>39731</v>
      </c>
      <c r="BC1056" s="355">
        <v>0.37469999999999998</v>
      </c>
      <c r="BD1056" s="624">
        <v>39734</v>
      </c>
      <c r="BE1056" s="355">
        <v>8.2170000000000007E-2</v>
      </c>
      <c r="BF1056" s="624">
        <v>39762</v>
      </c>
      <c r="BG1056" s="355">
        <v>2.111E-2</v>
      </c>
      <c r="BH1056" s="624">
        <v>39734</v>
      </c>
      <c r="BI1056" s="355">
        <v>0.10308199999999999</v>
      </c>
      <c r="BJ1056" s="624">
        <v>39731</v>
      </c>
      <c r="BK1056" s="355">
        <v>2.9121000000000001E-2</v>
      </c>
    </row>
    <row r="1057" spans="3:63" x14ac:dyDescent="0.15">
      <c r="C1057" s="624"/>
      <c r="D1057" s="355">
        <v>3.8260000000000002E-2</v>
      </c>
      <c r="AV1057" s="624"/>
      <c r="AX1057" s="624">
        <v>39736</v>
      </c>
      <c r="AY1057" s="355">
        <v>3.8089999999999999E-2</v>
      </c>
      <c r="AZ1057" s="624">
        <v>39801</v>
      </c>
      <c r="BA1057" s="355">
        <v>1.6199999999999999E-2</v>
      </c>
      <c r="BB1057" s="624">
        <v>39734</v>
      </c>
      <c r="BC1057" s="355">
        <v>0.38419999999999999</v>
      </c>
      <c r="BD1057" s="624">
        <v>39735</v>
      </c>
      <c r="BE1057" s="355">
        <v>8.3909999999999998E-2</v>
      </c>
      <c r="BF1057" s="624">
        <v>39763</v>
      </c>
      <c r="BG1057" s="355">
        <v>2.0777E-2</v>
      </c>
      <c r="BH1057" s="624">
        <v>39735</v>
      </c>
      <c r="BI1057" s="355">
        <v>0.102093</v>
      </c>
      <c r="BJ1057" s="624">
        <v>39734</v>
      </c>
      <c r="BK1057" s="355">
        <v>2.9205999999999999E-2</v>
      </c>
    </row>
    <row r="1058" spans="3:63" x14ac:dyDescent="0.15">
      <c r="C1058" s="624"/>
      <c r="D1058" s="355">
        <v>3.8089999999999999E-2</v>
      </c>
      <c r="AV1058" s="624"/>
      <c r="AX1058" s="624">
        <v>39737</v>
      </c>
      <c r="AY1058" s="355">
        <v>3.8019999999999998E-2</v>
      </c>
      <c r="AZ1058" s="624">
        <v>39804</v>
      </c>
      <c r="BA1058" s="355">
        <v>1.6299999999999999E-2</v>
      </c>
      <c r="BB1058" s="624">
        <v>39735</v>
      </c>
      <c r="BC1058" s="355">
        <v>0.39200000000000002</v>
      </c>
      <c r="BD1058" s="624">
        <v>39736</v>
      </c>
      <c r="BE1058" s="355">
        <v>8.0549999999999997E-2</v>
      </c>
      <c r="BF1058" s="624">
        <v>39764</v>
      </c>
      <c r="BG1058" s="355">
        <v>2.0298E-2</v>
      </c>
      <c r="BH1058" s="624">
        <v>39736</v>
      </c>
      <c r="BI1058" s="355">
        <v>0.102197</v>
      </c>
      <c r="BJ1058" s="624">
        <v>39735</v>
      </c>
      <c r="BK1058" s="355">
        <v>2.9368999999999999E-2</v>
      </c>
    </row>
    <row r="1059" spans="3:63" x14ac:dyDescent="0.15">
      <c r="C1059" s="624"/>
      <c r="D1059" s="355">
        <v>3.8019999999999998E-2</v>
      </c>
      <c r="AV1059" s="624"/>
      <c r="AX1059" s="624">
        <v>39738</v>
      </c>
      <c r="AY1059" s="355">
        <v>3.7940000000000002E-2</v>
      </c>
      <c r="AZ1059" s="624">
        <v>39805</v>
      </c>
      <c r="BA1059" s="355">
        <v>1.5900000000000001E-2</v>
      </c>
      <c r="BB1059" s="624">
        <v>39736</v>
      </c>
      <c r="BC1059" s="355">
        <v>0.37380000000000002</v>
      </c>
      <c r="BD1059" s="624">
        <v>39737</v>
      </c>
      <c r="BE1059" s="355">
        <v>7.4359999999999996E-2</v>
      </c>
      <c r="BF1059" s="624">
        <v>39766</v>
      </c>
      <c r="BG1059" s="355">
        <v>2.0417000000000001E-2</v>
      </c>
      <c r="BH1059" s="624">
        <v>39737</v>
      </c>
      <c r="BI1059" s="355">
        <v>0.100921</v>
      </c>
      <c r="BJ1059" s="624">
        <v>39736</v>
      </c>
      <c r="BK1059" s="355">
        <v>2.9256999999999998E-2</v>
      </c>
    </row>
    <row r="1060" spans="3:63" x14ac:dyDescent="0.15">
      <c r="C1060" s="624"/>
      <c r="D1060" s="355">
        <v>3.7940000000000002E-2</v>
      </c>
      <c r="AV1060" s="624"/>
      <c r="AX1060" s="624">
        <v>39741</v>
      </c>
      <c r="AY1060" s="355">
        <v>3.7929999999999998E-2</v>
      </c>
      <c r="AZ1060" s="624">
        <v>39806</v>
      </c>
      <c r="BA1060" s="355">
        <v>1.6E-2</v>
      </c>
      <c r="BB1060" s="624">
        <v>39737</v>
      </c>
      <c r="BC1060" s="355">
        <v>0.37790000000000001</v>
      </c>
      <c r="BD1060" s="624">
        <v>39738</v>
      </c>
      <c r="BE1060" s="355">
        <v>7.7579999999999996E-2</v>
      </c>
      <c r="BF1060" s="624">
        <v>39769</v>
      </c>
      <c r="BG1060" s="355">
        <v>2.0258999999999999E-2</v>
      </c>
      <c r="BH1060" s="624">
        <v>39738</v>
      </c>
      <c r="BI1060" s="355">
        <v>0.102093</v>
      </c>
      <c r="BJ1060" s="624">
        <v>39737</v>
      </c>
      <c r="BK1060" s="355">
        <v>2.9184999999999999E-2</v>
      </c>
    </row>
    <row r="1061" spans="3:63" x14ac:dyDescent="0.15">
      <c r="C1061" s="624"/>
      <c r="D1061" s="355">
        <v>3.7929999999999998E-2</v>
      </c>
      <c r="AV1061" s="624"/>
      <c r="AX1061" s="624">
        <v>39742</v>
      </c>
      <c r="AY1061" s="355">
        <v>3.7440000000000001E-2</v>
      </c>
      <c r="AZ1061" s="624">
        <v>39807</v>
      </c>
      <c r="BA1061" s="355">
        <v>1.5800000000000002E-2</v>
      </c>
      <c r="BB1061" s="624">
        <v>39738</v>
      </c>
      <c r="BC1061" s="355">
        <v>0.37719999999999998</v>
      </c>
      <c r="BD1061" s="624">
        <v>39741</v>
      </c>
      <c r="BE1061" s="355">
        <v>7.6310000000000003E-2</v>
      </c>
      <c r="BF1061" s="624">
        <v>39770</v>
      </c>
      <c r="BG1061" s="355">
        <v>2.0133000000000002E-2</v>
      </c>
      <c r="BH1061" s="624">
        <v>39741</v>
      </c>
      <c r="BI1061" s="355">
        <v>0.10183300000000001</v>
      </c>
      <c r="BJ1061" s="624">
        <v>39738</v>
      </c>
      <c r="BK1061" s="355">
        <v>2.9231E-2</v>
      </c>
    </row>
    <row r="1062" spans="3:63" x14ac:dyDescent="0.15">
      <c r="C1062" s="624"/>
      <c r="D1062" s="355">
        <v>3.7440000000000001E-2</v>
      </c>
      <c r="AV1062" s="624"/>
      <c r="AX1062" s="624">
        <v>39743</v>
      </c>
      <c r="AY1062" s="355">
        <v>3.7130000000000003E-2</v>
      </c>
      <c r="AZ1062" s="624">
        <v>39808</v>
      </c>
      <c r="BA1062" s="355">
        <v>1.6E-2</v>
      </c>
      <c r="BB1062" s="624">
        <v>39741</v>
      </c>
      <c r="BC1062" s="355">
        <v>0.37290000000000001</v>
      </c>
      <c r="BD1062" s="624">
        <v>39742</v>
      </c>
      <c r="BE1062" s="355">
        <v>7.3270000000000002E-2</v>
      </c>
      <c r="BF1062" s="624">
        <v>39771</v>
      </c>
      <c r="BG1062" s="355">
        <v>1.9996E-2</v>
      </c>
      <c r="BH1062" s="624">
        <v>39742</v>
      </c>
      <c r="BI1062" s="355">
        <v>9.9651000000000003E-2</v>
      </c>
      <c r="BJ1062" s="624">
        <v>39741</v>
      </c>
      <c r="BK1062" s="355">
        <v>2.9163000000000001E-2</v>
      </c>
    </row>
    <row r="1063" spans="3:63" x14ac:dyDescent="0.15">
      <c r="C1063" s="624"/>
      <c r="D1063" s="355">
        <v>3.7130000000000003E-2</v>
      </c>
      <c r="AV1063" s="624"/>
      <c r="AX1063" s="624">
        <v>39744</v>
      </c>
      <c r="AY1063" s="355">
        <v>3.7240000000000002E-2</v>
      </c>
      <c r="AZ1063" s="624">
        <v>39811</v>
      </c>
      <c r="BA1063" s="355">
        <v>1.5599999999999999E-2</v>
      </c>
      <c r="BB1063" s="624">
        <v>39742</v>
      </c>
      <c r="BC1063" s="355">
        <v>0.35449999999999998</v>
      </c>
      <c r="BD1063" s="624">
        <v>39743</v>
      </c>
      <c r="BE1063" s="355">
        <v>6.9400000000000003E-2</v>
      </c>
      <c r="BF1063" s="624">
        <v>39772</v>
      </c>
      <c r="BG1063" s="355">
        <v>1.992E-2</v>
      </c>
      <c r="BH1063" s="624">
        <v>39743</v>
      </c>
      <c r="BI1063" s="355">
        <v>9.9709000000000006E-2</v>
      </c>
      <c r="BJ1063" s="624">
        <v>39742</v>
      </c>
      <c r="BK1063" s="355">
        <v>2.9096E-2</v>
      </c>
    </row>
    <row r="1064" spans="3:63" x14ac:dyDescent="0.15">
      <c r="C1064" s="624"/>
      <c r="D1064" s="355">
        <v>3.7240000000000002E-2</v>
      </c>
      <c r="AV1064" s="624"/>
      <c r="AX1064" s="624">
        <v>39745</v>
      </c>
      <c r="AY1064" s="355">
        <v>3.6769999999999997E-2</v>
      </c>
      <c r="AZ1064" s="624">
        <v>39812</v>
      </c>
      <c r="BA1064" s="355">
        <v>1.5699999999999999E-2</v>
      </c>
      <c r="BB1064" s="624">
        <v>39743</v>
      </c>
      <c r="BC1064" s="355">
        <v>0.33800000000000002</v>
      </c>
      <c r="BD1064" s="624">
        <v>39744</v>
      </c>
      <c r="BE1064" s="355">
        <v>7.1249999999999994E-2</v>
      </c>
      <c r="BF1064" s="624">
        <v>39773</v>
      </c>
      <c r="BG1064" s="355">
        <v>1.9976000000000001E-2</v>
      </c>
      <c r="BH1064" s="624">
        <v>39744</v>
      </c>
      <c r="BI1064" s="355">
        <v>9.98E-2</v>
      </c>
      <c r="BJ1064" s="624">
        <v>39743</v>
      </c>
      <c r="BK1064" s="355">
        <v>2.9010999999999999E-2</v>
      </c>
    </row>
    <row r="1065" spans="3:63" x14ac:dyDescent="0.15">
      <c r="C1065" s="624"/>
      <c r="D1065" s="355">
        <v>3.6769999999999997E-2</v>
      </c>
      <c r="AV1065" s="624"/>
      <c r="AX1065" s="624">
        <v>39748</v>
      </c>
      <c r="AY1065" s="355">
        <v>3.6580000000000001E-2</v>
      </c>
      <c r="AZ1065" s="624">
        <v>39813</v>
      </c>
      <c r="BA1065" s="355">
        <v>1.5599999999999999E-2</v>
      </c>
      <c r="BB1065" s="624">
        <v>39744</v>
      </c>
      <c r="BC1065" s="355">
        <v>0.33300000000000002</v>
      </c>
      <c r="BD1065" s="624">
        <v>39745</v>
      </c>
      <c r="BE1065" s="355">
        <v>7.0650000000000004E-2</v>
      </c>
      <c r="BF1065" s="624">
        <v>39776</v>
      </c>
      <c r="BG1065" s="355">
        <v>2.001E-2</v>
      </c>
      <c r="BH1065" s="624">
        <v>39745</v>
      </c>
      <c r="BI1065" s="355">
        <v>9.8525000000000001E-2</v>
      </c>
      <c r="BJ1065" s="624">
        <v>39744</v>
      </c>
      <c r="BK1065" s="355">
        <v>2.8955000000000002E-2</v>
      </c>
    </row>
    <row r="1066" spans="3:63" x14ac:dyDescent="0.15">
      <c r="C1066" s="624"/>
      <c r="D1066" s="355">
        <v>3.6580000000000001E-2</v>
      </c>
      <c r="AV1066" s="624"/>
      <c r="AX1066" s="624">
        <v>39749</v>
      </c>
      <c r="AY1066" s="355">
        <v>3.6850000000000001E-2</v>
      </c>
      <c r="AZ1066" s="624">
        <v>39814</v>
      </c>
      <c r="BA1066" s="355">
        <v>1.5599999999999999E-2</v>
      </c>
      <c r="BB1066" s="624">
        <v>39745</v>
      </c>
      <c r="BC1066" s="355">
        <v>0.33110000000000001</v>
      </c>
      <c r="BD1066" s="624">
        <v>39748</v>
      </c>
      <c r="BE1066" s="355">
        <v>6.7949999999999997E-2</v>
      </c>
      <c r="BF1066" s="624">
        <v>39777</v>
      </c>
      <c r="BG1066" s="355">
        <v>2.0028000000000001E-2</v>
      </c>
      <c r="BH1066" s="624">
        <v>39748</v>
      </c>
      <c r="BI1066" s="355">
        <v>9.0763999999999997E-2</v>
      </c>
      <c r="BJ1066" s="624">
        <v>39745</v>
      </c>
      <c r="BK1066" s="355">
        <v>2.8919E-2</v>
      </c>
    </row>
    <row r="1067" spans="3:63" x14ac:dyDescent="0.15">
      <c r="C1067" s="624"/>
      <c r="D1067" s="355">
        <v>3.6850000000000001E-2</v>
      </c>
      <c r="AV1067" s="624"/>
      <c r="AX1067" s="624">
        <v>39750</v>
      </c>
      <c r="AY1067" s="355">
        <v>3.7269999999999998E-2</v>
      </c>
      <c r="AZ1067" s="624">
        <v>39815</v>
      </c>
      <c r="BA1067" s="355">
        <v>1.55E-2</v>
      </c>
      <c r="BB1067" s="624">
        <v>39748</v>
      </c>
      <c r="BC1067" s="355">
        <v>0.3241</v>
      </c>
      <c r="BD1067" s="624">
        <v>39749</v>
      </c>
      <c r="BE1067" s="355">
        <v>7.2120000000000004E-2</v>
      </c>
      <c r="BF1067" s="624">
        <v>39778</v>
      </c>
      <c r="BG1067" s="355">
        <v>2.0208E-2</v>
      </c>
      <c r="BH1067" s="624">
        <v>39749</v>
      </c>
      <c r="BI1067" s="355">
        <v>9.2601000000000003E-2</v>
      </c>
      <c r="BJ1067" s="624">
        <v>39748</v>
      </c>
      <c r="BK1067" s="355">
        <v>2.8753000000000001E-2</v>
      </c>
    </row>
    <row r="1068" spans="3:63" x14ac:dyDescent="0.15">
      <c r="C1068" s="624"/>
      <c r="D1068" s="355">
        <v>3.7269999999999998E-2</v>
      </c>
      <c r="AV1068" s="624"/>
      <c r="AX1068" s="624">
        <v>39751</v>
      </c>
      <c r="AY1068" s="355">
        <v>3.7269999999999998E-2</v>
      </c>
      <c r="AZ1068" s="624">
        <v>39818</v>
      </c>
      <c r="BA1068" s="355">
        <v>1.52E-2</v>
      </c>
      <c r="BB1068" s="624">
        <v>39749</v>
      </c>
      <c r="BC1068" s="355">
        <v>0.34549999999999997</v>
      </c>
      <c r="BD1068" s="624">
        <v>39750</v>
      </c>
      <c r="BE1068" s="355">
        <v>7.1120000000000003E-2</v>
      </c>
      <c r="BF1068" s="624">
        <v>39779</v>
      </c>
      <c r="BG1068" s="355">
        <v>2.0195999999999999E-2</v>
      </c>
      <c r="BH1068" s="624">
        <v>39750</v>
      </c>
      <c r="BI1068" s="355">
        <v>9.1534000000000004E-2</v>
      </c>
      <c r="BJ1068" s="624">
        <v>39749</v>
      </c>
      <c r="BK1068" s="355">
        <v>2.8653999999999999E-2</v>
      </c>
    </row>
    <row r="1069" spans="3:63" x14ac:dyDescent="0.15">
      <c r="C1069" s="624"/>
      <c r="D1069" s="355">
        <v>3.7269999999999998E-2</v>
      </c>
      <c r="AV1069" s="624"/>
      <c r="AX1069" s="624">
        <v>39752</v>
      </c>
      <c r="AY1069" s="355">
        <v>3.6949999999999997E-2</v>
      </c>
      <c r="AZ1069" s="624">
        <v>39819</v>
      </c>
      <c r="BA1069" s="355">
        <v>1.4500000000000001E-2</v>
      </c>
      <c r="BB1069" s="624">
        <v>39750</v>
      </c>
      <c r="BC1069" s="355">
        <v>0.36520000000000002</v>
      </c>
      <c r="BD1069" s="624">
        <v>39751</v>
      </c>
      <c r="BE1069" s="355">
        <v>7.7579999999999996E-2</v>
      </c>
      <c r="BF1069" s="624">
        <v>39780</v>
      </c>
      <c r="BG1069" s="355">
        <v>1.9959999999999999E-2</v>
      </c>
      <c r="BH1069" s="624">
        <v>39751</v>
      </c>
      <c r="BI1069" s="355">
        <v>9.4339999999999993E-2</v>
      </c>
      <c r="BJ1069" s="624">
        <v>39750</v>
      </c>
      <c r="BK1069" s="355">
        <v>2.8667999999999999E-2</v>
      </c>
    </row>
    <row r="1070" spans="3:63" x14ac:dyDescent="0.15">
      <c r="C1070" s="624"/>
      <c r="D1070" s="355">
        <v>3.6949999999999997E-2</v>
      </c>
      <c r="AV1070" s="624"/>
      <c r="AX1070" s="624">
        <v>39755</v>
      </c>
      <c r="AY1070" s="355">
        <v>3.6819999999999999E-2</v>
      </c>
      <c r="AZ1070" s="624">
        <v>39820</v>
      </c>
      <c r="BA1070" s="355">
        <v>1.46E-2</v>
      </c>
      <c r="BB1070" s="624">
        <v>39751</v>
      </c>
      <c r="BC1070" s="355">
        <v>0.35849999999999999</v>
      </c>
      <c r="BD1070" s="624">
        <v>39752</v>
      </c>
      <c r="BE1070" s="355">
        <v>7.4020000000000002E-2</v>
      </c>
      <c r="BF1070" s="624">
        <v>39783</v>
      </c>
      <c r="BG1070" s="355">
        <v>1.9862999999999999E-2</v>
      </c>
      <c r="BH1070" s="624">
        <v>39752</v>
      </c>
      <c r="BI1070" s="355">
        <v>9.1117000000000004E-2</v>
      </c>
      <c r="BJ1070" s="624">
        <v>39751</v>
      </c>
      <c r="BK1070" s="355">
        <v>2.8676E-2</v>
      </c>
    </row>
    <row r="1071" spans="3:63" x14ac:dyDescent="0.15">
      <c r="C1071" s="624"/>
      <c r="D1071" s="355">
        <v>3.6819999999999999E-2</v>
      </c>
      <c r="AV1071" s="624"/>
      <c r="AX1071" s="624">
        <v>39756</v>
      </c>
      <c r="AY1071" s="355">
        <v>3.73E-2</v>
      </c>
      <c r="AZ1071" s="624">
        <v>39821</v>
      </c>
      <c r="BA1071" s="355">
        <v>1.4500000000000001E-2</v>
      </c>
      <c r="BB1071" s="624">
        <v>39752</v>
      </c>
      <c r="BC1071" s="355">
        <v>0.36030000000000001</v>
      </c>
      <c r="BD1071" s="624">
        <v>39755</v>
      </c>
      <c r="BE1071" s="355">
        <v>7.8939999999999996E-2</v>
      </c>
      <c r="BF1071" s="624">
        <v>39784</v>
      </c>
      <c r="BG1071" s="355">
        <v>1.9939999999999999E-2</v>
      </c>
      <c r="BH1071" s="624">
        <v>39755</v>
      </c>
      <c r="BI1071" s="355">
        <v>8.9091000000000004E-2</v>
      </c>
      <c r="BJ1071" s="624">
        <v>39752</v>
      </c>
      <c r="BK1071" s="355">
        <v>2.8523E-2</v>
      </c>
    </row>
    <row r="1072" spans="3:63" x14ac:dyDescent="0.15">
      <c r="C1072" s="624"/>
      <c r="D1072" s="355">
        <v>3.73E-2</v>
      </c>
      <c r="AV1072" s="624"/>
      <c r="AX1072" s="624">
        <v>39757</v>
      </c>
      <c r="AY1072" s="355">
        <v>3.7280000000000001E-2</v>
      </c>
      <c r="AZ1072" s="624">
        <v>39822</v>
      </c>
      <c r="BA1072" s="355">
        <v>1.43E-2</v>
      </c>
      <c r="BB1072" s="624">
        <v>39755</v>
      </c>
      <c r="BC1072" s="355">
        <v>0.35680000000000001</v>
      </c>
      <c r="BD1072" s="624">
        <v>39756</v>
      </c>
      <c r="BE1072" s="355">
        <v>7.9509999999999997E-2</v>
      </c>
      <c r="BF1072" s="624">
        <v>39785</v>
      </c>
      <c r="BG1072" s="355">
        <v>2.0004000000000001E-2</v>
      </c>
      <c r="BH1072" s="624">
        <v>39756</v>
      </c>
      <c r="BI1072" s="355">
        <v>9.2623999999999998E-2</v>
      </c>
      <c r="BJ1072" s="624">
        <v>39755</v>
      </c>
      <c r="BK1072" s="355">
        <v>2.8650999999999999E-2</v>
      </c>
    </row>
    <row r="1073" spans="3:63" x14ac:dyDescent="0.15">
      <c r="C1073" s="624"/>
      <c r="D1073" s="355">
        <v>3.7280000000000001E-2</v>
      </c>
      <c r="AV1073" s="624"/>
      <c r="AX1073" s="624">
        <v>39758</v>
      </c>
      <c r="AY1073" s="355">
        <v>3.6970000000000003E-2</v>
      </c>
      <c r="AZ1073" s="624">
        <v>39825</v>
      </c>
      <c r="BA1073" s="355">
        <v>1.44E-2</v>
      </c>
      <c r="BB1073" s="624">
        <v>39756</v>
      </c>
      <c r="BC1073" s="355">
        <v>0.36890000000000001</v>
      </c>
      <c r="BD1073" s="624">
        <v>39757</v>
      </c>
      <c r="BE1073" s="355">
        <v>7.7280000000000001E-2</v>
      </c>
      <c r="BF1073" s="624">
        <v>39786</v>
      </c>
      <c r="BG1073" s="355">
        <v>2.0077999999999999E-2</v>
      </c>
      <c r="BH1073" s="624">
        <v>39757</v>
      </c>
      <c r="BI1073" s="355">
        <v>9.1012999999999997E-2</v>
      </c>
      <c r="BJ1073" s="624">
        <v>39756</v>
      </c>
      <c r="BK1073" s="355">
        <v>2.8608999999999999E-2</v>
      </c>
    </row>
    <row r="1074" spans="3:63" x14ac:dyDescent="0.15">
      <c r="C1074" s="624"/>
      <c r="D1074" s="355">
        <v>3.6970000000000003E-2</v>
      </c>
      <c r="AV1074" s="624"/>
      <c r="AX1074" s="624">
        <v>39759</v>
      </c>
      <c r="AY1074" s="355">
        <v>3.6999999999999998E-2</v>
      </c>
      <c r="AZ1074" s="624">
        <v>39826</v>
      </c>
      <c r="BA1074" s="355">
        <v>1.43E-2</v>
      </c>
      <c r="BB1074" s="624">
        <v>39757</v>
      </c>
      <c r="BC1074" s="355">
        <v>0.36670000000000003</v>
      </c>
      <c r="BD1074" s="624">
        <v>39758</v>
      </c>
      <c r="BE1074" s="355">
        <v>7.3649999999999993E-2</v>
      </c>
      <c r="BF1074" s="624">
        <v>39787</v>
      </c>
      <c r="BG1074" s="355">
        <v>2.0175999999999999E-2</v>
      </c>
      <c r="BH1074" s="624">
        <v>39758</v>
      </c>
      <c r="BI1074" s="355">
        <v>9.0715000000000004E-2</v>
      </c>
      <c r="BJ1074" s="624">
        <v>39757</v>
      </c>
      <c r="BK1074" s="355">
        <v>2.8570999999999999E-2</v>
      </c>
    </row>
    <row r="1075" spans="3:63" x14ac:dyDescent="0.15">
      <c r="C1075" s="624"/>
      <c r="D1075" s="355">
        <v>3.6999999999999998E-2</v>
      </c>
      <c r="AV1075" s="624"/>
      <c r="AX1075" s="624">
        <v>39762</v>
      </c>
      <c r="AY1075" s="355">
        <v>3.6970000000000003E-2</v>
      </c>
      <c r="AZ1075" s="624">
        <v>39827</v>
      </c>
      <c r="BA1075" s="355">
        <v>1.43E-2</v>
      </c>
      <c r="BB1075" s="624">
        <v>39758</v>
      </c>
      <c r="BC1075" s="355">
        <v>0.3493</v>
      </c>
      <c r="BD1075" s="624">
        <v>39759</v>
      </c>
      <c r="BE1075" s="355">
        <v>7.4889999999999998E-2</v>
      </c>
      <c r="BF1075" s="624">
        <v>39790</v>
      </c>
      <c r="BG1075" s="355">
        <v>2.0168999999999999E-2</v>
      </c>
      <c r="BH1075" s="624">
        <v>39759</v>
      </c>
      <c r="BI1075" s="355">
        <v>9.1744999999999993E-2</v>
      </c>
      <c r="BJ1075" s="624">
        <v>39758</v>
      </c>
      <c r="BK1075" s="355">
        <v>2.8604000000000001E-2</v>
      </c>
    </row>
    <row r="1076" spans="3:63" x14ac:dyDescent="0.15">
      <c r="C1076" s="624"/>
      <c r="D1076" s="355">
        <v>3.6970000000000003E-2</v>
      </c>
      <c r="AV1076" s="624"/>
      <c r="AX1076" s="624">
        <v>39763</v>
      </c>
      <c r="AY1076" s="355">
        <v>3.6260000000000001E-2</v>
      </c>
      <c r="AZ1076" s="624">
        <v>39828</v>
      </c>
      <c r="BA1076" s="355">
        <v>1.4E-2</v>
      </c>
      <c r="BB1076" s="624">
        <v>39759</v>
      </c>
      <c r="BC1076" s="355">
        <v>0.34799999999999998</v>
      </c>
      <c r="BD1076" s="624">
        <v>39762</v>
      </c>
      <c r="BE1076" s="355">
        <v>7.4099999999999999E-2</v>
      </c>
      <c r="BF1076" s="624">
        <v>39792</v>
      </c>
      <c r="BG1076" s="355">
        <v>2.0428999999999999E-2</v>
      </c>
      <c r="BH1076" s="624">
        <v>39762</v>
      </c>
      <c r="BI1076" s="355">
        <v>9.0497999999999995E-2</v>
      </c>
      <c r="BJ1076" s="624">
        <v>39759</v>
      </c>
      <c r="BK1076" s="355">
        <v>2.8635000000000001E-2</v>
      </c>
    </row>
    <row r="1077" spans="3:63" x14ac:dyDescent="0.15">
      <c r="C1077" s="624"/>
      <c r="D1077" s="355">
        <v>3.6260000000000001E-2</v>
      </c>
      <c r="AV1077" s="624"/>
      <c r="AX1077" s="624">
        <v>39764</v>
      </c>
      <c r="AY1077" s="355">
        <v>3.6269999999999997E-2</v>
      </c>
      <c r="AZ1077" s="624">
        <v>39829</v>
      </c>
      <c r="BA1077" s="355">
        <v>1.43E-2</v>
      </c>
      <c r="BB1077" s="624">
        <v>39762</v>
      </c>
      <c r="BC1077" s="355">
        <v>0.33810000000000001</v>
      </c>
      <c r="BD1077" s="624">
        <v>39763</v>
      </c>
      <c r="BE1077" s="355">
        <v>7.5170000000000001E-2</v>
      </c>
      <c r="BF1077" s="624">
        <v>39793</v>
      </c>
      <c r="BG1077" s="355">
        <v>2.0643999999999999E-2</v>
      </c>
      <c r="BH1077" s="624">
        <v>39763</v>
      </c>
      <c r="BI1077" s="355">
        <v>8.7527999999999995E-2</v>
      </c>
      <c r="BJ1077" s="624">
        <v>39762</v>
      </c>
      <c r="BK1077" s="355">
        <v>2.8627E-2</v>
      </c>
    </row>
    <row r="1078" spans="3:63" x14ac:dyDescent="0.15">
      <c r="C1078" s="624"/>
      <c r="D1078" s="355">
        <v>3.6269999999999997E-2</v>
      </c>
      <c r="AV1078" s="624"/>
      <c r="AX1078" s="624">
        <v>39765</v>
      </c>
      <c r="AY1078" s="355">
        <v>3.6650000000000002E-2</v>
      </c>
      <c r="AZ1078" s="624">
        <v>39832</v>
      </c>
      <c r="BA1078" s="355">
        <v>1.38E-2</v>
      </c>
      <c r="BB1078" s="624">
        <v>39763</v>
      </c>
      <c r="BC1078" s="355">
        <v>0.33100000000000002</v>
      </c>
      <c r="BD1078" s="624">
        <v>39764</v>
      </c>
      <c r="BE1078" s="355">
        <v>7.1859999999999993E-2</v>
      </c>
      <c r="BF1078" s="624">
        <v>39794</v>
      </c>
      <c r="BG1078" s="355">
        <v>2.0636000000000002E-2</v>
      </c>
      <c r="BH1078" s="624">
        <v>39764</v>
      </c>
      <c r="BI1078" s="355">
        <v>8.6393999999999999E-2</v>
      </c>
      <c r="BJ1078" s="624">
        <v>39763</v>
      </c>
      <c r="BK1078" s="355">
        <v>2.8611999999999999E-2</v>
      </c>
    </row>
    <row r="1079" spans="3:63" x14ac:dyDescent="0.15">
      <c r="C1079" s="624"/>
      <c r="D1079" s="355">
        <v>3.6650000000000002E-2</v>
      </c>
      <c r="AV1079" s="624"/>
      <c r="AX1079" s="624">
        <v>39766</v>
      </c>
      <c r="AY1079" s="355">
        <v>3.6540000000000003E-2</v>
      </c>
      <c r="AZ1079" s="624">
        <v>39833</v>
      </c>
      <c r="BA1079" s="355">
        <v>1.3599999999999999E-2</v>
      </c>
      <c r="BB1079" s="624">
        <v>39764</v>
      </c>
      <c r="BC1079" s="355">
        <v>0.33189999999999997</v>
      </c>
      <c r="BD1079" s="624">
        <v>39765</v>
      </c>
      <c r="BE1079" s="355">
        <v>7.2440000000000004E-2</v>
      </c>
      <c r="BF1079" s="624">
        <v>39797</v>
      </c>
      <c r="BG1079" s="355">
        <v>2.0818E-2</v>
      </c>
      <c r="BH1079" s="624">
        <v>39765</v>
      </c>
      <c r="BI1079" s="355">
        <v>8.5671999999999998E-2</v>
      </c>
      <c r="BJ1079" s="624">
        <v>39764</v>
      </c>
      <c r="BK1079" s="355">
        <v>2.8587999999999999E-2</v>
      </c>
    </row>
    <row r="1080" spans="3:63" x14ac:dyDescent="0.15">
      <c r="C1080" s="624"/>
      <c r="D1080" s="355">
        <v>3.6540000000000003E-2</v>
      </c>
      <c r="AV1080" s="624"/>
      <c r="AX1080" s="624">
        <v>39769</v>
      </c>
      <c r="AY1080" s="355">
        <v>3.6450000000000003E-2</v>
      </c>
      <c r="AZ1080" s="624">
        <v>39834</v>
      </c>
      <c r="BA1080" s="355">
        <v>1.3899999999999999E-2</v>
      </c>
      <c r="BB1080" s="624">
        <v>39765</v>
      </c>
      <c r="BC1080" s="355">
        <v>0.34760000000000002</v>
      </c>
      <c r="BD1080" s="624">
        <v>39766</v>
      </c>
      <c r="BE1080" s="355">
        <v>7.0069999999999993E-2</v>
      </c>
      <c r="BF1080" s="624">
        <v>39798</v>
      </c>
      <c r="BG1080" s="355">
        <v>2.0868000000000001E-2</v>
      </c>
      <c r="BH1080" s="624">
        <v>39766</v>
      </c>
      <c r="BI1080" s="355">
        <v>8.5918999999999995E-2</v>
      </c>
      <c r="BJ1080" s="624">
        <v>39765</v>
      </c>
      <c r="BK1080" s="355">
        <v>2.8580000000000001E-2</v>
      </c>
    </row>
    <row r="1081" spans="3:63" x14ac:dyDescent="0.15">
      <c r="C1081" s="624"/>
      <c r="D1081" s="355">
        <v>3.6450000000000003E-2</v>
      </c>
      <c r="AV1081" s="624"/>
      <c r="AX1081" s="624">
        <v>39770</v>
      </c>
      <c r="AY1081" s="355">
        <v>3.6409999999999998E-2</v>
      </c>
      <c r="AZ1081" s="624">
        <v>39835</v>
      </c>
      <c r="BA1081" s="355">
        <v>1.37E-2</v>
      </c>
      <c r="BB1081" s="624">
        <v>39766</v>
      </c>
      <c r="BC1081" s="355">
        <v>0.34189999999999998</v>
      </c>
      <c r="BD1081" s="624">
        <v>39769</v>
      </c>
      <c r="BE1081" s="355">
        <v>6.9949999999999998E-2</v>
      </c>
      <c r="BF1081" s="624">
        <v>39799</v>
      </c>
      <c r="BG1081" s="355">
        <v>2.0969000000000002E-2</v>
      </c>
      <c r="BH1081" s="624">
        <v>39769</v>
      </c>
      <c r="BI1081" s="355">
        <v>8.4220000000000003E-2</v>
      </c>
      <c r="BJ1081" s="624">
        <v>39766</v>
      </c>
      <c r="BK1081" s="355">
        <v>2.8621000000000001E-2</v>
      </c>
    </row>
    <row r="1082" spans="3:63" x14ac:dyDescent="0.15">
      <c r="C1082" s="624"/>
      <c r="D1082" s="355">
        <v>3.6409999999999998E-2</v>
      </c>
      <c r="AV1082" s="624"/>
      <c r="AX1082" s="624">
        <v>39771</v>
      </c>
      <c r="AY1082" s="355">
        <v>3.6200000000000003E-2</v>
      </c>
      <c r="AZ1082" s="624">
        <v>39836</v>
      </c>
      <c r="BA1082" s="355">
        <v>1.3599999999999999E-2</v>
      </c>
      <c r="BB1082" s="624">
        <v>39769</v>
      </c>
      <c r="BC1082" s="355">
        <v>0.33629999999999999</v>
      </c>
      <c r="BD1082" s="624">
        <v>39770</v>
      </c>
      <c r="BE1082" s="355">
        <v>6.9489999999999996E-2</v>
      </c>
      <c r="BF1082" s="624">
        <v>39800</v>
      </c>
      <c r="BG1082" s="355">
        <v>2.1326999999999999E-2</v>
      </c>
      <c r="BH1082" s="624">
        <v>39770</v>
      </c>
      <c r="BI1082" s="355">
        <v>8.2476999999999995E-2</v>
      </c>
      <c r="BJ1082" s="624">
        <v>39769</v>
      </c>
      <c r="BK1082" s="355">
        <v>2.8570999999999999E-2</v>
      </c>
    </row>
    <row r="1083" spans="3:63" x14ac:dyDescent="0.15">
      <c r="C1083" s="624"/>
      <c r="D1083" s="355">
        <v>3.6200000000000003E-2</v>
      </c>
      <c r="AV1083" s="624"/>
      <c r="AX1083" s="624">
        <v>39772</v>
      </c>
      <c r="AY1083" s="355">
        <v>3.6179999999999997E-2</v>
      </c>
      <c r="AZ1083" s="624">
        <v>39839</v>
      </c>
      <c r="BA1083" s="355">
        <v>1.38E-2</v>
      </c>
      <c r="BB1083" s="624">
        <v>39770</v>
      </c>
      <c r="BC1083" s="355">
        <v>0.32950000000000002</v>
      </c>
      <c r="BD1083" s="624">
        <v>39771</v>
      </c>
      <c r="BE1083" s="355">
        <v>6.762E-2</v>
      </c>
      <c r="BF1083" s="624">
        <v>39801</v>
      </c>
      <c r="BG1083" s="355">
        <v>2.1153000000000002E-2</v>
      </c>
      <c r="BH1083" s="624">
        <v>39771</v>
      </c>
      <c r="BI1083" s="355">
        <v>8.3682000000000006E-2</v>
      </c>
      <c r="BJ1083" s="624">
        <v>39770</v>
      </c>
      <c r="BK1083" s="355">
        <v>2.8559999999999999E-2</v>
      </c>
    </row>
    <row r="1084" spans="3:63" x14ac:dyDescent="0.15">
      <c r="C1084" s="624"/>
      <c r="D1084" s="355">
        <v>3.6179999999999997E-2</v>
      </c>
      <c r="AV1084" s="624"/>
      <c r="AX1084" s="624">
        <v>39773</v>
      </c>
      <c r="AY1084" s="355">
        <v>3.635E-2</v>
      </c>
      <c r="AZ1084" s="624">
        <v>39840</v>
      </c>
      <c r="BA1084" s="355">
        <v>1.3599999999999999E-2</v>
      </c>
      <c r="BB1084" s="624">
        <v>39771</v>
      </c>
      <c r="BC1084" s="355">
        <v>0.32790000000000002</v>
      </c>
      <c r="BD1084" s="624">
        <v>39772</v>
      </c>
      <c r="BE1084" s="355">
        <v>6.6299999999999998E-2</v>
      </c>
      <c r="BF1084" s="624">
        <v>39804</v>
      </c>
      <c r="BG1084" s="355">
        <v>2.0836E-2</v>
      </c>
      <c r="BH1084" s="624">
        <v>39772</v>
      </c>
      <c r="BI1084" s="355">
        <v>8.0323000000000006E-2</v>
      </c>
      <c r="BJ1084" s="624">
        <v>39771</v>
      </c>
      <c r="BK1084" s="355">
        <v>2.8561E-2</v>
      </c>
    </row>
    <row r="1085" spans="3:63" x14ac:dyDescent="0.15">
      <c r="C1085" s="624"/>
      <c r="D1085" s="355">
        <v>3.635E-2</v>
      </c>
      <c r="AV1085" s="624"/>
      <c r="AX1085" s="624">
        <v>39776</v>
      </c>
      <c r="AY1085" s="355">
        <v>3.662E-2</v>
      </c>
      <c r="AZ1085" s="624">
        <v>39841</v>
      </c>
      <c r="BA1085" s="355">
        <v>1.3899999999999999E-2</v>
      </c>
      <c r="BB1085" s="624">
        <v>39772</v>
      </c>
      <c r="BC1085" s="355">
        <v>0.32469999999999999</v>
      </c>
      <c r="BD1085" s="624">
        <v>39773</v>
      </c>
      <c r="BE1085" s="355">
        <v>6.7489999999999994E-2</v>
      </c>
      <c r="BF1085" s="624">
        <v>39805</v>
      </c>
      <c r="BG1085" s="355">
        <v>2.0503E-2</v>
      </c>
      <c r="BH1085" s="624">
        <v>39773</v>
      </c>
      <c r="BI1085" s="355">
        <v>8.1306000000000003E-2</v>
      </c>
      <c r="BJ1085" s="624">
        <v>39772</v>
      </c>
      <c r="BK1085" s="355">
        <v>2.8590999999999998E-2</v>
      </c>
    </row>
    <row r="1086" spans="3:63" x14ac:dyDescent="0.15">
      <c r="C1086" s="624"/>
      <c r="D1086" s="355">
        <v>3.662E-2</v>
      </c>
      <c r="AV1086" s="624"/>
      <c r="AX1086" s="624">
        <v>39777</v>
      </c>
      <c r="AY1086" s="355">
        <v>3.6720000000000003E-2</v>
      </c>
      <c r="AZ1086" s="624">
        <v>39842</v>
      </c>
      <c r="BA1086" s="355">
        <v>1.37E-2</v>
      </c>
      <c r="BB1086" s="624">
        <v>39773</v>
      </c>
      <c r="BC1086" s="355">
        <v>0.32550000000000001</v>
      </c>
      <c r="BD1086" s="624">
        <v>39776</v>
      </c>
      <c r="BE1086" s="355">
        <v>6.812E-2</v>
      </c>
      <c r="BF1086" s="624">
        <v>39806</v>
      </c>
      <c r="BG1086" s="355">
        <v>2.0806000000000002E-2</v>
      </c>
      <c r="BH1086" s="624">
        <v>39776</v>
      </c>
      <c r="BI1086" s="355">
        <v>7.9842999999999997E-2</v>
      </c>
      <c r="BJ1086" s="624">
        <v>39773</v>
      </c>
      <c r="BK1086" s="355">
        <v>2.8323000000000001E-2</v>
      </c>
    </row>
    <row r="1087" spans="3:63" x14ac:dyDescent="0.15">
      <c r="C1087" s="624"/>
      <c r="D1087" s="355">
        <v>3.6720000000000003E-2</v>
      </c>
      <c r="AV1087" s="624"/>
      <c r="AX1087" s="624">
        <v>39778</v>
      </c>
      <c r="AY1087" s="355">
        <v>3.6450000000000003E-2</v>
      </c>
      <c r="AZ1087" s="624">
        <v>39843</v>
      </c>
      <c r="BA1087" s="355">
        <v>1.35E-2</v>
      </c>
      <c r="BB1087" s="624">
        <v>39776</v>
      </c>
      <c r="BC1087" s="355">
        <v>0.33539999999999998</v>
      </c>
      <c r="BD1087" s="624">
        <v>39777</v>
      </c>
      <c r="BE1087" s="355">
        <v>6.5960000000000005E-2</v>
      </c>
      <c r="BF1087" s="624">
        <v>39808</v>
      </c>
      <c r="BG1087" s="355">
        <v>2.0646000000000001E-2</v>
      </c>
      <c r="BH1087" s="624">
        <v>39777</v>
      </c>
      <c r="BI1087" s="355">
        <v>8.1300999999999998E-2</v>
      </c>
      <c r="BJ1087" s="624">
        <v>39776</v>
      </c>
      <c r="BK1087" s="355">
        <v>2.8361000000000001E-2</v>
      </c>
    </row>
    <row r="1088" spans="3:63" x14ac:dyDescent="0.15">
      <c r="C1088" s="624"/>
      <c r="D1088" s="355">
        <v>3.6450000000000003E-2</v>
      </c>
      <c r="AV1088" s="624"/>
      <c r="AX1088" s="624">
        <v>39779</v>
      </c>
      <c r="AY1088" s="355">
        <v>3.6470000000000002E-2</v>
      </c>
      <c r="AZ1088" s="624">
        <v>39846</v>
      </c>
      <c r="BA1088" s="355">
        <v>1.3599999999999999E-2</v>
      </c>
      <c r="BB1088" s="624">
        <v>39777</v>
      </c>
      <c r="BC1088" s="355">
        <v>0.34499999999999997</v>
      </c>
      <c r="BD1088" s="624">
        <v>39778</v>
      </c>
      <c r="BE1088" s="355">
        <v>6.7470000000000002E-2</v>
      </c>
      <c r="BF1088" s="624">
        <v>39811</v>
      </c>
      <c r="BG1088" s="355">
        <v>2.0656000000000001E-2</v>
      </c>
      <c r="BH1088" s="624">
        <v>39778</v>
      </c>
      <c r="BI1088" s="355">
        <v>8.1301999999999999E-2</v>
      </c>
      <c r="BJ1088" s="624">
        <v>39777</v>
      </c>
      <c r="BK1088" s="355">
        <v>2.8492E-2</v>
      </c>
    </row>
    <row r="1089" spans="3:63" x14ac:dyDescent="0.15">
      <c r="C1089" s="624"/>
      <c r="D1089" s="355">
        <v>3.6470000000000002E-2</v>
      </c>
      <c r="AV1089" s="624"/>
      <c r="AX1089" s="624">
        <v>39780</v>
      </c>
      <c r="AY1089" s="355">
        <v>3.5810000000000002E-2</v>
      </c>
      <c r="AZ1089" s="624">
        <v>39847</v>
      </c>
      <c r="BA1089" s="355">
        <v>1.4E-2</v>
      </c>
      <c r="BB1089" s="624">
        <v>39778</v>
      </c>
      <c r="BC1089" s="355">
        <v>0.34110000000000001</v>
      </c>
      <c r="BD1089" s="624">
        <v>39779</v>
      </c>
      <c r="BE1089" s="355">
        <v>6.7680000000000004E-2</v>
      </c>
      <c r="BF1089" s="624">
        <v>39812</v>
      </c>
      <c r="BG1089" s="355">
        <v>2.0632999999999999E-2</v>
      </c>
      <c r="BH1089" s="624">
        <v>39779</v>
      </c>
      <c r="BI1089" s="355">
        <v>8.2771999999999998E-2</v>
      </c>
      <c r="BJ1089" s="624">
        <v>39778</v>
      </c>
      <c r="BK1089" s="355">
        <v>2.8372999999999999E-2</v>
      </c>
    </row>
    <row r="1090" spans="3:63" x14ac:dyDescent="0.15">
      <c r="C1090" s="624"/>
      <c r="D1090" s="355">
        <v>3.5810000000000002E-2</v>
      </c>
      <c r="AV1090" s="624"/>
      <c r="AX1090" s="624">
        <v>39783</v>
      </c>
      <c r="AY1090" s="355">
        <v>3.569E-2</v>
      </c>
      <c r="AZ1090" s="624">
        <v>39848</v>
      </c>
      <c r="BA1090" s="355">
        <v>1.38E-2</v>
      </c>
      <c r="BB1090" s="624">
        <v>39779</v>
      </c>
      <c r="BC1090" s="355">
        <v>0.34300000000000003</v>
      </c>
      <c r="BD1090" s="624">
        <v>39780</v>
      </c>
      <c r="BE1090" s="355">
        <v>6.8070000000000006E-2</v>
      </c>
      <c r="BF1090" s="624">
        <v>39813</v>
      </c>
      <c r="BG1090" s="355">
        <v>2.0539999999999999E-2</v>
      </c>
      <c r="BH1090" s="624">
        <v>39780</v>
      </c>
      <c r="BI1090" s="355">
        <v>8.1636E-2</v>
      </c>
      <c r="BJ1090" s="624">
        <v>39779</v>
      </c>
      <c r="BK1090" s="355">
        <v>2.8249E-2</v>
      </c>
    </row>
    <row r="1091" spans="3:63" x14ac:dyDescent="0.15">
      <c r="C1091" s="624"/>
      <c r="D1091" s="355">
        <v>3.569E-2</v>
      </c>
      <c r="AV1091" s="624"/>
      <c r="AX1091" s="624">
        <v>39784</v>
      </c>
      <c r="AY1091" s="355">
        <v>3.5839999999999997E-2</v>
      </c>
      <c r="AZ1091" s="624">
        <v>39849</v>
      </c>
      <c r="BA1091" s="355">
        <v>1.3899999999999999E-2</v>
      </c>
      <c r="BB1091" s="624">
        <v>39780</v>
      </c>
      <c r="BC1091" s="355">
        <v>0.33589999999999998</v>
      </c>
      <c r="BD1091" s="624">
        <v>39783</v>
      </c>
      <c r="BE1091" s="355">
        <v>6.7199999999999996E-2</v>
      </c>
      <c r="BF1091" s="624">
        <v>39814</v>
      </c>
      <c r="BG1091" s="355">
        <v>2.0511999999999999E-2</v>
      </c>
      <c r="BH1091" s="624">
        <v>39783</v>
      </c>
      <c r="BI1091" s="355">
        <v>8.1322000000000005E-2</v>
      </c>
      <c r="BJ1091" s="624">
        <v>39780</v>
      </c>
      <c r="BK1091" s="355">
        <v>2.8149E-2</v>
      </c>
    </row>
    <row r="1092" spans="3:63" x14ac:dyDescent="0.15">
      <c r="C1092" s="624"/>
      <c r="D1092" s="355">
        <v>3.5839999999999997E-2</v>
      </c>
      <c r="AV1092" s="624"/>
      <c r="AX1092" s="624">
        <v>39785</v>
      </c>
      <c r="AY1092" s="355">
        <v>3.5839999999999997E-2</v>
      </c>
      <c r="AZ1092" s="624">
        <v>39850</v>
      </c>
      <c r="BA1092" s="355">
        <v>1.4E-2</v>
      </c>
      <c r="BB1092" s="624">
        <v>39783</v>
      </c>
      <c r="BC1092" s="355">
        <v>0.33019999999999999</v>
      </c>
      <c r="BD1092" s="624">
        <v>39784</v>
      </c>
      <c r="BE1092" s="355">
        <v>6.8470000000000003E-2</v>
      </c>
      <c r="BF1092" s="624">
        <v>39815</v>
      </c>
      <c r="BG1092" s="355">
        <v>2.0591000000000002E-2</v>
      </c>
      <c r="BH1092" s="624">
        <v>39784</v>
      </c>
      <c r="BI1092" s="355">
        <v>8.0972000000000002E-2</v>
      </c>
      <c r="BJ1092" s="624">
        <v>39783</v>
      </c>
      <c r="BK1092" s="355">
        <v>2.7963999999999999E-2</v>
      </c>
    </row>
    <row r="1093" spans="3:63" x14ac:dyDescent="0.15">
      <c r="C1093" s="624"/>
      <c r="D1093" s="355">
        <v>3.5839999999999997E-2</v>
      </c>
      <c r="AV1093" s="624"/>
      <c r="AX1093" s="624">
        <v>39786</v>
      </c>
      <c r="AY1093" s="355">
        <v>3.5970000000000002E-2</v>
      </c>
      <c r="AZ1093" s="624">
        <v>39853</v>
      </c>
      <c r="BA1093" s="355">
        <v>1.41E-2</v>
      </c>
      <c r="BB1093" s="624">
        <v>39784</v>
      </c>
      <c r="BC1093" s="355">
        <v>0.33</v>
      </c>
      <c r="BD1093" s="624">
        <v>39785</v>
      </c>
      <c r="BE1093" s="355">
        <v>6.8909999999999999E-2</v>
      </c>
      <c r="BF1093" s="624">
        <v>39818</v>
      </c>
      <c r="BG1093" s="355">
        <v>2.0597000000000001E-2</v>
      </c>
      <c r="BH1093" s="624">
        <v>39785</v>
      </c>
      <c r="BI1093" s="355">
        <v>8.2153000000000004E-2</v>
      </c>
      <c r="BJ1093" s="624">
        <v>39784</v>
      </c>
      <c r="BK1093" s="355">
        <v>2.8101999999999999E-2</v>
      </c>
    </row>
    <row r="1094" spans="3:63" x14ac:dyDescent="0.15">
      <c r="C1094" s="624"/>
      <c r="D1094" s="355">
        <v>3.5970000000000002E-2</v>
      </c>
      <c r="AV1094" s="624"/>
      <c r="AX1094" s="624">
        <v>39787</v>
      </c>
      <c r="AY1094" s="355">
        <v>3.5490000000000001E-2</v>
      </c>
      <c r="AZ1094" s="624">
        <v>39854</v>
      </c>
      <c r="BA1094" s="355">
        <v>1.4E-2</v>
      </c>
      <c r="BB1094" s="624">
        <v>39785</v>
      </c>
      <c r="BC1094" s="355">
        <v>0.32979999999999998</v>
      </c>
      <c r="BD1094" s="624">
        <v>39786</v>
      </c>
      <c r="BE1094" s="355">
        <v>6.7239999999999994E-2</v>
      </c>
      <c r="BF1094" s="624">
        <v>39819</v>
      </c>
      <c r="BG1094" s="355">
        <v>2.0521000000000001E-2</v>
      </c>
      <c r="BH1094" s="624">
        <v>39786</v>
      </c>
      <c r="BI1094" s="355">
        <v>8.3857000000000001E-2</v>
      </c>
      <c r="BJ1094" s="624">
        <v>39785</v>
      </c>
      <c r="BK1094" s="355">
        <v>2.8118000000000001E-2</v>
      </c>
    </row>
    <row r="1095" spans="3:63" x14ac:dyDescent="0.15">
      <c r="C1095" s="624"/>
      <c r="D1095" s="355">
        <v>3.5490000000000001E-2</v>
      </c>
      <c r="AV1095" s="624"/>
      <c r="AX1095" s="624">
        <v>39790</v>
      </c>
      <c r="AY1095" s="355">
        <v>3.5860000000000003E-2</v>
      </c>
      <c r="AZ1095" s="624">
        <v>39855</v>
      </c>
      <c r="BA1095" s="355">
        <v>1.3899999999999999E-2</v>
      </c>
      <c r="BB1095" s="624">
        <v>39786</v>
      </c>
      <c r="BC1095" s="355">
        <v>0.32900000000000001</v>
      </c>
      <c r="BD1095" s="624">
        <v>39787</v>
      </c>
      <c r="BE1095" s="355">
        <v>6.7599999999999993E-2</v>
      </c>
      <c r="BF1095" s="624">
        <v>39820</v>
      </c>
      <c r="BG1095" s="355">
        <v>2.0492E-2</v>
      </c>
      <c r="BH1095" s="624">
        <v>39787</v>
      </c>
      <c r="BI1095" s="355">
        <v>8.4927000000000002E-2</v>
      </c>
      <c r="BJ1095" s="624">
        <v>39786</v>
      </c>
      <c r="BK1095" s="355">
        <v>2.8062E-2</v>
      </c>
    </row>
    <row r="1096" spans="3:63" x14ac:dyDescent="0.15">
      <c r="C1096" s="624"/>
      <c r="D1096" s="355">
        <v>3.5860000000000003E-2</v>
      </c>
      <c r="AV1096" s="624"/>
      <c r="AX1096" s="624">
        <v>39791</v>
      </c>
      <c r="AY1096" s="355">
        <v>3.5810000000000002E-2</v>
      </c>
      <c r="AZ1096" s="624">
        <v>39856</v>
      </c>
      <c r="BA1096" s="355">
        <v>1.38E-2</v>
      </c>
      <c r="BB1096" s="624">
        <v>39787</v>
      </c>
      <c r="BC1096" s="355">
        <v>0.32769999999999999</v>
      </c>
      <c r="BD1096" s="624">
        <v>39790</v>
      </c>
      <c r="BE1096" s="355">
        <v>6.898E-2</v>
      </c>
      <c r="BF1096" s="624">
        <v>39822</v>
      </c>
      <c r="BG1096" s="355">
        <v>2.0709999999999999E-2</v>
      </c>
      <c r="BH1096" s="624">
        <v>39790</v>
      </c>
      <c r="BI1096" s="355">
        <v>8.5843000000000003E-2</v>
      </c>
      <c r="BJ1096" s="624">
        <v>39787</v>
      </c>
      <c r="BK1096" s="355">
        <v>2.8011999999999999E-2</v>
      </c>
    </row>
    <row r="1097" spans="3:63" x14ac:dyDescent="0.15">
      <c r="C1097" s="624"/>
      <c r="D1097" s="355">
        <v>3.5810000000000002E-2</v>
      </c>
      <c r="AV1097" s="624"/>
      <c r="AX1097" s="624">
        <v>39792</v>
      </c>
      <c r="AY1097" s="355">
        <v>3.5929999999999997E-2</v>
      </c>
      <c r="AZ1097" s="624">
        <v>39857</v>
      </c>
      <c r="BA1097" s="355">
        <v>1.37E-2</v>
      </c>
      <c r="BB1097" s="624">
        <v>39790</v>
      </c>
      <c r="BC1097" s="355">
        <v>0.33329999999999999</v>
      </c>
      <c r="BD1097" s="624">
        <v>39791</v>
      </c>
      <c r="BE1097" s="355">
        <v>6.9839999999999999E-2</v>
      </c>
      <c r="BF1097" s="624">
        <v>39825</v>
      </c>
      <c r="BG1097" s="355">
        <v>2.0475E-2</v>
      </c>
      <c r="BH1097" s="624">
        <v>39791</v>
      </c>
      <c r="BI1097" s="355">
        <v>9.1750999999999999E-2</v>
      </c>
      <c r="BJ1097" s="624">
        <v>39790</v>
      </c>
      <c r="BK1097" s="355">
        <v>2.8225E-2</v>
      </c>
    </row>
    <row r="1098" spans="3:63" x14ac:dyDescent="0.15">
      <c r="C1098" s="624"/>
      <c r="D1098" s="355">
        <v>3.5929999999999997E-2</v>
      </c>
      <c r="AV1098" s="624"/>
      <c r="AX1098" s="624">
        <v>39793</v>
      </c>
      <c r="AY1098" s="355">
        <v>3.6119999999999999E-2</v>
      </c>
      <c r="AZ1098" s="624">
        <v>39860</v>
      </c>
      <c r="BA1098" s="355">
        <v>1.3599999999999999E-2</v>
      </c>
      <c r="BB1098" s="624">
        <v>39791</v>
      </c>
      <c r="BC1098" s="355">
        <v>0.32879999999999998</v>
      </c>
      <c r="BD1098" s="624">
        <v>39792</v>
      </c>
      <c r="BE1098" s="355">
        <v>7.2569999999999996E-2</v>
      </c>
      <c r="BF1098" s="624">
        <v>39826</v>
      </c>
      <c r="BG1098" s="355">
        <v>2.0386999999999999E-2</v>
      </c>
      <c r="BH1098" s="624">
        <v>39792</v>
      </c>
      <c r="BI1098" s="355">
        <v>9.1750999999999999E-2</v>
      </c>
      <c r="BJ1098" s="624">
        <v>39791</v>
      </c>
      <c r="BK1098" s="355">
        <v>2.8264999999999998E-2</v>
      </c>
    </row>
    <row r="1099" spans="3:63" x14ac:dyDescent="0.15">
      <c r="C1099" s="624"/>
      <c r="D1099" s="355">
        <v>3.6119999999999999E-2</v>
      </c>
      <c r="AV1099" s="624"/>
      <c r="AX1099" s="624">
        <v>39794</v>
      </c>
      <c r="AY1099" s="355">
        <v>3.6119999999999999E-2</v>
      </c>
      <c r="AZ1099" s="624">
        <v>39861</v>
      </c>
      <c r="BA1099" s="355">
        <v>1.34E-2</v>
      </c>
      <c r="BB1099" s="624">
        <v>39792</v>
      </c>
      <c r="BC1099" s="355">
        <v>0.32979999999999998</v>
      </c>
      <c r="BD1099" s="624">
        <v>39793</v>
      </c>
      <c r="BE1099" s="355">
        <v>7.399E-2</v>
      </c>
      <c r="BF1099" s="624">
        <v>39827</v>
      </c>
      <c r="BG1099" s="355">
        <v>2.0480999999999999E-2</v>
      </c>
      <c r="BH1099" s="624">
        <v>39793</v>
      </c>
      <c r="BI1099" s="355">
        <v>9.0499999999999997E-2</v>
      </c>
      <c r="BJ1099" s="624">
        <v>39792</v>
      </c>
      <c r="BK1099" s="355">
        <v>2.8253E-2</v>
      </c>
    </row>
    <row r="1100" spans="3:63" x14ac:dyDescent="0.15">
      <c r="C1100" s="624"/>
      <c r="D1100" s="355">
        <v>3.6119999999999999E-2</v>
      </c>
      <c r="AV1100" s="624"/>
      <c r="AX1100" s="624">
        <v>39797</v>
      </c>
      <c r="AY1100" s="355">
        <v>3.6200000000000003E-2</v>
      </c>
      <c r="AZ1100" s="624">
        <v>39862</v>
      </c>
      <c r="BA1100" s="355">
        <v>1.32E-2</v>
      </c>
      <c r="BB1100" s="624">
        <v>39793</v>
      </c>
      <c r="BC1100" s="355">
        <v>0.34379999999999999</v>
      </c>
      <c r="BD1100" s="624">
        <v>39794</v>
      </c>
      <c r="BE1100" s="355">
        <v>7.2730000000000003E-2</v>
      </c>
      <c r="BF1100" s="624">
        <v>39828</v>
      </c>
      <c r="BG1100" s="355">
        <v>2.0400000000000001E-2</v>
      </c>
      <c r="BH1100" s="624">
        <v>39794</v>
      </c>
      <c r="BI1100" s="355">
        <v>8.9899000000000007E-2</v>
      </c>
      <c r="BJ1100" s="624">
        <v>39793</v>
      </c>
      <c r="BK1100" s="355">
        <v>2.8538999999999998E-2</v>
      </c>
    </row>
    <row r="1101" spans="3:63" x14ac:dyDescent="0.15">
      <c r="C1101" s="624"/>
      <c r="D1101" s="355">
        <v>3.6200000000000003E-2</v>
      </c>
      <c r="AV1101" s="624"/>
      <c r="AX1101" s="624">
        <v>39798</v>
      </c>
      <c r="AY1101" s="355">
        <v>3.6609999999999997E-2</v>
      </c>
      <c r="AZ1101" s="624">
        <v>39863</v>
      </c>
      <c r="BA1101" s="355">
        <v>1.3299999999999999E-2</v>
      </c>
      <c r="BB1101" s="624">
        <v>39794</v>
      </c>
      <c r="BC1101" s="355">
        <v>0.33889999999999998</v>
      </c>
      <c r="BD1101" s="624">
        <v>39797</v>
      </c>
      <c r="BE1101" s="355">
        <v>7.2830000000000006E-2</v>
      </c>
      <c r="BF1101" s="624">
        <v>39829</v>
      </c>
      <c r="BG1101" s="355">
        <v>2.0518999999999999E-2</v>
      </c>
      <c r="BH1101" s="624">
        <v>39797</v>
      </c>
      <c r="BI1101" s="355">
        <v>9.0703000000000006E-2</v>
      </c>
      <c r="BJ1101" s="624">
        <v>39794</v>
      </c>
      <c r="BK1101" s="355">
        <v>2.8523E-2</v>
      </c>
    </row>
    <row r="1102" spans="3:63" x14ac:dyDescent="0.15">
      <c r="C1102" s="624"/>
      <c r="D1102" s="355">
        <v>3.6609999999999997E-2</v>
      </c>
      <c r="AV1102" s="624"/>
      <c r="AX1102" s="624">
        <v>39799</v>
      </c>
      <c r="AY1102" s="355">
        <v>3.669E-2</v>
      </c>
      <c r="AZ1102" s="624">
        <v>39864</v>
      </c>
      <c r="BA1102" s="355">
        <v>1.35E-2</v>
      </c>
      <c r="BB1102" s="624">
        <v>39797</v>
      </c>
      <c r="BC1102" s="355">
        <v>0.34389999999999998</v>
      </c>
      <c r="BD1102" s="624">
        <v>39798</v>
      </c>
      <c r="BE1102" s="355">
        <v>7.5579999999999994E-2</v>
      </c>
      <c r="BF1102" s="624">
        <v>39832</v>
      </c>
      <c r="BG1102" s="355">
        <v>2.0551E-2</v>
      </c>
      <c r="BH1102" s="624">
        <v>39798</v>
      </c>
      <c r="BI1102" s="355">
        <v>9.0092000000000005E-2</v>
      </c>
      <c r="BJ1102" s="624">
        <v>39797</v>
      </c>
      <c r="BK1102" s="355">
        <v>2.8674000000000002E-2</v>
      </c>
    </row>
    <row r="1103" spans="3:63" x14ac:dyDescent="0.15">
      <c r="C1103" s="624"/>
      <c r="D1103" s="355">
        <v>3.669E-2</v>
      </c>
      <c r="AV1103" s="624"/>
      <c r="AX1103" s="624">
        <v>39800</v>
      </c>
      <c r="AY1103" s="355">
        <v>3.6310000000000002E-2</v>
      </c>
      <c r="AZ1103" s="624">
        <v>39867</v>
      </c>
      <c r="BA1103" s="355">
        <v>1.35E-2</v>
      </c>
      <c r="BB1103" s="624">
        <v>39798</v>
      </c>
      <c r="BC1103" s="355">
        <v>0.34660000000000002</v>
      </c>
      <c r="BD1103" s="624">
        <v>39799</v>
      </c>
      <c r="BE1103" s="355">
        <v>7.6569999999999999E-2</v>
      </c>
      <c r="BF1103" s="624">
        <v>39833</v>
      </c>
      <c r="BG1103" s="355">
        <v>2.0322E-2</v>
      </c>
      <c r="BH1103" s="624">
        <v>39799</v>
      </c>
      <c r="BI1103" s="355">
        <v>9.1799000000000006E-2</v>
      </c>
      <c r="BJ1103" s="624">
        <v>39798</v>
      </c>
      <c r="BK1103" s="355">
        <v>2.8691000000000001E-2</v>
      </c>
    </row>
    <row r="1104" spans="3:63" x14ac:dyDescent="0.15">
      <c r="C1104" s="624"/>
      <c r="D1104" s="355">
        <v>3.6310000000000002E-2</v>
      </c>
      <c r="AV1104" s="624"/>
      <c r="AX1104" s="624">
        <v>39801</v>
      </c>
      <c r="AY1104" s="355">
        <v>3.5490000000000001E-2</v>
      </c>
      <c r="AZ1104" s="624">
        <v>39868</v>
      </c>
      <c r="BA1104" s="355">
        <v>1.3599999999999999E-2</v>
      </c>
      <c r="BB1104" s="624">
        <v>39799</v>
      </c>
      <c r="BC1104" s="355">
        <v>0.35120000000000001</v>
      </c>
      <c r="BD1104" s="624">
        <v>39800</v>
      </c>
      <c r="BE1104" s="355">
        <v>7.6530000000000001E-2</v>
      </c>
      <c r="BF1104" s="624">
        <v>39834</v>
      </c>
      <c r="BG1104" s="355">
        <v>2.0376999999999999E-2</v>
      </c>
      <c r="BH1104" s="624">
        <v>39800</v>
      </c>
      <c r="BI1104" s="355">
        <v>9.1036000000000006E-2</v>
      </c>
      <c r="BJ1104" s="624">
        <v>39799</v>
      </c>
      <c r="BK1104" s="355">
        <v>2.8766E-2</v>
      </c>
    </row>
    <row r="1105" spans="3:63" x14ac:dyDescent="0.15">
      <c r="C1105" s="624"/>
      <c r="D1105" s="355">
        <v>3.5490000000000001E-2</v>
      </c>
      <c r="AV1105" s="624"/>
      <c r="AX1105" s="624">
        <v>39804</v>
      </c>
      <c r="AY1105" s="355">
        <v>3.5119999999999998E-2</v>
      </c>
      <c r="AZ1105" s="624">
        <v>39869</v>
      </c>
      <c r="BA1105" s="355">
        <v>1.35E-2</v>
      </c>
      <c r="BB1105" s="624">
        <v>39800</v>
      </c>
      <c r="BC1105" s="355">
        <v>0.34670000000000001</v>
      </c>
      <c r="BD1105" s="624">
        <v>39801</v>
      </c>
      <c r="BE1105" s="355">
        <v>7.6499999999999999E-2</v>
      </c>
      <c r="BF1105" s="624">
        <v>39835</v>
      </c>
      <c r="BG1105" s="355">
        <v>2.0397999999999999E-2</v>
      </c>
      <c r="BH1105" s="624">
        <v>39801</v>
      </c>
      <c r="BI1105" s="355">
        <v>9.1263999999999998E-2</v>
      </c>
      <c r="BJ1105" s="624">
        <v>39800</v>
      </c>
      <c r="BK1105" s="355">
        <v>2.9014999999999999E-2</v>
      </c>
    </row>
    <row r="1106" spans="3:63" x14ac:dyDescent="0.15">
      <c r="C1106" s="624"/>
      <c r="D1106" s="355">
        <v>3.5119999999999998E-2</v>
      </c>
      <c r="AV1106" s="624"/>
      <c r="AX1106" s="624">
        <v>39805</v>
      </c>
      <c r="AY1106" s="355">
        <v>3.5159999999999997E-2</v>
      </c>
      <c r="AZ1106" s="624">
        <v>39870</v>
      </c>
      <c r="BA1106" s="355">
        <v>1.3599999999999999E-2</v>
      </c>
      <c r="BB1106" s="624">
        <v>39801</v>
      </c>
      <c r="BC1106" s="355">
        <v>0.33629999999999999</v>
      </c>
      <c r="BD1106" s="624">
        <v>39804</v>
      </c>
      <c r="BE1106" s="355">
        <v>7.5630000000000003E-2</v>
      </c>
      <c r="BF1106" s="624">
        <v>39836</v>
      </c>
      <c r="BG1106" s="355">
        <v>2.0324999999999999E-2</v>
      </c>
      <c r="BH1106" s="624">
        <v>39804</v>
      </c>
      <c r="BI1106" s="355">
        <v>9.0051000000000006E-2</v>
      </c>
      <c r="BJ1106" s="624">
        <v>39801</v>
      </c>
      <c r="BK1106" s="355">
        <v>2.8986000000000001E-2</v>
      </c>
    </row>
    <row r="1107" spans="3:63" x14ac:dyDescent="0.15">
      <c r="C1107" s="624"/>
      <c r="D1107" s="355">
        <v>3.5159999999999997E-2</v>
      </c>
      <c r="AV1107" s="624"/>
      <c r="AX1107" s="624">
        <v>39806</v>
      </c>
      <c r="AY1107" s="355">
        <v>3.4869999999999998E-2</v>
      </c>
      <c r="AZ1107" s="624">
        <v>39871</v>
      </c>
      <c r="BA1107" s="355">
        <v>1.35E-2</v>
      </c>
      <c r="BB1107" s="624">
        <v>39804</v>
      </c>
      <c r="BC1107" s="355">
        <v>0.33789999999999998</v>
      </c>
      <c r="BD1107" s="624">
        <v>39805</v>
      </c>
      <c r="BE1107" s="355">
        <v>7.3889999999999997E-2</v>
      </c>
      <c r="BF1107" s="624">
        <v>39839</v>
      </c>
      <c r="BG1107" s="355">
        <v>2.0438999999999999E-2</v>
      </c>
      <c r="BH1107" s="624">
        <v>39805</v>
      </c>
      <c r="BI1107" s="355">
        <v>8.9899000000000007E-2</v>
      </c>
      <c r="BJ1107" s="624">
        <v>39804</v>
      </c>
      <c r="BK1107" s="355">
        <v>2.8954000000000001E-2</v>
      </c>
    </row>
    <row r="1108" spans="3:63" x14ac:dyDescent="0.15">
      <c r="C1108" s="624"/>
      <c r="D1108" s="355">
        <v>3.4869999999999998E-2</v>
      </c>
      <c r="AV1108" s="624"/>
      <c r="AX1108" s="624">
        <v>39807</v>
      </c>
      <c r="AY1108" s="355">
        <v>3.4840000000000003E-2</v>
      </c>
      <c r="AZ1108" s="624">
        <v>39874</v>
      </c>
      <c r="BA1108" s="355">
        <v>1.34E-2</v>
      </c>
      <c r="BB1108" s="624">
        <v>39805</v>
      </c>
      <c r="BC1108" s="355">
        <v>0.33939999999999998</v>
      </c>
      <c r="BD1108" s="624">
        <v>39806</v>
      </c>
      <c r="BE1108" s="355">
        <v>7.6539999999999997E-2</v>
      </c>
      <c r="BF1108" s="624">
        <v>39840</v>
      </c>
      <c r="BG1108" s="355">
        <v>2.0427000000000001E-2</v>
      </c>
      <c r="BH1108" s="624">
        <v>39806</v>
      </c>
      <c r="BI1108" s="355">
        <v>8.9887999999999996E-2</v>
      </c>
      <c r="BJ1108" s="624">
        <v>39805</v>
      </c>
      <c r="BK1108" s="355">
        <v>2.8872999999999999E-2</v>
      </c>
    </row>
    <row r="1109" spans="3:63" x14ac:dyDescent="0.15">
      <c r="C1109" s="624"/>
      <c r="D1109" s="355">
        <v>3.4840000000000003E-2</v>
      </c>
      <c r="AV1109" s="624"/>
      <c r="AX1109" s="624">
        <v>39808</v>
      </c>
      <c r="AY1109" s="355">
        <v>3.449E-2</v>
      </c>
      <c r="AZ1109" s="624">
        <v>39875</v>
      </c>
      <c r="BA1109" s="355">
        <v>1.3299999999999999E-2</v>
      </c>
      <c r="BB1109" s="624">
        <v>39806</v>
      </c>
      <c r="BC1109" s="355">
        <v>0.3397</v>
      </c>
      <c r="BD1109" s="624">
        <v>39807</v>
      </c>
      <c r="BE1109" s="355">
        <v>7.6520000000000005E-2</v>
      </c>
      <c r="BF1109" s="624">
        <v>39841</v>
      </c>
      <c r="BG1109" s="355">
        <v>2.0445999999999999E-2</v>
      </c>
      <c r="BH1109" s="624">
        <v>39807</v>
      </c>
      <c r="BI1109" s="355">
        <v>9.0614E-2</v>
      </c>
      <c r="BJ1109" s="624">
        <v>39806</v>
      </c>
      <c r="BK1109" s="355">
        <v>2.8913999999999999E-2</v>
      </c>
    </row>
    <row r="1110" spans="3:63" x14ac:dyDescent="0.15">
      <c r="C1110" s="624"/>
      <c r="D1110" s="355">
        <v>3.449E-2</v>
      </c>
      <c r="AV1110" s="624"/>
      <c r="AX1110" s="624">
        <v>39811</v>
      </c>
      <c r="AY1110" s="355">
        <v>3.3820000000000003E-2</v>
      </c>
      <c r="AZ1110" s="624">
        <v>39876</v>
      </c>
      <c r="BA1110" s="355">
        <v>1.34E-2</v>
      </c>
      <c r="BB1110" s="624">
        <v>39807</v>
      </c>
      <c r="BC1110" s="355">
        <v>0.3407</v>
      </c>
      <c r="BD1110" s="624">
        <v>39808</v>
      </c>
      <c r="BE1110" s="355">
        <v>7.5920000000000001E-2</v>
      </c>
      <c r="BF1110" s="624">
        <v>39842</v>
      </c>
      <c r="BG1110" s="355">
        <v>2.0410000000000001E-2</v>
      </c>
      <c r="BH1110" s="624">
        <v>39808</v>
      </c>
      <c r="BI1110" s="355">
        <v>9.0096999999999997E-2</v>
      </c>
      <c r="BJ1110" s="624">
        <v>39807</v>
      </c>
      <c r="BK1110" s="355">
        <v>2.8740000000000002E-2</v>
      </c>
    </row>
    <row r="1111" spans="3:63" x14ac:dyDescent="0.15">
      <c r="C1111" s="624"/>
      <c r="D1111" s="355">
        <v>3.3820000000000003E-2</v>
      </c>
      <c r="AV1111" s="624"/>
      <c r="AX1111" s="624">
        <v>39812</v>
      </c>
      <c r="AY1111" s="355">
        <v>3.4000000000000002E-2</v>
      </c>
      <c r="AZ1111" s="624">
        <v>39877</v>
      </c>
      <c r="BA1111" s="355">
        <v>1.3299999999999999E-2</v>
      </c>
      <c r="BB1111" s="624">
        <v>39808</v>
      </c>
      <c r="BC1111" s="355">
        <v>0.34</v>
      </c>
      <c r="BD1111" s="624">
        <v>39811</v>
      </c>
      <c r="BE1111" s="355">
        <v>7.8960000000000002E-2</v>
      </c>
      <c r="BF1111" s="624">
        <v>39843</v>
      </c>
      <c r="BG1111" s="355">
        <v>2.0424999999999999E-2</v>
      </c>
      <c r="BH1111" s="624">
        <v>39811</v>
      </c>
      <c r="BI1111" s="355">
        <v>8.8890999999999998E-2</v>
      </c>
      <c r="BJ1111" s="624">
        <v>39808</v>
      </c>
      <c r="BK1111" s="355">
        <v>2.8601000000000001E-2</v>
      </c>
    </row>
    <row r="1112" spans="3:63" x14ac:dyDescent="0.15">
      <c r="C1112" s="624"/>
      <c r="D1112" s="355">
        <v>3.4000000000000002E-2</v>
      </c>
      <c r="AV1112" s="624"/>
      <c r="AX1112" s="624">
        <v>39813</v>
      </c>
      <c r="AY1112" s="355">
        <v>3.4009999999999999E-2</v>
      </c>
      <c r="AZ1112" s="624">
        <v>39878</v>
      </c>
      <c r="BA1112" s="355">
        <v>1.3299999999999999E-2</v>
      </c>
      <c r="BB1112" s="624">
        <v>39811</v>
      </c>
      <c r="BC1112" s="355">
        <v>0.33760000000000001</v>
      </c>
      <c r="BD1112" s="624">
        <v>39812</v>
      </c>
      <c r="BE1112" s="355">
        <v>7.7780000000000002E-2</v>
      </c>
      <c r="BF1112" s="624">
        <v>39846</v>
      </c>
      <c r="BG1112" s="355">
        <v>2.0459999999999999E-2</v>
      </c>
      <c r="BH1112" s="624">
        <v>39812</v>
      </c>
      <c r="BI1112" s="355">
        <v>9.0090000000000003E-2</v>
      </c>
      <c r="BJ1112" s="624">
        <v>39811</v>
      </c>
      <c r="BK1112" s="355">
        <v>2.8576000000000001E-2</v>
      </c>
    </row>
    <row r="1113" spans="3:63" x14ac:dyDescent="0.15">
      <c r="C1113" s="624"/>
      <c r="D1113" s="355">
        <v>3.4009999999999999E-2</v>
      </c>
      <c r="AV1113" s="624"/>
      <c r="AX1113" s="624">
        <v>39814</v>
      </c>
      <c r="AY1113" s="355">
        <v>3.431E-2</v>
      </c>
      <c r="AZ1113" s="624">
        <v>39881</v>
      </c>
      <c r="BA1113" s="355">
        <v>1.34E-2</v>
      </c>
      <c r="BB1113" s="624">
        <v>39812</v>
      </c>
      <c r="BC1113" s="355">
        <v>0.3367</v>
      </c>
      <c r="BD1113" s="624">
        <v>39813</v>
      </c>
      <c r="BE1113" s="355">
        <v>7.9390000000000002E-2</v>
      </c>
      <c r="BF1113" s="624">
        <v>39847</v>
      </c>
      <c r="BG1113" s="355">
        <v>2.0469000000000001E-2</v>
      </c>
      <c r="BH1113" s="624">
        <v>39813</v>
      </c>
      <c r="BI1113" s="355">
        <v>9.0505000000000002E-2</v>
      </c>
      <c r="BJ1113" s="624">
        <v>39812</v>
      </c>
      <c r="BK1113" s="355">
        <v>2.8773E-2</v>
      </c>
    </row>
    <row r="1114" spans="3:63" x14ac:dyDescent="0.15">
      <c r="C1114" s="624"/>
      <c r="D1114" s="355">
        <v>3.431E-2</v>
      </c>
      <c r="AV1114" s="624"/>
      <c r="AX1114" s="624">
        <v>39815</v>
      </c>
      <c r="AY1114" s="355">
        <v>3.4009999999999999E-2</v>
      </c>
      <c r="AZ1114" s="624">
        <v>39882</v>
      </c>
      <c r="BA1114" s="355">
        <v>1.34E-2</v>
      </c>
      <c r="BB1114" s="624">
        <v>39813</v>
      </c>
      <c r="BC1114" s="355">
        <v>0.33679999999999999</v>
      </c>
      <c r="BD1114" s="624">
        <v>39814</v>
      </c>
      <c r="BE1114" s="355">
        <v>7.9390000000000002E-2</v>
      </c>
      <c r="BF1114" s="624">
        <v>39848</v>
      </c>
      <c r="BG1114" s="355">
        <v>2.0511000000000001E-2</v>
      </c>
      <c r="BH1114" s="624">
        <v>39814</v>
      </c>
      <c r="BI1114" s="355">
        <v>9.1744999999999993E-2</v>
      </c>
      <c r="BJ1114" s="624">
        <v>39813</v>
      </c>
      <c r="BK1114" s="355">
        <v>2.8760000000000001E-2</v>
      </c>
    </row>
    <row r="1115" spans="3:63" x14ac:dyDescent="0.15">
      <c r="C1115" s="624"/>
      <c r="D1115" s="355">
        <v>3.4009999999999999E-2</v>
      </c>
      <c r="AV1115" s="624"/>
      <c r="AX1115" s="624">
        <v>39818</v>
      </c>
      <c r="AY1115" s="355">
        <v>3.4250000000000003E-2</v>
      </c>
      <c r="AZ1115" s="624">
        <v>39883</v>
      </c>
      <c r="BA1115" s="355">
        <v>1.3599999999999999E-2</v>
      </c>
      <c r="BB1115" s="624">
        <v>39814</v>
      </c>
      <c r="BC1115" s="355">
        <v>0.33879999999999999</v>
      </c>
      <c r="BD1115" s="624">
        <v>39815</v>
      </c>
      <c r="BE1115" s="355">
        <v>7.571E-2</v>
      </c>
      <c r="BF1115" s="624">
        <v>39849</v>
      </c>
      <c r="BG1115" s="355">
        <v>2.0501999999999999E-2</v>
      </c>
      <c r="BH1115" s="624">
        <v>39815</v>
      </c>
      <c r="BI1115" s="355">
        <v>8.9591000000000004E-2</v>
      </c>
      <c r="BJ1115" s="624">
        <v>39814</v>
      </c>
      <c r="BK1115" s="355">
        <v>2.8752E-2</v>
      </c>
    </row>
    <row r="1116" spans="3:63" x14ac:dyDescent="0.15">
      <c r="C1116" s="624"/>
      <c r="D1116" s="355">
        <v>3.4250000000000003E-2</v>
      </c>
      <c r="AV1116" s="624"/>
      <c r="AX1116" s="624">
        <v>39819</v>
      </c>
      <c r="AY1116" s="355">
        <v>3.4299999999999997E-2</v>
      </c>
      <c r="AZ1116" s="624">
        <v>39884</v>
      </c>
      <c r="BA1116" s="355">
        <v>1.3599999999999999E-2</v>
      </c>
      <c r="BB1116" s="624">
        <v>39815</v>
      </c>
      <c r="BC1116" s="355">
        <v>0.33350000000000002</v>
      </c>
      <c r="BD1116" s="624">
        <v>39818</v>
      </c>
      <c r="BE1116" s="355">
        <v>7.6050000000000006E-2</v>
      </c>
      <c r="BF1116" s="624">
        <v>39850</v>
      </c>
      <c r="BG1116" s="355">
        <v>2.0555E-2</v>
      </c>
      <c r="BH1116" s="624">
        <v>39818</v>
      </c>
      <c r="BI1116" s="355">
        <v>9.0806999999999999E-2</v>
      </c>
      <c r="BJ1116" s="624">
        <v>39815</v>
      </c>
      <c r="BK1116" s="355">
        <v>2.8666000000000001E-2</v>
      </c>
    </row>
    <row r="1117" spans="3:63" x14ac:dyDescent="0.15">
      <c r="C1117" s="624"/>
      <c r="D1117" s="355">
        <v>3.4299999999999997E-2</v>
      </c>
      <c r="AV1117" s="624"/>
      <c r="AX1117" s="624">
        <v>39820</v>
      </c>
      <c r="AY1117" s="355">
        <v>3.2800000000000003E-2</v>
      </c>
      <c r="AZ1117" s="624">
        <v>39885</v>
      </c>
      <c r="BA1117" s="355">
        <v>1.37E-2</v>
      </c>
      <c r="BB1117" s="624">
        <v>39818</v>
      </c>
      <c r="BC1117" s="355">
        <v>0.33339999999999997</v>
      </c>
      <c r="BD1117" s="624">
        <v>39819</v>
      </c>
      <c r="BE1117" s="355">
        <v>7.6509999999999995E-2</v>
      </c>
      <c r="BF1117" s="624">
        <v>39853</v>
      </c>
      <c r="BG1117" s="355">
        <v>2.0611999999999998E-2</v>
      </c>
      <c r="BH1117" s="624">
        <v>39819</v>
      </c>
      <c r="BI1117" s="355">
        <v>9.1326000000000004E-2</v>
      </c>
      <c r="BJ1117" s="624">
        <v>39818</v>
      </c>
      <c r="BK1117" s="355">
        <v>2.8586E-2</v>
      </c>
    </row>
    <row r="1118" spans="3:63" x14ac:dyDescent="0.15">
      <c r="C1118" s="624"/>
      <c r="D1118" s="355">
        <v>3.2800000000000003E-2</v>
      </c>
      <c r="AV1118" s="624"/>
      <c r="AX1118" s="624">
        <v>39821</v>
      </c>
      <c r="AY1118" s="355">
        <v>3.286E-2</v>
      </c>
      <c r="AZ1118" s="624">
        <v>39888</v>
      </c>
      <c r="BA1118" s="355">
        <v>1.37E-2</v>
      </c>
      <c r="BB1118" s="624">
        <v>39819</v>
      </c>
      <c r="BC1118" s="355">
        <v>0.34150000000000003</v>
      </c>
      <c r="BD1118" s="624">
        <v>39820</v>
      </c>
      <c r="BE1118" s="355">
        <v>7.6050000000000006E-2</v>
      </c>
      <c r="BF1118" s="624">
        <v>39854</v>
      </c>
      <c r="BG1118" s="355">
        <v>2.0508999999999999E-2</v>
      </c>
      <c r="BH1118" s="624">
        <v>39820</v>
      </c>
      <c r="BI1118" s="355">
        <v>9.2165999999999998E-2</v>
      </c>
      <c r="BJ1118" s="624">
        <v>39819</v>
      </c>
      <c r="BK1118" s="355">
        <v>2.8546999999999999E-2</v>
      </c>
    </row>
    <row r="1119" spans="3:63" x14ac:dyDescent="0.15">
      <c r="C1119" s="624"/>
      <c r="D1119" s="355">
        <v>3.286E-2</v>
      </c>
      <c r="AV1119" s="624"/>
      <c r="AX1119" s="624">
        <v>39822</v>
      </c>
      <c r="AY1119" s="355">
        <v>3.2370000000000003E-2</v>
      </c>
      <c r="AZ1119" s="624">
        <v>39889</v>
      </c>
      <c r="BA1119" s="355">
        <v>1.38E-2</v>
      </c>
      <c r="BB1119" s="624">
        <v>39820</v>
      </c>
      <c r="BC1119" s="355">
        <v>0.33839999999999998</v>
      </c>
      <c r="BD1119" s="624">
        <v>39821</v>
      </c>
      <c r="BE1119" s="355">
        <v>7.5620000000000007E-2</v>
      </c>
      <c r="BF1119" s="624">
        <v>39855</v>
      </c>
      <c r="BG1119" s="355">
        <v>2.0555E-2</v>
      </c>
      <c r="BH1119" s="624">
        <v>39821</v>
      </c>
      <c r="BI1119" s="355">
        <v>9.1326000000000004E-2</v>
      </c>
      <c r="BJ1119" s="624">
        <v>39820</v>
      </c>
      <c r="BK1119" s="355">
        <v>2.8672E-2</v>
      </c>
    </row>
    <row r="1120" spans="3:63" x14ac:dyDescent="0.15">
      <c r="C1120" s="624"/>
      <c r="D1120" s="355">
        <v>3.2370000000000003E-2</v>
      </c>
      <c r="AV1120" s="624"/>
      <c r="AX1120" s="624">
        <v>39825</v>
      </c>
      <c r="AY1120" s="355">
        <v>3.2149999999999998E-2</v>
      </c>
      <c r="AZ1120" s="624">
        <v>39890</v>
      </c>
      <c r="BA1120" s="355">
        <v>1.4200000000000001E-2</v>
      </c>
      <c r="BB1120" s="624">
        <v>39821</v>
      </c>
      <c r="BC1120" s="355">
        <v>0.3392</v>
      </c>
      <c r="BD1120" s="624">
        <v>39822</v>
      </c>
      <c r="BE1120" s="355">
        <v>7.5910000000000005E-2</v>
      </c>
      <c r="BF1120" s="624">
        <v>39856</v>
      </c>
      <c r="BG1120" s="355">
        <v>2.0492E-2</v>
      </c>
      <c r="BH1120" s="624">
        <v>39822</v>
      </c>
      <c r="BI1120" s="355">
        <v>9.1220999999999997E-2</v>
      </c>
      <c r="BJ1120" s="624">
        <v>39821</v>
      </c>
      <c r="BK1120" s="355">
        <v>2.8686E-2</v>
      </c>
    </row>
    <row r="1121" spans="3:63" x14ac:dyDescent="0.15">
      <c r="C1121" s="624"/>
      <c r="D1121" s="355">
        <v>3.2149999999999998E-2</v>
      </c>
      <c r="AV1121" s="624"/>
      <c r="AX1121" s="624">
        <v>39826</v>
      </c>
      <c r="AY1121" s="355">
        <v>3.1940000000000003E-2</v>
      </c>
      <c r="AZ1121" s="624">
        <v>39891</v>
      </c>
      <c r="BA1121" s="355">
        <v>1.44E-2</v>
      </c>
      <c r="BB1121" s="624">
        <v>39822</v>
      </c>
      <c r="BC1121" s="355">
        <v>0.33400000000000002</v>
      </c>
      <c r="BD1121" s="624">
        <v>39825</v>
      </c>
      <c r="BE1121" s="355">
        <v>7.3300000000000004E-2</v>
      </c>
      <c r="BF1121" s="624">
        <v>39857</v>
      </c>
      <c r="BG1121" s="355">
        <v>2.0587000000000001E-2</v>
      </c>
      <c r="BH1121" s="624">
        <v>39825</v>
      </c>
      <c r="BI1121" s="355">
        <v>8.8890999999999998E-2</v>
      </c>
      <c r="BJ1121" s="624">
        <v>39822</v>
      </c>
      <c r="BK1121" s="355">
        <v>2.8697E-2</v>
      </c>
    </row>
    <row r="1122" spans="3:63" x14ac:dyDescent="0.15">
      <c r="C1122" s="624"/>
      <c r="D1122" s="355">
        <v>3.1940000000000003E-2</v>
      </c>
      <c r="AV1122" s="624"/>
      <c r="AX1122" s="624">
        <v>39827</v>
      </c>
      <c r="AY1122" s="355">
        <v>3.1510000000000003E-2</v>
      </c>
      <c r="AZ1122" s="624">
        <v>39892</v>
      </c>
      <c r="BA1122" s="355">
        <v>1.44E-2</v>
      </c>
      <c r="BB1122" s="624">
        <v>39825</v>
      </c>
      <c r="BC1122" s="355">
        <v>0.32300000000000001</v>
      </c>
      <c r="BD1122" s="624">
        <v>39826</v>
      </c>
      <c r="BE1122" s="355">
        <v>7.4109999999999995E-2</v>
      </c>
      <c r="BF1122" s="624">
        <v>39860</v>
      </c>
      <c r="BG1122" s="355">
        <v>2.0475E-2</v>
      </c>
      <c r="BH1122" s="624">
        <v>39826</v>
      </c>
      <c r="BI1122" s="355">
        <v>8.9900999999999995E-2</v>
      </c>
      <c r="BJ1122" s="624">
        <v>39825</v>
      </c>
      <c r="BK1122" s="355">
        <v>2.8653000000000001E-2</v>
      </c>
    </row>
    <row r="1123" spans="3:63" x14ac:dyDescent="0.15">
      <c r="C1123" s="624"/>
      <c r="D1123" s="355">
        <v>3.1510000000000003E-2</v>
      </c>
      <c r="AV1123" s="624"/>
      <c r="AX1123" s="624">
        <v>39828</v>
      </c>
      <c r="AY1123" s="355">
        <v>3.091E-2</v>
      </c>
      <c r="AZ1123" s="624">
        <v>39895</v>
      </c>
      <c r="BA1123" s="355">
        <v>1.44E-2</v>
      </c>
      <c r="BB1123" s="624">
        <v>39826</v>
      </c>
      <c r="BC1123" s="355">
        <v>0.31869999999999998</v>
      </c>
      <c r="BD1123" s="624">
        <v>39827</v>
      </c>
      <c r="BE1123" s="355">
        <v>7.3669999999999999E-2</v>
      </c>
      <c r="BF1123" s="624">
        <v>39861</v>
      </c>
      <c r="BG1123" s="355">
        <v>2.0129000000000001E-2</v>
      </c>
      <c r="BH1123" s="624">
        <v>39827</v>
      </c>
      <c r="BI1123" s="355">
        <v>8.9622999999999994E-2</v>
      </c>
      <c r="BJ1123" s="624">
        <v>39826</v>
      </c>
      <c r="BK1123" s="355">
        <v>2.8686E-2</v>
      </c>
    </row>
    <row r="1124" spans="3:63" x14ac:dyDescent="0.15">
      <c r="C1124" s="624"/>
      <c r="D1124" s="355">
        <v>3.091E-2</v>
      </c>
      <c r="AV1124" s="624"/>
      <c r="AX1124" s="624">
        <v>39829</v>
      </c>
      <c r="AY1124" s="355">
        <v>3.074E-2</v>
      </c>
      <c r="AZ1124" s="624">
        <v>39896</v>
      </c>
      <c r="BA1124" s="355">
        <v>1.4200000000000001E-2</v>
      </c>
      <c r="BB1124" s="624">
        <v>39827</v>
      </c>
      <c r="BC1124" s="355">
        <v>0.31590000000000001</v>
      </c>
      <c r="BD1124" s="624">
        <v>39828</v>
      </c>
      <c r="BE1124" s="355">
        <v>7.2969999999999993E-2</v>
      </c>
      <c r="BF1124" s="624">
        <v>39862</v>
      </c>
      <c r="BG1124" s="355">
        <v>2.0029999999999999E-2</v>
      </c>
      <c r="BH1124" s="624">
        <v>39828</v>
      </c>
      <c r="BI1124" s="355">
        <v>8.9643E-2</v>
      </c>
      <c r="BJ1124" s="624">
        <v>39827</v>
      </c>
      <c r="BK1124" s="355">
        <v>2.8605999999999999E-2</v>
      </c>
    </row>
    <row r="1125" spans="3:63" x14ac:dyDescent="0.15">
      <c r="C1125" s="624"/>
      <c r="D1125" s="355">
        <v>3.074E-2</v>
      </c>
      <c r="AV1125" s="624"/>
      <c r="AX1125" s="624">
        <v>39832</v>
      </c>
      <c r="AY1125" s="355">
        <v>2.9950000000000001E-2</v>
      </c>
      <c r="AZ1125" s="624">
        <v>39897</v>
      </c>
      <c r="BA1125" s="355">
        <v>1.43E-2</v>
      </c>
      <c r="BB1125" s="624">
        <v>39828</v>
      </c>
      <c r="BC1125" s="355">
        <v>0.31409999999999999</v>
      </c>
      <c r="BD1125" s="624">
        <v>39829</v>
      </c>
      <c r="BE1125" s="355">
        <v>7.3150000000000007E-2</v>
      </c>
      <c r="BF1125" s="624">
        <v>39863</v>
      </c>
      <c r="BG1125" s="355">
        <v>2.0147000000000002E-2</v>
      </c>
      <c r="BH1125" s="624">
        <v>39829</v>
      </c>
      <c r="BI1125" s="355">
        <v>9.0385999999999994E-2</v>
      </c>
      <c r="BJ1125" s="624">
        <v>39828</v>
      </c>
      <c r="BK1125" s="355">
        <v>2.8625000000000001E-2</v>
      </c>
    </row>
    <row r="1126" spans="3:63" x14ac:dyDescent="0.15">
      <c r="C1126" s="624"/>
      <c r="D1126" s="355">
        <v>2.9950000000000001E-2</v>
      </c>
      <c r="AV1126" s="624"/>
      <c r="AX1126" s="624">
        <v>39833</v>
      </c>
      <c r="AY1126" s="355">
        <v>3.0300000000000001E-2</v>
      </c>
      <c r="AZ1126" s="624">
        <v>39898</v>
      </c>
      <c r="BA1126" s="355">
        <v>1.43E-2</v>
      </c>
      <c r="BB1126" s="624">
        <v>39829</v>
      </c>
      <c r="BC1126" s="355">
        <v>0.3095</v>
      </c>
      <c r="BD1126" s="624">
        <v>39832</v>
      </c>
      <c r="BE1126" s="355">
        <v>7.3120000000000004E-2</v>
      </c>
      <c r="BF1126" s="624">
        <v>39864</v>
      </c>
      <c r="BG1126" s="355">
        <v>2.0101000000000001E-2</v>
      </c>
      <c r="BH1126" s="624">
        <v>39832</v>
      </c>
      <c r="BI1126" s="355">
        <v>8.9486999999999997E-2</v>
      </c>
      <c r="BJ1126" s="624">
        <v>39829</v>
      </c>
      <c r="BK1126" s="355">
        <v>2.8680000000000001E-2</v>
      </c>
    </row>
    <row r="1127" spans="3:63" x14ac:dyDescent="0.15">
      <c r="C1127" s="624"/>
      <c r="D1127" s="355">
        <v>3.0300000000000001E-2</v>
      </c>
      <c r="AV1127" s="624"/>
      <c r="AX1127" s="624">
        <v>39834</v>
      </c>
      <c r="AY1127" s="355">
        <v>3.0640000000000001E-2</v>
      </c>
      <c r="AZ1127" s="624">
        <v>39899</v>
      </c>
      <c r="BA1127" s="355">
        <v>1.4E-2</v>
      </c>
      <c r="BB1127" s="624">
        <v>39832</v>
      </c>
      <c r="BC1127" s="355">
        <v>0.30330000000000001</v>
      </c>
      <c r="BD1127" s="624">
        <v>39833</v>
      </c>
      <c r="BE1127" s="355">
        <v>7.3050000000000004E-2</v>
      </c>
      <c r="BF1127" s="624">
        <v>39867</v>
      </c>
      <c r="BG1127" s="355">
        <v>2.0112999999999999E-2</v>
      </c>
      <c r="BH1127" s="624">
        <v>39833</v>
      </c>
      <c r="BI1127" s="355">
        <v>8.8293999999999997E-2</v>
      </c>
      <c r="BJ1127" s="624">
        <v>39832</v>
      </c>
      <c r="BK1127" s="355">
        <v>2.8611999999999999E-2</v>
      </c>
    </row>
    <row r="1128" spans="3:63" x14ac:dyDescent="0.15">
      <c r="C1128" s="624"/>
      <c r="D1128" s="355">
        <v>3.0640000000000001E-2</v>
      </c>
      <c r="AV1128" s="624"/>
      <c r="AX1128" s="624">
        <v>39835</v>
      </c>
      <c r="AY1128" s="355">
        <v>3.058E-2</v>
      </c>
      <c r="AZ1128" s="624">
        <v>39902</v>
      </c>
      <c r="BA1128" s="355">
        <v>1.3899999999999999E-2</v>
      </c>
      <c r="BB1128" s="624">
        <v>39833</v>
      </c>
      <c r="BC1128" s="355">
        <v>0.29670000000000002</v>
      </c>
      <c r="BD1128" s="624">
        <v>39834</v>
      </c>
      <c r="BE1128" s="355">
        <v>7.3370000000000005E-2</v>
      </c>
      <c r="BF1128" s="624">
        <v>39868</v>
      </c>
      <c r="BG1128" s="355">
        <v>2.0036000000000002E-2</v>
      </c>
      <c r="BH1128" s="624">
        <v>39834</v>
      </c>
      <c r="BI1128" s="355">
        <v>9.0051000000000006E-2</v>
      </c>
      <c r="BJ1128" s="624">
        <v>39833</v>
      </c>
      <c r="BK1128" s="355">
        <v>2.8590999999999998E-2</v>
      </c>
    </row>
    <row r="1129" spans="3:63" x14ac:dyDescent="0.15">
      <c r="C1129" s="624"/>
      <c r="D1129" s="355">
        <v>3.058E-2</v>
      </c>
      <c r="AV1129" s="624"/>
      <c r="AX1129" s="624">
        <v>39836</v>
      </c>
      <c r="AY1129" s="355">
        <v>3.0429999999999999E-2</v>
      </c>
      <c r="AZ1129" s="624">
        <v>39903</v>
      </c>
      <c r="BA1129" s="355">
        <v>1.4E-2</v>
      </c>
      <c r="BB1129" s="624">
        <v>39834</v>
      </c>
      <c r="BC1129" s="355">
        <v>0.30209999999999998</v>
      </c>
      <c r="BD1129" s="624">
        <v>39835</v>
      </c>
      <c r="BE1129" s="355">
        <v>7.2179999999999994E-2</v>
      </c>
      <c r="BF1129" s="624">
        <v>39869</v>
      </c>
      <c r="BG1129" s="355">
        <v>2.0028000000000001E-2</v>
      </c>
      <c r="BH1129" s="624">
        <v>39835</v>
      </c>
      <c r="BI1129" s="355">
        <v>8.8888999999999996E-2</v>
      </c>
      <c r="BJ1129" s="624">
        <v>39834</v>
      </c>
      <c r="BK1129" s="355">
        <v>2.8621000000000001E-2</v>
      </c>
    </row>
    <row r="1130" spans="3:63" x14ac:dyDescent="0.15">
      <c r="C1130" s="624"/>
      <c r="D1130" s="355">
        <v>3.0429999999999999E-2</v>
      </c>
      <c r="AV1130" s="624"/>
      <c r="AX1130" s="624">
        <v>39839</v>
      </c>
      <c r="AY1130" s="355">
        <v>3.0499999999999999E-2</v>
      </c>
      <c r="AZ1130" s="624">
        <v>39904</v>
      </c>
      <c r="BA1130" s="355">
        <v>1.4E-2</v>
      </c>
      <c r="BB1130" s="624">
        <v>39835</v>
      </c>
      <c r="BC1130" s="355">
        <v>0.29770000000000002</v>
      </c>
      <c r="BD1130" s="624">
        <v>39836</v>
      </c>
      <c r="BE1130" s="355">
        <v>7.1319999999999995E-2</v>
      </c>
      <c r="BF1130" s="624">
        <v>39870</v>
      </c>
      <c r="BG1130" s="355">
        <v>1.9821999999999999E-2</v>
      </c>
      <c r="BH1130" s="624">
        <v>39836</v>
      </c>
      <c r="BI1130" s="355">
        <v>8.8125999999999996E-2</v>
      </c>
      <c r="BJ1130" s="624">
        <v>39835</v>
      </c>
      <c r="BK1130" s="355">
        <v>2.8653000000000001E-2</v>
      </c>
    </row>
    <row r="1131" spans="3:63" x14ac:dyDescent="0.15">
      <c r="C1131" s="624"/>
      <c r="D1131" s="355">
        <v>3.0499999999999999E-2</v>
      </c>
      <c r="AV1131" s="624"/>
      <c r="AX1131" s="624">
        <v>39840</v>
      </c>
      <c r="AY1131" s="355">
        <v>3.023E-2</v>
      </c>
      <c r="AZ1131" s="624">
        <v>39905</v>
      </c>
      <c r="BA1131" s="355">
        <v>1.43E-2</v>
      </c>
      <c r="BB1131" s="624">
        <v>39836</v>
      </c>
      <c r="BC1131" s="355">
        <v>0.2944</v>
      </c>
      <c r="BD1131" s="624">
        <v>39839</v>
      </c>
      <c r="BE1131" s="355">
        <v>7.1209999999999996E-2</v>
      </c>
      <c r="BF1131" s="624">
        <v>39871</v>
      </c>
      <c r="BG1131" s="355">
        <v>1.9459000000000001E-2</v>
      </c>
      <c r="BH1131" s="624">
        <v>39839</v>
      </c>
      <c r="BI1131" s="355">
        <v>8.8771000000000003E-2</v>
      </c>
      <c r="BJ1131" s="624">
        <v>39836</v>
      </c>
      <c r="BK1131" s="355">
        <v>2.8611999999999999E-2</v>
      </c>
    </row>
    <row r="1132" spans="3:63" x14ac:dyDescent="0.15">
      <c r="C1132" s="624"/>
      <c r="D1132" s="355">
        <v>3.023E-2</v>
      </c>
      <c r="AV1132" s="624"/>
      <c r="AX1132" s="624">
        <v>39841</v>
      </c>
      <c r="AY1132" s="355">
        <v>2.9489999999999999E-2</v>
      </c>
      <c r="AZ1132" s="624">
        <v>39906</v>
      </c>
      <c r="BA1132" s="355">
        <v>1.44E-2</v>
      </c>
      <c r="BB1132" s="624">
        <v>39839</v>
      </c>
      <c r="BC1132" s="355">
        <v>0.30059999999999998</v>
      </c>
      <c r="BD1132" s="624">
        <v>39840</v>
      </c>
      <c r="BE1132" s="355">
        <v>7.1749999999999994E-2</v>
      </c>
      <c r="BF1132" s="624">
        <v>39874</v>
      </c>
      <c r="BG1132" s="355">
        <v>1.9252999999999999E-2</v>
      </c>
      <c r="BH1132" s="624">
        <v>39840</v>
      </c>
      <c r="BI1132" s="355">
        <v>8.8300000000000003E-2</v>
      </c>
      <c r="BJ1132" s="624">
        <v>39839</v>
      </c>
      <c r="BK1132" s="355">
        <v>2.8649000000000001E-2</v>
      </c>
    </row>
    <row r="1133" spans="3:63" x14ac:dyDescent="0.15">
      <c r="C1133" s="624"/>
      <c r="D1133" s="355">
        <v>2.9489999999999999E-2</v>
      </c>
      <c r="AV1133" s="624"/>
      <c r="AX1133" s="624">
        <v>39842</v>
      </c>
      <c r="AY1133" s="355">
        <v>2.8500000000000001E-2</v>
      </c>
      <c r="AZ1133" s="624">
        <v>39909</v>
      </c>
      <c r="BA1133" s="355">
        <v>1.43E-2</v>
      </c>
      <c r="BB1133" s="624">
        <v>39840</v>
      </c>
      <c r="BC1133" s="355">
        <v>0.29920000000000002</v>
      </c>
      <c r="BD1133" s="624">
        <v>39841</v>
      </c>
      <c r="BE1133" s="355">
        <v>7.3580000000000007E-2</v>
      </c>
      <c r="BF1133" s="624">
        <v>39875</v>
      </c>
      <c r="BG1133" s="355">
        <v>1.9238000000000002E-2</v>
      </c>
      <c r="BH1133" s="624">
        <v>39841</v>
      </c>
      <c r="BI1133" s="355">
        <v>8.8302000000000005E-2</v>
      </c>
      <c r="BJ1133" s="624">
        <v>39840</v>
      </c>
      <c r="BK1133" s="355">
        <v>2.8656999999999998E-2</v>
      </c>
    </row>
    <row r="1134" spans="3:63" x14ac:dyDescent="0.15">
      <c r="C1134" s="624"/>
      <c r="D1134" s="355">
        <v>2.8500000000000001E-2</v>
      </c>
      <c r="AV1134" s="624"/>
      <c r="AX1134" s="624">
        <v>39843</v>
      </c>
      <c r="AY1134" s="355">
        <v>2.7980000000000001E-2</v>
      </c>
      <c r="AZ1134" s="624">
        <v>39910</v>
      </c>
      <c r="BA1134" s="355">
        <v>1.4200000000000001E-2</v>
      </c>
      <c r="BB1134" s="624">
        <v>39841</v>
      </c>
      <c r="BC1134" s="355">
        <v>0.30309999999999998</v>
      </c>
      <c r="BD1134" s="624">
        <v>39842</v>
      </c>
      <c r="BE1134" s="355">
        <v>7.2459999999999997E-2</v>
      </c>
      <c r="BF1134" s="624">
        <v>39876</v>
      </c>
      <c r="BG1134" s="355">
        <v>1.9406E-2</v>
      </c>
      <c r="BH1134" s="624">
        <v>39842</v>
      </c>
      <c r="BI1134" s="355">
        <v>8.8339000000000001E-2</v>
      </c>
      <c r="BJ1134" s="624">
        <v>39841</v>
      </c>
      <c r="BK1134" s="355">
        <v>2.8641E-2</v>
      </c>
    </row>
    <row r="1135" spans="3:63" x14ac:dyDescent="0.15">
      <c r="C1135" s="624"/>
      <c r="D1135" s="355">
        <v>2.7980000000000001E-2</v>
      </c>
      <c r="AV1135" s="624"/>
      <c r="AX1135" s="624">
        <v>39846</v>
      </c>
      <c r="AY1135" s="355">
        <v>2.768E-2</v>
      </c>
      <c r="AZ1135" s="624">
        <v>39911</v>
      </c>
      <c r="BA1135" s="355">
        <v>1.4200000000000001E-2</v>
      </c>
      <c r="BB1135" s="624">
        <v>39842</v>
      </c>
      <c r="BC1135" s="355">
        <v>0.2949</v>
      </c>
      <c r="BD1135" s="624">
        <v>39843</v>
      </c>
      <c r="BE1135" s="355">
        <v>7.1779999999999997E-2</v>
      </c>
      <c r="BF1135" s="624">
        <v>39877</v>
      </c>
      <c r="BG1135" s="355">
        <v>1.932E-2</v>
      </c>
      <c r="BH1135" s="624">
        <v>39843</v>
      </c>
      <c r="BI1135" s="355">
        <v>8.7335999999999997E-2</v>
      </c>
      <c r="BJ1135" s="624">
        <v>39842</v>
      </c>
      <c r="BK1135" s="355">
        <v>2.8615999999999999E-2</v>
      </c>
    </row>
    <row r="1136" spans="3:63" x14ac:dyDescent="0.15">
      <c r="C1136" s="624"/>
      <c r="D1136" s="355">
        <v>2.768E-2</v>
      </c>
      <c r="AV1136" s="624"/>
      <c r="AX1136" s="624">
        <v>39847</v>
      </c>
      <c r="AY1136" s="355">
        <v>2.7810000000000001E-2</v>
      </c>
      <c r="AZ1136" s="624">
        <v>39912</v>
      </c>
      <c r="BA1136" s="355">
        <v>1.4E-2</v>
      </c>
      <c r="BB1136" s="624">
        <v>39843</v>
      </c>
      <c r="BC1136" s="355">
        <v>0.28710000000000002</v>
      </c>
      <c r="BD1136" s="624">
        <v>39846</v>
      </c>
      <c r="BE1136" s="355">
        <v>7.1260000000000004E-2</v>
      </c>
      <c r="BF1136" s="624">
        <v>39878</v>
      </c>
      <c r="BG1136" s="355">
        <v>1.9345999999999999E-2</v>
      </c>
      <c r="BH1136" s="624">
        <v>39846</v>
      </c>
      <c r="BI1136" s="355">
        <v>8.5654999999999995E-2</v>
      </c>
      <c r="BJ1136" s="624">
        <v>39843</v>
      </c>
      <c r="BK1136" s="355">
        <v>2.8591999999999999E-2</v>
      </c>
    </row>
    <row r="1137" spans="3:63" x14ac:dyDescent="0.15">
      <c r="C1137" s="624"/>
      <c r="D1137" s="355">
        <v>2.7810000000000001E-2</v>
      </c>
      <c r="AV1137" s="624"/>
      <c r="AX1137" s="624">
        <v>39848</v>
      </c>
      <c r="AY1137" s="355">
        <v>2.7570000000000001E-2</v>
      </c>
      <c r="AZ1137" s="624">
        <v>39913</v>
      </c>
      <c r="BA1137" s="355">
        <v>1.4E-2</v>
      </c>
      <c r="BB1137" s="624">
        <v>39846</v>
      </c>
      <c r="BC1137" s="355">
        <v>0.28639999999999999</v>
      </c>
      <c r="BD1137" s="624">
        <v>39847</v>
      </c>
      <c r="BE1137" s="355">
        <v>7.2249999999999995E-2</v>
      </c>
      <c r="BF1137" s="624">
        <v>39881</v>
      </c>
      <c r="BG1137" s="355">
        <v>1.9286000000000001E-2</v>
      </c>
      <c r="BH1137" s="624">
        <v>39847</v>
      </c>
      <c r="BI1137" s="355">
        <v>8.5205000000000003E-2</v>
      </c>
      <c r="BJ1137" s="624">
        <v>39846</v>
      </c>
      <c r="BK1137" s="355">
        <v>2.8596E-2</v>
      </c>
    </row>
    <row r="1138" spans="3:63" x14ac:dyDescent="0.15">
      <c r="C1138" s="624"/>
      <c r="D1138" s="355">
        <v>2.7570000000000001E-2</v>
      </c>
      <c r="AV1138" s="624"/>
      <c r="AX1138" s="624">
        <v>39849</v>
      </c>
      <c r="AY1138" s="355">
        <v>2.75E-2</v>
      </c>
      <c r="AZ1138" s="624">
        <v>39916</v>
      </c>
      <c r="BA1138" s="355">
        <v>1.4200000000000001E-2</v>
      </c>
      <c r="BB1138" s="624">
        <v>39847</v>
      </c>
      <c r="BC1138" s="355">
        <v>0.28089999999999998</v>
      </c>
      <c r="BD1138" s="624">
        <v>39848</v>
      </c>
      <c r="BE1138" s="355">
        <v>7.2429999999999994E-2</v>
      </c>
      <c r="BF1138" s="624">
        <v>39884</v>
      </c>
      <c r="BG1138" s="355">
        <v>1.9283000000000002E-2</v>
      </c>
      <c r="BH1138" s="624">
        <v>39848</v>
      </c>
      <c r="BI1138" s="355">
        <v>8.5653999999999994E-2</v>
      </c>
      <c r="BJ1138" s="624">
        <v>39847</v>
      </c>
      <c r="BK1138" s="355">
        <v>2.8601000000000001E-2</v>
      </c>
    </row>
    <row r="1139" spans="3:63" x14ac:dyDescent="0.15">
      <c r="C1139" s="624"/>
      <c r="D1139" s="355">
        <v>2.75E-2</v>
      </c>
      <c r="AV1139" s="624"/>
      <c r="AX1139" s="624">
        <v>39850</v>
      </c>
      <c r="AY1139" s="355">
        <v>2.7650000000000001E-2</v>
      </c>
      <c r="AZ1139" s="624">
        <v>39917</v>
      </c>
      <c r="BA1139" s="355">
        <v>1.41E-2</v>
      </c>
      <c r="BB1139" s="624">
        <v>39848</v>
      </c>
      <c r="BC1139" s="355">
        <v>0.27539999999999998</v>
      </c>
      <c r="BD1139" s="624">
        <v>39849</v>
      </c>
      <c r="BE1139" s="355">
        <v>7.2730000000000003E-2</v>
      </c>
      <c r="BF1139" s="624">
        <v>39885</v>
      </c>
      <c r="BG1139" s="355">
        <v>1.9417E-2</v>
      </c>
      <c r="BH1139" s="624">
        <v>39849</v>
      </c>
      <c r="BI1139" s="355">
        <v>8.5125000000000006E-2</v>
      </c>
      <c r="BJ1139" s="624">
        <v>39848</v>
      </c>
      <c r="BK1139" s="355">
        <v>2.8625000000000001E-2</v>
      </c>
    </row>
    <row r="1140" spans="3:63" x14ac:dyDescent="0.15">
      <c r="C1140" s="624"/>
      <c r="D1140" s="355">
        <v>2.7650000000000001E-2</v>
      </c>
      <c r="AV1140" s="624"/>
      <c r="AX1140" s="624">
        <v>39853</v>
      </c>
      <c r="AY1140" s="355">
        <v>2.7869999999999999E-2</v>
      </c>
      <c r="AZ1140" s="624">
        <v>39918</v>
      </c>
      <c r="BA1140" s="355">
        <v>1.4200000000000001E-2</v>
      </c>
      <c r="BB1140" s="624">
        <v>39849</v>
      </c>
      <c r="BC1140" s="355">
        <v>0.27760000000000001</v>
      </c>
      <c r="BD1140" s="624">
        <v>39850</v>
      </c>
      <c r="BE1140" s="355">
        <v>7.2999999999999995E-2</v>
      </c>
      <c r="BF1140" s="624">
        <v>39888</v>
      </c>
      <c r="BG1140" s="355">
        <v>1.9456000000000001E-2</v>
      </c>
      <c r="BH1140" s="624">
        <v>39850</v>
      </c>
      <c r="BI1140" s="355">
        <v>8.5569000000000006E-2</v>
      </c>
      <c r="BJ1140" s="624">
        <v>39849</v>
      </c>
      <c r="BK1140" s="355">
        <v>2.8594000000000001E-2</v>
      </c>
    </row>
    <row r="1141" spans="3:63" x14ac:dyDescent="0.15">
      <c r="C1141" s="624"/>
      <c r="D1141" s="355">
        <v>2.7869999999999999E-2</v>
      </c>
      <c r="AV1141" s="624"/>
      <c r="AX1141" s="624">
        <v>39854</v>
      </c>
      <c r="AY1141" s="355">
        <v>2.7900000000000001E-2</v>
      </c>
      <c r="AZ1141" s="624">
        <v>39919</v>
      </c>
      <c r="BA1141" s="355">
        <v>1.4200000000000001E-2</v>
      </c>
      <c r="BB1141" s="624">
        <v>39850</v>
      </c>
      <c r="BC1141" s="355">
        <v>0.28570000000000001</v>
      </c>
      <c r="BD1141" s="624">
        <v>39853</v>
      </c>
      <c r="BE1141" s="355">
        <v>7.2230000000000003E-2</v>
      </c>
      <c r="BF1141" s="624">
        <v>39889</v>
      </c>
      <c r="BG1141" s="355">
        <v>1.9421999999999998E-2</v>
      </c>
      <c r="BH1141" s="624">
        <v>39853</v>
      </c>
      <c r="BI1141" s="355">
        <v>8.4830000000000003E-2</v>
      </c>
      <c r="BJ1141" s="624">
        <v>39850</v>
      </c>
      <c r="BK1141" s="355">
        <v>2.8555000000000001E-2</v>
      </c>
    </row>
    <row r="1142" spans="3:63" x14ac:dyDescent="0.15">
      <c r="C1142" s="624"/>
      <c r="D1142" s="355">
        <v>2.7900000000000001E-2</v>
      </c>
      <c r="AV1142" s="624"/>
      <c r="AX1142" s="624">
        <v>39855</v>
      </c>
      <c r="AY1142" s="355">
        <v>2.8490000000000001E-2</v>
      </c>
      <c r="AZ1142" s="624">
        <v>39920</v>
      </c>
      <c r="BA1142" s="355">
        <v>1.4E-2</v>
      </c>
      <c r="BB1142" s="624">
        <v>39853</v>
      </c>
      <c r="BC1142" s="355">
        <v>0.29360000000000003</v>
      </c>
      <c r="BD1142" s="624">
        <v>39854</v>
      </c>
      <c r="BE1142" s="355">
        <v>7.0209999999999995E-2</v>
      </c>
      <c r="BF1142" s="624">
        <v>39890</v>
      </c>
      <c r="BG1142" s="355">
        <v>1.9494000000000001E-2</v>
      </c>
      <c r="BH1142" s="624">
        <v>39854</v>
      </c>
      <c r="BI1142" s="355">
        <v>8.4766999999999995E-2</v>
      </c>
      <c r="BJ1142" s="624">
        <v>39853</v>
      </c>
      <c r="BK1142" s="355">
        <v>2.8570999999999999E-2</v>
      </c>
    </row>
    <row r="1143" spans="3:63" x14ac:dyDescent="0.15">
      <c r="C1143" s="624"/>
      <c r="D1143" s="355">
        <v>2.8490000000000001E-2</v>
      </c>
      <c r="AV1143" s="624"/>
      <c r="AX1143" s="624">
        <v>39856</v>
      </c>
      <c r="AY1143" s="355">
        <v>2.886E-2</v>
      </c>
      <c r="AZ1143" s="624">
        <v>39923</v>
      </c>
      <c r="BA1143" s="355">
        <v>1.3899999999999999E-2</v>
      </c>
      <c r="BB1143" s="624">
        <v>39854</v>
      </c>
      <c r="BC1143" s="355">
        <v>0.28370000000000001</v>
      </c>
      <c r="BD1143" s="624">
        <v>39855</v>
      </c>
      <c r="BE1143" s="355">
        <v>7.195E-2</v>
      </c>
      <c r="BF1143" s="624">
        <v>39891</v>
      </c>
      <c r="BG1143" s="355">
        <v>1.9844000000000001E-2</v>
      </c>
      <c r="BH1143" s="624">
        <v>39855</v>
      </c>
      <c r="BI1143" s="355">
        <v>8.4961999999999996E-2</v>
      </c>
      <c r="BJ1143" s="624">
        <v>39854</v>
      </c>
      <c r="BK1143" s="355">
        <v>2.8569000000000001E-2</v>
      </c>
    </row>
    <row r="1144" spans="3:63" x14ac:dyDescent="0.15">
      <c r="C1144" s="624"/>
      <c r="D1144" s="355">
        <v>2.886E-2</v>
      </c>
      <c r="AV1144" s="624"/>
      <c r="AX1144" s="624">
        <v>39857</v>
      </c>
      <c r="AY1144" s="355">
        <v>2.8879999999999999E-2</v>
      </c>
      <c r="AZ1144" s="624">
        <v>39924</v>
      </c>
      <c r="BA1144" s="355">
        <v>1.3899999999999999E-2</v>
      </c>
      <c r="BB1144" s="624">
        <v>39855</v>
      </c>
      <c r="BC1144" s="355">
        <v>0.28420000000000001</v>
      </c>
      <c r="BD1144" s="624">
        <v>39856</v>
      </c>
      <c r="BE1144" s="355">
        <v>7.1010000000000004E-2</v>
      </c>
      <c r="BF1144" s="624">
        <v>39892</v>
      </c>
      <c r="BG1144" s="355">
        <v>1.9744999999999999E-2</v>
      </c>
      <c r="BH1144" s="624">
        <v>39856</v>
      </c>
      <c r="BI1144" s="355">
        <v>8.2850999999999994E-2</v>
      </c>
      <c r="BJ1144" s="624">
        <v>39855</v>
      </c>
      <c r="BK1144" s="355">
        <v>2.8504000000000002E-2</v>
      </c>
    </row>
    <row r="1145" spans="3:63" x14ac:dyDescent="0.15">
      <c r="C1145" s="624"/>
      <c r="D1145" s="355">
        <v>2.8879999999999999E-2</v>
      </c>
      <c r="AV1145" s="624"/>
      <c r="AX1145" s="624">
        <v>39860</v>
      </c>
      <c r="AY1145" s="355">
        <v>2.845E-2</v>
      </c>
      <c r="AZ1145" s="624">
        <v>39925</v>
      </c>
      <c r="BA1145" s="355">
        <v>1.3899999999999999E-2</v>
      </c>
      <c r="BB1145" s="624">
        <v>39856</v>
      </c>
      <c r="BC1145" s="355">
        <v>0.27839999999999998</v>
      </c>
      <c r="BD1145" s="624">
        <v>39857</v>
      </c>
      <c r="BE1145" s="355">
        <v>7.1010000000000004E-2</v>
      </c>
      <c r="BF1145" s="624">
        <v>39895</v>
      </c>
      <c r="BG1145" s="355">
        <v>1.9814999999999999E-2</v>
      </c>
      <c r="BH1145" s="624">
        <v>39857</v>
      </c>
      <c r="BI1145" s="355">
        <v>8.4530999999999995E-2</v>
      </c>
      <c r="BJ1145" s="624">
        <v>39856</v>
      </c>
      <c r="BK1145" s="355">
        <v>2.8431000000000001E-2</v>
      </c>
    </row>
    <row r="1146" spans="3:63" x14ac:dyDescent="0.15">
      <c r="C1146" s="624"/>
      <c r="D1146" s="355">
        <v>2.845E-2</v>
      </c>
      <c r="AV1146" s="624"/>
      <c r="AX1146" s="624">
        <v>39861</v>
      </c>
      <c r="AY1146" s="355">
        <v>2.751E-2</v>
      </c>
      <c r="AZ1146" s="624">
        <v>39926</v>
      </c>
      <c r="BA1146" s="355">
        <v>1.38E-2</v>
      </c>
      <c r="BB1146" s="624">
        <v>39857</v>
      </c>
      <c r="BC1146" s="355">
        <v>0.2767</v>
      </c>
      <c r="BD1146" s="624">
        <v>39860</v>
      </c>
      <c r="BE1146" s="355">
        <v>7.0050000000000001E-2</v>
      </c>
      <c r="BF1146" s="624">
        <v>39896</v>
      </c>
      <c r="BG1146" s="355">
        <v>1.9717999999999999E-2</v>
      </c>
      <c r="BH1146" s="624">
        <v>39860</v>
      </c>
      <c r="BI1146" s="355">
        <v>8.4040000000000004E-2</v>
      </c>
      <c r="BJ1146" s="624">
        <v>39857</v>
      </c>
      <c r="BK1146" s="355">
        <v>2.8445000000000002E-2</v>
      </c>
    </row>
    <row r="1147" spans="3:63" x14ac:dyDescent="0.15">
      <c r="C1147" s="624"/>
      <c r="D1147" s="355">
        <v>2.751E-2</v>
      </c>
      <c r="AV1147" s="624"/>
      <c r="AX1147" s="624">
        <v>39862</v>
      </c>
      <c r="AY1147" s="355">
        <v>2.7519999999999999E-2</v>
      </c>
      <c r="AZ1147" s="624">
        <v>39927</v>
      </c>
      <c r="BA1147" s="355">
        <v>1.4E-2</v>
      </c>
      <c r="BB1147" s="624">
        <v>39860</v>
      </c>
      <c r="BC1147" s="355">
        <v>0.26440000000000002</v>
      </c>
      <c r="BD1147" s="624">
        <v>39861</v>
      </c>
      <c r="BE1147" s="355">
        <v>6.8349999999999994E-2</v>
      </c>
      <c r="BF1147" s="624">
        <v>39897</v>
      </c>
      <c r="BG1147" s="355">
        <v>1.9708E-2</v>
      </c>
      <c r="BH1147" s="624">
        <v>39861</v>
      </c>
      <c r="BI1147" s="355">
        <v>8.4033999999999998E-2</v>
      </c>
      <c r="BJ1147" s="624">
        <v>39860</v>
      </c>
      <c r="BK1147" s="355">
        <v>2.8423E-2</v>
      </c>
    </row>
    <row r="1148" spans="3:63" x14ac:dyDescent="0.15">
      <c r="C1148" s="624"/>
      <c r="D1148" s="355">
        <v>2.7519999999999999E-2</v>
      </c>
      <c r="AV1148" s="624"/>
      <c r="AX1148" s="624">
        <v>39863</v>
      </c>
      <c r="AY1148" s="355">
        <v>2.7859999999999999E-2</v>
      </c>
      <c r="AZ1148" s="624">
        <v>39930</v>
      </c>
      <c r="BA1148" s="355">
        <v>1.3599999999999999E-2</v>
      </c>
      <c r="BB1148" s="624">
        <v>39861</v>
      </c>
      <c r="BC1148" s="355">
        <v>0.25659999999999999</v>
      </c>
      <c r="BD1148" s="624">
        <v>39862</v>
      </c>
      <c r="BE1148" s="355">
        <v>6.7750000000000005E-2</v>
      </c>
      <c r="BF1148" s="624">
        <v>39898</v>
      </c>
      <c r="BG1148" s="355">
        <v>1.9776999999999999E-2</v>
      </c>
      <c r="BH1148" s="624">
        <v>39862</v>
      </c>
      <c r="BI1148" s="355">
        <v>8.3333000000000004E-2</v>
      </c>
      <c r="BJ1148" s="624">
        <v>39861</v>
      </c>
      <c r="BK1148" s="355">
        <v>2.8357E-2</v>
      </c>
    </row>
    <row r="1149" spans="3:63" x14ac:dyDescent="0.15">
      <c r="C1149" s="624"/>
      <c r="D1149" s="355">
        <v>2.7859999999999999E-2</v>
      </c>
      <c r="AV1149" s="624"/>
      <c r="AX1149" s="624">
        <v>39864</v>
      </c>
      <c r="AY1149" s="355">
        <v>2.784E-2</v>
      </c>
      <c r="AZ1149" s="624">
        <v>39931</v>
      </c>
      <c r="BA1149" s="355">
        <v>1.38E-2</v>
      </c>
      <c r="BB1149" s="624">
        <v>39862</v>
      </c>
      <c r="BC1149" s="355">
        <v>0.26229999999999998</v>
      </c>
      <c r="BD1149" s="624">
        <v>39863</v>
      </c>
      <c r="BE1149" s="355">
        <v>6.7460000000000006E-2</v>
      </c>
      <c r="BF1149" s="624">
        <v>39902</v>
      </c>
      <c r="BG1149" s="355">
        <v>1.9535E-2</v>
      </c>
      <c r="BH1149" s="624">
        <v>39863</v>
      </c>
      <c r="BI1149" s="355">
        <v>8.2682000000000005E-2</v>
      </c>
      <c r="BJ1149" s="624">
        <v>39862</v>
      </c>
      <c r="BK1149" s="355">
        <v>2.8261000000000001E-2</v>
      </c>
    </row>
    <row r="1150" spans="3:63" x14ac:dyDescent="0.15">
      <c r="C1150" s="624"/>
      <c r="D1150" s="355">
        <v>2.784E-2</v>
      </c>
      <c r="AV1150" s="624"/>
      <c r="AX1150" s="624">
        <v>39867</v>
      </c>
      <c r="AY1150" s="355">
        <v>2.7720000000000002E-2</v>
      </c>
      <c r="AZ1150" s="624">
        <v>39932</v>
      </c>
      <c r="BA1150" s="355">
        <v>1.4E-2</v>
      </c>
      <c r="BB1150" s="624">
        <v>39863</v>
      </c>
      <c r="BC1150" s="355">
        <v>0.26429999999999998</v>
      </c>
      <c r="BD1150" s="624">
        <v>39864</v>
      </c>
      <c r="BE1150" s="355">
        <v>6.6009999999999999E-2</v>
      </c>
      <c r="BF1150" s="624">
        <v>39903</v>
      </c>
      <c r="BG1150" s="355">
        <v>1.9712E-2</v>
      </c>
      <c r="BH1150" s="624">
        <v>39864</v>
      </c>
      <c r="BI1150" s="355">
        <v>8.2988000000000006E-2</v>
      </c>
      <c r="BJ1150" s="624">
        <v>39863</v>
      </c>
      <c r="BK1150" s="355">
        <v>2.8119999999999999E-2</v>
      </c>
    </row>
    <row r="1151" spans="3:63" x14ac:dyDescent="0.15">
      <c r="C1151" s="624"/>
      <c r="D1151" s="355">
        <v>2.7720000000000002E-2</v>
      </c>
      <c r="AV1151" s="624"/>
      <c r="AX1151" s="624">
        <v>39868</v>
      </c>
      <c r="AY1151" s="355">
        <v>2.7900000000000001E-2</v>
      </c>
      <c r="AZ1151" s="624">
        <v>39933</v>
      </c>
      <c r="BA1151" s="355">
        <v>1.4E-2</v>
      </c>
      <c r="BB1151" s="624">
        <v>39864</v>
      </c>
      <c r="BC1151" s="355">
        <v>0.27029999999999998</v>
      </c>
      <c r="BD1151" s="624">
        <v>39867</v>
      </c>
      <c r="BE1151" s="355">
        <v>6.6640000000000005E-2</v>
      </c>
      <c r="BF1151" s="624">
        <v>39905</v>
      </c>
      <c r="BG1151" s="355">
        <v>1.9859999999999999E-2</v>
      </c>
      <c r="BH1151" s="624">
        <v>39867</v>
      </c>
      <c r="BI1151" s="355">
        <v>8.3788000000000001E-2</v>
      </c>
      <c r="BJ1151" s="624">
        <v>39864</v>
      </c>
      <c r="BK1151" s="355">
        <v>2.7992E-2</v>
      </c>
    </row>
    <row r="1152" spans="3:63" x14ac:dyDescent="0.15">
      <c r="C1152" s="624"/>
      <c r="D1152" s="355">
        <v>2.7900000000000001E-2</v>
      </c>
      <c r="AV1152" s="624"/>
      <c r="AX1152" s="624">
        <v>39869</v>
      </c>
      <c r="AY1152" s="355">
        <v>2.792E-2</v>
      </c>
      <c r="AZ1152" s="624">
        <v>39934</v>
      </c>
      <c r="BA1152" s="355">
        <v>1.4E-2</v>
      </c>
      <c r="BB1152" s="624">
        <v>39867</v>
      </c>
      <c r="BC1152" s="355">
        <v>0.27250000000000002</v>
      </c>
      <c r="BD1152" s="624">
        <v>39868</v>
      </c>
      <c r="BE1152" s="355">
        <v>6.5930000000000002E-2</v>
      </c>
      <c r="BF1152" s="624">
        <v>39909</v>
      </c>
      <c r="BG1152" s="355">
        <v>1.9966999999999999E-2</v>
      </c>
      <c r="BH1152" s="624">
        <v>39868</v>
      </c>
      <c r="BI1152" s="355">
        <v>8.3543999999999993E-2</v>
      </c>
      <c r="BJ1152" s="624">
        <v>39867</v>
      </c>
      <c r="BK1152" s="355">
        <v>2.8062E-2</v>
      </c>
    </row>
    <row r="1153" spans="3:63" x14ac:dyDescent="0.15">
      <c r="C1153" s="624"/>
      <c r="D1153" s="355">
        <v>2.792E-2</v>
      </c>
      <c r="AV1153" s="624"/>
      <c r="AX1153" s="624">
        <v>39870</v>
      </c>
      <c r="AY1153" s="355">
        <v>2.802E-2</v>
      </c>
      <c r="AZ1153" s="624">
        <v>39937</v>
      </c>
      <c r="BA1153" s="355">
        <v>1.41E-2</v>
      </c>
      <c r="BB1153" s="624">
        <v>39868</v>
      </c>
      <c r="BC1153" s="355">
        <v>0.27760000000000001</v>
      </c>
      <c r="BD1153" s="624">
        <v>39869</v>
      </c>
      <c r="BE1153" s="355">
        <v>6.6100000000000006E-2</v>
      </c>
      <c r="BF1153" s="624">
        <v>39911</v>
      </c>
      <c r="BG1153" s="355">
        <v>1.992E-2</v>
      </c>
      <c r="BH1153" s="624">
        <v>39869</v>
      </c>
      <c r="BI1153" s="355">
        <v>8.3062999999999998E-2</v>
      </c>
      <c r="BJ1153" s="624">
        <v>39868</v>
      </c>
      <c r="BK1153" s="355">
        <v>2.8063999999999999E-2</v>
      </c>
    </row>
    <row r="1154" spans="3:63" x14ac:dyDescent="0.15">
      <c r="C1154" s="624"/>
      <c r="D1154" s="355">
        <v>2.802E-2</v>
      </c>
      <c r="AV1154" s="624"/>
      <c r="AX1154" s="624">
        <v>39871</v>
      </c>
      <c r="AY1154" s="355">
        <v>2.785E-2</v>
      </c>
      <c r="AZ1154" s="624">
        <v>39938</v>
      </c>
      <c r="BA1154" s="355">
        <v>1.41E-2</v>
      </c>
      <c r="BB1154" s="624">
        <v>39869</v>
      </c>
      <c r="BC1154" s="355">
        <v>0.2712</v>
      </c>
      <c r="BD1154" s="624">
        <v>39870</v>
      </c>
      <c r="BE1154" s="355">
        <v>6.5909999999999996E-2</v>
      </c>
      <c r="BF1154" s="624">
        <v>39912</v>
      </c>
      <c r="BG1154" s="355">
        <v>1.9997999999999998E-2</v>
      </c>
      <c r="BH1154" s="624">
        <v>39870</v>
      </c>
      <c r="BI1154" s="355">
        <v>8.3333000000000004E-2</v>
      </c>
      <c r="BJ1154" s="624">
        <v>39869</v>
      </c>
      <c r="BK1154" s="355">
        <v>2.7956000000000002E-2</v>
      </c>
    </row>
    <row r="1155" spans="3:63" x14ac:dyDescent="0.15">
      <c r="C1155" s="624"/>
      <c r="D1155" s="355">
        <v>2.785E-2</v>
      </c>
      <c r="AV1155" s="624"/>
      <c r="AX1155" s="624">
        <v>39874</v>
      </c>
      <c r="AY1155" s="355">
        <v>2.7650000000000001E-2</v>
      </c>
      <c r="AZ1155" s="624">
        <v>39939</v>
      </c>
      <c r="BA1155" s="355">
        <v>1.4E-2</v>
      </c>
      <c r="BB1155" s="624">
        <v>39870</v>
      </c>
      <c r="BC1155" s="355">
        <v>0.27060000000000001</v>
      </c>
      <c r="BD1155" s="624">
        <v>39871</v>
      </c>
      <c r="BE1155" s="355">
        <v>6.5210000000000004E-2</v>
      </c>
      <c r="BF1155" s="624">
        <v>39916</v>
      </c>
      <c r="BG1155" s="355">
        <v>2.0043999999999999E-2</v>
      </c>
      <c r="BH1155" s="624">
        <v>39871</v>
      </c>
      <c r="BI1155" s="355">
        <v>8.3404000000000006E-2</v>
      </c>
      <c r="BJ1155" s="624">
        <v>39870</v>
      </c>
      <c r="BK1155" s="355">
        <v>2.7805E-2</v>
      </c>
    </row>
    <row r="1156" spans="3:63" x14ac:dyDescent="0.15">
      <c r="C1156" s="624"/>
      <c r="D1156" s="355">
        <v>2.7650000000000001E-2</v>
      </c>
      <c r="AV1156" s="624"/>
      <c r="AX1156" s="624">
        <v>39875</v>
      </c>
      <c r="AY1156" s="355">
        <v>2.76E-2</v>
      </c>
      <c r="AZ1156" s="624">
        <v>39940</v>
      </c>
      <c r="BA1156" s="355">
        <v>1.4E-2</v>
      </c>
      <c r="BB1156" s="624">
        <v>39871</v>
      </c>
      <c r="BC1156" s="355">
        <v>0.2727</v>
      </c>
      <c r="BD1156" s="624">
        <v>39874</v>
      </c>
      <c r="BE1156" s="355">
        <v>6.3670000000000004E-2</v>
      </c>
      <c r="BF1156" s="624">
        <v>39918</v>
      </c>
      <c r="BG1156" s="355">
        <v>2.0125000000000001E-2</v>
      </c>
      <c r="BH1156" s="624">
        <v>39874</v>
      </c>
      <c r="BI1156" s="355">
        <v>8.1969E-2</v>
      </c>
      <c r="BJ1156" s="624">
        <v>39871</v>
      </c>
      <c r="BK1156" s="355">
        <v>2.7632E-2</v>
      </c>
    </row>
    <row r="1157" spans="3:63" x14ac:dyDescent="0.15">
      <c r="C1157" s="624"/>
      <c r="D1157" s="355">
        <v>2.76E-2</v>
      </c>
      <c r="AV1157" s="624"/>
      <c r="AX1157" s="624">
        <v>39876</v>
      </c>
      <c r="AY1157" s="355">
        <v>2.7820000000000001E-2</v>
      </c>
      <c r="AZ1157" s="624">
        <v>39941</v>
      </c>
      <c r="BA1157" s="355">
        <v>1.44E-2</v>
      </c>
      <c r="BB1157" s="624">
        <v>39874</v>
      </c>
      <c r="BC1157" s="355">
        <v>0.26390000000000002</v>
      </c>
      <c r="BD1157" s="624">
        <v>39875</v>
      </c>
      <c r="BE1157" s="355">
        <v>6.4439999999999997E-2</v>
      </c>
      <c r="BF1157" s="624">
        <v>39919</v>
      </c>
      <c r="BG1157" s="355">
        <v>2.0093E-2</v>
      </c>
      <c r="BH1157" s="624">
        <v>39875</v>
      </c>
      <c r="BI1157" s="355">
        <v>8.2988000000000006E-2</v>
      </c>
      <c r="BJ1157" s="624">
        <v>39874</v>
      </c>
      <c r="BK1157" s="355">
        <v>2.7567000000000001E-2</v>
      </c>
    </row>
    <row r="1158" spans="3:63" x14ac:dyDescent="0.15">
      <c r="C1158" s="624"/>
      <c r="D1158" s="355">
        <v>2.7820000000000001E-2</v>
      </c>
      <c r="AV1158" s="624"/>
      <c r="AX1158" s="624">
        <v>39877</v>
      </c>
      <c r="AY1158" s="355">
        <v>2.7859999999999999E-2</v>
      </c>
      <c r="AZ1158" s="624">
        <v>39944</v>
      </c>
      <c r="BA1158" s="355">
        <v>1.44E-2</v>
      </c>
      <c r="BB1158" s="624">
        <v>39875</v>
      </c>
      <c r="BC1158" s="355">
        <v>0.26319999999999999</v>
      </c>
      <c r="BD1158" s="624">
        <v>39876</v>
      </c>
      <c r="BE1158" s="355">
        <v>6.4460000000000003E-2</v>
      </c>
      <c r="BF1158" s="624">
        <v>39920</v>
      </c>
      <c r="BG1158" s="355">
        <v>2.0052E-2</v>
      </c>
      <c r="BH1158" s="624">
        <v>39876</v>
      </c>
      <c r="BI1158" s="355">
        <v>8.3335000000000006E-2</v>
      </c>
      <c r="BJ1158" s="624">
        <v>39875</v>
      </c>
      <c r="BK1158" s="355">
        <v>2.768E-2</v>
      </c>
    </row>
    <row r="1159" spans="3:63" x14ac:dyDescent="0.15">
      <c r="C1159" s="624"/>
      <c r="D1159" s="355">
        <v>2.7859999999999999E-2</v>
      </c>
      <c r="AV1159" s="624"/>
      <c r="AX1159" s="624">
        <v>39878</v>
      </c>
      <c r="AY1159" s="355">
        <v>2.7959999999999999E-2</v>
      </c>
      <c r="AZ1159" s="624">
        <v>39945</v>
      </c>
      <c r="BA1159" s="355">
        <v>1.44E-2</v>
      </c>
      <c r="BB1159" s="624">
        <v>39876</v>
      </c>
      <c r="BC1159" s="355">
        <v>0.27100000000000002</v>
      </c>
      <c r="BD1159" s="624">
        <v>39877</v>
      </c>
      <c r="BE1159" s="355">
        <v>6.3140000000000002E-2</v>
      </c>
      <c r="BF1159" s="624">
        <v>39923</v>
      </c>
      <c r="BG1159" s="355">
        <v>1.9886999999999998E-2</v>
      </c>
      <c r="BH1159" s="624">
        <v>39877</v>
      </c>
      <c r="BI1159" s="355">
        <v>8.2752000000000006E-2</v>
      </c>
      <c r="BJ1159" s="624">
        <v>39876</v>
      </c>
      <c r="BK1159" s="355">
        <v>2.7716999999999999E-2</v>
      </c>
    </row>
    <row r="1160" spans="3:63" x14ac:dyDescent="0.15">
      <c r="C1160" s="624"/>
      <c r="D1160" s="355">
        <v>2.7959999999999999E-2</v>
      </c>
      <c r="AV1160" s="624"/>
      <c r="AX1160" s="624">
        <v>39881</v>
      </c>
      <c r="AY1160" s="355">
        <v>2.8049999999999999E-2</v>
      </c>
      <c r="AZ1160" s="624">
        <v>39946</v>
      </c>
      <c r="BA1160" s="355">
        <v>1.43E-2</v>
      </c>
      <c r="BB1160" s="624">
        <v>39877</v>
      </c>
      <c r="BC1160" s="355">
        <v>0.26440000000000002</v>
      </c>
      <c r="BD1160" s="624">
        <v>39878</v>
      </c>
      <c r="BE1160" s="355">
        <v>6.4600000000000005E-2</v>
      </c>
      <c r="BF1160" s="624">
        <v>39924</v>
      </c>
      <c r="BG1160" s="355">
        <v>1.9816E-2</v>
      </c>
      <c r="BH1160" s="624">
        <v>39878</v>
      </c>
      <c r="BI1160" s="355">
        <v>8.3056000000000005E-2</v>
      </c>
      <c r="BJ1160" s="624">
        <v>39877</v>
      </c>
      <c r="BK1160" s="355">
        <v>2.7605000000000001E-2</v>
      </c>
    </row>
    <row r="1161" spans="3:63" x14ac:dyDescent="0.15">
      <c r="C1161" s="624"/>
      <c r="D1161" s="355">
        <v>2.8049999999999999E-2</v>
      </c>
      <c r="AV1161" s="624"/>
      <c r="AX1161" s="624">
        <v>39882</v>
      </c>
      <c r="AY1161" s="355">
        <v>2.853E-2</v>
      </c>
      <c r="AZ1161" s="624">
        <v>39947</v>
      </c>
      <c r="BA1161" s="355">
        <v>1.44E-2</v>
      </c>
      <c r="BB1161" s="624">
        <v>39878</v>
      </c>
      <c r="BC1161" s="355">
        <v>0.26790000000000003</v>
      </c>
      <c r="BD1161" s="624">
        <v>39881</v>
      </c>
      <c r="BE1161" s="355">
        <v>6.4500000000000002E-2</v>
      </c>
      <c r="BF1161" s="624">
        <v>39925</v>
      </c>
      <c r="BG1161" s="355">
        <v>1.9872999999999998E-2</v>
      </c>
      <c r="BH1161" s="624">
        <v>39881</v>
      </c>
      <c r="BI1161" s="355">
        <v>8.3142999999999995E-2</v>
      </c>
      <c r="BJ1161" s="624">
        <v>39878</v>
      </c>
      <c r="BK1161" s="355">
        <v>2.7782000000000001E-2</v>
      </c>
    </row>
    <row r="1162" spans="3:63" x14ac:dyDescent="0.15">
      <c r="C1162" s="624"/>
      <c r="D1162" s="355">
        <v>2.853E-2</v>
      </c>
      <c r="AV1162" s="624"/>
      <c r="AX1162" s="624">
        <v>39883</v>
      </c>
      <c r="AY1162" s="355">
        <v>2.8580000000000001E-2</v>
      </c>
      <c r="AZ1162" s="624">
        <v>39948</v>
      </c>
      <c r="BA1162" s="355">
        <v>1.43E-2</v>
      </c>
      <c r="BB1162" s="624">
        <v>39881</v>
      </c>
      <c r="BC1162" s="355">
        <v>0.26579999999999998</v>
      </c>
      <c r="BD1162" s="624">
        <v>39882</v>
      </c>
      <c r="BE1162" s="355">
        <v>6.6860000000000003E-2</v>
      </c>
      <c r="BF1162" s="624">
        <v>39926</v>
      </c>
      <c r="BG1162" s="355">
        <v>2.0029000000000002E-2</v>
      </c>
      <c r="BH1162" s="624">
        <v>39882</v>
      </c>
      <c r="BI1162" s="355">
        <v>8.4213999999999997E-2</v>
      </c>
      <c r="BJ1162" s="624">
        <v>39881</v>
      </c>
      <c r="BK1162" s="355">
        <v>2.7666E-2</v>
      </c>
    </row>
    <row r="1163" spans="3:63" x14ac:dyDescent="0.15">
      <c r="C1163" s="624"/>
      <c r="D1163" s="355">
        <v>2.8580000000000001E-2</v>
      </c>
      <c r="AV1163" s="624"/>
      <c r="AX1163" s="624">
        <v>39884</v>
      </c>
      <c r="AY1163" s="355">
        <v>2.8570000000000002E-2</v>
      </c>
      <c r="AZ1163" s="624">
        <v>39951</v>
      </c>
      <c r="BA1163" s="355">
        <v>1.43E-2</v>
      </c>
      <c r="BB1163" s="624">
        <v>39882</v>
      </c>
      <c r="BC1163" s="355">
        <v>0.2737</v>
      </c>
      <c r="BD1163" s="624">
        <v>39883</v>
      </c>
      <c r="BE1163" s="355">
        <v>6.7510000000000001E-2</v>
      </c>
      <c r="BF1163" s="624">
        <v>39927</v>
      </c>
      <c r="BG1163" s="355">
        <v>2.0084999999999999E-2</v>
      </c>
      <c r="BH1163" s="624">
        <v>39883</v>
      </c>
      <c r="BI1163" s="355">
        <v>8.3162E-2</v>
      </c>
      <c r="BJ1163" s="624">
        <v>39882</v>
      </c>
      <c r="BK1163" s="355">
        <v>2.7806999999999998E-2</v>
      </c>
    </row>
    <row r="1164" spans="3:63" x14ac:dyDescent="0.15">
      <c r="C1164" s="624"/>
      <c r="D1164" s="355">
        <v>2.8570000000000002E-2</v>
      </c>
      <c r="AV1164" s="624"/>
      <c r="AX1164" s="624">
        <v>39885</v>
      </c>
      <c r="AY1164" s="355">
        <v>2.8830000000000001E-2</v>
      </c>
      <c r="AZ1164" s="624">
        <v>39952</v>
      </c>
      <c r="BA1164" s="355">
        <v>1.4500000000000001E-2</v>
      </c>
      <c r="BB1164" s="624">
        <v>39883</v>
      </c>
      <c r="BC1164" s="355">
        <v>0.2782</v>
      </c>
      <c r="BD1164" s="624">
        <v>39884</v>
      </c>
      <c r="BE1164" s="355">
        <v>6.7720000000000002E-2</v>
      </c>
      <c r="BF1164" s="624">
        <v>39930</v>
      </c>
      <c r="BG1164" s="355">
        <v>1.9911000000000002E-2</v>
      </c>
      <c r="BH1164" s="624">
        <v>39884</v>
      </c>
      <c r="BI1164" s="355">
        <v>8.3745E-2</v>
      </c>
      <c r="BJ1164" s="624">
        <v>39883</v>
      </c>
      <c r="BK1164" s="355">
        <v>2.7799000000000001E-2</v>
      </c>
    </row>
    <row r="1165" spans="3:63" x14ac:dyDescent="0.15">
      <c r="C1165" s="624"/>
      <c r="D1165" s="355">
        <v>2.8830000000000001E-2</v>
      </c>
      <c r="AV1165" s="624"/>
      <c r="AX1165" s="624">
        <v>39888</v>
      </c>
      <c r="AY1165" s="355">
        <v>2.887E-2</v>
      </c>
      <c r="AZ1165" s="624">
        <v>39953</v>
      </c>
      <c r="BA1165" s="355">
        <v>1.46E-2</v>
      </c>
      <c r="BB1165" s="624">
        <v>39884</v>
      </c>
      <c r="BC1165" s="355">
        <v>0.28770000000000001</v>
      </c>
      <c r="BD1165" s="624">
        <v>39885</v>
      </c>
      <c r="BE1165" s="355">
        <v>6.7299999999999999E-2</v>
      </c>
      <c r="BF1165" s="624">
        <v>39931</v>
      </c>
      <c r="BG1165" s="355">
        <v>1.9792000000000001E-2</v>
      </c>
      <c r="BH1165" s="624">
        <v>39885</v>
      </c>
      <c r="BI1165" s="355">
        <v>8.3648E-2</v>
      </c>
      <c r="BJ1165" s="624">
        <v>39884</v>
      </c>
      <c r="BK1165" s="355">
        <v>2.7879000000000001E-2</v>
      </c>
    </row>
    <row r="1166" spans="3:63" x14ac:dyDescent="0.15">
      <c r="C1166" s="624"/>
      <c r="D1166" s="355">
        <v>2.887E-2</v>
      </c>
      <c r="AV1166" s="624"/>
      <c r="AX1166" s="624">
        <v>39889</v>
      </c>
      <c r="AY1166" s="355">
        <v>2.8989999999999998E-2</v>
      </c>
      <c r="AZ1166" s="624">
        <v>39954</v>
      </c>
      <c r="BA1166" s="355">
        <v>1.47E-2</v>
      </c>
      <c r="BB1166" s="624">
        <v>39885</v>
      </c>
      <c r="BC1166" s="355">
        <v>0.28810000000000002</v>
      </c>
      <c r="BD1166" s="624">
        <v>39888</v>
      </c>
      <c r="BE1166" s="355">
        <v>7.0169999999999996E-2</v>
      </c>
      <c r="BF1166" s="624">
        <v>39932</v>
      </c>
      <c r="BG1166" s="355">
        <v>1.9980999999999999E-2</v>
      </c>
      <c r="BH1166" s="624">
        <v>39888</v>
      </c>
      <c r="BI1166" s="355">
        <v>8.3824999999999997E-2</v>
      </c>
      <c r="BJ1166" s="624">
        <v>39885</v>
      </c>
      <c r="BK1166" s="355">
        <v>2.7816E-2</v>
      </c>
    </row>
    <row r="1167" spans="3:63" x14ac:dyDescent="0.15">
      <c r="C1167" s="624"/>
      <c r="D1167" s="355">
        <v>2.8989999999999998E-2</v>
      </c>
      <c r="AV1167" s="624"/>
      <c r="AX1167" s="624">
        <v>39890</v>
      </c>
      <c r="AY1167" s="355">
        <v>2.9440000000000001E-2</v>
      </c>
      <c r="AZ1167" s="624">
        <v>39955</v>
      </c>
      <c r="BA1167" s="355">
        <v>1.4800000000000001E-2</v>
      </c>
      <c r="BB1167" s="624">
        <v>39888</v>
      </c>
      <c r="BC1167" s="355">
        <v>0.29070000000000001</v>
      </c>
      <c r="BD1167" s="624">
        <v>39889</v>
      </c>
      <c r="BE1167" s="355">
        <v>7.1080000000000004E-2</v>
      </c>
      <c r="BF1167" s="624">
        <v>39937</v>
      </c>
      <c r="BG1167" s="355">
        <v>2.0036000000000002E-2</v>
      </c>
      <c r="BH1167" s="624">
        <v>39889</v>
      </c>
      <c r="BI1167" s="355">
        <v>8.3062999999999998E-2</v>
      </c>
      <c r="BJ1167" s="624">
        <v>39888</v>
      </c>
      <c r="BK1167" s="355">
        <v>2.7917000000000001E-2</v>
      </c>
    </row>
    <row r="1168" spans="3:63" x14ac:dyDescent="0.15">
      <c r="C1168" s="624"/>
      <c r="D1168" s="355">
        <v>2.9440000000000001E-2</v>
      </c>
      <c r="AV1168" s="624"/>
      <c r="AX1168" s="624">
        <v>39891</v>
      </c>
      <c r="AY1168" s="355">
        <v>2.9989999999999999E-2</v>
      </c>
      <c r="AZ1168" s="624">
        <v>39958</v>
      </c>
      <c r="BA1168" s="355">
        <v>1.4800000000000001E-2</v>
      </c>
      <c r="BB1168" s="624">
        <v>39889</v>
      </c>
      <c r="BC1168" s="355">
        <v>0.28889999999999999</v>
      </c>
      <c r="BD1168" s="624">
        <v>39890</v>
      </c>
      <c r="BE1168" s="355">
        <v>7.2419999999999998E-2</v>
      </c>
      <c r="BF1168" s="624">
        <v>39938</v>
      </c>
      <c r="BG1168" s="355">
        <v>2.0282999999999999E-2</v>
      </c>
      <c r="BH1168" s="624">
        <v>39890</v>
      </c>
      <c r="BI1168" s="355">
        <v>8.4034999999999999E-2</v>
      </c>
      <c r="BJ1168" s="624">
        <v>39889</v>
      </c>
      <c r="BK1168" s="355">
        <v>2.7924999999999998E-2</v>
      </c>
    </row>
    <row r="1169" spans="3:63" x14ac:dyDescent="0.15">
      <c r="C1169" s="624"/>
      <c r="D1169" s="355">
        <v>2.9989999999999999E-2</v>
      </c>
      <c r="AV1169" s="624"/>
      <c r="AX1169" s="624">
        <v>39892</v>
      </c>
      <c r="AY1169" s="355">
        <v>2.9850000000000002E-2</v>
      </c>
      <c r="AZ1169" s="624">
        <v>39959</v>
      </c>
      <c r="BA1169" s="355">
        <v>1.4800000000000001E-2</v>
      </c>
      <c r="BB1169" s="624">
        <v>39890</v>
      </c>
      <c r="BC1169" s="355">
        <v>0.2999</v>
      </c>
      <c r="BD1169" s="624">
        <v>39891</v>
      </c>
      <c r="BE1169" s="355">
        <v>7.1919999999999998E-2</v>
      </c>
      <c r="BF1169" s="624">
        <v>39939</v>
      </c>
      <c r="BG1169" s="355">
        <v>2.0159E-2</v>
      </c>
      <c r="BH1169" s="624">
        <v>39891</v>
      </c>
      <c r="BI1169" s="355">
        <v>8.3859000000000003E-2</v>
      </c>
      <c r="BJ1169" s="624">
        <v>39890</v>
      </c>
      <c r="BK1169" s="355">
        <v>2.7968E-2</v>
      </c>
    </row>
    <row r="1170" spans="3:63" x14ac:dyDescent="0.15">
      <c r="C1170" s="624"/>
      <c r="D1170" s="355">
        <v>2.9850000000000002E-2</v>
      </c>
      <c r="AV1170" s="624"/>
      <c r="AX1170" s="624">
        <v>39895</v>
      </c>
      <c r="AY1170" s="355">
        <v>3.0130000000000001E-2</v>
      </c>
      <c r="AZ1170" s="624">
        <v>39960</v>
      </c>
      <c r="BA1170" s="355">
        <v>1.46E-2</v>
      </c>
      <c r="BB1170" s="624">
        <v>39891</v>
      </c>
      <c r="BC1170" s="355">
        <v>0.29509999999999997</v>
      </c>
      <c r="BD1170" s="624">
        <v>39892</v>
      </c>
      <c r="BE1170" s="355">
        <v>7.1110000000000007E-2</v>
      </c>
      <c r="BF1170" s="624">
        <v>39940</v>
      </c>
      <c r="BG1170" s="355">
        <v>2.0292999999999999E-2</v>
      </c>
      <c r="BH1170" s="624">
        <v>39892</v>
      </c>
      <c r="BI1170" s="355">
        <v>8.4927000000000002E-2</v>
      </c>
      <c r="BJ1170" s="624">
        <v>39891</v>
      </c>
      <c r="BK1170" s="355">
        <v>2.8249E-2</v>
      </c>
    </row>
    <row r="1171" spans="3:63" x14ac:dyDescent="0.15">
      <c r="C1171" s="624"/>
      <c r="D1171" s="355">
        <v>3.0130000000000001E-2</v>
      </c>
      <c r="AV1171" s="624"/>
      <c r="AX1171" s="624">
        <v>39896</v>
      </c>
      <c r="AY1171" s="355">
        <v>2.9870000000000001E-2</v>
      </c>
      <c r="AZ1171" s="624">
        <v>39961</v>
      </c>
      <c r="BA1171" s="355">
        <v>1.47E-2</v>
      </c>
      <c r="BB1171" s="624">
        <v>39892</v>
      </c>
      <c r="BC1171" s="355">
        <v>0.29580000000000001</v>
      </c>
      <c r="BD1171" s="624">
        <v>39895</v>
      </c>
      <c r="BE1171" s="355">
        <v>7.2209999999999996E-2</v>
      </c>
      <c r="BF1171" s="624">
        <v>39941</v>
      </c>
      <c r="BG1171" s="355">
        <v>2.0289999999999999E-2</v>
      </c>
      <c r="BH1171" s="624">
        <v>39895</v>
      </c>
      <c r="BI1171" s="355">
        <v>8.7991E-2</v>
      </c>
      <c r="BJ1171" s="624">
        <v>39892</v>
      </c>
      <c r="BK1171" s="355">
        <v>2.8299000000000001E-2</v>
      </c>
    </row>
    <row r="1172" spans="3:63" x14ac:dyDescent="0.15">
      <c r="C1172" s="624"/>
      <c r="D1172" s="355">
        <v>2.9870000000000001E-2</v>
      </c>
      <c r="AV1172" s="624"/>
      <c r="AX1172" s="624">
        <v>39897</v>
      </c>
      <c r="AY1172" s="355">
        <v>2.9780000000000001E-2</v>
      </c>
      <c r="AZ1172" s="624">
        <v>39962</v>
      </c>
      <c r="BA1172" s="355">
        <v>1.49E-2</v>
      </c>
      <c r="BB1172" s="624">
        <v>39895</v>
      </c>
      <c r="BC1172" s="355">
        <v>0.30020000000000002</v>
      </c>
      <c r="BD1172" s="624">
        <v>39896</v>
      </c>
      <c r="BE1172" s="355">
        <v>7.2169999999999998E-2</v>
      </c>
      <c r="BF1172" s="624">
        <v>39944</v>
      </c>
      <c r="BG1172" s="355">
        <v>2.0195999999999999E-2</v>
      </c>
      <c r="BH1172" s="624">
        <v>39896</v>
      </c>
      <c r="BI1172" s="355">
        <v>8.7817000000000006E-2</v>
      </c>
      <c r="BJ1172" s="624">
        <v>39895</v>
      </c>
      <c r="BK1172" s="355">
        <v>2.8296999999999999E-2</v>
      </c>
    </row>
    <row r="1173" spans="3:63" x14ac:dyDescent="0.15">
      <c r="C1173" s="624"/>
      <c r="D1173" s="355">
        <v>2.9780000000000001E-2</v>
      </c>
      <c r="AV1173" s="624"/>
      <c r="AX1173" s="624">
        <v>39898</v>
      </c>
      <c r="AY1173" s="355">
        <v>2.9929999999999998E-2</v>
      </c>
      <c r="AZ1173" s="624">
        <v>39965</v>
      </c>
      <c r="BA1173" s="355">
        <v>1.4999999999999999E-2</v>
      </c>
      <c r="BB1173" s="624">
        <v>39896</v>
      </c>
      <c r="BC1173" s="355">
        <v>0.29709999999999998</v>
      </c>
      <c r="BD1173" s="624">
        <v>39897</v>
      </c>
      <c r="BE1173" s="355">
        <v>7.3480000000000004E-2</v>
      </c>
      <c r="BF1173" s="624">
        <v>39945</v>
      </c>
      <c r="BG1173" s="355">
        <v>2.0278000000000001E-2</v>
      </c>
      <c r="BH1173" s="624">
        <v>39897</v>
      </c>
      <c r="BI1173" s="355">
        <v>8.5931999999999994E-2</v>
      </c>
      <c r="BJ1173" s="624">
        <v>39896</v>
      </c>
      <c r="BK1173" s="355">
        <v>2.8239E-2</v>
      </c>
    </row>
    <row r="1174" spans="3:63" x14ac:dyDescent="0.15">
      <c r="C1174" s="624"/>
      <c r="D1174" s="355">
        <v>2.9929999999999998E-2</v>
      </c>
      <c r="AV1174" s="624"/>
      <c r="AX1174" s="624">
        <v>39899</v>
      </c>
      <c r="AY1174" s="355">
        <v>2.9590000000000002E-2</v>
      </c>
      <c r="AZ1174" s="624">
        <v>39966</v>
      </c>
      <c r="BA1174" s="355">
        <v>1.52E-2</v>
      </c>
      <c r="BB1174" s="624">
        <v>39897</v>
      </c>
      <c r="BC1174" s="355">
        <v>0.29730000000000001</v>
      </c>
      <c r="BD1174" s="624">
        <v>39898</v>
      </c>
      <c r="BE1174" s="355">
        <v>7.5579999999999994E-2</v>
      </c>
      <c r="BF1174" s="624">
        <v>39946</v>
      </c>
      <c r="BG1174" s="355">
        <v>2.0119000000000001E-2</v>
      </c>
      <c r="BH1174" s="624">
        <v>39898</v>
      </c>
      <c r="BI1174" s="355">
        <v>8.6138000000000006E-2</v>
      </c>
      <c r="BJ1174" s="624">
        <v>39897</v>
      </c>
      <c r="BK1174" s="355">
        <v>2.8201E-2</v>
      </c>
    </row>
    <row r="1175" spans="3:63" x14ac:dyDescent="0.15">
      <c r="C1175" s="624"/>
      <c r="D1175" s="355">
        <v>2.9590000000000002E-2</v>
      </c>
      <c r="AV1175" s="624"/>
      <c r="AX1175" s="624">
        <v>39902</v>
      </c>
      <c r="AY1175" s="355">
        <v>2.9430000000000001E-2</v>
      </c>
      <c r="AZ1175" s="624">
        <v>39967</v>
      </c>
      <c r="BA1175" s="355">
        <v>1.4999999999999999E-2</v>
      </c>
      <c r="BB1175" s="624">
        <v>39898</v>
      </c>
      <c r="BC1175" s="355">
        <v>0.29680000000000001</v>
      </c>
      <c r="BD1175" s="624">
        <v>39899</v>
      </c>
      <c r="BE1175" s="355">
        <v>7.3840000000000003E-2</v>
      </c>
      <c r="BF1175" s="624">
        <v>39947</v>
      </c>
      <c r="BG1175" s="355">
        <v>2.0088000000000002E-2</v>
      </c>
      <c r="BH1175" s="624">
        <v>39899</v>
      </c>
      <c r="BI1175" s="355">
        <v>8.7165000000000006E-2</v>
      </c>
      <c r="BJ1175" s="624">
        <v>39898</v>
      </c>
      <c r="BK1175" s="355">
        <v>2.8275000000000002E-2</v>
      </c>
    </row>
    <row r="1176" spans="3:63" x14ac:dyDescent="0.15">
      <c r="C1176" s="624"/>
      <c r="D1176" s="355">
        <v>2.9430000000000001E-2</v>
      </c>
      <c r="AV1176" s="624"/>
      <c r="AX1176" s="624">
        <v>39903</v>
      </c>
      <c r="AY1176" s="355">
        <v>2.945E-2</v>
      </c>
      <c r="AZ1176" s="624">
        <v>39968</v>
      </c>
      <c r="BA1176" s="355">
        <v>1.4999999999999999E-2</v>
      </c>
      <c r="BB1176" s="624">
        <v>39899</v>
      </c>
      <c r="BC1176" s="355">
        <v>0.28349999999999997</v>
      </c>
      <c r="BD1176" s="624">
        <v>39902</v>
      </c>
      <c r="BE1176" s="355">
        <v>7.0019999999999999E-2</v>
      </c>
      <c r="BF1176" s="624">
        <v>39948</v>
      </c>
      <c r="BG1176" s="355">
        <v>2.0247000000000001E-2</v>
      </c>
      <c r="BH1176" s="624">
        <v>39902</v>
      </c>
      <c r="BI1176" s="355">
        <v>8.5990999999999998E-2</v>
      </c>
      <c r="BJ1176" s="624">
        <v>39899</v>
      </c>
      <c r="BK1176" s="355">
        <v>2.8244999999999999E-2</v>
      </c>
    </row>
    <row r="1177" spans="3:63" x14ac:dyDescent="0.15">
      <c r="C1177" s="624"/>
      <c r="D1177" s="355">
        <v>2.945E-2</v>
      </c>
      <c r="AV1177" s="624"/>
      <c r="AX1177" s="624">
        <v>39904</v>
      </c>
      <c r="AY1177" s="355">
        <v>2.945E-2</v>
      </c>
      <c r="AZ1177" s="624">
        <v>39969</v>
      </c>
      <c r="BA1177" s="355">
        <v>1.4800000000000001E-2</v>
      </c>
      <c r="BB1177" s="624">
        <v>39902</v>
      </c>
      <c r="BC1177" s="355">
        <v>0.27929999999999999</v>
      </c>
      <c r="BD1177" s="624">
        <v>39903</v>
      </c>
      <c r="BE1177" s="355">
        <v>7.2840000000000002E-2</v>
      </c>
      <c r="BF1177" s="624">
        <v>39951</v>
      </c>
      <c r="BG1177" s="355">
        <v>2.0882000000000001E-2</v>
      </c>
      <c r="BH1177" s="624">
        <v>39903</v>
      </c>
      <c r="BI1177" s="355">
        <v>8.5470000000000004E-2</v>
      </c>
      <c r="BJ1177" s="624">
        <v>39902</v>
      </c>
      <c r="BK1177" s="355">
        <v>2.8094000000000001E-2</v>
      </c>
    </row>
    <row r="1178" spans="3:63" x14ac:dyDescent="0.15">
      <c r="C1178" s="624"/>
      <c r="D1178" s="355">
        <v>2.945E-2</v>
      </c>
      <c r="AV1178" s="624"/>
      <c r="AX1178" s="624">
        <v>39905</v>
      </c>
      <c r="AY1178" s="355">
        <v>2.9950000000000001E-2</v>
      </c>
      <c r="AZ1178" s="624">
        <v>39972</v>
      </c>
      <c r="BA1178" s="355">
        <v>1.4800000000000001E-2</v>
      </c>
      <c r="BB1178" s="624">
        <v>39903</v>
      </c>
      <c r="BC1178" s="355">
        <v>0.2858</v>
      </c>
      <c r="BD1178" s="624">
        <v>39904</v>
      </c>
      <c r="BE1178" s="355">
        <v>7.3690000000000005E-2</v>
      </c>
      <c r="BF1178" s="624">
        <v>39952</v>
      </c>
      <c r="BG1178" s="355">
        <v>2.0934000000000001E-2</v>
      </c>
      <c r="BH1178" s="624">
        <v>39904</v>
      </c>
      <c r="BI1178" s="355">
        <v>8.6026000000000005E-2</v>
      </c>
      <c r="BJ1178" s="624">
        <v>39903</v>
      </c>
      <c r="BK1178" s="355">
        <v>2.8173E-2</v>
      </c>
    </row>
    <row r="1179" spans="3:63" x14ac:dyDescent="0.15">
      <c r="C1179" s="624"/>
      <c r="D1179" s="355">
        <v>2.9950000000000001E-2</v>
      </c>
      <c r="AV1179" s="624"/>
      <c r="AX1179" s="624">
        <v>39906</v>
      </c>
      <c r="AY1179" s="355">
        <v>3.0020000000000002E-2</v>
      </c>
      <c r="AZ1179" s="624">
        <v>39973</v>
      </c>
      <c r="BA1179" s="355">
        <v>1.4999999999999999E-2</v>
      </c>
      <c r="BB1179" s="624">
        <v>39904</v>
      </c>
      <c r="BC1179" s="355">
        <v>0.29449999999999998</v>
      </c>
      <c r="BD1179" s="624">
        <v>39905</v>
      </c>
      <c r="BE1179" s="355">
        <v>7.603E-2</v>
      </c>
      <c r="BF1179" s="624">
        <v>39953</v>
      </c>
      <c r="BG1179" s="355">
        <v>2.1059999999999999E-2</v>
      </c>
      <c r="BH1179" s="624">
        <v>39905</v>
      </c>
      <c r="BI1179" s="355">
        <v>8.7970999999999994E-2</v>
      </c>
      <c r="BJ1179" s="624">
        <v>39904</v>
      </c>
      <c r="BK1179" s="355">
        <v>2.8195000000000001E-2</v>
      </c>
    </row>
    <row r="1180" spans="3:63" x14ac:dyDescent="0.15">
      <c r="C1180" s="624"/>
      <c r="D1180" s="355">
        <v>3.0020000000000002E-2</v>
      </c>
      <c r="AV1180" s="624"/>
      <c r="AX1180" s="624">
        <v>39909</v>
      </c>
      <c r="AY1180" s="355">
        <v>2.998E-2</v>
      </c>
      <c r="AZ1180" s="624">
        <v>39974</v>
      </c>
      <c r="BA1180" s="355">
        <v>1.49E-2</v>
      </c>
      <c r="BB1180" s="624">
        <v>39905</v>
      </c>
      <c r="BC1180" s="355">
        <v>0.30480000000000002</v>
      </c>
      <c r="BD1180" s="624">
        <v>39906</v>
      </c>
      <c r="BE1180" s="355">
        <v>7.5130000000000002E-2</v>
      </c>
      <c r="BF1180" s="624">
        <v>39954</v>
      </c>
      <c r="BG1180" s="355">
        <v>2.1113E-2</v>
      </c>
      <c r="BH1180" s="624">
        <v>39906</v>
      </c>
      <c r="BI1180" s="355">
        <v>8.7300000000000003E-2</v>
      </c>
      <c r="BJ1180" s="624">
        <v>39905</v>
      </c>
      <c r="BK1180" s="355">
        <v>2.8324999999999999E-2</v>
      </c>
    </row>
    <row r="1181" spans="3:63" x14ac:dyDescent="0.15">
      <c r="C1181" s="624"/>
      <c r="D1181" s="355">
        <v>2.998E-2</v>
      </c>
      <c r="AV1181" s="624"/>
      <c r="AX1181" s="624">
        <v>39910</v>
      </c>
      <c r="AY1181" s="355">
        <v>2.9790000000000001E-2</v>
      </c>
      <c r="AZ1181" s="624">
        <v>39975</v>
      </c>
      <c r="BA1181" s="355">
        <v>1.4999999999999999E-2</v>
      </c>
      <c r="BB1181" s="624">
        <v>39906</v>
      </c>
      <c r="BC1181" s="355">
        <v>0.30230000000000001</v>
      </c>
      <c r="BD1181" s="624">
        <v>39909</v>
      </c>
      <c r="BE1181" s="355">
        <v>7.5219999999999995E-2</v>
      </c>
      <c r="BF1181" s="624">
        <v>39955</v>
      </c>
      <c r="BG1181" s="355">
        <v>2.1236999999999999E-2</v>
      </c>
      <c r="BH1181" s="624">
        <v>39909</v>
      </c>
      <c r="BI1181" s="355">
        <v>8.8243000000000002E-2</v>
      </c>
      <c r="BJ1181" s="624">
        <v>39906</v>
      </c>
      <c r="BK1181" s="355">
        <v>2.8351000000000001E-2</v>
      </c>
    </row>
    <row r="1182" spans="3:63" x14ac:dyDescent="0.15">
      <c r="C1182" s="624"/>
      <c r="D1182" s="355">
        <v>2.9790000000000001E-2</v>
      </c>
      <c r="AV1182" s="624"/>
      <c r="AX1182" s="624">
        <v>39911</v>
      </c>
      <c r="AY1182" s="355">
        <v>2.9700000000000001E-2</v>
      </c>
      <c r="AZ1182" s="624">
        <v>39976</v>
      </c>
      <c r="BA1182" s="355">
        <v>1.4999999999999999E-2</v>
      </c>
      <c r="BB1182" s="624">
        <v>39909</v>
      </c>
      <c r="BC1182" s="355">
        <v>0.30070000000000002</v>
      </c>
      <c r="BD1182" s="624">
        <v>39910</v>
      </c>
      <c r="BE1182" s="355">
        <v>7.485E-2</v>
      </c>
      <c r="BF1182" s="624">
        <v>39958</v>
      </c>
      <c r="BG1182" s="355">
        <v>2.1142999999999999E-2</v>
      </c>
      <c r="BH1182" s="624">
        <v>39910</v>
      </c>
      <c r="BI1182" s="355">
        <v>8.8340000000000002E-2</v>
      </c>
      <c r="BJ1182" s="624">
        <v>39909</v>
      </c>
      <c r="BK1182" s="355">
        <v>2.8323000000000001E-2</v>
      </c>
    </row>
    <row r="1183" spans="3:63" x14ac:dyDescent="0.15">
      <c r="C1183" s="624"/>
      <c r="D1183" s="355">
        <v>2.9700000000000001E-2</v>
      </c>
      <c r="AV1183" s="624"/>
      <c r="AX1183" s="624">
        <v>39912</v>
      </c>
      <c r="AY1183" s="355">
        <v>2.9729999999999999E-2</v>
      </c>
      <c r="AZ1183" s="624">
        <v>39979</v>
      </c>
      <c r="BA1183" s="355">
        <v>1.4800000000000001E-2</v>
      </c>
      <c r="BB1183" s="624">
        <v>39910</v>
      </c>
      <c r="BC1183" s="355">
        <v>0.29530000000000001</v>
      </c>
      <c r="BD1183" s="624">
        <v>39911</v>
      </c>
      <c r="BE1183" s="355">
        <v>7.4260000000000007E-2</v>
      </c>
      <c r="BF1183" s="624">
        <v>39959</v>
      </c>
      <c r="BG1183" s="355">
        <v>2.0892000000000001E-2</v>
      </c>
      <c r="BH1183" s="624">
        <v>39911</v>
      </c>
      <c r="BI1183" s="355">
        <v>8.8339000000000001E-2</v>
      </c>
      <c r="BJ1183" s="624">
        <v>39910</v>
      </c>
      <c r="BK1183" s="355">
        <v>2.8209000000000001E-2</v>
      </c>
    </row>
    <row r="1184" spans="3:63" x14ac:dyDescent="0.15">
      <c r="C1184" s="624"/>
      <c r="D1184" s="355">
        <v>2.9729999999999999E-2</v>
      </c>
      <c r="AV1184" s="624"/>
      <c r="AX1184" s="624">
        <v>39913</v>
      </c>
      <c r="AY1184" s="355">
        <v>2.9839999999999998E-2</v>
      </c>
      <c r="AZ1184" s="624">
        <v>39980</v>
      </c>
      <c r="BA1184" s="355">
        <v>1.4800000000000001E-2</v>
      </c>
      <c r="BB1184" s="624">
        <v>39911</v>
      </c>
      <c r="BC1184" s="355">
        <v>0.30009999999999998</v>
      </c>
      <c r="BD1184" s="624">
        <v>39912</v>
      </c>
      <c r="BE1184" s="355">
        <v>7.5999999999999998E-2</v>
      </c>
      <c r="BF1184" s="624">
        <v>39960</v>
      </c>
      <c r="BG1184" s="355">
        <v>2.0969000000000002E-2</v>
      </c>
      <c r="BH1184" s="624">
        <v>39912</v>
      </c>
      <c r="BI1184" s="355">
        <v>8.7971999999999995E-2</v>
      </c>
      <c r="BJ1184" s="624">
        <v>39911</v>
      </c>
      <c r="BK1184" s="355">
        <v>2.8225E-2</v>
      </c>
    </row>
    <row r="1185" spans="3:63" x14ac:dyDescent="0.15">
      <c r="C1185" s="624"/>
      <c r="D1185" s="355">
        <v>2.9839999999999998E-2</v>
      </c>
      <c r="AV1185" s="624"/>
      <c r="AX1185" s="624">
        <v>39916</v>
      </c>
      <c r="AY1185" s="355">
        <v>3.0040000000000001E-2</v>
      </c>
      <c r="AZ1185" s="624">
        <v>39981</v>
      </c>
      <c r="BA1185" s="355">
        <v>1.4999999999999999E-2</v>
      </c>
      <c r="BB1185" s="624">
        <v>39912</v>
      </c>
      <c r="BC1185" s="355">
        <v>0.30459999999999998</v>
      </c>
      <c r="BD1185" s="624">
        <v>39913</v>
      </c>
      <c r="BE1185" s="355">
        <v>7.5020000000000003E-2</v>
      </c>
      <c r="BF1185" s="624">
        <v>39961</v>
      </c>
      <c r="BG1185" s="355">
        <v>2.1003999999999998E-2</v>
      </c>
      <c r="BH1185" s="624">
        <v>39913</v>
      </c>
      <c r="BI1185" s="355">
        <v>8.8416999999999996E-2</v>
      </c>
      <c r="BJ1185" s="624">
        <v>39912</v>
      </c>
      <c r="BK1185" s="355">
        <v>2.8233000000000001E-2</v>
      </c>
    </row>
    <row r="1186" spans="3:63" x14ac:dyDescent="0.15">
      <c r="C1186" s="624"/>
      <c r="D1186" s="355">
        <v>3.0040000000000001E-2</v>
      </c>
      <c r="AV1186" s="624"/>
      <c r="AX1186" s="624">
        <v>39917</v>
      </c>
      <c r="AY1186" s="355">
        <v>2.9940000000000001E-2</v>
      </c>
      <c r="AZ1186" s="624">
        <v>39982</v>
      </c>
      <c r="BA1186" s="355">
        <v>1.4999999999999999E-2</v>
      </c>
      <c r="BB1186" s="624">
        <v>39913</v>
      </c>
      <c r="BC1186" s="355">
        <v>0.30170000000000002</v>
      </c>
      <c r="BD1186" s="624">
        <v>39916</v>
      </c>
      <c r="BE1186" s="355">
        <v>7.5459999999999999E-2</v>
      </c>
      <c r="BF1186" s="624">
        <v>39962</v>
      </c>
      <c r="BG1186" s="355">
        <v>2.1226999999999999E-2</v>
      </c>
      <c r="BH1186" s="624">
        <v>39916</v>
      </c>
      <c r="BI1186" s="355">
        <v>9.0379000000000001E-2</v>
      </c>
      <c r="BJ1186" s="624">
        <v>39913</v>
      </c>
      <c r="BK1186" s="355">
        <v>2.8258999999999999E-2</v>
      </c>
    </row>
    <row r="1187" spans="3:63" x14ac:dyDescent="0.15">
      <c r="C1187" s="624"/>
      <c r="D1187" s="355">
        <v>2.9940000000000001E-2</v>
      </c>
      <c r="AV1187" s="624"/>
      <c r="AX1187" s="624">
        <v>39918</v>
      </c>
      <c r="AY1187" s="355">
        <v>2.9929999999999998E-2</v>
      </c>
      <c r="AZ1187" s="624">
        <v>39983</v>
      </c>
      <c r="BA1187" s="355">
        <v>1.4999999999999999E-2</v>
      </c>
      <c r="BB1187" s="624">
        <v>39916</v>
      </c>
      <c r="BC1187" s="355">
        <v>0.30780000000000002</v>
      </c>
      <c r="BD1187" s="624">
        <v>39917</v>
      </c>
      <c r="BE1187" s="355">
        <v>7.5450000000000003E-2</v>
      </c>
      <c r="BF1187" s="624">
        <v>39965</v>
      </c>
      <c r="BG1187" s="355">
        <v>2.1298000000000001E-2</v>
      </c>
      <c r="BH1187" s="624">
        <v>39917</v>
      </c>
      <c r="BI1187" s="355">
        <v>9.1743000000000005E-2</v>
      </c>
      <c r="BJ1187" s="624">
        <v>39916</v>
      </c>
      <c r="BK1187" s="355">
        <v>2.8007000000000001E-2</v>
      </c>
    </row>
    <row r="1188" spans="3:63" x14ac:dyDescent="0.15">
      <c r="C1188" s="624"/>
      <c r="D1188" s="355">
        <v>2.9929999999999998E-2</v>
      </c>
      <c r="AV1188" s="624"/>
      <c r="AX1188" s="624">
        <v>39919</v>
      </c>
      <c r="AY1188" s="355">
        <v>2.9940000000000001E-2</v>
      </c>
      <c r="AZ1188" s="624">
        <v>39986</v>
      </c>
      <c r="BA1188" s="355">
        <v>1.49E-2</v>
      </c>
      <c r="BB1188" s="624">
        <v>39917</v>
      </c>
      <c r="BC1188" s="355">
        <v>0.31019999999999998</v>
      </c>
      <c r="BD1188" s="624">
        <v>39918</v>
      </c>
      <c r="BE1188" s="355">
        <v>7.5209999999999999E-2</v>
      </c>
      <c r="BF1188" s="624">
        <v>39966</v>
      </c>
      <c r="BG1188" s="355">
        <v>2.1269E-2</v>
      </c>
      <c r="BH1188" s="624">
        <v>39918</v>
      </c>
      <c r="BI1188" s="355">
        <v>9.2211000000000001E-2</v>
      </c>
      <c r="BJ1188" s="624">
        <v>39917</v>
      </c>
      <c r="BK1188" s="355">
        <v>2.8197E-2</v>
      </c>
    </row>
    <row r="1189" spans="3:63" x14ac:dyDescent="0.15">
      <c r="C1189" s="624"/>
      <c r="D1189" s="355">
        <v>2.9940000000000001E-2</v>
      </c>
      <c r="AV1189" s="624"/>
      <c r="AX1189" s="624">
        <v>39920</v>
      </c>
      <c r="AY1189" s="355">
        <v>2.988E-2</v>
      </c>
      <c r="AZ1189" s="624">
        <v>39987</v>
      </c>
      <c r="BA1189" s="355">
        <v>1.4999999999999999E-2</v>
      </c>
      <c r="BB1189" s="624">
        <v>39918</v>
      </c>
      <c r="BC1189" s="355">
        <v>0.30969999999999998</v>
      </c>
      <c r="BD1189" s="624">
        <v>39919</v>
      </c>
      <c r="BE1189" s="355">
        <v>7.5130000000000002E-2</v>
      </c>
      <c r="BF1189" s="624">
        <v>39967</v>
      </c>
      <c r="BG1189" s="355">
        <v>2.1245E-2</v>
      </c>
      <c r="BH1189" s="624">
        <v>39919</v>
      </c>
      <c r="BI1189" s="355">
        <v>9.2594999999999997E-2</v>
      </c>
      <c r="BJ1189" s="624">
        <v>39918</v>
      </c>
      <c r="BK1189" s="355">
        <v>2.8240999999999999E-2</v>
      </c>
    </row>
    <row r="1190" spans="3:63" x14ac:dyDescent="0.15">
      <c r="C1190" s="624"/>
      <c r="D1190" s="355">
        <v>2.988E-2</v>
      </c>
      <c r="AV1190" s="624"/>
      <c r="AX1190" s="624">
        <v>39923</v>
      </c>
      <c r="AY1190" s="355">
        <v>2.9479999999999999E-2</v>
      </c>
      <c r="AZ1190" s="624">
        <v>39988</v>
      </c>
      <c r="BA1190" s="355">
        <v>1.4800000000000001E-2</v>
      </c>
      <c r="BB1190" s="624">
        <v>39919</v>
      </c>
      <c r="BC1190" s="355">
        <v>0.30819999999999997</v>
      </c>
      <c r="BD1190" s="624">
        <v>39920</v>
      </c>
      <c r="BE1190" s="355">
        <v>7.5130000000000002E-2</v>
      </c>
      <c r="BF1190" s="624">
        <v>39968</v>
      </c>
      <c r="BG1190" s="355">
        <v>2.1181999999999999E-2</v>
      </c>
      <c r="BH1190" s="624">
        <v>39920</v>
      </c>
      <c r="BI1190" s="355">
        <v>9.3024999999999997E-2</v>
      </c>
      <c r="BJ1190" s="624">
        <v>39919</v>
      </c>
      <c r="BK1190" s="355">
        <v>2.8277E-2</v>
      </c>
    </row>
    <row r="1191" spans="3:63" x14ac:dyDescent="0.15">
      <c r="C1191" s="624"/>
      <c r="D1191" s="355">
        <v>2.9479999999999999E-2</v>
      </c>
      <c r="AV1191" s="624"/>
      <c r="AX1191" s="624">
        <v>39924</v>
      </c>
      <c r="AY1191" s="355">
        <v>2.9260000000000001E-2</v>
      </c>
      <c r="AZ1191" s="624">
        <v>39989</v>
      </c>
      <c r="BA1191" s="355">
        <v>1.4800000000000001E-2</v>
      </c>
      <c r="BB1191" s="624">
        <v>39920</v>
      </c>
      <c r="BC1191" s="355">
        <v>0.30299999999999999</v>
      </c>
      <c r="BD1191" s="624">
        <v>39923</v>
      </c>
      <c r="BE1191" s="355">
        <v>7.3520000000000002E-2</v>
      </c>
      <c r="BF1191" s="624">
        <v>39969</v>
      </c>
      <c r="BG1191" s="355">
        <v>2.1243999999999999E-2</v>
      </c>
      <c r="BH1191" s="624">
        <v>39923</v>
      </c>
      <c r="BI1191" s="355">
        <v>9.2914999999999998E-2</v>
      </c>
      <c r="BJ1191" s="624">
        <v>39920</v>
      </c>
      <c r="BK1191" s="355">
        <v>2.8185000000000002E-2</v>
      </c>
    </row>
    <row r="1192" spans="3:63" x14ac:dyDescent="0.15">
      <c r="C1192" s="624"/>
      <c r="D1192" s="355">
        <v>2.9260000000000001E-2</v>
      </c>
      <c r="AV1192" s="624"/>
      <c r="AX1192" s="624">
        <v>39925</v>
      </c>
      <c r="AY1192" s="355">
        <v>2.9479999999999999E-2</v>
      </c>
      <c r="AZ1192" s="624">
        <v>39990</v>
      </c>
      <c r="BA1192" s="355">
        <v>1.4999999999999999E-2</v>
      </c>
      <c r="BB1192" s="624">
        <v>39923</v>
      </c>
      <c r="BC1192" s="355">
        <v>0.29260000000000003</v>
      </c>
      <c r="BD1192" s="624">
        <v>39924</v>
      </c>
      <c r="BE1192" s="355">
        <v>7.4039999999999995E-2</v>
      </c>
      <c r="BF1192" s="624">
        <v>39972</v>
      </c>
      <c r="BG1192" s="355">
        <v>2.1024000000000001E-2</v>
      </c>
      <c r="BH1192" s="624">
        <v>39924</v>
      </c>
      <c r="BI1192" s="355">
        <v>9.2562000000000005E-2</v>
      </c>
      <c r="BJ1192" s="624">
        <v>39923</v>
      </c>
      <c r="BK1192" s="355">
        <v>2.8098000000000001E-2</v>
      </c>
    </row>
    <row r="1193" spans="3:63" x14ac:dyDescent="0.15">
      <c r="C1193" s="624"/>
      <c r="D1193" s="355">
        <v>2.9479999999999999E-2</v>
      </c>
      <c r="AV1193" s="624"/>
      <c r="AX1193" s="624">
        <v>39926</v>
      </c>
      <c r="AY1193" s="355">
        <v>2.9850000000000002E-2</v>
      </c>
      <c r="AZ1193" s="624">
        <v>39993</v>
      </c>
      <c r="BA1193" s="355">
        <v>1.4999999999999999E-2</v>
      </c>
      <c r="BB1193" s="624">
        <v>39924</v>
      </c>
      <c r="BC1193" s="355">
        <v>0.29480000000000001</v>
      </c>
      <c r="BD1193" s="624">
        <v>39925</v>
      </c>
      <c r="BE1193" s="355">
        <v>7.4740000000000001E-2</v>
      </c>
      <c r="BF1193" s="624">
        <v>39973</v>
      </c>
      <c r="BG1193" s="355">
        <v>2.1056999999999999E-2</v>
      </c>
      <c r="BH1193" s="624">
        <v>39925</v>
      </c>
      <c r="BI1193" s="355">
        <v>9.1576000000000005E-2</v>
      </c>
      <c r="BJ1193" s="624">
        <v>39924</v>
      </c>
      <c r="BK1193" s="355">
        <v>2.8133999999999999E-2</v>
      </c>
    </row>
    <row r="1194" spans="3:63" x14ac:dyDescent="0.15">
      <c r="C1194" s="624"/>
      <c r="D1194" s="355">
        <v>2.9850000000000002E-2</v>
      </c>
      <c r="AV1194" s="624"/>
      <c r="AX1194" s="624">
        <v>39927</v>
      </c>
      <c r="AY1194" s="355">
        <v>3.0130000000000001E-2</v>
      </c>
      <c r="AZ1194" s="624">
        <v>39994</v>
      </c>
      <c r="BA1194" s="355">
        <v>1.4999999999999999E-2</v>
      </c>
      <c r="BB1194" s="624">
        <v>39925</v>
      </c>
      <c r="BC1194" s="355">
        <v>0.29520000000000002</v>
      </c>
      <c r="BD1194" s="624">
        <v>39926</v>
      </c>
      <c r="BE1194" s="355">
        <v>7.4829999999999994E-2</v>
      </c>
      <c r="BF1194" s="624">
        <v>39974</v>
      </c>
      <c r="BG1194" s="355">
        <v>2.1163999999999999E-2</v>
      </c>
      <c r="BH1194" s="624">
        <v>39926</v>
      </c>
      <c r="BI1194" s="355">
        <v>9.2022999999999994E-2</v>
      </c>
      <c r="BJ1194" s="624">
        <v>39925</v>
      </c>
      <c r="BK1194" s="355">
        <v>2.8118000000000001E-2</v>
      </c>
    </row>
    <row r="1195" spans="3:63" x14ac:dyDescent="0.15">
      <c r="C1195" s="624"/>
      <c r="D1195" s="355">
        <v>3.0130000000000001E-2</v>
      </c>
      <c r="AV1195" s="624"/>
      <c r="AX1195" s="624">
        <v>39930</v>
      </c>
      <c r="AY1195" s="355">
        <v>2.9870000000000001E-2</v>
      </c>
      <c r="AZ1195" s="624">
        <v>39995</v>
      </c>
      <c r="BA1195" s="355">
        <v>1.5100000000000001E-2</v>
      </c>
      <c r="BB1195" s="624">
        <v>39926</v>
      </c>
      <c r="BC1195" s="355">
        <v>0.29339999999999999</v>
      </c>
      <c r="BD1195" s="624">
        <v>39927</v>
      </c>
      <c r="BE1195" s="355">
        <v>7.5520000000000004E-2</v>
      </c>
      <c r="BF1195" s="624">
        <v>39975</v>
      </c>
      <c r="BG1195" s="355">
        <v>2.1003999999999998E-2</v>
      </c>
      <c r="BH1195" s="624">
        <v>39927</v>
      </c>
      <c r="BI1195" s="355">
        <v>9.2948000000000003E-2</v>
      </c>
      <c r="BJ1195" s="624">
        <v>39926</v>
      </c>
      <c r="BK1195" s="355">
        <v>2.8173E-2</v>
      </c>
    </row>
    <row r="1196" spans="3:63" x14ac:dyDescent="0.15">
      <c r="C1196" s="624"/>
      <c r="D1196" s="355">
        <v>2.9870000000000001E-2</v>
      </c>
      <c r="AV1196" s="624"/>
      <c r="AX1196" s="624">
        <v>39931</v>
      </c>
      <c r="AY1196" s="355">
        <v>2.997E-2</v>
      </c>
      <c r="AZ1196" s="624">
        <v>39996</v>
      </c>
      <c r="BA1196" s="355">
        <v>1.4999999999999999E-2</v>
      </c>
      <c r="BB1196" s="624">
        <v>39927</v>
      </c>
      <c r="BC1196" s="355">
        <v>0.2949</v>
      </c>
      <c r="BD1196" s="624">
        <v>39930</v>
      </c>
      <c r="BE1196" s="355">
        <v>7.4349999999999999E-2</v>
      </c>
      <c r="BF1196" s="624">
        <v>39976</v>
      </c>
      <c r="BG1196" s="355">
        <v>2.1003999999999998E-2</v>
      </c>
      <c r="BH1196" s="624">
        <v>39930</v>
      </c>
      <c r="BI1196" s="355">
        <v>9.2379000000000003E-2</v>
      </c>
      <c r="BJ1196" s="624">
        <v>39927</v>
      </c>
      <c r="BK1196" s="355">
        <v>2.8268999999999999E-2</v>
      </c>
    </row>
    <row r="1197" spans="3:63" x14ac:dyDescent="0.15">
      <c r="C1197" s="624"/>
      <c r="D1197" s="355">
        <v>2.997E-2</v>
      </c>
      <c r="AV1197" s="624"/>
      <c r="AX1197" s="624">
        <v>39932</v>
      </c>
      <c r="AY1197" s="355">
        <v>3.0130000000000001E-2</v>
      </c>
      <c r="AZ1197" s="624">
        <v>39997</v>
      </c>
      <c r="BA1197" s="355">
        <v>1.49E-2</v>
      </c>
      <c r="BB1197" s="624">
        <v>39930</v>
      </c>
      <c r="BC1197" s="355">
        <v>0.2858</v>
      </c>
      <c r="BD1197" s="624">
        <v>39931</v>
      </c>
      <c r="BE1197" s="355">
        <v>7.3950000000000002E-2</v>
      </c>
      <c r="BF1197" s="624">
        <v>39979</v>
      </c>
      <c r="BG1197" s="355">
        <v>2.0957E-2</v>
      </c>
      <c r="BH1197" s="624">
        <v>39931</v>
      </c>
      <c r="BI1197" s="355">
        <v>9.1493000000000005E-2</v>
      </c>
      <c r="BJ1197" s="624">
        <v>39930</v>
      </c>
      <c r="BK1197" s="355">
        <v>2.8205000000000001E-2</v>
      </c>
    </row>
    <row r="1198" spans="3:63" x14ac:dyDescent="0.15">
      <c r="C1198" s="624"/>
      <c r="D1198" s="355">
        <v>3.0130000000000001E-2</v>
      </c>
      <c r="AV1198" s="624"/>
      <c r="AX1198" s="624">
        <v>39933</v>
      </c>
      <c r="AY1198" s="355">
        <v>3.0210000000000001E-2</v>
      </c>
      <c r="AZ1198" s="624">
        <v>40000</v>
      </c>
      <c r="BA1198" s="355">
        <v>1.4999999999999999E-2</v>
      </c>
      <c r="BB1198" s="624">
        <v>39931</v>
      </c>
      <c r="BC1198" s="355">
        <v>0.29330000000000001</v>
      </c>
      <c r="BD1198" s="624">
        <v>39932</v>
      </c>
      <c r="BE1198" s="355">
        <v>7.6039999999999996E-2</v>
      </c>
      <c r="BF1198" s="624">
        <v>39980</v>
      </c>
      <c r="BG1198" s="355">
        <v>2.0913999999999999E-2</v>
      </c>
      <c r="BH1198" s="624">
        <v>39932</v>
      </c>
      <c r="BI1198" s="355">
        <v>9.2338000000000003E-2</v>
      </c>
      <c r="BJ1198" s="624">
        <v>39931</v>
      </c>
      <c r="BK1198" s="355">
        <v>2.8225E-2</v>
      </c>
    </row>
    <row r="1199" spans="3:63" x14ac:dyDescent="0.15">
      <c r="C1199" s="624"/>
      <c r="D1199" s="355">
        <v>3.0210000000000001E-2</v>
      </c>
      <c r="AV1199" s="624"/>
      <c r="AX1199" s="624">
        <v>39934</v>
      </c>
      <c r="AY1199" s="355">
        <v>3.0249999999999999E-2</v>
      </c>
      <c r="AZ1199" s="624">
        <v>40001</v>
      </c>
      <c r="BA1199" s="355">
        <v>1.4999999999999999E-2</v>
      </c>
      <c r="BB1199" s="624">
        <v>39932</v>
      </c>
      <c r="BC1199" s="355">
        <v>0.3019</v>
      </c>
      <c r="BD1199" s="624">
        <v>39933</v>
      </c>
      <c r="BE1199" s="355">
        <v>7.7850000000000003E-2</v>
      </c>
      <c r="BF1199" s="624">
        <v>39981</v>
      </c>
      <c r="BG1199" s="355">
        <v>2.0785999999999999E-2</v>
      </c>
      <c r="BH1199" s="624">
        <v>39933</v>
      </c>
      <c r="BI1199" s="355">
        <v>9.3945000000000001E-2</v>
      </c>
      <c r="BJ1199" s="624">
        <v>39932</v>
      </c>
      <c r="BK1199" s="355">
        <v>2.8292999999999999E-2</v>
      </c>
    </row>
    <row r="1200" spans="3:63" x14ac:dyDescent="0.15">
      <c r="C1200" s="624"/>
      <c r="D1200" s="355">
        <v>3.0249999999999999E-2</v>
      </c>
      <c r="AV1200" s="624"/>
      <c r="AX1200" s="624">
        <v>39937</v>
      </c>
      <c r="AY1200" s="355">
        <v>3.048E-2</v>
      </c>
      <c r="AZ1200" s="624">
        <v>40002</v>
      </c>
      <c r="BA1200" s="355">
        <v>1.4999999999999999E-2</v>
      </c>
      <c r="BB1200" s="624">
        <v>39933</v>
      </c>
      <c r="BC1200" s="355">
        <v>0.29849999999999999</v>
      </c>
      <c r="BD1200" s="624">
        <v>39934</v>
      </c>
      <c r="BE1200" s="355">
        <v>7.7660000000000007E-2</v>
      </c>
      <c r="BF1200" s="624">
        <v>39982</v>
      </c>
      <c r="BG1200" s="355">
        <v>2.0746000000000001E-2</v>
      </c>
      <c r="BH1200" s="624">
        <v>39934</v>
      </c>
      <c r="BI1200" s="355">
        <v>9.4186000000000006E-2</v>
      </c>
      <c r="BJ1200" s="624">
        <v>39933</v>
      </c>
      <c r="BK1200" s="355">
        <v>2.8343E-2</v>
      </c>
    </row>
    <row r="1201" spans="3:63" x14ac:dyDescent="0.15">
      <c r="C1201" s="624"/>
      <c r="D1201" s="355">
        <v>3.048E-2</v>
      </c>
      <c r="AV1201" s="624"/>
      <c r="AX1201" s="624">
        <v>39938</v>
      </c>
      <c r="AY1201" s="355">
        <v>3.0439999999999998E-2</v>
      </c>
      <c r="AZ1201" s="624">
        <v>40003</v>
      </c>
      <c r="BA1201" s="355">
        <v>1.4999999999999999E-2</v>
      </c>
      <c r="BB1201" s="624">
        <v>39934</v>
      </c>
      <c r="BC1201" s="355">
        <v>0.30359999999999998</v>
      </c>
      <c r="BD1201" s="624">
        <v>39937</v>
      </c>
      <c r="BE1201" s="355">
        <v>7.9350000000000004E-2</v>
      </c>
      <c r="BF1201" s="624">
        <v>39983</v>
      </c>
      <c r="BG1201" s="355">
        <v>2.0781000000000001E-2</v>
      </c>
      <c r="BH1201" s="624">
        <v>39937</v>
      </c>
      <c r="BI1201" s="355">
        <v>9.5422000000000007E-2</v>
      </c>
      <c r="BJ1201" s="624">
        <v>39934</v>
      </c>
      <c r="BK1201" s="355">
        <v>2.8337000000000001E-2</v>
      </c>
    </row>
    <row r="1202" spans="3:63" x14ac:dyDescent="0.15">
      <c r="C1202" s="624"/>
      <c r="D1202" s="355">
        <v>3.0439999999999998E-2</v>
      </c>
      <c r="AV1202" s="624"/>
      <c r="AX1202" s="624">
        <v>39939</v>
      </c>
      <c r="AY1202" s="355">
        <v>3.049E-2</v>
      </c>
      <c r="AZ1202" s="624">
        <v>40004</v>
      </c>
      <c r="BA1202" s="355">
        <v>1.49E-2</v>
      </c>
      <c r="BB1202" s="624">
        <v>39937</v>
      </c>
      <c r="BC1202" s="355">
        <v>0.30790000000000001</v>
      </c>
      <c r="BD1202" s="624">
        <v>39938</v>
      </c>
      <c r="BE1202" s="355">
        <v>7.8990000000000005E-2</v>
      </c>
      <c r="BF1202" s="624">
        <v>39986</v>
      </c>
      <c r="BG1202" s="355">
        <v>2.0567999999999999E-2</v>
      </c>
      <c r="BH1202" s="624">
        <v>39938</v>
      </c>
      <c r="BI1202" s="355">
        <v>9.6083000000000002E-2</v>
      </c>
      <c r="BJ1202" s="624">
        <v>39937</v>
      </c>
      <c r="BK1202" s="355">
        <v>2.8466000000000002E-2</v>
      </c>
    </row>
    <row r="1203" spans="3:63" x14ac:dyDescent="0.15">
      <c r="C1203" s="624"/>
      <c r="D1203" s="355">
        <v>3.049E-2</v>
      </c>
      <c r="AV1203" s="624"/>
      <c r="AX1203" s="624">
        <v>39940</v>
      </c>
      <c r="AY1203" s="355">
        <v>3.0679999999999999E-2</v>
      </c>
      <c r="AZ1203" s="624">
        <v>40007</v>
      </c>
      <c r="BA1203" s="355">
        <v>1.4999999999999999E-2</v>
      </c>
      <c r="BB1203" s="624">
        <v>39938</v>
      </c>
      <c r="BC1203" s="355">
        <v>0.30509999999999998</v>
      </c>
      <c r="BD1203" s="624">
        <v>39939</v>
      </c>
      <c r="BE1203" s="355">
        <v>7.9060000000000005E-2</v>
      </c>
      <c r="BF1203" s="624">
        <v>39987</v>
      </c>
      <c r="BG1203" s="355">
        <v>2.0618000000000001E-2</v>
      </c>
      <c r="BH1203" s="624">
        <v>39939</v>
      </c>
      <c r="BI1203" s="355">
        <v>9.5967999999999998E-2</v>
      </c>
      <c r="BJ1203" s="624">
        <v>39938</v>
      </c>
      <c r="BK1203" s="355">
        <v>2.845E-2</v>
      </c>
    </row>
    <row r="1204" spans="3:63" x14ac:dyDescent="0.15">
      <c r="C1204" s="624"/>
      <c r="D1204" s="355">
        <v>3.0679999999999999E-2</v>
      </c>
      <c r="AV1204" s="624"/>
      <c r="AX1204" s="624">
        <v>39941</v>
      </c>
      <c r="AY1204" s="355">
        <v>3.092E-2</v>
      </c>
      <c r="AZ1204" s="624">
        <v>40008</v>
      </c>
      <c r="BA1204" s="355">
        <v>1.4999999999999999E-2</v>
      </c>
      <c r="BB1204" s="624">
        <v>39939</v>
      </c>
      <c r="BC1204" s="355">
        <v>0.30480000000000002</v>
      </c>
      <c r="BD1204" s="624">
        <v>39940</v>
      </c>
      <c r="BE1204" s="355">
        <v>7.9570000000000002E-2</v>
      </c>
      <c r="BF1204" s="624">
        <v>39988</v>
      </c>
      <c r="BG1204" s="355">
        <v>2.0593E-2</v>
      </c>
      <c r="BH1204" s="624">
        <v>39940</v>
      </c>
      <c r="BI1204" s="355">
        <v>9.6324000000000007E-2</v>
      </c>
      <c r="BJ1204" s="624">
        <v>39939</v>
      </c>
      <c r="BK1204" s="355">
        <v>2.8473999999999999E-2</v>
      </c>
    </row>
    <row r="1205" spans="3:63" x14ac:dyDescent="0.15">
      <c r="C1205" s="624"/>
      <c r="D1205" s="355">
        <v>3.092E-2</v>
      </c>
      <c r="AV1205" s="624"/>
      <c r="AX1205" s="624">
        <v>39944</v>
      </c>
      <c r="AY1205" s="355">
        <v>3.0970000000000001E-2</v>
      </c>
      <c r="AZ1205" s="624">
        <v>40009</v>
      </c>
      <c r="BA1205" s="355">
        <v>1.5100000000000001E-2</v>
      </c>
      <c r="BB1205" s="624">
        <v>39940</v>
      </c>
      <c r="BC1205" s="355">
        <v>0.30640000000000001</v>
      </c>
      <c r="BD1205" s="624">
        <v>39941</v>
      </c>
      <c r="BE1205" s="355">
        <v>8.0449999999999994E-2</v>
      </c>
      <c r="BF1205" s="624">
        <v>39989</v>
      </c>
      <c r="BG1205" s="355">
        <v>2.0573000000000001E-2</v>
      </c>
      <c r="BH1205" s="624">
        <v>39941</v>
      </c>
      <c r="BI1205" s="355">
        <v>9.5972000000000002E-2</v>
      </c>
      <c r="BJ1205" s="624">
        <v>39940</v>
      </c>
      <c r="BK1205" s="355">
        <v>2.8650999999999999E-2</v>
      </c>
    </row>
    <row r="1206" spans="3:63" x14ac:dyDescent="0.15">
      <c r="C1206" s="624"/>
      <c r="D1206" s="355">
        <v>3.0970000000000001E-2</v>
      </c>
      <c r="AV1206" s="624"/>
      <c r="AX1206" s="624">
        <v>39945</v>
      </c>
      <c r="AY1206" s="355">
        <v>3.1119999999999998E-2</v>
      </c>
      <c r="AZ1206" s="624">
        <v>40010</v>
      </c>
      <c r="BA1206" s="355">
        <v>1.52E-2</v>
      </c>
      <c r="BB1206" s="624">
        <v>39941</v>
      </c>
      <c r="BC1206" s="355">
        <v>0.31330000000000002</v>
      </c>
      <c r="BD1206" s="624">
        <v>39944</v>
      </c>
      <c r="BE1206" s="355">
        <v>7.9759999999999998E-2</v>
      </c>
      <c r="BF1206" s="624">
        <v>39990</v>
      </c>
      <c r="BG1206" s="355">
        <v>2.0787E-2</v>
      </c>
      <c r="BH1206" s="624">
        <v>39944</v>
      </c>
      <c r="BI1206" s="355">
        <v>9.5587000000000005E-2</v>
      </c>
      <c r="BJ1206" s="624">
        <v>39941</v>
      </c>
      <c r="BK1206" s="355">
        <v>2.8792000000000002E-2</v>
      </c>
    </row>
    <row r="1207" spans="3:63" x14ac:dyDescent="0.15">
      <c r="C1207" s="624"/>
      <c r="D1207" s="355">
        <v>3.1119999999999998E-2</v>
      </c>
      <c r="AV1207" s="624"/>
      <c r="AX1207" s="624">
        <v>39946</v>
      </c>
      <c r="AY1207" s="355">
        <v>3.124E-2</v>
      </c>
      <c r="AZ1207" s="624">
        <v>40011</v>
      </c>
      <c r="BA1207" s="355">
        <v>1.5100000000000001E-2</v>
      </c>
      <c r="BB1207" s="624">
        <v>39944</v>
      </c>
      <c r="BC1207" s="355">
        <v>0.30980000000000002</v>
      </c>
      <c r="BD1207" s="624">
        <v>39945</v>
      </c>
      <c r="BE1207" s="355">
        <v>8.0850000000000005E-2</v>
      </c>
      <c r="BF1207" s="624">
        <v>39993</v>
      </c>
      <c r="BG1207" s="355">
        <v>2.0809000000000001E-2</v>
      </c>
      <c r="BH1207" s="624">
        <v>39945</v>
      </c>
      <c r="BI1207" s="355">
        <v>9.6542000000000003E-2</v>
      </c>
      <c r="BJ1207" s="624">
        <v>39944</v>
      </c>
      <c r="BK1207" s="355">
        <v>2.8924999999999999E-2</v>
      </c>
    </row>
    <row r="1208" spans="3:63" x14ac:dyDescent="0.15">
      <c r="C1208" s="624"/>
      <c r="D1208" s="355">
        <v>3.124E-2</v>
      </c>
      <c r="AV1208" s="624"/>
      <c r="AX1208" s="624">
        <v>39947</v>
      </c>
      <c r="AY1208" s="355">
        <v>3.1109999999999999E-2</v>
      </c>
      <c r="AZ1208" s="624">
        <v>40014</v>
      </c>
      <c r="BA1208" s="355">
        <v>1.52E-2</v>
      </c>
      <c r="BB1208" s="624">
        <v>39945</v>
      </c>
      <c r="BC1208" s="355">
        <v>0.31030000000000002</v>
      </c>
      <c r="BD1208" s="624">
        <v>39946</v>
      </c>
      <c r="BE1208" s="355">
        <v>7.9869999999999997E-2</v>
      </c>
      <c r="BF1208" s="624">
        <v>39994</v>
      </c>
      <c r="BG1208" s="355">
        <v>2.0875000000000001E-2</v>
      </c>
      <c r="BH1208" s="624">
        <v>39946</v>
      </c>
      <c r="BI1208" s="355">
        <v>9.6249000000000001E-2</v>
      </c>
      <c r="BJ1208" s="624">
        <v>39945</v>
      </c>
      <c r="BK1208" s="355">
        <v>2.8951999999999999E-2</v>
      </c>
    </row>
    <row r="1209" spans="3:63" x14ac:dyDescent="0.15">
      <c r="C1209" s="624"/>
      <c r="D1209" s="355">
        <v>3.1109999999999999E-2</v>
      </c>
      <c r="AV1209" s="624"/>
      <c r="AX1209" s="624">
        <v>39948</v>
      </c>
      <c r="AY1209" s="355">
        <v>3.1130000000000001E-2</v>
      </c>
      <c r="AZ1209" s="624">
        <v>40015</v>
      </c>
      <c r="BA1209" s="355">
        <v>1.52E-2</v>
      </c>
      <c r="BB1209" s="624">
        <v>39946</v>
      </c>
      <c r="BC1209" s="355">
        <v>0.30530000000000002</v>
      </c>
      <c r="BD1209" s="624">
        <v>39947</v>
      </c>
      <c r="BE1209" s="355">
        <v>7.8950000000000006E-2</v>
      </c>
      <c r="BF1209" s="624">
        <v>39995</v>
      </c>
      <c r="BG1209" s="355">
        <v>2.0888E-2</v>
      </c>
      <c r="BH1209" s="624">
        <v>39947</v>
      </c>
      <c r="BI1209" s="355">
        <v>9.6648999999999999E-2</v>
      </c>
      <c r="BJ1209" s="624">
        <v>39946</v>
      </c>
      <c r="BK1209" s="355">
        <v>2.8965000000000001E-2</v>
      </c>
    </row>
    <row r="1210" spans="3:63" x14ac:dyDescent="0.15">
      <c r="C1210" s="624"/>
      <c r="D1210" s="355">
        <v>3.1130000000000001E-2</v>
      </c>
      <c r="AV1210" s="624"/>
      <c r="AX1210" s="624">
        <v>39951</v>
      </c>
      <c r="AY1210" s="355">
        <v>3.1189999999999999E-2</v>
      </c>
      <c r="AZ1210" s="624">
        <v>40016</v>
      </c>
      <c r="BA1210" s="355">
        <v>1.5299999999999999E-2</v>
      </c>
      <c r="BB1210" s="624">
        <v>39947</v>
      </c>
      <c r="BC1210" s="355">
        <v>0.30470000000000003</v>
      </c>
      <c r="BD1210" s="624">
        <v>39948</v>
      </c>
      <c r="BE1210" s="355">
        <v>7.9030000000000003E-2</v>
      </c>
      <c r="BF1210" s="624">
        <v>39996</v>
      </c>
      <c r="BG1210" s="355">
        <v>2.0854999999999999E-2</v>
      </c>
      <c r="BH1210" s="624">
        <v>39948</v>
      </c>
      <c r="BI1210" s="355">
        <v>9.5877000000000004E-2</v>
      </c>
      <c r="BJ1210" s="624">
        <v>39947</v>
      </c>
      <c r="BK1210" s="355">
        <v>2.8927000000000001E-2</v>
      </c>
    </row>
    <row r="1211" spans="3:63" x14ac:dyDescent="0.15">
      <c r="C1211" s="624"/>
      <c r="D1211" s="355">
        <v>3.1189999999999999E-2</v>
      </c>
      <c r="AV1211" s="624"/>
      <c r="AX1211" s="624">
        <v>39952</v>
      </c>
      <c r="AY1211" s="355">
        <v>3.1390000000000001E-2</v>
      </c>
      <c r="AZ1211" s="624">
        <v>40017</v>
      </c>
      <c r="BA1211" s="355">
        <v>1.52E-2</v>
      </c>
      <c r="BB1211" s="624">
        <v>39948</v>
      </c>
      <c r="BC1211" s="355">
        <v>0.30070000000000002</v>
      </c>
      <c r="BD1211" s="624">
        <v>39951</v>
      </c>
      <c r="BE1211" s="355">
        <v>8.0449999999999994E-2</v>
      </c>
      <c r="BF1211" s="624">
        <v>39997</v>
      </c>
      <c r="BG1211" s="355">
        <v>2.0881E-2</v>
      </c>
      <c r="BH1211" s="624">
        <v>39951</v>
      </c>
      <c r="BI1211" s="355">
        <v>9.7118999999999997E-2</v>
      </c>
      <c r="BJ1211" s="624">
        <v>39948</v>
      </c>
      <c r="BK1211" s="355">
        <v>2.8920000000000001E-2</v>
      </c>
    </row>
    <row r="1212" spans="3:63" x14ac:dyDescent="0.15">
      <c r="C1212" s="624"/>
      <c r="D1212" s="355">
        <v>3.1390000000000001E-2</v>
      </c>
      <c r="AV1212" s="624"/>
      <c r="AX1212" s="624">
        <v>39953</v>
      </c>
      <c r="AY1212" s="355">
        <v>3.1690000000000003E-2</v>
      </c>
      <c r="AZ1212" s="624">
        <v>40018</v>
      </c>
      <c r="BA1212" s="355">
        <v>1.5299999999999999E-2</v>
      </c>
      <c r="BB1212" s="624">
        <v>39951</v>
      </c>
      <c r="BC1212" s="355">
        <v>0.30730000000000002</v>
      </c>
      <c r="BD1212" s="624">
        <v>39952</v>
      </c>
      <c r="BE1212" s="355">
        <v>8.0320000000000003E-2</v>
      </c>
      <c r="BF1212" s="624">
        <v>40000</v>
      </c>
      <c r="BG1212" s="355">
        <v>2.0589E-2</v>
      </c>
      <c r="BH1212" s="624">
        <v>39952</v>
      </c>
      <c r="BI1212" s="355">
        <v>9.7072000000000006E-2</v>
      </c>
      <c r="BJ1212" s="624">
        <v>39951</v>
      </c>
      <c r="BK1212" s="355">
        <v>2.8955999999999999E-2</v>
      </c>
    </row>
    <row r="1213" spans="3:63" x14ac:dyDescent="0.15">
      <c r="C1213" s="624"/>
      <c r="D1213" s="355">
        <v>3.1690000000000003E-2</v>
      </c>
      <c r="AV1213" s="624"/>
      <c r="AX1213" s="624">
        <v>39954</v>
      </c>
      <c r="AY1213" s="355">
        <v>3.1919999999999997E-2</v>
      </c>
      <c r="AZ1213" s="624">
        <v>40021</v>
      </c>
      <c r="BA1213" s="355">
        <v>1.52E-2</v>
      </c>
      <c r="BB1213" s="624">
        <v>39952</v>
      </c>
      <c r="BC1213" s="355">
        <v>0.31230000000000002</v>
      </c>
      <c r="BD1213" s="624">
        <v>39953</v>
      </c>
      <c r="BE1213" s="355">
        <v>8.0589999999999995E-2</v>
      </c>
      <c r="BF1213" s="624">
        <v>40001</v>
      </c>
      <c r="BG1213" s="355">
        <v>2.0643999999999999E-2</v>
      </c>
      <c r="BH1213" s="624">
        <v>39953</v>
      </c>
      <c r="BI1213" s="355">
        <v>9.6416000000000002E-2</v>
      </c>
      <c r="BJ1213" s="624">
        <v>39952</v>
      </c>
      <c r="BK1213" s="355">
        <v>2.9062000000000001E-2</v>
      </c>
    </row>
    <row r="1214" spans="3:63" x14ac:dyDescent="0.15">
      <c r="C1214" s="624"/>
      <c r="D1214" s="355">
        <v>3.1919999999999997E-2</v>
      </c>
      <c r="AV1214" s="624"/>
      <c r="AX1214" s="624">
        <v>39955</v>
      </c>
      <c r="AY1214" s="355">
        <v>3.2199999999999999E-2</v>
      </c>
      <c r="AZ1214" s="624">
        <v>40022</v>
      </c>
      <c r="BA1214" s="355">
        <v>1.5100000000000001E-2</v>
      </c>
      <c r="BB1214" s="624">
        <v>39953</v>
      </c>
      <c r="BC1214" s="355">
        <v>0.31669999999999998</v>
      </c>
      <c r="BD1214" s="624">
        <v>39954</v>
      </c>
      <c r="BE1214" s="355">
        <v>8.0399999999999999E-2</v>
      </c>
      <c r="BF1214" s="624">
        <v>40002</v>
      </c>
      <c r="BG1214" s="355">
        <v>2.0455000000000001E-2</v>
      </c>
      <c r="BH1214" s="624">
        <v>39954</v>
      </c>
      <c r="BI1214" s="355">
        <v>9.7243999999999997E-2</v>
      </c>
      <c r="BJ1214" s="624">
        <v>39953</v>
      </c>
      <c r="BK1214" s="355">
        <v>2.9055000000000001E-2</v>
      </c>
    </row>
    <row r="1215" spans="3:63" x14ac:dyDescent="0.15">
      <c r="C1215" s="624"/>
      <c r="D1215" s="355">
        <v>3.2199999999999999E-2</v>
      </c>
      <c r="AV1215" s="624"/>
      <c r="AX1215" s="624">
        <v>39958</v>
      </c>
      <c r="AY1215" s="355">
        <v>3.2259999999999997E-2</v>
      </c>
      <c r="AZ1215" s="624">
        <v>40023</v>
      </c>
      <c r="BA1215" s="355">
        <v>1.4999999999999999E-2</v>
      </c>
      <c r="BB1215" s="624">
        <v>39954</v>
      </c>
      <c r="BC1215" s="355">
        <v>0.31630000000000003</v>
      </c>
      <c r="BD1215" s="624">
        <v>39955</v>
      </c>
      <c r="BE1215" s="355">
        <v>8.0339999999999995E-2</v>
      </c>
      <c r="BF1215" s="624">
        <v>40003</v>
      </c>
      <c r="BG1215" s="355">
        <v>2.0544E-2</v>
      </c>
      <c r="BH1215" s="624">
        <v>39955</v>
      </c>
      <c r="BI1215" s="355">
        <v>9.7997000000000001E-2</v>
      </c>
      <c r="BJ1215" s="624">
        <v>39954</v>
      </c>
      <c r="BK1215" s="355">
        <v>2.9090999999999999E-2</v>
      </c>
    </row>
    <row r="1216" spans="3:63" x14ac:dyDescent="0.15">
      <c r="C1216" s="624"/>
      <c r="D1216" s="355">
        <v>3.2259999999999997E-2</v>
      </c>
      <c r="AV1216" s="624"/>
      <c r="AX1216" s="624">
        <v>39959</v>
      </c>
      <c r="AY1216" s="355">
        <v>3.1949999999999999E-2</v>
      </c>
      <c r="AZ1216" s="624">
        <v>40024</v>
      </c>
      <c r="BA1216" s="355">
        <v>1.4999999999999999E-2</v>
      </c>
      <c r="BB1216" s="624">
        <v>39955</v>
      </c>
      <c r="BC1216" s="355">
        <v>0.318</v>
      </c>
      <c r="BD1216" s="624">
        <v>39958</v>
      </c>
      <c r="BE1216" s="355">
        <v>8.0130000000000007E-2</v>
      </c>
      <c r="BF1216" s="624">
        <v>40004</v>
      </c>
      <c r="BG1216" s="355">
        <v>2.0407999999999999E-2</v>
      </c>
      <c r="BH1216" s="624">
        <v>39958</v>
      </c>
      <c r="BI1216" s="355">
        <v>9.8102999999999996E-2</v>
      </c>
      <c r="BJ1216" s="624">
        <v>39955</v>
      </c>
      <c r="BK1216" s="355">
        <v>2.9149999999999999E-2</v>
      </c>
    </row>
    <row r="1217" spans="3:63" x14ac:dyDescent="0.15">
      <c r="C1217" s="624"/>
      <c r="D1217" s="355">
        <v>3.1949999999999999E-2</v>
      </c>
      <c r="AV1217" s="624"/>
      <c r="AX1217" s="624">
        <v>39960</v>
      </c>
      <c r="AY1217" s="355">
        <v>3.2009999999999997E-2</v>
      </c>
      <c r="AZ1217" s="624">
        <v>40025</v>
      </c>
      <c r="BA1217" s="355">
        <v>1.5299999999999999E-2</v>
      </c>
      <c r="BB1217" s="624">
        <v>39958</v>
      </c>
      <c r="BC1217" s="355">
        <v>0.31790000000000002</v>
      </c>
      <c r="BD1217" s="624">
        <v>39959</v>
      </c>
      <c r="BE1217" s="355">
        <v>7.9149999999999998E-2</v>
      </c>
      <c r="BF1217" s="624">
        <v>40007</v>
      </c>
      <c r="BG1217" s="355">
        <v>2.0371E-2</v>
      </c>
      <c r="BH1217" s="624">
        <v>39959</v>
      </c>
      <c r="BI1217" s="355">
        <v>9.6723000000000003E-2</v>
      </c>
      <c r="BJ1217" s="624">
        <v>39958</v>
      </c>
      <c r="BK1217" s="355">
        <v>2.9086999999999998E-2</v>
      </c>
    </row>
    <row r="1218" spans="3:63" x14ac:dyDescent="0.15">
      <c r="C1218" s="624"/>
      <c r="D1218" s="355">
        <v>3.2009999999999997E-2</v>
      </c>
      <c r="AV1218" s="624"/>
      <c r="AX1218" s="624">
        <v>39961</v>
      </c>
      <c r="AY1218" s="355">
        <v>3.1919999999999997E-2</v>
      </c>
      <c r="AZ1218" s="624">
        <v>40028</v>
      </c>
      <c r="BA1218" s="355">
        <v>1.54E-2</v>
      </c>
      <c r="BB1218" s="624">
        <v>39959</v>
      </c>
      <c r="BC1218" s="355">
        <v>0.31680000000000003</v>
      </c>
      <c r="BD1218" s="624">
        <v>39960</v>
      </c>
      <c r="BE1218" s="355">
        <v>7.7950000000000005E-2</v>
      </c>
      <c r="BF1218" s="624">
        <v>40008</v>
      </c>
      <c r="BG1218" s="355">
        <v>2.0423E-2</v>
      </c>
      <c r="BH1218" s="624">
        <v>39960</v>
      </c>
      <c r="BI1218" s="355">
        <v>9.6736000000000003E-2</v>
      </c>
      <c r="BJ1218" s="624">
        <v>39959</v>
      </c>
      <c r="BK1218" s="355">
        <v>2.9028000000000002E-2</v>
      </c>
    </row>
    <row r="1219" spans="3:63" x14ac:dyDescent="0.15">
      <c r="C1219" s="624"/>
      <c r="D1219" s="355">
        <v>3.1919999999999997E-2</v>
      </c>
      <c r="AV1219" s="624"/>
      <c r="AX1219" s="624">
        <v>39962</v>
      </c>
      <c r="AY1219" s="355">
        <v>3.2460000000000003E-2</v>
      </c>
      <c r="AZ1219" s="624">
        <v>40029</v>
      </c>
      <c r="BA1219" s="355">
        <v>1.55E-2</v>
      </c>
      <c r="BB1219" s="624">
        <v>39960</v>
      </c>
      <c r="BC1219" s="355">
        <v>0.31119999999999998</v>
      </c>
      <c r="BD1219" s="624">
        <v>39961</v>
      </c>
      <c r="BE1219" s="355">
        <v>7.9159999999999994E-2</v>
      </c>
      <c r="BF1219" s="624">
        <v>40009</v>
      </c>
      <c r="BG1219" s="355">
        <v>2.0559999999999998E-2</v>
      </c>
      <c r="BH1219" s="624">
        <v>39961</v>
      </c>
      <c r="BI1219" s="355">
        <v>9.6898999999999999E-2</v>
      </c>
      <c r="BJ1219" s="624">
        <v>39960</v>
      </c>
      <c r="BK1219" s="355">
        <v>2.9069999999999999E-2</v>
      </c>
    </row>
    <row r="1220" spans="3:63" x14ac:dyDescent="0.15">
      <c r="C1220" s="624"/>
      <c r="D1220" s="355">
        <v>3.2460000000000003E-2</v>
      </c>
      <c r="AV1220" s="624"/>
      <c r="AX1220" s="624">
        <v>39965</v>
      </c>
      <c r="AY1220" s="355">
        <v>3.2660000000000002E-2</v>
      </c>
      <c r="AZ1220" s="624">
        <v>40030</v>
      </c>
      <c r="BA1220" s="355">
        <v>1.54E-2</v>
      </c>
      <c r="BB1220" s="624">
        <v>39961</v>
      </c>
      <c r="BC1220" s="355">
        <v>0.30840000000000001</v>
      </c>
      <c r="BD1220" s="624">
        <v>39962</v>
      </c>
      <c r="BE1220" s="355">
        <v>7.9659999999999995E-2</v>
      </c>
      <c r="BF1220" s="624">
        <v>40010</v>
      </c>
      <c r="BG1220" s="355">
        <v>2.0548E-2</v>
      </c>
      <c r="BH1220" s="624">
        <v>39962</v>
      </c>
      <c r="BI1220" s="355">
        <v>9.6712000000000006E-2</v>
      </c>
      <c r="BJ1220" s="624">
        <v>39961</v>
      </c>
      <c r="BK1220" s="355">
        <v>2.9059000000000001E-2</v>
      </c>
    </row>
    <row r="1221" spans="3:63" x14ac:dyDescent="0.15">
      <c r="C1221" s="624"/>
      <c r="D1221" s="355">
        <v>3.2660000000000002E-2</v>
      </c>
      <c r="AV1221" s="624"/>
      <c r="AX1221" s="624">
        <v>39966</v>
      </c>
      <c r="AY1221" s="355">
        <v>3.2739999999999998E-2</v>
      </c>
      <c r="AZ1221" s="624">
        <v>40031</v>
      </c>
      <c r="BA1221" s="355">
        <v>1.5299999999999999E-2</v>
      </c>
      <c r="BB1221" s="624">
        <v>39962</v>
      </c>
      <c r="BC1221" s="355">
        <v>0.314</v>
      </c>
      <c r="BD1221" s="624">
        <v>39965</v>
      </c>
      <c r="BE1221" s="355">
        <v>8.1360000000000002E-2</v>
      </c>
      <c r="BF1221" s="624">
        <v>40011</v>
      </c>
      <c r="BG1221" s="355">
        <v>2.052E-2</v>
      </c>
      <c r="BH1221" s="624">
        <v>39965</v>
      </c>
      <c r="BI1221" s="355">
        <v>9.7418000000000005E-2</v>
      </c>
      <c r="BJ1221" s="624">
        <v>39962</v>
      </c>
      <c r="BK1221" s="355">
        <v>2.9138000000000001E-2</v>
      </c>
    </row>
    <row r="1222" spans="3:63" x14ac:dyDescent="0.15">
      <c r="C1222" s="624"/>
      <c r="D1222" s="355">
        <v>3.2739999999999998E-2</v>
      </c>
      <c r="AV1222" s="624"/>
      <c r="AX1222" s="624">
        <v>39967</v>
      </c>
      <c r="AY1222" s="355">
        <v>3.2349999999999997E-2</v>
      </c>
      <c r="AZ1222" s="624">
        <v>40032</v>
      </c>
      <c r="BA1222" s="355">
        <v>1.52E-2</v>
      </c>
      <c r="BB1222" s="624">
        <v>39965</v>
      </c>
      <c r="BC1222" s="355">
        <v>0.31730000000000003</v>
      </c>
      <c r="BD1222" s="624">
        <v>39966</v>
      </c>
      <c r="BE1222" s="355">
        <v>8.0990000000000006E-2</v>
      </c>
      <c r="BF1222" s="624">
        <v>40014</v>
      </c>
      <c r="BG1222" s="355">
        <v>2.0767999999999998E-2</v>
      </c>
      <c r="BH1222" s="624">
        <v>39966</v>
      </c>
      <c r="BI1222" s="355">
        <v>9.7556000000000004E-2</v>
      </c>
      <c r="BJ1222" s="624">
        <v>39965</v>
      </c>
      <c r="BK1222" s="355">
        <v>2.9316999999999999E-2</v>
      </c>
    </row>
    <row r="1223" spans="3:63" x14ac:dyDescent="0.15">
      <c r="C1223" s="624"/>
      <c r="D1223" s="355">
        <v>3.2349999999999997E-2</v>
      </c>
      <c r="AV1223" s="624"/>
      <c r="AX1223" s="624">
        <v>39968</v>
      </c>
      <c r="AY1223" s="355">
        <v>3.243E-2</v>
      </c>
      <c r="AZ1223" s="624">
        <v>40035</v>
      </c>
      <c r="BA1223" s="355">
        <v>1.5100000000000001E-2</v>
      </c>
      <c r="BB1223" s="624">
        <v>39966</v>
      </c>
      <c r="BC1223" s="355">
        <v>0.31969999999999998</v>
      </c>
      <c r="BD1223" s="624">
        <v>39967</v>
      </c>
      <c r="BE1223" s="355">
        <v>8.0560000000000007E-2</v>
      </c>
      <c r="BF1223" s="624">
        <v>40015</v>
      </c>
      <c r="BG1223" s="355">
        <v>2.0649000000000001E-2</v>
      </c>
      <c r="BH1223" s="624">
        <v>39967</v>
      </c>
      <c r="BI1223" s="355">
        <v>9.8743999999999998E-2</v>
      </c>
      <c r="BJ1223" s="624">
        <v>39966</v>
      </c>
      <c r="BK1223" s="355">
        <v>2.9321E-2</v>
      </c>
    </row>
    <row r="1224" spans="3:63" x14ac:dyDescent="0.15">
      <c r="C1224" s="624"/>
      <c r="D1224" s="355">
        <v>3.243E-2</v>
      </c>
      <c r="AV1224" s="624"/>
      <c r="AX1224" s="624">
        <v>39969</v>
      </c>
      <c r="AY1224" s="355">
        <v>3.2379999999999999E-2</v>
      </c>
      <c r="AZ1224" s="624">
        <v>40036</v>
      </c>
      <c r="BA1224" s="355">
        <v>1.5100000000000001E-2</v>
      </c>
      <c r="BB1224" s="624">
        <v>39967</v>
      </c>
      <c r="BC1224" s="355">
        <v>0.313</v>
      </c>
      <c r="BD1224" s="624">
        <v>39968</v>
      </c>
      <c r="BE1224" s="355">
        <v>8.022E-2</v>
      </c>
      <c r="BF1224" s="624">
        <v>40016</v>
      </c>
      <c r="BG1224" s="355">
        <v>2.0614E-2</v>
      </c>
      <c r="BH1224" s="624">
        <v>39968</v>
      </c>
      <c r="BI1224" s="355">
        <v>9.8474000000000006E-2</v>
      </c>
      <c r="BJ1224" s="624">
        <v>39967</v>
      </c>
      <c r="BK1224" s="355">
        <v>2.9377E-2</v>
      </c>
    </row>
    <row r="1225" spans="3:63" x14ac:dyDescent="0.15">
      <c r="C1225" s="624"/>
      <c r="D1225" s="355">
        <v>3.2379999999999999E-2</v>
      </c>
      <c r="AV1225" s="624"/>
      <c r="AX1225" s="624">
        <v>39972</v>
      </c>
      <c r="AY1225" s="355">
        <v>3.184E-2</v>
      </c>
      <c r="AZ1225" s="624">
        <v>40037</v>
      </c>
      <c r="BA1225" s="355">
        <v>1.5100000000000001E-2</v>
      </c>
      <c r="BB1225" s="624">
        <v>39968</v>
      </c>
      <c r="BC1225" s="355">
        <v>0.315</v>
      </c>
      <c r="BD1225" s="624">
        <v>39969</v>
      </c>
      <c r="BE1225" s="355">
        <v>8.0070000000000002E-2</v>
      </c>
      <c r="BF1225" s="624">
        <v>40017</v>
      </c>
      <c r="BG1225" s="355">
        <v>2.0650999999999999E-2</v>
      </c>
      <c r="BH1225" s="624">
        <v>39969</v>
      </c>
      <c r="BI1225" s="355">
        <v>0.100604</v>
      </c>
      <c r="BJ1225" s="624">
        <v>39968</v>
      </c>
      <c r="BK1225" s="355">
        <v>2.9291000000000001E-2</v>
      </c>
    </row>
    <row r="1226" spans="3:63" x14ac:dyDescent="0.15">
      <c r="C1226" s="624"/>
      <c r="D1226" s="355">
        <v>3.184E-2</v>
      </c>
      <c r="AV1226" s="624"/>
      <c r="AX1226" s="624">
        <v>39973</v>
      </c>
      <c r="AY1226" s="355">
        <v>3.2120000000000003E-2</v>
      </c>
      <c r="AZ1226" s="624">
        <v>40038</v>
      </c>
      <c r="BA1226" s="355">
        <v>1.5299999999999999E-2</v>
      </c>
      <c r="BB1226" s="624">
        <v>39969</v>
      </c>
      <c r="BC1226" s="355">
        <v>0.30759999999999998</v>
      </c>
      <c r="BD1226" s="624">
        <v>39972</v>
      </c>
      <c r="BE1226" s="355">
        <v>7.918E-2</v>
      </c>
      <c r="BF1226" s="624">
        <v>40018</v>
      </c>
      <c r="BG1226" s="355">
        <v>2.0735E-2</v>
      </c>
      <c r="BH1226" s="624">
        <v>39972</v>
      </c>
      <c r="BI1226" s="355">
        <v>0.100176</v>
      </c>
      <c r="BJ1226" s="624">
        <v>39969</v>
      </c>
      <c r="BK1226" s="355">
        <v>2.9222999999999999E-2</v>
      </c>
    </row>
    <row r="1227" spans="3:63" x14ac:dyDescent="0.15">
      <c r="C1227" s="624"/>
      <c r="D1227" s="355">
        <v>3.2120000000000003E-2</v>
      </c>
      <c r="AV1227" s="624"/>
      <c r="AX1227" s="624">
        <v>39974</v>
      </c>
      <c r="AY1227" s="355">
        <v>3.2329999999999998E-2</v>
      </c>
      <c r="AZ1227" s="624">
        <v>40039</v>
      </c>
      <c r="BA1227" s="355">
        <v>1.52E-2</v>
      </c>
      <c r="BB1227" s="624">
        <v>39972</v>
      </c>
      <c r="BC1227" s="355">
        <v>0.3075</v>
      </c>
      <c r="BD1227" s="624">
        <v>39973</v>
      </c>
      <c r="BE1227" s="355">
        <v>7.9200000000000007E-2</v>
      </c>
      <c r="BF1227" s="624">
        <v>40021</v>
      </c>
      <c r="BG1227" s="355">
        <v>2.0760000000000001E-2</v>
      </c>
      <c r="BH1227" s="624">
        <v>39973</v>
      </c>
      <c r="BI1227" s="355">
        <v>9.9255999999999997E-2</v>
      </c>
      <c r="BJ1227" s="624">
        <v>39972</v>
      </c>
      <c r="BK1227" s="355">
        <v>2.9123E-2</v>
      </c>
    </row>
    <row r="1228" spans="3:63" x14ac:dyDescent="0.15">
      <c r="C1228" s="624"/>
      <c r="D1228" s="355">
        <v>3.2329999999999998E-2</v>
      </c>
      <c r="AV1228" s="624"/>
      <c r="AX1228" s="624">
        <v>39975</v>
      </c>
      <c r="AY1228" s="355">
        <v>3.2410000000000001E-2</v>
      </c>
      <c r="AZ1228" s="624">
        <v>40042</v>
      </c>
      <c r="BA1228" s="355">
        <v>1.5100000000000001E-2</v>
      </c>
      <c r="BB1228" s="624">
        <v>39973</v>
      </c>
      <c r="BC1228" s="355">
        <v>0.31390000000000001</v>
      </c>
      <c r="BD1228" s="624">
        <v>39974</v>
      </c>
      <c r="BE1228" s="355">
        <v>7.9350000000000004E-2</v>
      </c>
      <c r="BF1228" s="624">
        <v>40022</v>
      </c>
      <c r="BG1228" s="355">
        <v>2.0745E-2</v>
      </c>
      <c r="BH1228" s="624">
        <v>39974</v>
      </c>
      <c r="BI1228" s="355">
        <v>9.9825999999999998E-2</v>
      </c>
      <c r="BJ1228" s="624">
        <v>39973</v>
      </c>
      <c r="BK1228" s="355">
        <v>2.9270000000000001E-2</v>
      </c>
    </row>
    <row r="1229" spans="3:63" x14ac:dyDescent="0.15">
      <c r="C1229" s="624"/>
      <c r="D1229" s="355">
        <v>3.2410000000000001E-2</v>
      </c>
      <c r="AV1229" s="624"/>
      <c r="AX1229" s="624">
        <v>39976</v>
      </c>
      <c r="AY1229" s="355">
        <v>3.2489999999999998E-2</v>
      </c>
      <c r="AZ1229" s="624">
        <v>40043</v>
      </c>
      <c r="BA1229" s="355">
        <v>1.5100000000000001E-2</v>
      </c>
      <c r="BB1229" s="624">
        <v>39974</v>
      </c>
      <c r="BC1229" s="355">
        <v>0.31159999999999999</v>
      </c>
      <c r="BD1229" s="624">
        <v>39975</v>
      </c>
      <c r="BE1229" s="355">
        <v>7.9780000000000004E-2</v>
      </c>
      <c r="BF1229" s="624">
        <v>40023</v>
      </c>
      <c r="BG1229" s="355">
        <v>2.0656000000000001E-2</v>
      </c>
      <c r="BH1229" s="624">
        <v>39975</v>
      </c>
      <c r="BI1229" s="355">
        <v>9.9825999999999998E-2</v>
      </c>
      <c r="BJ1229" s="624">
        <v>39974</v>
      </c>
      <c r="BK1229" s="355">
        <v>2.9326000000000001E-2</v>
      </c>
    </row>
    <row r="1230" spans="3:63" x14ac:dyDescent="0.15">
      <c r="C1230" s="624"/>
      <c r="D1230" s="355">
        <v>3.2489999999999998E-2</v>
      </c>
      <c r="AV1230" s="624"/>
      <c r="AX1230" s="624">
        <v>39979</v>
      </c>
      <c r="AY1230" s="355">
        <v>3.1940000000000003E-2</v>
      </c>
      <c r="AZ1230" s="624">
        <v>40044</v>
      </c>
      <c r="BA1230" s="355">
        <v>1.52E-2</v>
      </c>
      <c r="BB1230" s="624">
        <v>39975</v>
      </c>
      <c r="BC1230" s="355">
        <v>0.31559999999999999</v>
      </c>
      <c r="BD1230" s="624">
        <v>39976</v>
      </c>
      <c r="BE1230" s="355">
        <v>7.9939999999999997E-2</v>
      </c>
      <c r="BF1230" s="624">
        <v>40024</v>
      </c>
      <c r="BG1230" s="355">
        <v>2.0687000000000001E-2</v>
      </c>
      <c r="BH1230" s="624">
        <v>39976</v>
      </c>
      <c r="BI1230" s="355">
        <v>9.9382999999999999E-2</v>
      </c>
      <c r="BJ1230" s="624">
        <v>39975</v>
      </c>
      <c r="BK1230" s="355">
        <v>2.9364000000000001E-2</v>
      </c>
    </row>
    <row r="1231" spans="3:63" x14ac:dyDescent="0.15">
      <c r="C1231" s="624"/>
      <c r="D1231" s="355">
        <v>3.1940000000000003E-2</v>
      </c>
      <c r="AV1231" s="624"/>
      <c r="AX1231" s="624">
        <v>39980</v>
      </c>
      <c r="AY1231" s="355">
        <v>3.2050000000000002E-2</v>
      </c>
      <c r="AZ1231" s="624">
        <v>40045</v>
      </c>
      <c r="BA1231" s="355">
        <v>1.5299999999999999E-2</v>
      </c>
      <c r="BB1231" s="624">
        <v>39976</v>
      </c>
      <c r="BC1231" s="355">
        <v>0.31319999999999998</v>
      </c>
      <c r="BD1231" s="624">
        <v>39979</v>
      </c>
      <c r="BE1231" s="355">
        <v>7.8810000000000005E-2</v>
      </c>
      <c r="BF1231" s="624">
        <v>40025</v>
      </c>
      <c r="BG1231" s="355">
        <v>2.0858000000000002E-2</v>
      </c>
      <c r="BH1231" s="624">
        <v>39979</v>
      </c>
      <c r="BI1231" s="355">
        <v>9.8790000000000003E-2</v>
      </c>
      <c r="BJ1231" s="624">
        <v>39976</v>
      </c>
      <c r="BK1231" s="355">
        <v>2.9321E-2</v>
      </c>
    </row>
    <row r="1232" spans="3:63" x14ac:dyDescent="0.15">
      <c r="C1232" s="624"/>
      <c r="D1232" s="355">
        <v>3.2050000000000002E-2</v>
      </c>
      <c r="AV1232" s="624"/>
      <c r="AX1232" s="624">
        <v>39981</v>
      </c>
      <c r="AY1232" s="355">
        <v>3.2000000000000001E-2</v>
      </c>
      <c r="AZ1232" s="624">
        <v>40046</v>
      </c>
      <c r="BA1232" s="355">
        <v>1.54E-2</v>
      </c>
      <c r="BB1232" s="624">
        <v>39979</v>
      </c>
      <c r="BC1232" s="355">
        <v>0.30480000000000002</v>
      </c>
      <c r="BD1232" s="624">
        <v>39980</v>
      </c>
      <c r="BE1232" s="355">
        <v>7.9280000000000003E-2</v>
      </c>
      <c r="BF1232" s="624">
        <v>40028</v>
      </c>
      <c r="BG1232" s="355">
        <v>2.0995E-2</v>
      </c>
      <c r="BH1232" s="624">
        <v>39980</v>
      </c>
      <c r="BI1232" s="355">
        <v>9.8790000000000003E-2</v>
      </c>
      <c r="BJ1232" s="624">
        <v>39979</v>
      </c>
      <c r="BK1232" s="355">
        <v>2.9308000000000001E-2</v>
      </c>
    </row>
    <row r="1233" spans="3:63" x14ac:dyDescent="0.15">
      <c r="C1233" s="624"/>
      <c r="D1233" s="355">
        <v>3.2000000000000001E-2</v>
      </c>
      <c r="AV1233" s="624"/>
      <c r="AX1233" s="624">
        <v>39982</v>
      </c>
      <c r="AY1233" s="355">
        <v>3.2160000000000001E-2</v>
      </c>
      <c r="AZ1233" s="624">
        <v>40049</v>
      </c>
      <c r="BA1233" s="355">
        <v>1.5299999999999999E-2</v>
      </c>
      <c r="BB1233" s="624">
        <v>39980</v>
      </c>
      <c r="BC1233" s="355">
        <v>0.30590000000000001</v>
      </c>
      <c r="BD1233" s="624">
        <v>39981</v>
      </c>
      <c r="BE1233" s="355">
        <v>7.9229999999999995E-2</v>
      </c>
      <c r="BF1233" s="624">
        <v>40029</v>
      </c>
      <c r="BG1233" s="355">
        <v>2.0958000000000001E-2</v>
      </c>
      <c r="BH1233" s="624">
        <v>39981</v>
      </c>
      <c r="BI1233" s="355">
        <v>9.8282999999999995E-2</v>
      </c>
      <c r="BJ1233" s="624">
        <v>39980</v>
      </c>
      <c r="BK1233" s="355">
        <v>2.9308000000000001E-2</v>
      </c>
    </row>
    <row r="1234" spans="3:63" x14ac:dyDescent="0.15">
      <c r="C1234" s="624"/>
      <c r="D1234" s="355">
        <v>3.2160000000000001E-2</v>
      </c>
      <c r="AV1234" s="624"/>
      <c r="AX1234" s="624">
        <v>39983</v>
      </c>
      <c r="AY1234" s="355">
        <v>3.2169999999999997E-2</v>
      </c>
      <c r="AZ1234" s="624">
        <v>40050</v>
      </c>
      <c r="BA1234" s="355">
        <v>1.5299999999999999E-2</v>
      </c>
      <c r="BB1234" s="624">
        <v>39981</v>
      </c>
      <c r="BC1234" s="355">
        <v>0.30769999999999997</v>
      </c>
      <c r="BD1234" s="624">
        <v>39982</v>
      </c>
      <c r="BE1234" s="355">
        <v>7.868E-2</v>
      </c>
      <c r="BF1234" s="624">
        <v>40030</v>
      </c>
      <c r="BG1234" s="355">
        <v>2.1038999999999999E-2</v>
      </c>
      <c r="BH1234" s="624">
        <v>39982</v>
      </c>
      <c r="BI1234" s="355">
        <v>9.6061999999999995E-2</v>
      </c>
      <c r="BJ1234" s="624">
        <v>39981</v>
      </c>
      <c r="BK1234" s="355">
        <v>2.928E-2</v>
      </c>
    </row>
    <row r="1235" spans="3:63" x14ac:dyDescent="0.15">
      <c r="C1235" s="624"/>
      <c r="D1235" s="355">
        <v>3.2169999999999997E-2</v>
      </c>
      <c r="AV1235" s="624"/>
      <c r="AX1235" s="624">
        <v>39986</v>
      </c>
      <c r="AY1235" s="355">
        <v>3.1879999999999999E-2</v>
      </c>
      <c r="AZ1235" s="624">
        <v>40051</v>
      </c>
      <c r="BA1235" s="355">
        <v>1.5299999999999999E-2</v>
      </c>
      <c r="BB1235" s="624">
        <v>39982</v>
      </c>
      <c r="BC1235" s="355">
        <v>0.30659999999999998</v>
      </c>
      <c r="BD1235" s="624">
        <v>39983</v>
      </c>
      <c r="BE1235" s="355">
        <v>7.8920000000000004E-2</v>
      </c>
      <c r="BF1235" s="624">
        <v>40031</v>
      </c>
      <c r="BG1235" s="355">
        <v>2.0972000000000001E-2</v>
      </c>
      <c r="BH1235" s="624">
        <v>39983</v>
      </c>
      <c r="BI1235" s="355">
        <v>9.6529000000000004E-2</v>
      </c>
      <c r="BJ1235" s="624">
        <v>39982</v>
      </c>
      <c r="BK1235" s="355">
        <v>2.9274000000000001E-2</v>
      </c>
    </row>
    <row r="1236" spans="3:63" x14ac:dyDescent="0.15">
      <c r="C1236" s="624"/>
      <c r="D1236" s="355">
        <v>3.1879999999999999E-2</v>
      </c>
      <c r="AV1236" s="624"/>
      <c r="AX1236" s="624">
        <v>39987</v>
      </c>
      <c r="AY1236" s="355">
        <v>3.2070000000000001E-2</v>
      </c>
      <c r="AZ1236" s="624">
        <v>40052</v>
      </c>
      <c r="BA1236" s="355">
        <v>1.5299999999999999E-2</v>
      </c>
      <c r="BB1236" s="624">
        <v>39983</v>
      </c>
      <c r="BC1236" s="355">
        <v>0.3075</v>
      </c>
      <c r="BD1236" s="624">
        <v>39986</v>
      </c>
      <c r="BE1236" s="355">
        <v>7.7950000000000005E-2</v>
      </c>
      <c r="BF1236" s="624">
        <v>40032</v>
      </c>
      <c r="BG1236" s="355">
        <v>2.0899000000000001E-2</v>
      </c>
      <c r="BH1236" s="624">
        <v>39986</v>
      </c>
      <c r="BI1236" s="355">
        <v>9.5694000000000001E-2</v>
      </c>
      <c r="BJ1236" s="624">
        <v>39983</v>
      </c>
      <c r="BK1236" s="355">
        <v>2.9321E-2</v>
      </c>
    </row>
    <row r="1237" spans="3:63" x14ac:dyDescent="0.15">
      <c r="C1237" s="624"/>
      <c r="D1237" s="355">
        <v>3.2070000000000001E-2</v>
      </c>
      <c r="AV1237" s="624"/>
      <c r="AX1237" s="624">
        <v>39988</v>
      </c>
      <c r="AY1237" s="355">
        <v>3.2000000000000001E-2</v>
      </c>
      <c r="AZ1237" s="624">
        <v>40053</v>
      </c>
      <c r="BA1237" s="355">
        <v>1.5299999999999999E-2</v>
      </c>
      <c r="BB1237" s="624">
        <v>39986</v>
      </c>
      <c r="BC1237" s="355">
        <v>0.30549999999999999</v>
      </c>
      <c r="BD1237" s="624">
        <v>39987</v>
      </c>
      <c r="BE1237" s="355">
        <v>7.7829999999999996E-2</v>
      </c>
      <c r="BF1237" s="624">
        <v>40035</v>
      </c>
      <c r="BG1237" s="355">
        <v>2.0917000000000002E-2</v>
      </c>
      <c r="BH1237" s="624">
        <v>39987</v>
      </c>
      <c r="BI1237" s="355">
        <v>9.6338999999999994E-2</v>
      </c>
      <c r="BJ1237" s="624">
        <v>39986</v>
      </c>
      <c r="BK1237" s="355">
        <v>2.93E-2</v>
      </c>
    </row>
    <row r="1238" spans="3:63" x14ac:dyDescent="0.15">
      <c r="C1238" s="624"/>
      <c r="D1238" s="355">
        <v>3.2000000000000001E-2</v>
      </c>
      <c r="AV1238" s="624"/>
      <c r="AX1238" s="624">
        <v>39989</v>
      </c>
      <c r="AY1238" s="355">
        <v>3.193E-2</v>
      </c>
      <c r="AZ1238" s="624">
        <v>40056</v>
      </c>
      <c r="BA1238" s="355">
        <v>1.54E-2</v>
      </c>
      <c r="BB1238" s="624">
        <v>39987</v>
      </c>
      <c r="BC1238" s="355">
        <v>0.30909999999999999</v>
      </c>
      <c r="BD1238" s="624">
        <v>39988</v>
      </c>
      <c r="BE1238" s="355">
        <v>7.8280000000000002E-2</v>
      </c>
      <c r="BF1238" s="624">
        <v>40036</v>
      </c>
      <c r="BG1238" s="355">
        <v>2.0851000000000001E-2</v>
      </c>
      <c r="BH1238" s="624">
        <v>39988</v>
      </c>
      <c r="BI1238" s="355">
        <v>9.6618999999999997E-2</v>
      </c>
      <c r="BJ1238" s="624">
        <v>39987</v>
      </c>
      <c r="BK1238" s="355">
        <v>2.9274000000000001E-2</v>
      </c>
    </row>
    <row r="1239" spans="3:63" x14ac:dyDescent="0.15">
      <c r="C1239" s="624"/>
      <c r="D1239" s="355">
        <v>3.193E-2</v>
      </c>
      <c r="AV1239" s="624"/>
      <c r="AX1239" s="624">
        <v>39990</v>
      </c>
      <c r="AY1239" s="355">
        <v>3.2129999999999999E-2</v>
      </c>
      <c r="AZ1239" s="624">
        <v>40057</v>
      </c>
      <c r="BA1239" s="355">
        <v>1.5299999999999999E-2</v>
      </c>
      <c r="BB1239" s="624">
        <v>39988</v>
      </c>
      <c r="BC1239" s="355">
        <v>0.30730000000000002</v>
      </c>
      <c r="BD1239" s="624">
        <v>39989</v>
      </c>
      <c r="BE1239" s="355">
        <v>7.7880000000000005E-2</v>
      </c>
      <c r="BF1239" s="624">
        <v>40037</v>
      </c>
      <c r="BG1239" s="355">
        <v>2.0684999999999999E-2</v>
      </c>
      <c r="BH1239" s="624">
        <v>39989</v>
      </c>
      <c r="BI1239" s="355">
        <v>9.7489999999999993E-2</v>
      </c>
      <c r="BJ1239" s="624">
        <v>39988</v>
      </c>
      <c r="BK1239" s="355">
        <v>2.9315000000000001E-2</v>
      </c>
    </row>
    <row r="1240" spans="3:63" x14ac:dyDescent="0.15">
      <c r="C1240" s="624"/>
      <c r="D1240" s="355">
        <v>3.2129999999999999E-2</v>
      </c>
      <c r="AV1240" s="624"/>
      <c r="AX1240" s="624">
        <v>39993</v>
      </c>
      <c r="AY1240" s="355">
        <v>3.2050000000000002E-2</v>
      </c>
      <c r="AZ1240" s="624">
        <v>40058</v>
      </c>
      <c r="BA1240" s="355">
        <v>1.5299999999999999E-2</v>
      </c>
      <c r="BB1240" s="624">
        <v>39989</v>
      </c>
      <c r="BC1240" s="355">
        <v>0.31090000000000001</v>
      </c>
      <c r="BD1240" s="624">
        <v>39990</v>
      </c>
      <c r="BE1240" s="355">
        <v>7.7880000000000005E-2</v>
      </c>
      <c r="BF1240" s="624">
        <v>40038</v>
      </c>
      <c r="BG1240" s="355">
        <v>2.0805000000000001E-2</v>
      </c>
      <c r="BH1240" s="624">
        <v>39990</v>
      </c>
      <c r="BI1240" s="355">
        <v>9.7489999999999993E-2</v>
      </c>
      <c r="BJ1240" s="624">
        <v>39989</v>
      </c>
      <c r="BK1240" s="355">
        <v>2.9305999999999999E-2</v>
      </c>
    </row>
    <row r="1241" spans="3:63" x14ac:dyDescent="0.15">
      <c r="C1241" s="624"/>
      <c r="D1241" s="355">
        <v>3.2050000000000002E-2</v>
      </c>
      <c r="AV1241" s="624"/>
      <c r="AX1241" s="624">
        <v>39994</v>
      </c>
      <c r="AY1241" s="355">
        <v>3.2099999999999997E-2</v>
      </c>
      <c r="AZ1241" s="624">
        <v>40059</v>
      </c>
      <c r="BA1241" s="355">
        <v>1.5299999999999999E-2</v>
      </c>
      <c r="BB1241" s="624">
        <v>39990</v>
      </c>
      <c r="BC1241" s="355">
        <v>0.31240000000000001</v>
      </c>
      <c r="BD1241" s="624">
        <v>39993</v>
      </c>
      <c r="BE1241" s="355">
        <v>7.8020000000000006E-2</v>
      </c>
      <c r="BF1241" s="624">
        <v>40039</v>
      </c>
      <c r="BG1241" s="355">
        <v>2.0728E-2</v>
      </c>
      <c r="BH1241" s="624">
        <v>39993</v>
      </c>
      <c r="BI1241" s="355">
        <v>9.7489999999999993E-2</v>
      </c>
      <c r="BJ1241" s="624">
        <v>39990</v>
      </c>
      <c r="BK1241" s="355">
        <v>2.9350999999999999E-2</v>
      </c>
    </row>
    <row r="1242" spans="3:63" x14ac:dyDescent="0.15">
      <c r="C1242" s="624"/>
      <c r="D1242" s="355">
        <v>3.2099999999999997E-2</v>
      </c>
      <c r="AV1242" s="624"/>
      <c r="AX1242" s="624">
        <v>39995</v>
      </c>
      <c r="AY1242" s="355">
        <v>3.2250000000000001E-2</v>
      </c>
      <c r="AZ1242" s="624">
        <v>40060</v>
      </c>
      <c r="BA1242" s="355">
        <v>1.5299999999999999E-2</v>
      </c>
      <c r="BB1242" s="624">
        <v>39993</v>
      </c>
      <c r="BC1242" s="355">
        <v>0.31390000000000001</v>
      </c>
      <c r="BD1242" s="624">
        <v>39994</v>
      </c>
      <c r="BE1242" s="355">
        <v>7.8460000000000002E-2</v>
      </c>
      <c r="BF1242" s="624">
        <v>40042</v>
      </c>
      <c r="BG1242" s="355">
        <v>2.0426E-2</v>
      </c>
      <c r="BH1242" s="624">
        <v>39994</v>
      </c>
      <c r="BI1242" s="355">
        <v>9.7560999999999995E-2</v>
      </c>
      <c r="BJ1242" s="624">
        <v>39993</v>
      </c>
      <c r="BK1242" s="355">
        <v>2.9368999999999999E-2</v>
      </c>
    </row>
    <row r="1243" spans="3:63" x14ac:dyDescent="0.15">
      <c r="C1243" s="624"/>
      <c r="D1243" s="355">
        <v>3.2250000000000001E-2</v>
      </c>
      <c r="AV1243" s="624"/>
      <c r="AX1243" s="624">
        <v>39996</v>
      </c>
      <c r="AY1243" s="355">
        <v>3.2009999999999997E-2</v>
      </c>
      <c r="AZ1243" s="624">
        <v>40063</v>
      </c>
      <c r="BA1243" s="355">
        <v>1.5299999999999999E-2</v>
      </c>
      <c r="BB1243" s="624">
        <v>39994</v>
      </c>
      <c r="BC1243" s="355">
        <v>0.31540000000000001</v>
      </c>
      <c r="BD1243" s="624">
        <v>39995</v>
      </c>
      <c r="BE1243" s="355">
        <v>7.9420000000000004E-2</v>
      </c>
      <c r="BF1243" s="624">
        <v>40043</v>
      </c>
      <c r="BG1243" s="355">
        <v>2.0490999999999999E-2</v>
      </c>
      <c r="BH1243" s="624">
        <v>39995</v>
      </c>
      <c r="BI1243" s="355">
        <v>9.7560999999999995E-2</v>
      </c>
      <c r="BJ1243" s="624">
        <v>39994</v>
      </c>
      <c r="BK1243" s="355">
        <v>2.9361999999999999E-2</v>
      </c>
    </row>
    <row r="1244" spans="3:63" x14ac:dyDescent="0.15">
      <c r="C1244" s="624"/>
      <c r="D1244" s="355">
        <v>3.2009999999999997E-2</v>
      </c>
      <c r="AV1244" s="624"/>
      <c r="AX1244" s="624">
        <v>39997</v>
      </c>
      <c r="AY1244" s="355">
        <v>3.1969999999999998E-2</v>
      </c>
      <c r="AZ1244" s="624">
        <v>40064</v>
      </c>
      <c r="BA1244" s="355">
        <v>1.55E-2</v>
      </c>
      <c r="BB1244" s="624">
        <v>39995</v>
      </c>
      <c r="BC1244" s="355">
        <v>0.32500000000000001</v>
      </c>
      <c r="BD1244" s="624">
        <v>39996</v>
      </c>
      <c r="BE1244" s="355">
        <v>7.8710000000000002E-2</v>
      </c>
      <c r="BF1244" s="624">
        <v>40045</v>
      </c>
      <c r="BG1244" s="355">
        <v>2.0534E-2</v>
      </c>
      <c r="BH1244" s="624">
        <v>39996</v>
      </c>
      <c r="BI1244" s="355">
        <v>9.7560999999999995E-2</v>
      </c>
      <c r="BJ1244" s="624">
        <v>39995</v>
      </c>
      <c r="BK1244" s="355">
        <v>2.9377E-2</v>
      </c>
    </row>
    <row r="1245" spans="3:63" x14ac:dyDescent="0.15">
      <c r="C1245" s="624"/>
      <c r="D1245" s="355">
        <v>3.1969999999999998E-2</v>
      </c>
      <c r="AV1245" s="624"/>
      <c r="AX1245" s="624">
        <v>40000</v>
      </c>
      <c r="AY1245" s="355">
        <v>3.1789999999999999E-2</v>
      </c>
      <c r="AZ1245" s="624">
        <v>40065</v>
      </c>
      <c r="BA1245" s="355">
        <v>1.5599999999999999E-2</v>
      </c>
      <c r="BB1245" s="624">
        <v>39996</v>
      </c>
      <c r="BC1245" s="355">
        <v>0.31950000000000001</v>
      </c>
      <c r="BD1245" s="624">
        <v>39997</v>
      </c>
      <c r="BE1245" s="355">
        <v>7.8869999999999996E-2</v>
      </c>
      <c r="BF1245" s="624">
        <v>40046</v>
      </c>
      <c r="BG1245" s="355">
        <v>2.0570000000000001E-2</v>
      </c>
      <c r="BH1245" s="624">
        <v>39997</v>
      </c>
      <c r="BI1245" s="355">
        <v>9.7560999999999995E-2</v>
      </c>
      <c r="BJ1245" s="624">
        <v>39996</v>
      </c>
      <c r="BK1245" s="355">
        <v>2.9326000000000001E-2</v>
      </c>
    </row>
    <row r="1246" spans="3:63" x14ac:dyDescent="0.15">
      <c r="C1246" s="624"/>
      <c r="D1246" s="355">
        <v>3.1789999999999999E-2</v>
      </c>
      <c r="AV1246" s="624"/>
      <c r="AX1246" s="624">
        <v>40001</v>
      </c>
      <c r="AY1246" s="355">
        <v>3.1719999999999998E-2</v>
      </c>
      <c r="AZ1246" s="624">
        <v>40066</v>
      </c>
      <c r="BA1246" s="355">
        <v>1.5599999999999999E-2</v>
      </c>
      <c r="BB1246" s="624">
        <v>39997</v>
      </c>
      <c r="BC1246" s="355">
        <v>0.3211</v>
      </c>
      <c r="BD1246" s="624">
        <v>40000</v>
      </c>
      <c r="BE1246" s="355">
        <v>7.8490000000000004E-2</v>
      </c>
      <c r="BF1246" s="624">
        <v>40049</v>
      </c>
      <c r="BG1246" s="355">
        <v>2.0566000000000001E-2</v>
      </c>
      <c r="BH1246" s="624">
        <v>40000</v>
      </c>
      <c r="BI1246" s="355">
        <v>9.7919999999999993E-2</v>
      </c>
      <c r="BJ1246" s="624">
        <v>39997</v>
      </c>
      <c r="BK1246" s="355">
        <v>2.9332E-2</v>
      </c>
    </row>
    <row r="1247" spans="3:63" x14ac:dyDescent="0.15">
      <c r="C1247" s="624"/>
      <c r="D1247" s="355">
        <v>3.1719999999999998E-2</v>
      </c>
      <c r="AV1247" s="624"/>
      <c r="AX1247" s="624">
        <v>40002</v>
      </c>
      <c r="AY1247" s="355">
        <v>3.1350000000000003E-2</v>
      </c>
      <c r="AZ1247" s="624">
        <v>40067</v>
      </c>
      <c r="BA1247" s="355">
        <v>1.5599999999999999E-2</v>
      </c>
      <c r="BB1247" s="624">
        <v>40000</v>
      </c>
      <c r="BC1247" s="355">
        <v>0.32019999999999998</v>
      </c>
      <c r="BD1247" s="624">
        <v>40001</v>
      </c>
      <c r="BE1247" s="355">
        <v>7.8350000000000003E-2</v>
      </c>
      <c r="BF1247" s="624">
        <v>40050</v>
      </c>
      <c r="BG1247" s="355">
        <v>2.0513E-2</v>
      </c>
      <c r="BH1247" s="624">
        <v>40001</v>
      </c>
      <c r="BI1247" s="355">
        <v>9.8039000000000001E-2</v>
      </c>
      <c r="BJ1247" s="624">
        <v>40000</v>
      </c>
      <c r="BK1247" s="355">
        <v>2.9316999999999999E-2</v>
      </c>
    </row>
    <row r="1248" spans="3:63" x14ac:dyDescent="0.15">
      <c r="C1248" s="624"/>
      <c r="D1248" s="355">
        <v>3.1350000000000003E-2</v>
      </c>
      <c r="AV1248" s="624"/>
      <c r="AX1248" s="624">
        <v>40003</v>
      </c>
      <c r="AY1248" s="355">
        <v>3.1489999999999997E-2</v>
      </c>
      <c r="AZ1248" s="624">
        <v>40070</v>
      </c>
      <c r="BA1248" s="355">
        <v>1.5599999999999999E-2</v>
      </c>
      <c r="BB1248" s="624">
        <v>40001</v>
      </c>
      <c r="BC1248" s="355">
        <v>0.316</v>
      </c>
      <c r="BD1248" s="624">
        <v>40002</v>
      </c>
      <c r="BE1248" s="355">
        <v>7.8079999999999997E-2</v>
      </c>
      <c r="BF1248" s="624">
        <v>40051</v>
      </c>
      <c r="BG1248" s="355">
        <v>2.0444E-2</v>
      </c>
      <c r="BH1248" s="624">
        <v>40002</v>
      </c>
      <c r="BI1248" s="355">
        <v>9.8039000000000001E-2</v>
      </c>
      <c r="BJ1248" s="624">
        <v>40001</v>
      </c>
      <c r="BK1248" s="355">
        <v>2.9316999999999999E-2</v>
      </c>
    </row>
    <row r="1249" spans="3:63" x14ac:dyDescent="0.15">
      <c r="C1249" s="624"/>
      <c r="D1249" s="355">
        <v>3.1489999999999997E-2</v>
      </c>
      <c r="AV1249" s="624"/>
      <c r="AX1249" s="624">
        <v>40004</v>
      </c>
      <c r="AY1249" s="355">
        <v>3.058E-2</v>
      </c>
      <c r="AZ1249" s="624">
        <v>40071</v>
      </c>
      <c r="BA1249" s="355">
        <v>1.5599999999999999E-2</v>
      </c>
      <c r="BB1249" s="624">
        <v>40002</v>
      </c>
      <c r="BC1249" s="355">
        <v>0.31359999999999999</v>
      </c>
      <c r="BD1249" s="624">
        <v>40003</v>
      </c>
      <c r="BE1249" s="355">
        <v>7.8320000000000001E-2</v>
      </c>
      <c r="BF1249" s="624">
        <v>40052</v>
      </c>
      <c r="BG1249" s="355">
        <v>2.044E-2</v>
      </c>
      <c r="BH1249" s="624">
        <v>40003</v>
      </c>
      <c r="BI1249" s="355">
        <v>9.8595000000000002E-2</v>
      </c>
      <c r="BJ1249" s="624">
        <v>40002</v>
      </c>
      <c r="BK1249" s="355">
        <v>2.9333999999999999E-2</v>
      </c>
    </row>
    <row r="1250" spans="3:63" x14ac:dyDescent="0.15">
      <c r="C1250" s="624"/>
      <c r="D1250" s="355">
        <v>3.058E-2</v>
      </c>
      <c r="AV1250" s="624"/>
      <c r="AX1250" s="624">
        <v>40007</v>
      </c>
      <c r="AY1250" s="355">
        <v>3.0519999999999999E-2</v>
      </c>
      <c r="AZ1250" s="624">
        <v>40072</v>
      </c>
      <c r="BA1250" s="355">
        <v>1.5699999999999999E-2</v>
      </c>
      <c r="BB1250" s="624">
        <v>40003</v>
      </c>
      <c r="BC1250" s="355">
        <v>0.3221</v>
      </c>
      <c r="BD1250" s="624">
        <v>40004</v>
      </c>
      <c r="BE1250" s="355">
        <v>7.7549999999999994E-2</v>
      </c>
      <c r="BF1250" s="624">
        <v>40053</v>
      </c>
      <c r="BG1250" s="355">
        <v>2.0552000000000001E-2</v>
      </c>
      <c r="BH1250" s="624">
        <v>40004</v>
      </c>
      <c r="BI1250" s="355">
        <v>9.8377000000000006E-2</v>
      </c>
      <c r="BJ1250" s="624">
        <v>40003</v>
      </c>
      <c r="BK1250" s="355">
        <v>2.9350999999999999E-2</v>
      </c>
    </row>
    <row r="1251" spans="3:63" x14ac:dyDescent="0.15">
      <c r="C1251" s="624"/>
      <c r="D1251" s="355">
        <v>3.0519999999999999E-2</v>
      </c>
      <c r="AV1251" s="624"/>
      <c r="AX1251" s="624">
        <v>40008</v>
      </c>
      <c r="AY1251" s="355">
        <v>3.1E-2</v>
      </c>
      <c r="AZ1251" s="624">
        <v>40073</v>
      </c>
      <c r="BA1251" s="355">
        <v>1.5699999999999999E-2</v>
      </c>
      <c r="BB1251" s="624">
        <v>40004</v>
      </c>
      <c r="BC1251" s="355">
        <v>0.31869999999999998</v>
      </c>
      <c r="BD1251" s="624">
        <v>40007</v>
      </c>
      <c r="BE1251" s="355">
        <v>7.6700000000000004E-2</v>
      </c>
      <c r="BF1251" s="624">
        <v>40056</v>
      </c>
      <c r="BG1251" s="355">
        <v>2.0479000000000001E-2</v>
      </c>
      <c r="BH1251" s="624">
        <v>40007</v>
      </c>
      <c r="BI1251" s="355">
        <v>9.8040000000000002E-2</v>
      </c>
      <c r="BJ1251" s="624">
        <v>40004</v>
      </c>
      <c r="BK1251" s="355">
        <v>2.9357999999999999E-2</v>
      </c>
    </row>
    <row r="1252" spans="3:63" x14ac:dyDescent="0.15">
      <c r="C1252" s="624"/>
      <c r="D1252" s="355">
        <v>3.1E-2</v>
      </c>
      <c r="AV1252" s="624"/>
      <c r="AX1252" s="624">
        <v>40009</v>
      </c>
      <c r="AY1252" s="355">
        <v>3.1399999999999997E-2</v>
      </c>
      <c r="AZ1252" s="624">
        <v>40074</v>
      </c>
      <c r="BA1252" s="355">
        <v>1.5699999999999999E-2</v>
      </c>
      <c r="BB1252" s="624">
        <v>40007</v>
      </c>
      <c r="BC1252" s="355">
        <v>0.31940000000000002</v>
      </c>
      <c r="BD1252" s="624">
        <v>40008</v>
      </c>
      <c r="BE1252" s="355">
        <v>7.7329999999999996E-2</v>
      </c>
      <c r="BF1252" s="624">
        <v>40057</v>
      </c>
      <c r="BG1252" s="355">
        <v>2.0392E-2</v>
      </c>
      <c r="BH1252" s="624">
        <v>40008</v>
      </c>
      <c r="BI1252" s="355">
        <v>9.8183999999999994E-2</v>
      </c>
      <c r="BJ1252" s="624">
        <v>40007</v>
      </c>
      <c r="BK1252" s="355">
        <v>2.9291000000000001E-2</v>
      </c>
    </row>
    <row r="1253" spans="3:63" x14ac:dyDescent="0.15">
      <c r="C1253" s="624"/>
      <c r="D1253" s="355">
        <v>3.1399999999999997E-2</v>
      </c>
      <c r="AV1253" s="624"/>
      <c r="AX1253" s="624">
        <v>40010</v>
      </c>
      <c r="AY1253" s="355">
        <v>3.159E-2</v>
      </c>
      <c r="AZ1253" s="624">
        <v>40077</v>
      </c>
      <c r="BA1253" s="355">
        <v>1.5699999999999999E-2</v>
      </c>
      <c r="BB1253" s="624">
        <v>40008</v>
      </c>
      <c r="BC1253" s="355">
        <v>0.3241</v>
      </c>
      <c r="BD1253" s="624">
        <v>40009</v>
      </c>
      <c r="BE1253" s="355">
        <v>7.8579999999999997E-2</v>
      </c>
      <c r="BF1253" s="624">
        <v>40058</v>
      </c>
      <c r="BG1253" s="355">
        <v>2.0424999999999999E-2</v>
      </c>
      <c r="BH1253" s="624">
        <v>40009</v>
      </c>
      <c r="BI1253" s="355">
        <v>9.8794999999999994E-2</v>
      </c>
      <c r="BJ1253" s="624">
        <v>40008</v>
      </c>
      <c r="BK1253" s="355">
        <v>2.9271999999999999E-2</v>
      </c>
    </row>
    <row r="1254" spans="3:63" x14ac:dyDescent="0.15">
      <c r="C1254" s="624"/>
      <c r="D1254" s="355">
        <v>3.159E-2</v>
      </c>
      <c r="AV1254" s="624"/>
      <c r="AX1254" s="624">
        <v>40011</v>
      </c>
      <c r="AY1254" s="355">
        <v>3.1480000000000001E-2</v>
      </c>
      <c r="AZ1254" s="624">
        <v>40078</v>
      </c>
      <c r="BA1254" s="355">
        <v>1.5800000000000002E-2</v>
      </c>
      <c r="BB1254" s="624">
        <v>40009</v>
      </c>
      <c r="BC1254" s="355">
        <v>0.32969999999999999</v>
      </c>
      <c r="BD1254" s="624">
        <v>40010</v>
      </c>
      <c r="BE1254" s="355">
        <v>7.9039999999999999E-2</v>
      </c>
      <c r="BF1254" s="624">
        <v>40059</v>
      </c>
      <c r="BG1254" s="355">
        <v>2.0447E-2</v>
      </c>
      <c r="BH1254" s="624">
        <v>40010</v>
      </c>
      <c r="BI1254" s="355">
        <v>9.9058999999999994E-2</v>
      </c>
      <c r="BJ1254" s="624">
        <v>40009</v>
      </c>
      <c r="BK1254" s="355">
        <v>2.9356E-2</v>
      </c>
    </row>
    <row r="1255" spans="3:63" x14ac:dyDescent="0.15">
      <c r="C1255" s="624"/>
      <c r="D1255" s="355">
        <v>3.1480000000000001E-2</v>
      </c>
      <c r="AV1255" s="624"/>
      <c r="AX1255" s="624">
        <v>40014</v>
      </c>
      <c r="AY1255" s="355">
        <v>3.2219999999999999E-2</v>
      </c>
      <c r="AZ1255" s="624">
        <v>40079</v>
      </c>
      <c r="BA1255" s="355">
        <v>1.5800000000000002E-2</v>
      </c>
      <c r="BB1255" s="624">
        <v>40010</v>
      </c>
      <c r="BC1255" s="355">
        <v>0.32790000000000002</v>
      </c>
      <c r="BD1255" s="624">
        <v>40011</v>
      </c>
      <c r="BE1255" s="355">
        <v>7.9420000000000004E-2</v>
      </c>
      <c r="BF1255" s="624">
        <v>40060</v>
      </c>
      <c r="BG1255" s="355">
        <v>2.0452999999999999E-2</v>
      </c>
      <c r="BH1255" s="624">
        <v>40011</v>
      </c>
      <c r="BI1255" s="355">
        <v>9.8474000000000006E-2</v>
      </c>
      <c r="BJ1255" s="624">
        <v>40010</v>
      </c>
      <c r="BK1255" s="355">
        <v>2.9322999999999998E-2</v>
      </c>
    </row>
    <row r="1256" spans="3:63" x14ac:dyDescent="0.15">
      <c r="C1256" s="624"/>
      <c r="D1256" s="355">
        <v>3.2219999999999999E-2</v>
      </c>
      <c r="AV1256" s="624"/>
      <c r="AX1256" s="624">
        <v>40015</v>
      </c>
      <c r="AY1256" s="355">
        <v>3.2239999999999998E-2</v>
      </c>
      <c r="AZ1256" s="624">
        <v>40080</v>
      </c>
      <c r="BA1256" s="355">
        <v>1.5699999999999999E-2</v>
      </c>
      <c r="BB1256" s="624">
        <v>40011</v>
      </c>
      <c r="BC1256" s="355">
        <v>0.32590000000000002</v>
      </c>
      <c r="BD1256" s="624">
        <v>40014</v>
      </c>
      <c r="BE1256" s="355">
        <v>8.0629999999999993E-2</v>
      </c>
      <c r="BF1256" s="624">
        <v>40063</v>
      </c>
      <c r="BG1256" s="355">
        <v>2.0556000000000001E-2</v>
      </c>
      <c r="BH1256" s="624">
        <v>40014</v>
      </c>
      <c r="BI1256" s="355">
        <v>9.9505999999999997E-2</v>
      </c>
      <c r="BJ1256" s="624">
        <v>40011</v>
      </c>
      <c r="BK1256" s="355">
        <v>2.9364999999999999E-2</v>
      </c>
    </row>
    <row r="1257" spans="3:63" x14ac:dyDescent="0.15">
      <c r="C1257" s="624"/>
      <c r="D1257" s="355">
        <v>3.2239999999999998E-2</v>
      </c>
      <c r="AV1257" s="624"/>
      <c r="AX1257" s="624">
        <v>40016</v>
      </c>
      <c r="AY1257" s="355">
        <v>3.2099999999999997E-2</v>
      </c>
      <c r="AZ1257" s="624">
        <v>40081</v>
      </c>
      <c r="BA1257" s="355">
        <v>1.5800000000000002E-2</v>
      </c>
      <c r="BB1257" s="624">
        <v>40014</v>
      </c>
      <c r="BC1257" s="355">
        <v>0.33500000000000002</v>
      </c>
      <c r="BD1257" s="624">
        <v>40015</v>
      </c>
      <c r="BE1257" s="355">
        <v>7.9939999999999997E-2</v>
      </c>
      <c r="BF1257" s="624">
        <v>40064</v>
      </c>
      <c r="BG1257" s="355">
        <v>2.0629999999999999E-2</v>
      </c>
      <c r="BH1257" s="624">
        <v>40015</v>
      </c>
      <c r="BI1257" s="355">
        <v>9.9502999999999994E-2</v>
      </c>
      <c r="BJ1257" s="624">
        <v>40014</v>
      </c>
      <c r="BK1257" s="355">
        <v>2.9418E-2</v>
      </c>
    </row>
    <row r="1258" spans="3:63" x14ac:dyDescent="0.15">
      <c r="C1258" s="624"/>
      <c r="D1258" s="355">
        <v>3.2099999999999997E-2</v>
      </c>
      <c r="AV1258" s="624"/>
      <c r="AX1258" s="624">
        <v>40017</v>
      </c>
      <c r="AY1258" s="355">
        <v>3.2099999999999997E-2</v>
      </c>
      <c r="AZ1258" s="624">
        <v>40084</v>
      </c>
      <c r="BA1258" s="355">
        <v>1.5699999999999999E-2</v>
      </c>
      <c r="BB1258" s="624">
        <v>40015</v>
      </c>
      <c r="BC1258" s="355">
        <v>0.33310000000000001</v>
      </c>
      <c r="BD1258" s="624">
        <v>40016</v>
      </c>
      <c r="BE1258" s="355">
        <v>7.9949999999999993E-2</v>
      </c>
      <c r="BF1258" s="624">
        <v>40065</v>
      </c>
      <c r="BG1258" s="355">
        <v>2.0614E-2</v>
      </c>
      <c r="BH1258" s="624">
        <v>40016</v>
      </c>
      <c r="BI1258" s="355">
        <v>9.9305000000000004E-2</v>
      </c>
      <c r="BJ1258" s="624">
        <v>40015</v>
      </c>
      <c r="BK1258" s="355">
        <v>2.9405000000000001E-2</v>
      </c>
    </row>
    <row r="1259" spans="3:63" x14ac:dyDescent="0.15">
      <c r="C1259" s="624"/>
      <c r="D1259" s="355">
        <v>3.2099999999999997E-2</v>
      </c>
      <c r="AV1259" s="624"/>
      <c r="AX1259" s="624">
        <v>40018</v>
      </c>
      <c r="AY1259" s="355">
        <v>3.2259999999999997E-2</v>
      </c>
      <c r="AZ1259" s="624">
        <v>40085</v>
      </c>
      <c r="BA1259" s="355">
        <v>1.5599999999999999E-2</v>
      </c>
      <c r="BB1259" s="624">
        <v>40016</v>
      </c>
      <c r="BC1259" s="355">
        <v>0.33360000000000001</v>
      </c>
      <c r="BD1259" s="624">
        <v>40017</v>
      </c>
      <c r="BE1259" s="355">
        <v>8.0170000000000005E-2</v>
      </c>
      <c r="BF1259" s="624">
        <v>40066</v>
      </c>
      <c r="BG1259" s="355">
        <v>2.0562E-2</v>
      </c>
      <c r="BH1259" s="624">
        <v>40017</v>
      </c>
      <c r="BI1259" s="355">
        <v>9.9670999999999996E-2</v>
      </c>
      <c r="BJ1259" s="624">
        <v>40016</v>
      </c>
      <c r="BK1259" s="355">
        <v>2.9381999999999998E-2</v>
      </c>
    </row>
    <row r="1260" spans="3:63" x14ac:dyDescent="0.15">
      <c r="C1260" s="624"/>
      <c r="D1260" s="355">
        <v>3.2259999999999997E-2</v>
      </c>
      <c r="AV1260" s="624"/>
      <c r="AX1260" s="624">
        <v>40021</v>
      </c>
      <c r="AY1260" s="355">
        <v>3.2539999999999999E-2</v>
      </c>
      <c r="AZ1260" s="624">
        <v>40086</v>
      </c>
      <c r="BA1260" s="355">
        <v>1.5699999999999999E-2</v>
      </c>
      <c r="BB1260" s="624">
        <v>40017</v>
      </c>
      <c r="BC1260" s="355">
        <v>0.33450000000000002</v>
      </c>
      <c r="BD1260" s="624">
        <v>40018</v>
      </c>
      <c r="BE1260" s="355">
        <v>8.0009999999999998E-2</v>
      </c>
      <c r="BF1260" s="624">
        <v>40067</v>
      </c>
      <c r="BG1260" s="355">
        <v>2.0629999999999999E-2</v>
      </c>
      <c r="BH1260" s="624">
        <v>40018</v>
      </c>
      <c r="BI1260" s="355">
        <v>0.10009999999999999</v>
      </c>
      <c r="BJ1260" s="624">
        <v>40017</v>
      </c>
      <c r="BK1260" s="355">
        <v>2.9402999999999999E-2</v>
      </c>
    </row>
    <row r="1261" spans="3:63" x14ac:dyDescent="0.15">
      <c r="C1261" s="624"/>
      <c r="D1261" s="355">
        <v>3.2539999999999999E-2</v>
      </c>
      <c r="AV1261" s="624"/>
      <c r="AX1261" s="624">
        <v>40022</v>
      </c>
      <c r="AY1261" s="355">
        <v>3.2160000000000001E-2</v>
      </c>
      <c r="AZ1261" s="624">
        <v>40087</v>
      </c>
      <c r="BA1261" s="355">
        <v>1.5599999999999999E-2</v>
      </c>
      <c r="BB1261" s="624">
        <v>40018</v>
      </c>
      <c r="BC1261" s="355">
        <v>0.3387</v>
      </c>
      <c r="BD1261" s="624">
        <v>40021</v>
      </c>
      <c r="BE1261" s="355">
        <v>8.0509999999999998E-2</v>
      </c>
      <c r="BF1261" s="624">
        <v>40070</v>
      </c>
      <c r="BG1261" s="355">
        <v>2.052E-2</v>
      </c>
      <c r="BH1261" s="624">
        <v>40021</v>
      </c>
      <c r="BI1261" s="355">
        <v>0.100351</v>
      </c>
      <c r="BJ1261" s="624">
        <v>40018</v>
      </c>
      <c r="BK1261" s="355">
        <v>2.9475000000000001E-2</v>
      </c>
    </row>
    <row r="1262" spans="3:63" x14ac:dyDescent="0.15">
      <c r="C1262" s="624"/>
      <c r="D1262" s="355">
        <v>3.2160000000000001E-2</v>
      </c>
      <c r="AV1262" s="624"/>
      <c r="AX1262" s="624">
        <v>40023</v>
      </c>
      <c r="AY1262" s="355">
        <v>3.1620000000000002E-2</v>
      </c>
      <c r="AZ1262" s="624">
        <v>40088</v>
      </c>
      <c r="BA1262" s="355">
        <v>1.5599999999999999E-2</v>
      </c>
      <c r="BB1262" s="624">
        <v>40021</v>
      </c>
      <c r="BC1262" s="355">
        <v>0.3422</v>
      </c>
      <c r="BD1262" s="624">
        <v>40022</v>
      </c>
      <c r="BE1262" s="355">
        <v>8.0560000000000007E-2</v>
      </c>
      <c r="BF1262" s="624">
        <v>40071</v>
      </c>
      <c r="BG1262" s="355">
        <v>2.0559999999999998E-2</v>
      </c>
      <c r="BH1262" s="624">
        <v>40022</v>
      </c>
      <c r="BI1262" s="355">
        <v>0.100756</v>
      </c>
      <c r="BJ1262" s="624">
        <v>40021</v>
      </c>
      <c r="BK1262" s="355">
        <v>2.9458999999999999E-2</v>
      </c>
    </row>
    <row r="1263" spans="3:63" x14ac:dyDescent="0.15">
      <c r="C1263" s="624"/>
      <c r="D1263" s="355">
        <v>3.1620000000000002E-2</v>
      </c>
      <c r="AV1263" s="624"/>
      <c r="AX1263" s="624">
        <v>40024</v>
      </c>
      <c r="AY1263" s="355">
        <v>3.1739999999999997E-2</v>
      </c>
      <c r="AZ1263" s="624">
        <v>40091</v>
      </c>
      <c r="BA1263" s="355">
        <v>1.5699999999999999E-2</v>
      </c>
      <c r="BB1263" s="624">
        <v>40022</v>
      </c>
      <c r="BC1263" s="355">
        <v>0.33910000000000001</v>
      </c>
      <c r="BD1263" s="624">
        <v>40023</v>
      </c>
      <c r="BE1263" s="355">
        <v>8.0310000000000006E-2</v>
      </c>
      <c r="BF1263" s="624">
        <v>40072</v>
      </c>
      <c r="BG1263" s="355">
        <v>2.0732E-2</v>
      </c>
      <c r="BH1263" s="624">
        <v>40023</v>
      </c>
      <c r="BI1263" s="355">
        <v>0.100452</v>
      </c>
      <c r="BJ1263" s="624">
        <v>40022</v>
      </c>
      <c r="BK1263" s="355">
        <v>2.9461999999999999E-2</v>
      </c>
    </row>
    <row r="1264" spans="3:63" x14ac:dyDescent="0.15">
      <c r="C1264" s="624"/>
      <c r="D1264" s="355">
        <v>3.1739999999999997E-2</v>
      </c>
      <c r="AV1264" s="624"/>
      <c r="AX1264" s="624">
        <v>40025</v>
      </c>
      <c r="AY1264" s="355">
        <v>3.1780000000000003E-2</v>
      </c>
      <c r="AZ1264" s="624">
        <v>40092</v>
      </c>
      <c r="BA1264" s="355">
        <v>1.5800000000000002E-2</v>
      </c>
      <c r="BB1264" s="624">
        <v>40023</v>
      </c>
      <c r="BC1264" s="355">
        <v>0.33479999999999999</v>
      </c>
      <c r="BD1264" s="624">
        <v>40024</v>
      </c>
      <c r="BE1264" s="355">
        <v>8.1019999999999995E-2</v>
      </c>
      <c r="BF1264" s="624">
        <v>40073</v>
      </c>
      <c r="BG1264" s="355">
        <v>2.0764999999999999E-2</v>
      </c>
      <c r="BH1264" s="624">
        <v>40024</v>
      </c>
      <c r="BI1264" s="355">
        <v>0.100452</v>
      </c>
      <c r="BJ1264" s="624">
        <v>40023</v>
      </c>
      <c r="BK1264" s="355">
        <v>2.9385999999999999E-2</v>
      </c>
    </row>
    <row r="1265" spans="3:63" x14ac:dyDescent="0.15">
      <c r="C1265" s="624"/>
      <c r="D1265" s="355">
        <v>3.1780000000000003E-2</v>
      </c>
      <c r="AV1265" s="624"/>
      <c r="AX1265" s="624">
        <v>40028</v>
      </c>
      <c r="AY1265" s="355">
        <v>3.2289999999999999E-2</v>
      </c>
      <c r="AZ1265" s="624">
        <v>40093</v>
      </c>
      <c r="BA1265" s="355">
        <v>1.5800000000000002E-2</v>
      </c>
      <c r="BB1265" s="624">
        <v>40024</v>
      </c>
      <c r="BC1265" s="355">
        <v>0.33829999999999999</v>
      </c>
      <c r="BD1265" s="624">
        <v>40025</v>
      </c>
      <c r="BE1265" s="355">
        <v>8.1729999999999997E-2</v>
      </c>
      <c r="BF1265" s="624">
        <v>40074</v>
      </c>
      <c r="BG1265" s="355">
        <v>2.0773E-2</v>
      </c>
      <c r="BH1265" s="624">
        <v>40025</v>
      </c>
      <c r="BI1265" s="355">
        <v>0.100756</v>
      </c>
      <c r="BJ1265" s="624">
        <v>40024</v>
      </c>
      <c r="BK1265" s="355">
        <v>2.9384E-2</v>
      </c>
    </row>
    <row r="1266" spans="3:63" x14ac:dyDescent="0.15">
      <c r="C1266" s="624"/>
      <c r="D1266" s="355">
        <v>3.2289999999999999E-2</v>
      </c>
      <c r="AV1266" s="624"/>
      <c r="AX1266" s="624">
        <v>40029</v>
      </c>
      <c r="AY1266" s="355">
        <v>3.2190000000000003E-2</v>
      </c>
      <c r="AZ1266" s="624">
        <v>40094</v>
      </c>
      <c r="BA1266" s="355">
        <v>1.5900000000000001E-2</v>
      </c>
      <c r="BB1266" s="624">
        <v>40025</v>
      </c>
      <c r="BC1266" s="355">
        <v>0.34389999999999998</v>
      </c>
      <c r="BD1266" s="624">
        <v>40028</v>
      </c>
      <c r="BE1266" s="355">
        <v>8.2220000000000001E-2</v>
      </c>
      <c r="BF1266" s="624">
        <v>40078</v>
      </c>
      <c r="BG1266" s="355">
        <v>2.085E-2</v>
      </c>
      <c r="BH1266" s="624">
        <v>40028</v>
      </c>
      <c r="BI1266" s="355">
        <v>0.10101</v>
      </c>
      <c r="BJ1266" s="624">
        <v>40025</v>
      </c>
      <c r="BK1266" s="355">
        <v>2.9429E-2</v>
      </c>
    </row>
    <row r="1267" spans="3:63" x14ac:dyDescent="0.15">
      <c r="C1267" s="624"/>
      <c r="D1267" s="355">
        <v>3.2190000000000003E-2</v>
      </c>
      <c r="AV1267" s="624"/>
      <c r="AX1267" s="624">
        <v>40030</v>
      </c>
      <c r="AY1267" s="355">
        <v>3.2079999999999997E-2</v>
      </c>
      <c r="AZ1267" s="624">
        <v>40095</v>
      </c>
      <c r="BA1267" s="355">
        <v>1.5800000000000002E-2</v>
      </c>
      <c r="BB1267" s="624">
        <v>40028</v>
      </c>
      <c r="BC1267" s="355">
        <v>0.3533</v>
      </c>
      <c r="BD1267" s="624">
        <v>40029</v>
      </c>
      <c r="BE1267" s="355">
        <v>8.1989999999999993E-2</v>
      </c>
      <c r="BF1267" s="624">
        <v>40079</v>
      </c>
      <c r="BG1267" s="355">
        <v>2.0836E-2</v>
      </c>
      <c r="BH1267" s="624">
        <v>40029</v>
      </c>
      <c r="BI1267" s="355">
        <v>0.101369</v>
      </c>
      <c r="BJ1267" s="624">
        <v>40028</v>
      </c>
      <c r="BK1267" s="355">
        <v>2.9412000000000001E-2</v>
      </c>
    </row>
    <row r="1268" spans="3:63" x14ac:dyDescent="0.15">
      <c r="C1268" s="624"/>
      <c r="D1268" s="355">
        <v>3.2079999999999997E-2</v>
      </c>
      <c r="AV1268" s="624"/>
      <c r="AX1268" s="624">
        <v>40031</v>
      </c>
      <c r="AY1268" s="355">
        <v>3.1910000000000001E-2</v>
      </c>
      <c r="AZ1268" s="624">
        <v>40098</v>
      </c>
      <c r="BA1268" s="355">
        <v>1.5900000000000001E-2</v>
      </c>
      <c r="BB1268" s="624">
        <v>40029</v>
      </c>
      <c r="BC1268" s="355">
        <v>0.35120000000000001</v>
      </c>
      <c r="BD1268" s="624">
        <v>40030</v>
      </c>
      <c r="BE1268" s="355">
        <v>8.1600000000000006E-2</v>
      </c>
      <c r="BF1268" s="624">
        <v>40080</v>
      </c>
      <c r="BG1268" s="355">
        <v>2.0844000000000001E-2</v>
      </c>
      <c r="BH1268" s="624">
        <v>40030</v>
      </c>
      <c r="BI1268" s="355">
        <v>0.101215</v>
      </c>
      <c r="BJ1268" s="624">
        <v>40029</v>
      </c>
      <c r="BK1268" s="355">
        <v>2.9425E-2</v>
      </c>
    </row>
    <row r="1269" spans="3:63" x14ac:dyDescent="0.15">
      <c r="C1269" s="624"/>
      <c r="D1269" s="355">
        <v>3.1910000000000001E-2</v>
      </c>
      <c r="AV1269" s="624"/>
      <c r="AX1269" s="624">
        <v>40032</v>
      </c>
      <c r="AY1269" s="355">
        <v>3.159E-2</v>
      </c>
      <c r="AZ1269" s="624">
        <v>40099</v>
      </c>
      <c r="BA1269" s="355">
        <v>1.5900000000000001E-2</v>
      </c>
      <c r="BB1269" s="624">
        <v>40030</v>
      </c>
      <c r="BC1269" s="355">
        <v>0.3503</v>
      </c>
      <c r="BD1269" s="624">
        <v>40031</v>
      </c>
      <c r="BE1269" s="355">
        <v>8.1369999999999998E-2</v>
      </c>
      <c r="BF1269" s="624">
        <v>40081</v>
      </c>
      <c r="BG1269" s="355">
        <v>2.0830999999999999E-2</v>
      </c>
      <c r="BH1269" s="624">
        <v>40031</v>
      </c>
      <c r="BI1269" s="355">
        <v>0.101215</v>
      </c>
      <c r="BJ1269" s="624">
        <v>40030</v>
      </c>
      <c r="BK1269" s="355">
        <v>2.9441999999999999E-2</v>
      </c>
    </row>
    <row r="1270" spans="3:63" x14ac:dyDescent="0.15">
      <c r="C1270" s="624"/>
      <c r="D1270" s="355">
        <v>3.159E-2</v>
      </c>
      <c r="AV1270" s="624"/>
      <c r="AX1270" s="624">
        <v>40035</v>
      </c>
      <c r="AY1270" s="355">
        <v>3.1390000000000001E-2</v>
      </c>
      <c r="AZ1270" s="624">
        <v>40100</v>
      </c>
      <c r="BA1270" s="355">
        <v>1.6E-2</v>
      </c>
      <c r="BB1270" s="624">
        <v>40031</v>
      </c>
      <c r="BC1270" s="355">
        <v>0.34329999999999999</v>
      </c>
      <c r="BD1270" s="624">
        <v>40032</v>
      </c>
      <c r="BE1270" s="355">
        <v>8.1809999999999994E-2</v>
      </c>
      <c r="BF1270" s="624">
        <v>40085</v>
      </c>
      <c r="BG1270" s="355">
        <v>2.0788999999999998E-2</v>
      </c>
      <c r="BH1270" s="624">
        <v>40032</v>
      </c>
      <c r="BI1270" s="355">
        <v>0.100351</v>
      </c>
      <c r="BJ1270" s="624">
        <v>40031</v>
      </c>
      <c r="BK1270" s="355">
        <v>2.9451000000000001E-2</v>
      </c>
    </row>
    <row r="1271" spans="3:63" x14ac:dyDescent="0.15">
      <c r="C1271" s="624"/>
      <c r="D1271" s="355">
        <v>3.1390000000000001E-2</v>
      </c>
      <c r="AV1271" s="624"/>
      <c r="AX1271" s="624">
        <v>40036</v>
      </c>
      <c r="AY1271" s="355">
        <v>3.1040000000000002E-2</v>
      </c>
      <c r="AZ1271" s="624">
        <v>40101</v>
      </c>
      <c r="BA1271" s="355">
        <v>1.6E-2</v>
      </c>
      <c r="BB1271" s="624">
        <v>40032</v>
      </c>
      <c r="BC1271" s="355">
        <v>0.3468</v>
      </c>
      <c r="BD1271" s="624">
        <v>40035</v>
      </c>
      <c r="BE1271" s="355">
        <v>8.1059999999999993E-2</v>
      </c>
      <c r="BF1271" s="624">
        <v>40087</v>
      </c>
      <c r="BG1271" s="355">
        <v>2.0945999999999999E-2</v>
      </c>
      <c r="BH1271" s="624">
        <v>40035</v>
      </c>
      <c r="BI1271" s="355">
        <v>0.10101</v>
      </c>
      <c r="BJ1271" s="624">
        <v>40032</v>
      </c>
      <c r="BK1271" s="355">
        <v>2.9416000000000001E-2</v>
      </c>
    </row>
    <row r="1272" spans="3:63" x14ac:dyDescent="0.15">
      <c r="C1272" s="624"/>
      <c r="D1272" s="355">
        <v>3.1040000000000002E-2</v>
      </c>
      <c r="AV1272" s="624"/>
      <c r="AX1272" s="624">
        <v>40037</v>
      </c>
      <c r="AY1272" s="355">
        <v>3.0890000000000001E-2</v>
      </c>
      <c r="AZ1272" s="624">
        <v>40102</v>
      </c>
      <c r="BA1272" s="355">
        <v>1.6E-2</v>
      </c>
      <c r="BB1272" s="624">
        <v>40035</v>
      </c>
      <c r="BC1272" s="355">
        <v>0.34339999999999998</v>
      </c>
      <c r="BD1272" s="624">
        <v>40036</v>
      </c>
      <c r="BE1272" s="355">
        <v>8.0140000000000003E-2</v>
      </c>
      <c r="BF1272" s="624">
        <v>40091</v>
      </c>
      <c r="BG1272" s="355">
        <v>2.1048000000000001E-2</v>
      </c>
      <c r="BH1272" s="624">
        <v>40036</v>
      </c>
      <c r="BI1272" s="355">
        <v>0.10080699999999999</v>
      </c>
      <c r="BJ1272" s="624">
        <v>40035</v>
      </c>
      <c r="BK1272" s="355">
        <v>2.9402999999999999E-2</v>
      </c>
    </row>
    <row r="1273" spans="3:63" x14ac:dyDescent="0.15">
      <c r="C1273" s="624"/>
      <c r="D1273" s="355">
        <v>3.0890000000000001E-2</v>
      </c>
      <c r="AV1273" s="624"/>
      <c r="AX1273" s="624">
        <v>40038</v>
      </c>
      <c r="AY1273" s="355">
        <v>3.1480000000000001E-2</v>
      </c>
      <c r="AZ1273" s="624">
        <v>40105</v>
      </c>
      <c r="BA1273" s="355">
        <v>1.6E-2</v>
      </c>
      <c r="BB1273" s="624">
        <v>40036</v>
      </c>
      <c r="BC1273" s="355">
        <v>0.3392</v>
      </c>
      <c r="BD1273" s="624">
        <v>40037</v>
      </c>
      <c r="BE1273" s="355">
        <v>8.0509999999999998E-2</v>
      </c>
      <c r="BF1273" s="624">
        <v>40092</v>
      </c>
      <c r="BG1273" s="355">
        <v>2.1333999999999999E-2</v>
      </c>
      <c r="BH1273" s="624">
        <v>40037</v>
      </c>
      <c r="BI1273" s="355">
        <v>0.100452</v>
      </c>
      <c r="BJ1273" s="624">
        <v>40036</v>
      </c>
      <c r="BK1273" s="355">
        <v>2.9364000000000001E-2</v>
      </c>
    </row>
    <row r="1274" spans="3:63" x14ac:dyDescent="0.15">
      <c r="C1274" s="624"/>
      <c r="D1274" s="355">
        <v>3.1480000000000001E-2</v>
      </c>
      <c r="AV1274" s="624"/>
      <c r="AX1274" s="624">
        <v>40039</v>
      </c>
      <c r="AY1274" s="355">
        <v>3.1570000000000001E-2</v>
      </c>
      <c r="AZ1274" s="624">
        <v>40106</v>
      </c>
      <c r="BA1274" s="355">
        <v>1.6E-2</v>
      </c>
      <c r="BB1274" s="624">
        <v>40037</v>
      </c>
      <c r="BC1274" s="355">
        <v>0.34200000000000003</v>
      </c>
      <c r="BD1274" s="624">
        <v>40038</v>
      </c>
      <c r="BE1274" s="355">
        <v>8.0979999999999996E-2</v>
      </c>
      <c r="BF1274" s="624">
        <v>40093</v>
      </c>
      <c r="BG1274" s="355">
        <v>2.1430000000000001E-2</v>
      </c>
      <c r="BH1274" s="624">
        <v>40038</v>
      </c>
      <c r="BI1274" s="355">
        <v>0.10073</v>
      </c>
      <c r="BJ1274" s="624">
        <v>40037</v>
      </c>
      <c r="BK1274" s="355">
        <v>2.9343000000000001E-2</v>
      </c>
    </row>
    <row r="1275" spans="3:63" x14ac:dyDescent="0.15">
      <c r="C1275" s="624"/>
      <c r="D1275" s="355">
        <v>3.1570000000000001E-2</v>
      </c>
      <c r="AV1275" s="624"/>
      <c r="AX1275" s="624">
        <v>40042</v>
      </c>
      <c r="AY1275" s="355">
        <v>3.1009999999999999E-2</v>
      </c>
      <c r="AZ1275" s="624">
        <v>40107</v>
      </c>
      <c r="BA1275" s="355">
        <v>1.61E-2</v>
      </c>
      <c r="BB1275" s="624">
        <v>40038</v>
      </c>
      <c r="BC1275" s="355">
        <v>0.34689999999999999</v>
      </c>
      <c r="BD1275" s="624">
        <v>40039</v>
      </c>
      <c r="BE1275" s="355">
        <v>8.0680000000000002E-2</v>
      </c>
      <c r="BF1275" s="624">
        <v>40094</v>
      </c>
      <c r="BG1275" s="355">
        <v>2.1593999999999999E-2</v>
      </c>
      <c r="BH1275" s="624">
        <v>40039</v>
      </c>
      <c r="BI1275" s="355">
        <v>0.100705</v>
      </c>
      <c r="BJ1275" s="624">
        <v>40038</v>
      </c>
      <c r="BK1275" s="355">
        <v>2.9392000000000001E-2</v>
      </c>
    </row>
    <row r="1276" spans="3:63" x14ac:dyDescent="0.15">
      <c r="C1276" s="624"/>
      <c r="D1276" s="355">
        <v>3.1009999999999999E-2</v>
      </c>
      <c r="AV1276" s="624"/>
      <c r="AX1276" s="624">
        <v>40043</v>
      </c>
      <c r="AY1276" s="355">
        <v>3.1309999999999998E-2</v>
      </c>
      <c r="AZ1276" s="624">
        <v>40108</v>
      </c>
      <c r="BA1276" s="355">
        <v>1.61E-2</v>
      </c>
      <c r="BB1276" s="624">
        <v>40039</v>
      </c>
      <c r="BC1276" s="355">
        <v>0.34260000000000002</v>
      </c>
      <c r="BD1276" s="624">
        <v>40042</v>
      </c>
      <c r="BE1276" s="355">
        <v>7.8869999999999996E-2</v>
      </c>
      <c r="BF1276" s="624">
        <v>40095</v>
      </c>
      <c r="BG1276" s="355">
        <v>2.1552999999999999E-2</v>
      </c>
      <c r="BH1276" s="624">
        <v>40042</v>
      </c>
      <c r="BI1276" s="355">
        <v>9.9651000000000003E-2</v>
      </c>
      <c r="BJ1276" s="624">
        <v>40039</v>
      </c>
      <c r="BK1276" s="355">
        <v>2.9381999999999998E-2</v>
      </c>
    </row>
    <row r="1277" spans="3:63" x14ac:dyDescent="0.15">
      <c r="C1277" s="624"/>
      <c r="D1277" s="355">
        <v>3.1309999999999998E-2</v>
      </c>
      <c r="AV1277" s="624"/>
      <c r="AX1277" s="624">
        <v>40044</v>
      </c>
      <c r="AY1277" s="355">
        <v>3.1419999999999997E-2</v>
      </c>
      <c r="AZ1277" s="624">
        <v>40109</v>
      </c>
      <c r="BA1277" s="355">
        <v>1.61E-2</v>
      </c>
      <c r="BB1277" s="624">
        <v>40042</v>
      </c>
      <c r="BC1277" s="355">
        <v>0.33679999999999999</v>
      </c>
      <c r="BD1277" s="624">
        <v>40043</v>
      </c>
      <c r="BE1277" s="355">
        <v>8.0159999999999995E-2</v>
      </c>
      <c r="BF1277" s="624">
        <v>40098</v>
      </c>
      <c r="BG1277" s="355">
        <v>2.1513000000000001E-2</v>
      </c>
      <c r="BH1277" s="624">
        <v>40043</v>
      </c>
      <c r="BI1277" s="355">
        <v>0.100301</v>
      </c>
      <c r="BJ1277" s="624">
        <v>40042</v>
      </c>
      <c r="BK1277" s="355">
        <v>2.9347000000000002E-2</v>
      </c>
    </row>
    <row r="1278" spans="3:63" x14ac:dyDescent="0.15">
      <c r="C1278" s="624"/>
      <c r="D1278" s="355">
        <v>3.1419999999999997E-2</v>
      </c>
      <c r="AV1278" s="624"/>
      <c r="AX1278" s="624">
        <v>40045</v>
      </c>
      <c r="AY1278" s="355">
        <v>3.141E-2</v>
      </c>
      <c r="AZ1278" s="624">
        <v>40112</v>
      </c>
      <c r="BA1278" s="355">
        <v>1.5900000000000001E-2</v>
      </c>
      <c r="BB1278" s="624">
        <v>40043</v>
      </c>
      <c r="BC1278" s="355">
        <v>0.33989999999999998</v>
      </c>
      <c r="BD1278" s="624">
        <v>40044</v>
      </c>
      <c r="BE1278" s="355">
        <v>7.9939999999999997E-2</v>
      </c>
      <c r="BF1278" s="624">
        <v>40100</v>
      </c>
      <c r="BG1278" s="355">
        <v>2.1676000000000001E-2</v>
      </c>
      <c r="BH1278" s="624">
        <v>40044</v>
      </c>
      <c r="BI1278" s="355">
        <v>9.9305000000000004E-2</v>
      </c>
      <c r="BJ1278" s="624">
        <v>40043</v>
      </c>
      <c r="BK1278" s="355">
        <v>2.9397E-2</v>
      </c>
    </row>
    <row r="1279" spans="3:63" x14ac:dyDescent="0.15">
      <c r="C1279" s="624"/>
      <c r="D1279" s="355">
        <v>3.141E-2</v>
      </c>
      <c r="AV1279" s="624"/>
      <c r="AX1279" s="624">
        <v>40046</v>
      </c>
      <c r="AY1279" s="355">
        <v>3.1600000000000003E-2</v>
      </c>
      <c r="AZ1279" s="624">
        <v>40113</v>
      </c>
      <c r="BA1279" s="355">
        <v>1.5800000000000002E-2</v>
      </c>
      <c r="BB1279" s="624">
        <v>40044</v>
      </c>
      <c r="BC1279" s="355">
        <v>0.34179999999999999</v>
      </c>
      <c r="BD1279" s="624">
        <v>40045</v>
      </c>
      <c r="BE1279" s="355">
        <v>8.0740000000000006E-2</v>
      </c>
      <c r="BF1279" s="624">
        <v>40101</v>
      </c>
      <c r="BG1279" s="355">
        <v>2.1718000000000001E-2</v>
      </c>
      <c r="BH1279" s="624">
        <v>40045</v>
      </c>
      <c r="BI1279" s="355">
        <v>9.9651000000000003E-2</v>
      </c>
      <c r="BJ1279" s="624">
        <v>40044</v>
      </c>
      <c r="BK1279" s="355">
        <v>2.9368999999999999E-2</v>
      </c>
    </row>
    <row r="1280" spans="3:63" x14ac:dyDescent="0.15">
      <c r="C1280" s="624"/>
      <c r="D1280" s="355">
        <v>3.1600000000000003E-2</v>
      </c>
      <c r="AV1280" s="624"/>
      <c r="AX1280" s="624">
        <v>40049</v>
      </c>
      <c r="AY1280" s="355">
        <v>3.1859999999999999E-2</v>
      </c>
      <c r="AZ1280" s="624">
        <v>40114</v>
      </c>
      <c r="BA1280" s="355">
        <v>1.5699999999999999E-2</v>
      </c>
      <c r="BB1280" s="624">
        <v>40045</v>
      </c>
      <c r="BC1280" s="355">
        <v>0.34449999999999997</v>
      </c>
      <c r="BD1280" s="624">
        <v>40046</v>
      </c>
      <c r="BE1280" s="355">
        <v>8.0449999999999994E-2</v>
      </c>
      <c r="BF1280" s="624">
        <v>40102</v>
      </c>
      <c r="BG1280" s="355">
        <v>2.1632999999999999E-2</v>
      </c>
      <c r="BH1280" s="624">
        <v>40046</v>
      </c>
      <c r="BI1280" s="355">
        <v>9.9849999999999994E-2</v>
      </c>
      <c r="BJ1280" s="624">
        <v>40045</v>
      </c>
      <c r="BK1280" s="355">
        <v>2.9395000000000001E-2</v>
      </c>
    </row>
    <row r="1281" spans="3:63" x14ac:dyDescent="0.15">
      <c r="C1281" s="624"/>
      <c r="D1281" s="355">
        <v>3.1859999999999999E-2</v>
      </c>
      <c r="AV1281" s="624"/>
      <c r="AX1281" s="624">
        <v>40050</v>
      </c>
      <c r="AY1281" s="355">
        <v>3.1949999999999999E-2</v>
      </c>
      <c r="AZ1281" s="624">
        <v>40115</v>
      </c>
      <c r="BA1281" s="355">
        <v>1.5900000000000001E-2</v>
      </c>
      <c r="BB1281" s="624">
        <v>40046</v>
      </c>
      <c r="BC1281" s="355">
        <v>0.34899999999999998</v>
      </c>
      <c r="BD1281" s="624">
        <v>40049</v>
      </c>
      <c r="BE1281" s="355">
        <v>8.0479999999999996E-2</v>
      </c>
      <c r="BF1281" s="624">
        <v>40105</v>
      </c>
      <c r="BG1281" s="355">
        <v>2.1647E-2</v>
      </c>
      <c r="BH1281" s="624">
        <v>40049</v>
      </c>
      <c r="BI1281" s="355">
        <v>0.10005</v>
      </c>
      <c r="BJ1281" s="624">
        <v>40046</v>
      </c>
      <c r="BK1281" s="355">
        <v>2.9401E-2</v>
      </c>
    </row>
    <row r="1282" spans="3:63" x14ac:dyDescent="0.15">
      <c r="C1282" s="624"/>
      <c r="D1282" s="355">
        <v>3.1949999999999999E-2</v>
      </c>
      <c r="AV1282" s="624"/>
      <c r="AX1282" s="624">
        <v>40051</v>
      </c>
      <c r="AY1282" s="355">
        <v>3.1669999999999997E-2</v>
      </c>
      <c r="AZ1282" s="624">
        <v>40116</v>
      </c>
      <c r="BA1282" s="355">
        <v>1.5699999999999999E-2</v>
      </c>
      <c r="BB1282" s="624">
        <v>40049</v>
      </c>
      <c r="BC1282" s="355">
        <v>0.34810000000000002</v>
      </c>
      <c r="BD1282" s="624">
        <v>40050</v>
      </c>
      <c r="BE1282" s="355">
        <v>8.0110000000000001E-2</v>
      </c>
      <c r="BF1282" s="624">
        <v>40106</v>
      </c>
      <c r="BG1282" s="355">
        <v>2.1614999999999999E-2</v>
      </c>
      <c r="BH1282" s="624">
        <v>40050</v>
      </c>
      <c r="BI1282" s="355">
        <v>0.1</v>
      </c>
      <c r="BJ1282" s="624">
        <v>40049</v>
      </c>
      <c r="BK1282" s="355">
        <v>2.9399999999999999E-2</v>
      </c>
    </row>
    <row r="1283" spans="3:63" x14ac:dyDescent="0.15">
      <c r="C1283" s="624"/>
      <c r="D1283" s="355">
        <v>3.1669999999999997E-2</v>
      </c>
      <c r="AV1283" s="624"/>
      <c r="AX1283" s="624">
        <v>40052</v>
      </c>
      <c r="AY1283" s="355">
        <v>3.1550000000000002E-2</v>
      </c>
      <c r="AZ1283" s="624">
        <v>40119</v>
      </c>
      <c r="BA1283" s="355">
        <v>1.5699999999999999E-2</v>
      </c>
      <c r="BB1283" s="624">
        <v>40050</v>
      </c>
      <c r="BC1283" s="355">
        <v>0.34989999999999999</v>
      </c>
      <c r="BD1283" s="624">
        <v>40051</v>
      </c>
      <c r="BE1283" s="355">
        <v>8.0079999999999998E-2</v>
      </c>
      <c r="BF1283" s="624">
        <v>40107</v>
      </c>
      <c r="BG1283" s="355">
        <v>2.1571E-2</v>
      </c>
      <c r="BH1283" s="624">
        <v>40051</v>
      </c>
      <c r="BI1283" s="355">
        <v>9.9751000000000006E-2</v>
      </c>
      <c r="BJ1283" s="624">
        <v>40050</v>
      </c>
      <c r="BK1283" s="355">
        <v>2.9416000000000001E-2</v>
      </c>
    </row>
    <row r="1284" spans="3:63" x14ac:dyDescent="0.15">
      <c r="C1284" s="624"/>
      <c r="D1284" s="355">
        <v>3.1550000000000002E-2</v>
      </c>
      <c r="AV1284" s="624"/>
      <c r="AX1284" s="624">
        <v>40053</v>
      </c>
      <c r="AY1284" s="355">
        <v>3.1629999999999998E-2</v>
      </c>
      <c r="AZ1284" s="624">
        <v>40120</v>
      </c>
      <c r="BA1284" s="355">
        <v>1.5599999999999999E-2</v>
      </c>
      <c r="BB1284" s="624">
        <v>40051</v>
      </c>
      <c r="BC1284" s="355">
        <v>0.34599999999999997</v>
      </c>
      <c r="BD1284" s="624">
        <v>40052</v>
      </c>
      <c r="BE1284" s="355">
        <v>8.0269999999999994E-2</v>
      </c>
      <c r="BF1284" s="624">
        <v>40108</v>
      </c>
      <c r="BG1284" s="355">
        <v>2.1451999999999999E-2</v>
      </c>
      <c r="BH1284" s="624">
        <v>40052</v>
      </c>
      <c r="BI1284" s="355">
        <v>9.8377000000000006E-2</v>
      </c>
      <c r="BJ1284" s="624">
        <v>40051</v>
      </c>
      <c r="BK1284" s="355">
        <v>2.9397E-2</v>
      </c>
    </row>
    <row r="1285" spans="3:63" x14ac:dyDescent="0.15">
      <c r="C1285" s="624"/>
      <c r="D1285" s="355">
        <v>3.1629999999999998E-2</v>
      </c>
      <c r="AV1285" s="624"/>
      <c r="AX1285" s="624">
        <v>40056</v>
      </c>
      <c r="AY1285" s="355">
        <v>3.1460000000000002E-2</v>
      </c>
      <c r="AZ1285" s="624">
        <v>40121</v>
      </c>
      <c r="BA1285" s="355">
        <v>1.5699999999999999E-2</v>
      </c>
      <c r="BB1285" s="624">
        <v>40052</v>
      </c>
      <c r="BC1285" s="355">
        <v>0.34870000000000001</v>
      </c>
      <c r="BD1285" s="624">
        <v>40053</v>
      </c>
      <c r="BE1285" s="355">
        <v>8.0339999999999995E-2</v>
      </c>
      <c r="BF1285" s="624">
        <v>40109</v>
      </c>
      <c r="BG1285" s="355">
        <v>2.1534999999999999E-2</v>
      </c>
      <c r="BH1285" s="624">
        <v>40053</v>
      </c>
      <c r="BI1285" s="355">
        <v>9.9305000000000004E-2</v>
      </c>
      <c r="BJ1285" s="624">
        <v>40052</v>
      </c>
      <c r="BK1285" s="355">
        <v>2.9394E-2</v>
      </c>
    </row>
    <row r="1286" spans="3:63" x14ac:dyDescent="0.15">
      <c r="C1286" s="624"/>
      <c r="D1286" s="355">
        <v>3.1460000000000002E-2</v>
      </c>
      <c r="AV1286" s="624"/>
      <c r="AX1286" s="624">
        <v>40057</v>
      </c>
      <c r="AY1286" s="355">
        <v>3.134E-2</v>
      </c>
      <c r="AZ1286" s="624">
        <v>40122</v>
      </c>
      <c r="BA1286" s="355">
        <v>1.5800000000000002E-2</v>
      </c>
      <c r="BB1286" s="624">
        <v>40053</v>
      </c>
      <c r="BC1286" s="355">
        <v>0.34960000000000002</v>
      </c>
      <c r="BD1286" s="624">
        <v>40056</v>
      </c>
      <c r="BE1286" s="355">
        <v>0.08</v>
      </c>
      <c r="BF1286" s="624">
        <v>40112</v>
      </c>
      <c r="BG1286" s="355">
        <v>2.1472000000000002E-2</v>
      </c>
      <c r="BH1286" s="624">
        <v>40056</v>
      </c>
      <c r="BI1286" s="355">
        <v>9.9058999999999994E-2</v>
      </c>
      <c r="BJ1286" s="624">
        <v>40053</v>
      </c>
      <c r="BK1286" s="355">
        <v>2.9399000000000002E-2</v>
      </c>
    </row>
    <row r="1287" spans="3:63" x14ac:dyDescent="0.15">
      <c r="C1287" s="624"/>
      <c r="D1287" s="355">
        <v>3.134E-2</v>
      </c>
      <c r="AV1287" s="624"/>
      <c r="AX1287" s="624">
        <v>40058</v>
      </c>
      <c r="AY1287" s="355">
        <v>3.1309999999999998E-2</v>
      </c>
      <c r="AZ1287" s="624">
        <v>40123</v>
      </c>
      <c r="BA1287" s="355">
        <v>1.5800000000000002E-2</v>
      </c>
      <c r="BB1287" s="624">
        <v>40056</v>
      </c>
      <c r="BC1287" s="355">
        <v>0.3498</v>
      </c>
      <c r="BD1287" s="624">
        <v>40057</v>
      </c>
      <c r="BE1287" s="355">
        <v>8.0089999999999995E-2</v>
      </c>
      <c r="BF1287" s="624">
        <v>40113</v>
      </c>
      <c r="BG1287" s="355">
        <v>2.1351999999999999E-2</v>
      </c>
      <c r="BH1287" s="624">
        <v>40057</v>
      </c>
      <c r="BI1287" s="355">
        <v>9.9255999999999997E-2</v>
      </c>
      <c r="BJ1287" s="624">
        <v>40056</v>
      </c>
      <c r="BK1287" s="355">
        <v>2.9420999999999999E-2</v>
      </c>
    </row>
    <row r="1288" spans="3:63" x14ac:dyDescent="0.15">
      <c r="C1288" s="624"/>
      <c r="D1288" s="355">
        <v>3.1309999999999998E-2</v>
      </c>
      <c r="AV1288" s="624"/>
      <c r="AX1288" s="624">
        <v>40059</v>
      </c>
      <c r="AY1288" s="355">
        <v>3.1489999999999997E-2</v>
      </c>
      <c r="AZ1288" s="624">
        <v>40126</v>
      </c>
      <c r="BA1288" s="355">
        <v>1.6E-2</v>
      </c>
      <c r="BB1288" s="624">
        <v>40057</v>
      </c>
      <c r="BC1288" s="355">
        <v>0.34089999999999998</v>
      </c>
      <c r="BD1288" s="624">
        <v>40058</v>
      </c>
      <c r="BE1288" s="355">
        <v>8.0210000000000004E-2</v>
      </c>
      <c r="BF1288" s="624">
        <v>40114</v>
      </c>
      <c r="BG1288" s="355">
        <v>2.1190000000000001E-2</v>
      </c>
      <c r="BH1288" s="624">
        <v>40058</v>
      </c>
      <c r="BI1288" s="355">
        <v>9.8618999999999998E-2</v>
      </c>
      <c r="BJ1288" s="624">
        <v>40057</v>
      </c>
      <c r="BK1288" s="355">
        <v>2.9416000000000001E-2</v>
      </c>
    </row>
    <row r="1289" spans="3:63" x14ac:dyDescent="0.15">
      <c r="C1289" s="624"/>
      <c r="D1289" s="355">
        <v>3.1489999999999997E-2</v>
      </c>
      <c r="AV1289" s="624"/>
      <c r="AX1289" s="624">
        <v>40060</v>
      </c>
      <c r="AY1289" s="355">
        <v>3.1660000000000001E-2</v>
      </c>
      <c r="AZ1289" s="624">
        <v>40127</v>
      </c>
      <c r="BA1289" s="355">
        <v>1.5900000000000001E-2</v>
      </c>
      <c r="BB1289" s="624">
        <v>40058</v>
      </c>
      <c r="BC1289" s="355">
        <v>0.34350000000000003</v>
      </c>
      <c r="BD1289" s="624">
        <v>40059</v>
      </c>
      <c r="BE1289" s="355">
        <v>8.0339999999999995E-2</v>
      </c>
      <c r="BF1289" s="624">
        <v>40115</v>
      </c>
      <c r="BG1289" s="355">
        <v>2.1190000000000001E-2</v>
      </c>
      <c r="BH1289" s="624">
        <v>40059</v>
      </c>
      <c r="BI1289" s="355">
        <v>9.8912E-2</v>
      </c>
      <c r="BJ1289" s="624">
        <v>40058</v>
      </c>
      <c r="BK1289" s="355">
        <v>2.9360000000000001E-2</v>
      </c>
    </row>
    <row r="1290" spans="3:63" x14ac:dyDescent="0.15">
      <c r="C1290" s="624"/>
      <c r="D1290" s="355">
        <v>3.1660000000000001E-2</v>
      </c>
      <c r="AV1290" s="624"/>
      <c r="AX1290" s="624">
        <v>40063</v>
      </c>
      <c r="AY1290" s="355">
        <v>3.1759999999999997E-2</v>
      </c>
      <c r="AZ1290" s="624">
        <v>40128</v>
      </c>
      <c r="BA1290" s="355">
        <v>1.5800000000000002E-2</v>
      </c>
      <c r="BB1290" s="624">
        <v>40059</v>
      </c>
      <c r="BC1290" s="355">
        <v>0.34570000000000001</v>
      </c>
      <c r="BD1290" s="624">
        <v>40060</v>
      </c>
      <c r="BE1290" s="355">
        <v>8.0689999999999998E-2</v>
      </c>
      <c r="BF1290" s="624">
        <v>40116</v>
      </c>
      <c r="BG1290" s="355">
        <v>2.1307E-2</v>
      </c>
      <c r="BH1290" s="624">
        <v>40060</v>
      </c>
      <c r="BI1290" s="355">
        <v>9.8863000000000006E-2</v>
      </c>
      <c r="BJ1290" s="624">
        <v>40059</v>
      </c>
      <c r="BK1290" s="355">
        <v>2.9364999999999999E-2</v>
      </c>
    </row>
    <row r="1291" spans="3:63" x14ac:dyDescent="0.15">
      <c r="C1291" s="624"/>
      <c r="D1291" s="355">
        <v>3.1759999999999997E-2</v>
      </c>
      <c r="AV1291" s="624"/>
      <c r="AX1291" s="624">
        <v>40064</v>
      </c>
      <c r="AY1291" s="355">
        <v>3.2039999999999999E-2</v>
      </c>
      <c r="AZ1291" s="624">
        <v>40129</v>
      </c>
      <c r="BA1291" s="355">
        <v>1.5699999999999999E-2</v>
      </c>
      <c r="BB1291" s="624">
        <v>40060</v>
      </c>
      <c r="BC1291" s="355">
        <v>0.34970000000000001</v>
      </c>
      <c r="BD1291" s="624">
        <v>40063</v>
      </c>
      <c r="BE1291" s="355">
        <v>8.1140000000000004E-2</v>
      </c>
      <c r="BF1291" s="624">
        <v>40119</v>
      </c>
      <c r="BG1291" s="355">
        <v>2.1291999999999998E-2</v>
      </c>
      <c r="BH1291" s="624">
        <v>40063</v>
      </c>
      <c r="BI1291" s="355">
        <v>9.9404000000000006E-2</v>
      </c>
      <c r="BJ1291" s="624">
        <v>40060</v>
      </c>
      <c r="BK1291" s="355">
        <v>2.9375999999999999E-2</v>
      </c>
    </row>
    <row r="1292" spans="3:63" x14ac:dyDescent="0.15">
      <c r="C1292" s="624"/>
      <c r="D1292" s="355">
        <v>3.2039999999999999E-2</v>
      </c>
      <c r="AV1292" s="624"/>
      <c r="AX1292" s="624">
        <v>40065</v>
      </c>
      <c r="AY1292" s="355">
        <v>3.2239999999999998E-2</v>
      </c>
      <c r="AZ1292" s="624">
        <v>40130</v>
      </c>
      <c r="BA1292" s="355">
        <v>1.5800000000000002E-2</v>
      </c>
      <c r="BB1292" s="624">
        <v>40063</v>
      </c>
      <c r="BC1292" s="355">
        <v>0.34989999999999999</v>
      </c>
      <c r="BD1292" s="624">
        <v>40064</v>
      </c>
      <c r="BE1292" s="355">
        <v>8.1780000000000005E-2</v>
      </c>
      <c r="BF1292" s="624">
        <v>40120</v>
      </c>
      <c r="BG1292" s="355">
        <v>2.1093000000000001E-2</v>
      </c>
      <c r="BH1292" s="624">
        <v>40064</v>
      </c>
      <c r="BI1292" s="355">
        <v>0.10009999999999999</v>
      </c>
      <c r="BJ1292" s="624">
        <v>40063</v>
      </c>
      <c r="BK1292" s="355">
        <v>2.9374999999999998E-2</v>
      </c>
    </row>
    <row r="1293" spans="3:63" x14ac:dyDescent="0.15">
      <c r="C1293" s="624"/>
      <c r="D1293" s="355">
        <v>3.2239999999999998E-2</v>
      </c>
      <c r="AV1293" s="624"/>
      <c r="AX1293" s="624">
        <v>40066</v>
      </c>
      <c r="AY1293" s="355">
        <v>3.2399999999999998E-2</v>
      </c>
      <c r="AZ1293" s="624">
        <v>40133</v>
      </c>
      <c r="BA1293" s="355">
        <v>1.5800000000000002E-2</v>
      </c>
      <c r="BB1293" s="624">
        <v>40064</v>
      </c>
      <c r="BC1293" s="355">
        <v>0.35360000000000003</v>
      </c>
      <c r="BD1293" s="624">
        <v>40065</v>
      </c>
      <c r="BE1293" s="355">
        <v>8.1610000000000002E-2</v>
      </c>
      <c r="BF1293" s="624">
        <v>40121</v>
      </c>
      <c r="BG1293" s="355">
        <v>2.1250999999999999E-2</v>
      </c>
      <c r="BH1293" s="624">
        <v>40065</v>
      </c>
      <c r="BI1293" s="355">
        <v>0.10068000000000001</v>
      </c>
      <c r="BJ1293" s="624">
        <v>40064</v>
      </c>
      <c r="BK1293" s="355">
        <v>2.9385999999999999E-2</v>
      </c>
    </row>
    <row r="1294" spans="3:63" x14ac:dyDescent="0.15">
      <c r="C1294" s="624"/>
      <c r="D1294" s="355">
        <v>3.2399999999999998E-2</v>
      </c>
      <c r="AV1294" s="624"/>
      <c r="AX1294" s="624">
        <v>40067</v>
      </c>
      <c r="AY1294" s="355">
        <v>3.2620000000000003E-2</v>
      </c>
      <c r="AZ1294" s="624">
        <v>40134</v>
      </c>
      <c r="BA1294" s="355">
        <v>1.5699999999999999E-2</v>
      </c>
      <c r="BB1294" s="624">
        <v>40065</v>
      </c>
      <c r="BC1294" s="355">
        <v>0.35289999999999999</v>
      </c>
      <c r="BD1294" s="624">
        <v>40066</v>
      </c>
      <c r="BE1294" s="355">
        <v>8.1670000000000006E-2</v>
      </c>
      <c r="BF1294" s="624">
        <v>40122</v>
      </c>
      <c r="BG1294" s="355">
        <v>2.1263000000000001E-2</v>
      </c>
      <c r="BH1294" s="624">
        <v>40066</v>
      </c>
      <c r="BI1294" s="355">
        <v>0.10068000000000001</v>
      </c>
      <c r="BJ1294" s="624">
        <v>40065</v>
      </c>
      <c r="BK1294" s="355">
        <v>2.9399000000000002E-2</v>
      </c>
    </row>
    <row r="1295" spans="3:63" x14ac:dyDescent="0.15">
      <c r="C1295" s="624"/>
      <c r="D1295" s="355">
        <v>3.2620000000000003E-2</v>
      </c>
      <c r="AV1295" s="624"/>
      <c r="AX1295" s="624">
        <v>40070</v>
      </c>
      <c r="AY1295" s="355">
        <v>3.2460000000000003E-2</v>
      </c>
      <c r="AZ1295" s="624">
        <v>40135</v>
      </c>
      <c r="BA1295" s="355">
        <v>1.5800000000000002E-2</v>
      </c>
      <c r="BB1295" s="624">
        <v>40066</v>
      </c>
      <c r="BC1295" s="355">
        <v>0.3518</v>
      </c>
      <c r="BD1295" s="624">
        <v>40067</v>
      </c>
      <c r="BE1295" s="355">
        <v>8.1860000000000002E-2</v>
      </c>
      <c r="BF1295" s="624">
        <v>40123</v>
      </c>
      <c r="BG1295" s="355">
        <v>2.1361999999999999E-2</v>
      </c>
      <c r="BH1295" s="624">
        <v>40067</v>
      </c>
      <c r="BI1295" s="355">
        <v>0.100858</v>
      </c>
      <c r="BJ1295" s="624">
        <v>40066</v>
      </c>
      <c r="BK1295" s="355">
        <v>2.9408E-2</v>
      </c>
    </row>
    <row r="1296" spans="3:63" x14ac:dyDescent="0.15">
      <c r="C1296" s="624"/>
      <c r="D1296" s="355">
        <v>3.2460000000000003E-2</v>
      </c>
      <c r="AV1296" s="624"/>
      <c r="AX1296" s="624">
        <v>40071</v>
      </c>
      <c r="AY1296" s="355">
        <v>3.2469999999999999E-2</v>
      </c>
      <c r="AZ1296" s="624">
        <v>40136</v>
      </c>
      <c r="BA1296" s="355">
        <v>1.5800000000000002E-2</v>
      </c>
      <c r="BB1296" s="624">
        <v>40067</v>
      </c>
      <c r="BC1296" s="355">
        <v>0.34960000000000002</v>
      </c>
      <c r="BD1296" s="624">
        <v>40070</v>
      </c>
      <c r="BE1296" s="355">
        <v>8.1699999999999995E-2</v>
      </c>
      <c r="BF1296" s="624">
        <v>40126</v>
      </c>
      <c r="BG1296" s="355">
        <v>2.1524999999999999E-2</v>
      </c>
      <c r="BH1296" s="624">
        <v>40070</v>
      </c>
      <c r="BI1296" s="355">
        <v>0.100604</v>
      </c>
      <c r="BJ1296" s="624">
        <v>40067</v>
      </c>
      <c r="BK1296" s="355">
        <v>2.9456E-2</v>
      </c>
    </row>
    <row r="1297" spans="3:63" x14ac:dyDescent="0.15">
      <c r="C1297" s="624"/>
      <c r="D1297" s="355">
        <v>3.2469999999999999E-2</v>
      </c>
      <c r="AV1297" s="624"/>
      <c r="AX1297" s="624">
        <v>40072</v>
      </c>
      <c r="AY1297" s="355">
        <v>3.2710000000000003E-2</v>
      </c>
      <c r="AZ1297" s="624">
        <v>40137</v>
      </c>
      <c r="BA1297" s="355">
        <v>1.5699999999999999E-2</v>
      </c>
      <c r="BB1297" s="624">
        <v>40070</v>
      </c>
      <c r="BC1297" s="355">
        <v>0.34899999999999998</v>
      </c>
      <c r="BD1297" s="624">
        <v>40071</v>
      </c>
      <c r="BE1297" s="355">
        <v>8.2600000000000007E-2</v>
      </c>
      <c r="BF1297" s="624">
        <v>40127</v>
      </c>
      <c r="BG1297" s="355">
        <v>2.1510999999999999E-2</v>
      </c>
      <c r="BH1297" s="624">
        <v>40071</v>
      </c>
      <c r="BI1297" s="355">
        <v>0.101087</v>
      </c>
      <c r="BJ1297" s="624">
        <v>40070</v>
      </c>
      <c r="BK1297" s="355">
        <v>2.946E-2</v>
      </c>
    </row>
    <row r="1298" spans="3:63" x14ac:dyDescent="0.15">
      <c r="C1298" s="624"/>
      <c r="D1298" s="355">
        <v>3.2710000000000003E-2</v>
      </c>
      <c r="AV1298" s="624"/>
      <c r="AX1298" s="624">
        <v>40073</v>
      </c>
      <c r="AY1298" s="355">
        <v>3.295E-2</v>
      </c>
      <c r="AZ1298" s="624">
        <v>40140</v>
      </c>
      <c r="BA1298" s="355">
        <v>1.5800000000000002E-2</v>
      </c>
      <c r="BB1298" s="624">
        <v>40071</v>
      </c>
      <c r="BC1298" s="355">
        <v>0.35310000000000002</v>
      </c>
      <c r="BD1298" s="624">
        <v>40072</v>
      </c>
      <c r="BE1298" s="355">
        <v>8.2989999999999994E-2</v>
      </c>
      <c r="BF1298" s="624">
        <v>40128</v>
      </c>
      <c r="BG1298" s="355">
        <v>2.1604999999999999E-2</v>
      </c>
      <c r="BH1298" s="624">
        <v>40072</v>
      </c>
      <c r="BI1298" s="355">
        <v>0.102987</v>
      </c>
      <c r="BJ1298" s="624">
        <v>40071</v>
      </c>
      <c r="BK1298" s="355">
        <v>2.9493999999999999E-2</v>
      </c>
    </row>
    <row r="1299" spans="3:63" x14ac:dyDescent="0.15">
      <c r="C1299" s="624"/>
      <c r="D1299" s="355">
        <v>3.295E-2</v>
      </c>
      <c r="AV1299" s="624"/>
      <c r="AX1299" s="624">
        <v>40074</v>
      </c>
      <c r="AY1299" s="355">
        <v>3.3070000000000002E-2</v>
      </c>
      <c r="AZ1299" s="624">
        <v>40141</v>
      </c>
      <c r="BA1299" s="355">
        <v>1.5800000000000002E-2</v>
      </c>
      <c r="BB1299" s="624">
        <v>40072</v>
      </c>
      <c r="BC1299" s="355">
        <v>0.35699999999999998</v>
      </c>
      <c r="BD1299" s="624">
        <v>40073</v>
      </c>
      <c r="BE1299" s="355">
        <v>8.2979999999999998E-2</v>
      </c>
      <c r="BF1299" s="624">
        <v>40129</v>
      </c>
      <c r="BG1299" s="355">
        <v>2.1437000000000001E-2</v>
      </c>
      <c r="BH1299" s="624">
        <v>40073</v>
      </c>
      <c r="BI1299" s="355">
        <v>0.103146</v>
      </c>
      <c r="BJ1299" s="624">
        <v>40072</v>
      </c>
      <c r="BK1299" s="355">
        <v>2.9648000000000001E-2</v>
      </c>
    </row>
    <row r="1300" spans="3:63" x14ac:dyDescent="0.15">
      <c r="C1300" s="624"/>
      <c r="D1300" s="355">
        <v>3.3070000000000002E-2</v>
      </c>
      <c r="AV1300" s="624"/>
      <c r="AX1300" s="624">
        <v>40077</v>
      </c>
      <c r="AY1300" s="355">
        <v>3.2930000000000001E-2</v>
      </c>
      <c r="AZ1300" s="624">
        <v>40142</v>
      </c>
      <c r="BA1300" s="355">
        <v>1.6E-2</v>
      </c>
      <c r="BB1300" s="624">
        <v>40073</v>
      </c>
      <c r="BC1300" s="355">
        <v>0.35639999999999999</v>
      </c>
      <c r="BD1300" s="624">
        <v>40074</v>
      </c>
      <c r="BE1300" s="355">
        <v>8.2790000000000002E-2</v>
      </c>
      <c r="BF1300" s="624">
        <v>40130</v>
      </c>
      <c r="BG1300" s="355">
        <v>2.1579999999999998E-2</v>
      </c>
      <c r="BH1300" s="624">
        <v>40074</v>
      </c>
      <c r="BI1300" s="355">
        <v>0.103093</v>
      </c>
      <c r="BJ1300" s="624">
        <v>40073</v>
      </c>
      <c r="BK1300" s="355">
        <v>2.9655999999999998E-2</v>
      </c>
    </row>
    <row r="1301" spans="3:63" x14ac:dyDescent="0.15">
      <c r="C1301" s="624"/>
      <c r="D1301" s="355">
        <v>3.2930000000000001E-2</v>
      </c>
      <c r="AV1301" s="624"/>
      <c r="AX1301" s="624">
        <v>40078</v>
      </c>
      <c r="AY1301" s="355">
        <v>3.3230000000000003E-2</v>
      </c>
      <c r="AZ1301" s="624">
        <v>40143</v>
      </c>
      <c r="BA1301" s="355">
        <v>1.5800000000000002E-2</v>
      </c>
      <c r="BB1301" s="624">
        <v>40074</v>
      </c>
      <c r="BC1301" s="355">
        <v>0.35510000000000003</v>
      </c>
      <c r="BD1301" s="624">
        <v>40077</v>
      </c>
      <c r="BE1301" s="355">
        <v>8.2820000000000005E-2</v>
      </c>
      <c r="BF1301" s="624">
        <v>40133</v>
      </c>
      <c r="BG1301" s="355">
        <v>2.1631999999999998E-2</v>
      </c>
      <c r="BH1301" s="624">
        <v>40077</v>
      </c>
      <c r="BI1301" s="355">
        <v>0.103093</v>
      </c>
      <c r="BJ1301" s="624">
        <v>40074</v>
      </c>
      <c r="BK1301" s="355">
        <v>2.9713E-2</v>
      </c>
    </row>
    <row r="1302" spans="3:63" x14ac:dyDescent="0.15">
      <c r="C1302" s="624"/>
      <c r="D1302" s="355">
        <v>3.3230000000000003E-2</v>
      </c>
      <c r="AV1302" s="624"/>
      <c r="AX1302" s="624">
        <v>40079</v>
      </c>
      <c r="AY1302" s="355">
        <v>3.3340000000000002E-2</v>
      </c>
      <c r="AZ1302" s="624">
        <v>40144</v>
      </c>
      <c r="BA1302" s="355">
        <v>1.5800000000000002E-2</v>
      </c>
      <c r="BB1302" s="624">
        <v>40077</v>
      </c>
      <c r="BC1302" s="355">
        <v>0.35189999999999999</v>
      </c>
      <c r="BD1302" s="624">
        <v>40078</v>
      </c>
      <c r="BE1302" s="355">
        <v>8.3309999999999995E-2</v>
      </c>
      <c r="BF1302" s="624">
        <v>40134</v>
      </c>
      <c r="BG1302" s="355">
        <v>2.1590000000000002E-2</v>
      </c>
      <c r="BH1302" s="624">
        <v>40078</v>
      </c>
      <c r="BI1302" s="355">
        <v>0.103093</v>
      </c>
      <c r="BJ1302" s="624">
        <v>40077</v>
      </c>
      <c r="BK1302" s="355">
        <v>2.9669000000000001E-2</v>
      </c>
    </row>
    <row r="1303" spans="3:63" x14ac:dyDescent="0.15">
      <c r="C1303" s="624"/>
      <c r="D1303" s="355">
        <v>3.3340000000000002E-2</v>
      </c>
      <c r="AV1303" s="624"/>
      <c r="AX1303" s="624">
        <v>40080</v>
      </c>
      <c r="AY1303" s="355">
        <v>3.3250000000000002E-2</v>
      </c>
      <c r="AZ1303" s="624">
        <v>40147</v>
      </c>
      <c r="BA1303" s="355">
        <v>1.5800000000000002E-2</v>
      </c>
      <c r="BB1303" s="624">
        <v>40078</v>
      </c>
      <c r="BC1303" s="355">
        <v>0.35549999999999998</v>
      </c>
      <c r="BD1303" s="624">
        <v>40079</v>
      </c>
      <c r="BE1303" s="355">
        <v>8.3669999999999994E-2</v>
      </c>
      <c r="BF1303" s="624">
        <v>40135</v>
      </c>
      <c r="BG1303" s="355">
        <v>2.1645000000000001E-2</v>
      </c>
      <c r="BH1303" s="624">
        <v>40079</v>
      </c>
      <c r="BI1303" s="355">
        <v>0.103093</v>
      </c>
      <c r="BJ1303" s="624">
        <v>40078</v>
      </c>
      <c r="BK1303" s="355">
        <v>2.9753000000000002E-2</v>
      </c>
    </row>
    <row r="1304" spans="3:63" x14ac:dyDescent="0.15">
      <c r="C1304" s="624"/>
      <c r="D1304" s="355">
        <v>3.3250000000000002E-2</v>
      </c>
      <c r="AV1304" s="624"/>
      <c r="AX1304" s="624">
        <v>40081</v>
      </c>
      <c r="AY1304" s="355">
        <v>3.3180000000000001E-2</v>
      </c>
      <c r="AZ1304" s="624">
        <v>40148</v>
      </c>
      <c r="BA1304" s="355">
        <v>1.5800000000000002E-2</v>
      </c>
      <c r="BB1304" s="624">
        <v>40079</v>
      </c>
      <c r="BC1304" s="355">
        <v>0.3523</v>
      </c>
      <c r="BD1304" s="624">
        <v>40080</v>
      </c>
      <c r="BE1304" s="355">
        <v>8.3799999999999999E-2</v>
      </c>
      <c r="BF1304" s="624">
        <v>40136</v>
      </c>
      <c r="BG1304" s="355">
        <v>2.1420000000000002E-2</v>
      </c>
      <c r="BH1304" s="624">
        <v>40080</v>
      </c>
      <c r="BI1304" s="355">
        <v>0.103574</v>
      </c>
      <c r="BJ1304" s="624">
        <v>40079</v>
      </c>
      <c r="BK1304" s="355">
        <v>2.9815000000000001E-2</v>
      </c>
    </row>
    <row r="1305" spans="3:63" x14ac:dyDescent="0.15">
      <c r="C1305" s="624"/>
      <c r="D1305" s="355">
        <v>3.3180000000000001E-2</v>
      </c>
      <c r="AV1305" s="624"/>
      <c r="AX1305" s="624">
        <v>40084</v>
      </c>
      <c r="AY1305" s="355">
        <v>3.3180000000000001E-2</v>
      </c>
      <c r="AZ1305" s="624">
        <v>40149</v>
      </c>
      <c r="BA1305" s="355">
        <v>1.5699999999999999E-2</v>
      </c>
      <c r="BB1305" s="624">
        <v>40080</v>
      </c>
      <c r="BC1305" s="355">
        <v>0.3503</v>
      </c>
      <c r="BD1305" s="624">
        <v>40081</v>
      </c>
      <c r="BE1305" s="355">
        <v>8.3940000000000001E-2</v>
      </c>
      <c r="BF1305" s="624">
        <v>40137</v>
      </c>
      <c r="BG1305" s="355">
        <v>2.1444999999999999E-2</v>
      </c>
      <c r="BH1305" s="624">
        <v>40081</v>
      </c>
      <c r="BI1305" s="355">
        <v>0.103573</v>
      </c>
      <c r="BJ1305" s="624">
        <v>40080</v>
      </c>
      <c r="BK1305" s="355">
        <v>2.9786E-2</v>
      </c>
    </row>
    <row r="1306" spans="3:63" x14ac:dyDescent="0.15">
      <c r="C1306" s="624"/>
      <c r="D1306" s="355">
        <v>3.3180000000000001E-2</v>
      </c>
      <c r="AV1306" s="624"/>
      <c r="AX1306" s="624">
        <v>40085</v>
      </c>
      <c r="AY1306" s="355">
        <v>3.3169999999999998E-2</v>
      </c>
      <c r="AZ1306" s="624">
        <v>40150</v>
      </c>
      <c r="BA1306" s="355">
        <v>1.5699999999999999E-2</v>
      </c>
      <c r="BB1306" s="624">
        <v>40081</v>
      </c>
      <c r="BC1306" s="355">
        <v>0.3488</v>
      </c>
      <c r="BD1306" s="624">
        <v>40084</v>
      </c>
      <c r="BE1306" s="355">
        <v>8.3900000000000002E-2</v>
      </c>
      <c r="BF1306" s="624">
        <v>40140</v>
      </c>
      <c r="BG1306" s="355">
        <v>2.1519E-2</v>
      </c>
      <c r="BH1306" s="624">
        <v>40084</v>
      </c>
      <c r="BI1306" s="355">
        <v>0.10304000000000001</v>
      </c>
      <c r="BJ1306" s="624">
        <v>40081</v>
      </c>
      <c r="BK1306" s="355">
        <v>2.9794000000000001E-2</v>
      </c>
    </row>
    <row r="1307" spans="3:63" x14ac:dyDescent="0.15">
      <c r="C1307" s="624"/>
      <c r="D1307" s="355">
        <v>3.3169999999999998E-2</v>
      </c>
      <c r="AV1307" s="624"/>
      <c r="AX1307" s="624">
        <v>40086</v>
      </c>
      <c r="AY1307" s="355">
        <v>3.3309999999999999E-2</v>
      </c>
      <c r="AZ1307" s="624">
        <v>40151</v>
      </c>
      <c r="BA1307" s="355">
        <v>1.54E-2</v>
      </c>
      <c r="BB1307" s="624">
        <v>40084</v>
      </c>
      <c r="BC1307" s="355">
        <v>0.34839999999999999</v>
      </c>
      <c r="BD1307" s="624">
        <v>40085</v>
      </c>
      <c r="BE1307" s="355">
        <v>8.4140000000000006E-2</v>
      </c>
      <c r="BF1307" s="624">
        <v>40141</v>
      </c>
      <c r="BG1307" s="355">
        <v>2.1555999999999999E-2</v>
      </c>
      <c r="BH1307" s="624">
        <v>40085</v>
      </c>
      <c r="BI1307" s="355">
        <v>0.103173</v>
      </c>
      <c r="BJ1307" s="624">
        <v>40084</v>
      </c>
      <c r="BK1307" s="355">
        <v>2.98E-2</v>
      </c>
    </row>
    <row r="1308" spans="3:63" x14ac:dyDescent="0.15">
      <c r="C1308" s="624"/>
      <c r="D1308" s="355">
        <v>3.3309999999999999E-2</v>
      </c>
      <c r="AV1308" s="624"/>
      <c r="AX1308" s="624">
        <v>40087</v>
      </c>
      <c r="AY1308" s="355">
        <v>3.3230000000000003E-2</v>
      </c>
      <c r="AZ1308" s="624">
        <v>40154</v>
      </c>
      <c r="BA1308" s="355">
        <v>1.54E-2</v>
      </c>
      <c r="BB1308" s="624">
        <v>40085</v>
      </c>
      <c r="BC1308" s="355">
        <v>0.34429999999999999</v>
      </c>
      <c r="BD1308" s="624">
        <v>40086</v>
      </c>
      <c r="BE1308" s="355">
        <v>8.5080000000000003E-2</v>
      </c>
      <c r="BF1308" s="624">
        <v>40142</v>
      </c>
      <c r="BG1308" s="355">
        <v>2.1635999999999999E-2</v>
      </c>
      <c r="BH1308" s="624">
        <v>40086</v>
      </c>
      <c r="BI1308" s="355">
        <v>0.103466</v>
      </c>
      <c r="BJ1308" s="624">
        <v>40085</v>
      </c>
      <c r="BK1308" s="355">
        <v>2.9739999999999999E-2</v>
      </c>
    </row>
    <row r="1309" spans="3:63" x14ac:dyDescent="0.15">
      <c r="C1309" s="624"/>
      <c r="D1309" s="355">
        <v>3.3230000000000003E-2</v>
      </c>
      <c r="AV1309" s="624"/>
      <c r="AX1309" s="624">
        <v>40088</v>
      </c>
      <c r="AY1309" s="355">
        <v>3.3160000000000002E-2</v>
      </c>
      <c r="AZ1309" s="624">
        <v>40155</v>
      </c>
      <c r="BA1309" s="355">
        <v>1.54E-2</v>
      </c>
      <c r="BB1309" s="624">
        <v>40086</v>
      </c>
      <c r="BC1309" s="355">
        <v>0.34799999999999998</v>
      </c>
      <c r="BD1309" s="624">
        <v>40087</v>
      </c>
      <c r="BE1309" s="355">
        <v>8.4419999999999995E-2</v>
      </c>
      <c r="BF1309" s="624">
        <v>40143</v>
      </c>
      <c r="BG1309" s="355">
        <v>2.1531000000000002E-2</v>
      </c>
      <c r="BH1309" s="624">
        <v>40087</v>
      </c>
      <c r="BI1309" s="355">
        <v>0.103896</v>
      </c>
      <c r="BJ1309" s="624">
        <v>40086</v>
      </c>
      <c r="BK1309" s="355">
        <v>2.9905000000000001E-2</v>
      </c>
    </row>
    <row r="1310" spans="3:63" x14ac:dyDescent="0.15">
      <c r="C1310" s="624"/>
      <c r="D1310" s="355">
        <v>3.3160000000000002E-2</v>
      </c>
      <c r="AV1310" s="624"/>
      <c r="AX1310" s="624">
        <v>40091</v>
      </c>
      <c r="AY1310" s="355">
        <v>3.3329999999999999E-2</v>
      </c>
      <c r="AZ1310" s="624">
        <v>40156</v>
      </c>
      <c r="BA1310" s="355">
        <v>1.54E-2</v>
      </c>
      <c r="BB1310" s="624">
        <v>40087</v>
      </c>
      <c r="BC1310" s="355">
        <v>0.34210000000000002</v>
      </c>
      <c r="BD1310" s="624">
        <v>40088</v>
      </c>
      <c r="BE1310" s="355">
        <v>8.5139999999999993E-2</v>
      </c>
      <c r="BF1310" s="624">
        <v>40144</v>
      </c>
      <c r="BG1310" s="355">
        <v>2.1437000000000001E-2</v>
      </c>
      <c r="BH1310" s="624">
        <v>40088</v>
      </c>
      <c r="BI1310" s="355">
        <v>0.10373400000000001</v>
      </c>
      <c r="BJ1310" s="624">
        <v>40087</v>
      </c>
      <c r="BK1310" s="355">
        <v>2.9846999999999999E-2</v>
      </c>
    </row>
    <row r="1311" spans="3:63" x14ac:dyDescent="0.15">
      <c r="C1311" s="624"/>
      <c r="D1311" s="355">
        <v>3.3329999999999999E-2</v>
      </c>
      <c r="AV1311" s="624"/>
      <c r="AX1311" s="624">
        <v>40092</v>
      </c>
      <c r="AY1311" s="355">
        <v>3.3529999999999997E-2</v>
      </c>
      <c r="AZ1311" s="624">
        <v>40157</v>
      </c>
      <c r="BA1311" s="355">
        <v>1.5299999999999999E-2</v>
      </c>
      <c r="BB1311" s="624">
        <v>40088</v>
      </c>
      <c r="BC1311" s="355">
        <v>0.3448</v>
      </c>
      <c r="BD1311" s="624">
        <v>40091</v>
      </c>
      <c r="BE1311" s="355">
        <v>8.5690000000000002E-2</v>
      </c>
      <c r="BF1311" s="624">
        <v>40147</v>
      </c>
      <c r="BG1311" s="355">
        <v>2.1496000000000001E-2</v>
      </c>
      <c r="BH1311" s="624">
        <v>40091</v>
      </c>
      <c r="BI1311" s="355">
        <v>0.104657</v>
      </c>
      <c r="BJ1311" s="624">
        <v>40088</v>
      </c>
      <c r="BK1311" s="355">
        <v>2.9833999999999999E-2</v>
      </c>
    </row>
    <row r="1312" spans="3:63" x14ac:dyDescent="0.15">
      <c r="C1312" s="624"/>
      <c r="D1312" s="355">
        <v>3.3529999999999997E-2</v>
      </c>
      <c r="AV1312" s="624"/>
      <c r="AX1312" s="624">
        <v>40093</v>
      </c>
      <c r="AY1312" s="355">
        <v>3.3590000000000002E-2</v>
      </c>
      <c r="AZ1312" s="624">
        <v>40158</v>
      </c>
      <c r="BA1312" s="355">
        <v>1.52E-2</v>
      </c>
      <c r="BB1312" s="624">
        <v>40091</v>
      </c>
      <c r="BC1312" s="355">
        <v>0.34860000000000002</v>
      </c>
      <c r="BD1312" s="624">
        <v>40092</v>
      </c>
      <c r="BE1312" s="355">
        <v>8.5550000000000001E-2</v>
      </c>
      <c r="BF1312" s="624">
        <v>40148</v>
      </c>
      <c r="BG1312" s="355">
        <v>2.1592E-2</v>
      </c>
      <c r="BH1312" s="624">
        <v>40092</v>
      </c>
      <c r="BI1312" s="355">
        <v>0.105887</v>
      </c>
      <c r="BJ1312" s="624">
        <v>40091</v>
      </c>
      <c r="BK1312" s="355">
        <v>2.9905000000000001E-2</v>
      </c>
    </row>
    <row r="1313" spans="3:63" x14ac:dyDescent="0.15">
      <c r="C1313" s="624"/>
      <c r="D1313" s="355">
        <v>3.3590000000000002E-2</v>
      </c>
      <c r="AV1313" s="624"/>
      <c r="AX1313" s="624">
        <v>40094</v>
      </c>
      <c r="AY1313" s="355">
        <v>3.3860000000000001E-2</v>
      </c>
      <c r="AZ1313" s="624">
        <v>40161</v>
      </c>
      <c r="BA1313" s="355">
        <v>1.52E-2</v>
      </c>
      <c r="BB1313" s="624">
        <v>40092</v>
      </c>
      <c r="BC1313" s="355">
        <v>0.35170000000000001</v>
      </c>
      <c r="BD1313" s="624">
        <v>40093</v>
      </c>
      <c r="BE1313" s="355">
        <v>8.5620000000000002E-2</v>
      </c>
      <c r="BF1313" s="624">
        <v>40149</v>
      </c>
      <c r="BG1313" s="355">
        <v>2.1579999999999998E-2</v>
      </c>
      <c r="BH1313" s="624">
        <v>40093</v>
      </c>
      <c r="BI1313" s="355">
        <v>0.106101</v>
      </c>
      <c r="BJ1313" s="624">
        <v>40092</v>
      </c>
      <c r="BK1313" s="355">
        <v>3.0001E-2</v>
      </c>
    </row>
    <row r="1314" spans="3:63" x14ac:dyDescent="0.15">
      <c r="C1314" s="624"/>
      <c r="D1314" s="355">
        <v>3.3860000000000001E-2</v>
      </c>
      <c r="AV1314" s="624"/>
      <c r="AX1314" s="624">
        <v>40095</v>
      </c>
      <c r="AY1314" s="355">
        <v>3.3739999999999999E-2</v>
      </c>
      <c r="AZ1314" s="624">
        <v>40162</v>
      </c>
      <c r="BA1314" s="355">
        <v>1.5100000000000001E-2</v>
      </c>
      <c r="BB1314" s="624">
        <v>40093</v>
      </c>
      <c r="BC1314" s="355">
        <v>0.34799999999999998</v>
      </c>
      <c r="BD1314" s="624">
        <v>40094</v>
      </c>
      <c r="BE1314" s="355">
        <v>8.5860000000000006E-2</v>
      </c>
      <c r="BF1314" s="624">
        <v>40150</v>
      </c>
      <c r="BG1314" s="355">
        <v>2.1699E-2</v>
      </c>
      <c r="BH1314" s="624">
        <v>40094</v>
      </c>
      <c r="BI1314" s="355">
        <v>0.105904</v>
      </c>
      <c r="BJ1314" s="624">
        <v>40093</v>
      </c>
      <c r="BK1314" s="355">
        <v>2.9949E-2</v>
      </c>
    </row>
    <row r="1315" spans="3:63" x14ac:dyDescent="0.15">
      <c r="C1315" s="624"/>
      <c r="D1315" s="355">
        <v>3.3739999999999999E-2</v>
      </c>
      <c r="AV1315" s="624"/>
      <c r="AX1315" s="624">
        <v>40098</v>
      </c>
      <c r="AY1315" s="355">
        <v>3.3910000000000003E-2</v>
      </c>
      <c r="AZ1315" s="624">
        <v>40163</v>
      </c>
      <c r="BA1315" s="355">
        <v>1.5100000000000001E-2</v>
      </c>
      <c r="BB1315" s="624">
        <v>40094</v>
      </c>
      <c r="BC1315" s="355">
        <v>0.34910000000000002</v>
      </c>
      <c r="BD1315" s="624">
        <v>40095</v>
      </c>
      <c r="BE1315" s="355">
        <v>8.5540000000000005E-2</v>
      </c>
      <c r="BF1315" s="624">
        <v>40151</v>
      </c>
      <c r="BG1315" s="355">
        <v>2.1604000000000002E-2</v>
      </c>
      <c r="BH1315" s="624">
        <v>40095</v>
      </c>
      <c r="BI1315" s="355">
        <v>0.105736</v>
      </c>
      <c r="BJ1315" s="624">
        <v>40094</v>
      </c>
      <c r="BK1315" s="355">
        <v>3.0016999999999999E-2</v>
      </c>
    </row>
    <row r="1316" spans="3:63" x14ac:dyDescent="0.15">
      <c r="C1316" s="624"/>
      <c r="D1316" s="355">
        <v>3.3910000000000003E-2</v>
      </c>
      <c r="AV1316" s="624"/>
      <c r="AX1316" s="624">
        <v>40099</v>
      </c>
      <c r="AY1316" s="355">
        <v>3.3840000000000002E-2</v>
      </c>
      <c r="AZ1316" s="624">
        <v>40164</v>
      </c>
      <c r="BA1316" s="355">
        <v>1.49E-2</v>
      </c>
      <c r="BB1316" s="624">
        <v>40095</v>
      </c>
      <c r="BC1316" s="355">
        <v>0.34549999999999997</v>
      </c>
      <c r="BD1316" s="624">
        <v>40098</v>
      </c>
      <c r="BE1316" s="355">
        <v>8.5550000000000001E-2</v>
      </c>
      <c r="BF1316" s="624">
        <v>40154</v>
      </c>
      <c r="BG1316" s="355">
        <v>2.1475000000000001E-2</v>
      </c>
      <c r="BH1316" s="624">
        <v>40098</v>
      </c>
      <c r="BI1316" s="355">
        <v>0.105485</v>
      </c>
      <c r="BJ1316" s="624">
        <v>40095</v>
      </c>
      <c r="BK1316" s="355">
        <v>3.0008E-2</v>
      </c>
    </row>
    <row r="1317" spans="3:63" x14ac:dyDescent="0.15">
      <c r="C1317" s="624"/>
      <c r="D1317" s="355">
        <v>3.3840000000000002E-2</v>
      </c>
      <c r="AV1317" s="624"/>
      <c r="AX1317" s="624">
        <v>40100</v>
      </c>
      <c r="AY1317" s="355">
        <v>3.4000000000000002E-2</v>
      </c>
      <c r="AZ1317" s="624">
        <v>40165</v>
      </c>
      <c r="BA1317" s="355">
        <v>1.49E-2</v>
      </c>
      <c r="BB1317" s="624">
        <v>40098</v>
      </c>
      <c r="BC1317" s="355">
        <v>0.3498</v>
      </c>
      <c r="BD1317" s="624">
        <v>40099</v>
      </c>
      <c r="BE1317" s="355">
        <v>8.5260000000000002E-2</v>
      </c>
      <c r="BF1317" s="624">
        <v>40155</v>
      </c>
      <c r="BG1317" s="355">
        <v>2.1427000000000002E-2</v>
      </c>
      <c r="BH1317" s="624">
        <v>40099</v>
      </c>
      <c r="BI1317" s="355">
        <v>0.10582</v>
      </c>
      <c r="BJ1317" s="624">
        <v>40098</v>
      </c>
      <c r="BK1317" s="355">
        <v>3.0001E-2</v>
      </c>
    </row>
    <row r="1318" spans="3:63" x14ac:dyDescent="0.15">
      <c r="C1318" s="624"/>
      <c r="D1318" s="355">
        <v>3.4000000000000002E-2</v>
      </c>
      <c r="AV1318" s="624"/>
      <c r="AX1318" s="624">
        <v>40101</v>
      </c>
      <c r="AY1318" s="355">
        <v>3.4029999999999998E-2</v>
      </c>
      <c r="AZ1318" s="624">
        <v>40168</v>
      </c>
      <c r="BA1318" s="355">
        <v>1.4800000000000001E-2</v>
      </c>
      <c r="BB1318" s="624">
        <v>40099</v>
      </c>
      <c r="BC1318" s="355">
        <v>0.35160000000000002</v>
      </c>
      <c r="BD1318" s="624">
        <v>40100</v>
      </c>
      <c r="BE1318" s="355">
        <v>8.6499999999999994E-2</v>
      </c>
      <c r="BF1318" s="624">
        <v>40156</v>
      </c>
      <c r="BG1318" s="355">
        <v>2.1485000000000001E-2</v>
      </c>
      <c r="BH1318" s="624">
        <v>40100</v>
      </c>
      <c r="BI1318" s="355">
        <v>0.106724</v>
      </c>
      <c r="BJ1318" s="624">
        <v>40099</v>
      </c>
      <c r="BK1318" s="355">
        <v>3.0044000000000001E-2</v>
      </c>
    </row>
    <row r="1319" spans="3:63" x14ac:dyDescent="0.15">
      <c r="C1319" s="624"/>
      <c r="D1319" s="355">
        <v>3.4029999999999998E-2</v>
      </c>
      <c r="AV1319" s="624"/>
      <c r="AX1319" s="624">
        <v>40102</v>
      </c>
      <c r="AY1319" s="355">
        <v>3.3980000000000003E-2</v>
      </c>
      <c r="AZ1319" s="624">
        <v>40169</v>
      </c>
      <c r="BA1319" s="355">
        <v>1.4800000000000001E-2</v>
      </c>
      <c r="BB1319" s="624">
        <v>40100</v>
      </c>
      <c r="BC1319" s="355">
        <v>0.35410000000000003</v>
      </c>
      <c r="BD1319" s="624">
        <v>40101</v>
      </c>
      <c r="BE1319" s="355">
        <v>8.6370000000000002E-2</v>
      </c>
      <c r="BF1319" s="624">
        <v>40157</v>
      </c>
      <c r="BG1319" s="355">
        <v>2.1436E-2</v>
      </c>
      <c r="BH1319" s="624">
        <v>40101</v>
      </c>
      <c r="BI1319" s="355">
        <v>0.107181</v>
      </c>
      <c r="BJ1319" s="624">
        <v>40100</v>
      </c>
      <c r="BK1319" s="355">
        <v>2.9971999999999999E-2</v>
      </c>
    </row>
    <row r="1320" spans="3:63" x14ac:dyDescent="0.15">
      <c r="C1320" s="624"/>
      <c r="D1320" s="355">
        <v>3.3980000000000003E-2</v>
      </c>
      <c r="AV1320" s="624"/>
      <c r="AX1320" s="624">
        <v>40105</v>
      </c>
      <c r="AY1320" s="355">
        <v>3.415E-2</v>
      </c>
      <c r="AZ1320" s="624">
        <v>40170</v>
      </c>
      <c r="BA1320" s="355">
        <v>1.4800000000000001E-2</v>
      </c>
      <c r="BB1320" s="624">
        <v>40101</v>
      </c>
      <c r="BC1320" s="355">
        <v>0.35720000000000002</v>
      </c>
      <c r="BD1320" s="624">
        <v>40102</v>
      </c>
      <c r="BE1320" s="355">
        <v>8.5110000000000005E-2</v>
      </c>
      <c r="BF1320" s="624">
        <v>40158</v>
      </c>
      <c r="BG1320" s="355">
        <v>2.1482000000000001E-2</v>
      </c>
      <c r="BH1320" s="624">
        <v>40102</v>
      </c>
      <c r="BI1320" s="355">
        <v>0.10644000000000001</v>
      </c>
      <c r="BJ1320" s="624">
        <v>40101</v>
      </c>
      <c r="BK1320" s="355">
        <v>2.9898000000000001E-2</v>
      </c>
    </row>
    <row r="1321" spans="3:63" x14ac:dyDescent="0.15">
      <c r="C1321" s="624"/>
      <c r="D1321" s="355">
        <v>3.415E-2</v>
      </c>
      <c r="AV1321" s="624"/>
      <c r="AX1321" s="624">
        <v>40106</v>
      </c>
      <c r="AY1321" s="355">
        <v>3.422E-2</v>
      </c>
      <c r="AZ1321" s="624">
        <v>40171</v>
      </c>
      <c r="BA1321" s="355">
        <v>1.49E-2</v>
      </c>
      <c r="BB1321" s="624">
        <v>40102</v>
      </c>
      <c r="BC1321" s="355">
        <v>0.35410000000000003</v>
      </c>
      <c r="BD1321" s="624">
        <v>40105</v>
      </c>
      <c r="BE1321" s="355">
        <v>8.5589999999999999E-2</v>
      </c>
      <c r="BF1321" s="624">
        <v>40161</v>
      </c>
      <c r="BG1321" s="355">
        <v>2.1413000000000001E-2</v>
      </c>
      <c r="BH1321" s="624">
        <v>40105</v>
      </c>
      <c r="BI1321" s="355">
        <v>0.10638300000000001</v>
      </c>
      <c r="BJ1321" s="624">
        <v>40102</v>
      </c>
      <c r="BK1321" s="355">
        <v>2.9912999999999999E-2</v>
      </c>
    </row>
    <row r="1322" spans="3:63" x14ac:dyDescent="0.15">
      <c r="C1322" s="624"/>
      <c r="D1322" s="355">
        <v>3.422E-2</v>
      </c>
      <c r="AV1322" s="624"/>
      <c r="AX1322" s="624">
        <v>40107</v>
      </c>
      <c r="AY1322" s="355">
        <v>3.4369999999999998E-2</v>
      </c>
      <c r="AZ1322" s="624">
        <v>40172</v>
      </c>
      <c r="BA1322" s="355">
        <v>1.4999999999999999E-2</v>
      </c>
      <c r="BB1322" s="624">
        <v>40105</v>
      </c>
      <c r="BC1322" s="355">
        <v>0.35930000000000001</v>
      </c>
      <c r="BD1322" s="624">
        <v>40106</v>
      </c>
      <c r="BE1322" s="355">
        <v>8.48E-2</v>
      </c>
      <c r="BF1322" s="624">
        <v>40162</v>
      </c>
      <c r="BG1322" s="355">
        <v>2.1413000000000001E-2</v>
      </c>
      <c r="BH1322" s="624">
        <v>40106</v>
      </c>
      <c r="BI1322" s="355">
        <v>0.10644000000000001</v>
      </c>
      <c r="BJ1322" s="624">
        <v>40105</v>
      </c>
      <c r="BK1322" s="355">
        <v>2.9994E-2</v>
      </c>
    </row>
    <row r="1323" spans="3:63" x14ac:dyDescent="0.15">
      <c r="C1323" s="624"/>
      <c r="D1323" s="355">
        <v>3.4369999999999998E-2</v>
      </c>
      <c r="AV1323" s="624"/>
      <c r="AX1323" s="624">
        <v>40108</v>
      </c>
      <c r="AY1323" s="355">
        <v>3.44E-2</v>
      </c>
      <c r="AZ1323" s="624">
        <v>40175</v>
      </c>
      <c r="BA1323" s="355">
        <v>1.49E-2</v>
      </c>
      <c r="BB1323" s="624">
        <v>40106</v>
      </c>
      <c r="BC1323" s="355">
        <v>0.35880000000000001</v>
      </c>
      <c r="BD1323" s="624">
        <v>40107</v>
      </c>
      <c r="BE1323" s="355">
        <v>8.4510000000000002E-2</v>
      </c>
      <c r="BF1323" s="624">
        <v>40163</v>
      </c>
      <c r="BG1323" s="355">
        <v>2.1430000000000001E-2</v>
      </c>
      <c r="BH1323" s="624">
        <v>40107</v>
      </c>
      <c r="BI1323" s="355">
        <v>0.106157</v>
      </c>
      <c r="BJ1323" s="624">
        <v>40106</v>
      </c>
      <c r="BK1323" s="355">
        <v>2.9930999999999999E-2</v>
      </c>
    </row>
    <row r="1324" spans="3:63" x14ac:dyDescent="0.15">
      <c r="C1324" s="624"/>
      <c r="D1324" s="355">
        <v>3.44E-2</v>
      </c>
      <c r="AV1324" s="624"/>
      <c r="AX1324" s="624">
        <v>40109</v>
      </c>
      <c r="AY1324" s="355">
        <v>3.4549999999999997E-2</v>
      </c>
      <c r="AZ1324" s="624">
        <v>40176</v>
      </c>
      <c r="BA1324" s="355">
        <v>1.49E-2</v>
      </c>
      <c r="BB1324" s="624">
        <v>40107</v>
      </c>
      <c r="BC1324" s="355">
        <v>0.3609</v>
      </c>
      <c r="BD1324" s="624">
        <v>40108</v>
      </c>
      <c r="BE1324" s="355">
        <v>8.3930000000000005E-2</v>
      </c>
      <c r="BF1324" s="624">
        <v>40164</v>
      </c>
      <c r="BG1324" s="355">
        <v>2.1332E-2</v>
      </c>
      <c r="BH1324" s="624">
        <v>40108</v>
      </c>
      <c r="BI1324" s="355">
        <v>0.10488</v>
      </c>
      <c r="BJ1324" s="624">
        <v>40107</v>
      </c>
      <c r="BK1324" s="355">
        <v>2.9926999999999999E-2</v>
      </c>
    </row>
    <row r="1325" spans="3:63" x14ac:dyDescent="0.15">
      <c r="C1325" s="624"/>
      <c r="D1325" s="355">
        <v>3.4549999999999997E-2</v>
      </c>
      <c r="AV1325" s="624"/>
      <c r="AX1325" s="624">
        <v>40112</v>
      </c>
      <c r="AY1325" s="355">
        <v>3.4419999999999999E-2</v>
      </c>
      <c r="AZ1325" s="624">
        <v>40177</v>
      </c>
      <c r="BA1325" s="355">
        <v>1.49E-2</v>
      </c>
      <c r="BB1325" s="624">
        <v>40108</v>
      </c>
      <c r="BC1325" s="355">
        <v>0.36080000000000001</v>
      </c>
      <c r="BD1325" s="624">
        <v>40109</v>
      </c>
      <c r="BE1325" s="355">
        <v>8.455E-2</v>
      </c>
      <c r="BF1325" s="624">
        <v>40165</v>
      </c>
      <c r="BG1325" s="355">
        <v>2.1409000000000001E-2</v>
      </c>
      <c r="BH1325" s="624">
        <v>40109</v>
      </c>
      <c r="BI1325" s="355">
        <v>0.106045</v>
      </c>
      <c r="BJ1325" s="624">
        <v>40108</v>
      </c>
      <c r="BK1325" s="355">
        <v>2.9887E-2</v>
      </c>
    </row>
    <row r="1326" spans="3:63" x14ac:dyDescent="0.15">
      <c r="C1326" s="624"/>
      <c r="D1326" s="355">
        <v>3.4419999999999999E-2</v>
      </c>
      <c r="AV1326" s="624"/>
      <c r="AX1326" s="624">
        <v>40113</v>
      </c>
      <c r="AY1326" s="355">
        <v>3.4130000000000001E-2</v>
      </c>
      <c r="AZ1326" s="624">
        <v>40178</v>
      </c>
      <c r="BA1326" s="355">
        <v>1.49E-2</v>
      </c>
      <c r="BB1326" s="624">
        <v>40109</v>
      </c>
      <c r="BC1326" s="355">
        <v>0.35930000000000001</v>
      </c>
      <c r="BD1326" s="624">
        <v>40112</v>
      </c>
      <c r="BE1326" s="355">
        <v>8.4430000000000005E-2</v>
      </c>
      <c r="BF1326" s="624">
        <v>40168</v>
      </c>
      <c r="BG1326" s="355">
        <v>2.1344999999999999E-2</v>
      </c>
      <c r="BH1326" s="624">
        <v>40112</v>
      </c>
      <c r="BI1326" s="355">
        <v>0.10543</v>
      </c>
      <c r="BJ1326" s="624">
        <v>40109</v>
      </c>
      <c r="BK1326" s="355">
        <v>2.9883E-2</v>
      </c>
    </row>
    <row r="1327" spans="3:63" x14ac:dyDescent="0.15">
      <c r="C1327" s="624"/>
      <c r="D1327" s="355">
        <v>3.4130000000000001E-2</v>
      </c>
      <c r="AV1327" s="624"/>
      <c r="AX1327" s="624">
        <v>40114</v>
      </c>
      <c r="AY1327" s="355">
        <v>3.4180000000000002E-2</v>
      </c>
      <c r="AZ1327" s="624">
        <v>40182</v>
      </c>
      <c r="BA1327" s="355">
        <v>1.49E-2</v>
      </c>
      <c r="BB1327" s="624">
        <v>40112</v>
      </c>
      <c r="BC1327" s="355">
        <v>0.35389999999999999</v>
      </c>
      <c r="BD1327" s="624">
        <v>40113</v>
      </c>
      <c r="BE1327" s="355">
        <v>8.4150000000000003E-2</v>
      </c>
      <c r="BF1327" s="624">
        <v>40169</v>
      </c>
      <c r="BG1327" s="355">
        <v>2.1364999999999999E-2</v>
      </c>
      <c r="BH1327" s="624">
        <v>40113</v>
      </c>
      <c r="BI1327" s="355">
        <v>0.104877</v>
      </c>
      <c r="BJ1327" s="624">
        <v>40112</v>
      </c>
      <c r="BK1327" s="355">
        <v>2.9957999999999999E-2</v>
      </c>
    </row>
    <row r="1328" spans="3:63" x14ac:dyDescent="0.15">
      <c r="C1328" s="624"/>
      <c r="D1328" s="355">
        <v>3.4180000000000002E-2</v>
      </c>
      <c r="AV1328" s="624"/>
      <c r="AX1328" s="624">
        <v>40115</v>
      </c>
      <c r="AY1328" s="355">
        <v>3.4270000000000002E-2</v>
      </c>
      <c r="AZ1328" s="624">
        <v>40183</v>
      </c>
      <c r="BA1328" s="355">
        <v>1.4800000000000001E-2</v>
      </c>
      <c r="BB1328" s="624">
        <v>40113</v>
      </c>
      <c r="BC1328" s="355">
        <v>0.35149999999999998</v>
      </c>
      <c r="BD1328" s="624">
        <v>40114</v>
      </c>
      <c r="BE1328" s="355">
        <v>8.3000000000000004E-2</v>
      </c>
      <c r="BF1328" s="624">
        <v>40170</v>
      </c>
      <c r="BG1328" s="355">
        <v>2.1333999999999999E-2</v>
      </c>
      <c r="BH1328" s="624">
        <v>40114</v>
      </c>
      <c r="BI1328" s="355">
        <v>0.104059</v>
      </c>
      <c r="BJ1328" s="624">
        <v>40113</v>
      </c>
      <c r="BK1328" s="355">
        <v>2.9949E-2</v>
      </c>
    </row>
    <row r="1329" spans="3:63" x14ac:dyDescent="0.15">
      <c r="C1329" s="624"/>
      <c r="D1329" s="355">
        <v>3.4270000000000002E-2</v>
      </c>
      <c r="AV1329" s="624"/>
      <c r="AX1329" s="624">
        <v>40116</v>
      </c>
      <c r="AY1329" s="355">
        <v>3.431E-2</v>
      </c>
      <c r="AZ1329" s="624">
        <v>40184</v>
      </c>
      <c r="BA1329" s="355">
        <v>1.4800000000000001E-2</v>
      </c>
      <c r="BB1329" s="624">
        <v>40114</v>
      </c>
      <c r="BC1329" s="355">
        <v>0.34329999999999999</v>
      </c>
      <c r="BD1329" s="624">
        <v>40115</v>
      </c>
      <c r="BE1329" s="355">
        <v>8.4140000000000006E-2</v>
      </c>
      <c r="BF1329" s="624">
        <v>40171</v>
      </c>
      <c r="BG1329" s="355">
        <v>2.1436E-2</v>
      </c>
      <c r="BH1329" s="624">
        <v>40115</v>
      </c>
      <c r="BI1329" s="355">
        <v>0.10427500000000001</v>
      </c>
      <c r="BJ1329" s="624">
        <v>40114</v>
      </c>
      <c r="BK1329" s="355">
        <v>2.9877999999999998E-2</v>
      </c>
    </row>
    <row r="1330" spans="3:63" x14ac:dyDescent="0.15">
      <c r="C1330" s="624"/>
      <c r="D1330" s="355">
        <v>3.431E-2</v>
      </c>
      <c r="AV1330" s="624"/>
      <c r="AX1330" s="624">
        <v>40119</v>
      </c>
      <c r="AY1330" s="355">
        <v>3.4200000000000001E-2</v>
      </c>
      <c r="AZ1330" s="624">
        <v>40185</v>
      </c>
      <c r="BA1330" s="355">
        <v>1.47E-2</v>
      </c>
      <c r="BB1330" s="624">
        <v>40115</v>
      </c>
      <c r="BC1330" s="355">
        <v>0.35110000000000002</v>
      </c>
      <c r="BD1330" s="624">
        <v>40116</v>
      </c>
      <c r="BE1330" s="355">
        <v>8.4209999999999993E-2</v>
      </c>
      <c r="BF1330" s="624">
        <v>40175</v>
      </c>
      <c r="BG1330" s="355">
        <v>2.1454999999999998E-2</v>
      </c>
      <c r="BH1330" s="624">
        <v>40116</v>
      </c>
      <c r="BI1330" s="355">
        <v>0.104712</v>
      </c>
      <c r="BJ1330" s="624">
        <v>40115</v>
      </c>
      <c r="BK1330" s="355">
        <v>2.9887E-2</v>
      </c>
    </row>
    <row r="1331" spans="3:63" x14ac:dyDescent="0.15">
      <c r="C1331" s="624"/>
      <c r="D1331" s="355">
        <v>3.4200000000000001E-2</v>
      </c>
      <c r="AV1331" s="624"/>
      <c r="AX1331" s="624">
        <v>40120</v>
      </c>
      <c r="AY1331" s="355">
        <v>3.4079999999999999E-2</v>
      </c>
      <c r="AZ1331" s="624">
        <v>40186</v>
      </c>
      <c r="BA1331" s="355">
        <v>1.4800000000000001E-2</v>
      </c>
      <c r="BB1331" s="624">
        <v>40116</v>
      </c>
      <c r="BC1331" s="355">
        <v>0.3463</v>
      </c>
      <c r="BD1331" s="624">
        <v>40119</v>
      </c>
      <c r="BE1331" s="355">
        <v>8.4510000000000002E-2</v>
      </c>
      <c r="BF1331" s="624">
        <v>40176</v>
      </c>
      <c r="BG1331" s="355">
        <v>2.1426000000000001E-2</v>
      </c>
      <c r="BH1331" s="624">
        <v>40119</v>
      </c>
      <c r="BI1331" s="355">
        <v>0.104603</v>
      </c>
      <c r="BJ1331" s="624">
        <v>40116</v>
      </c>
      <c r="BK1331" s="355">
        <v>2.9891999999999998E-2</v>
      </c>
    </row>
    <row r="1332" spans="3:63" x14ac:dyDescent="0.15">
      <c r="C1332" s="624"/>
      <c r="D1332" s="355">
        <v>3.4079999999999999E-2</v>
      </c>
      <c r="AV1332" s="624"/>
      <c r="AX1332" s="624">
        <v>40121</v>
      </c>
      <c r="AY1332" s="355">
        <v>3.4270000000000002E-2</v>
      </c>
      <c r="AZ1332" s="624">
        <v>40189</v>
      </c>
      <c r="BA1332" s="355">
        <v>1.49E-2</v>
      </c>
      <c r="BB1332" s="624">
        <v>40119</v>
      </c>
      <c r="BC1332" s="355">
        <v>0.34379999999999999</v>
      </c>
      <c r="BD1332" s="624">
        <v>40120</v>
      </c>
      <c r="BE1332" s="355">
        <v>8.4419999999999995E-2</v>
      </c>
      <c r="BF1332" s="624">
        <v>40177</v>
      </c>
      <c r="BG1332" s="355">
        <v>2.1392000000000001E-2</v>
      </c>
      <c r="BH1332" s="624">
        <v>40120</v>
      </c>
      <c r="BI1332" s="355">
        <v>0.104439</v>
      </c>
      <c r="BJ1332" s="624">
        <v>40119</v>
      </c>
      <c r="BK1332" s="355">
        <v>2.9888999999999999E-2</v>
      </c>
    </row>
    <row r="1333" spans="3:63" x14ac:dyDescent="0.15">
      <c r="C1333" s="624"/>
      <c r="D1333" s="355">
        <v>3.4270000000000002E-2</v>
      </c>
      <c r="AV1333" s="624"/>
      <c r="AX1333" s="624">
        <v>40122</v>
      </c>
      <c r="AY1333" s="355">
        <v>3.4450000000000001E-2</v>
      </c>
      <c r="AZ1333" s="624">
        <v>40190</v>
      </c>
      <c r="BA1333" s="355">
        <v>1.49E-2</v>
      </c>
      <c r="BB1333" s="624">
        <v>40120</v>
      </c>
      <c r="BC1333" s="355">
        <v>0.3453</v>
      </c>
      <c r="BD1333" s="624">
        <v>40121</v>
      </c>
      <c r="BE1333" s="355">
        <v>8.5190000000000002E-2</v>
      </c>
      <c r="BF1333" s="624">
        <v>40178</v>
      </c>
      <c r="BG1333" s="355">
        <v>2.1493000000000002E-2</v>
      </c>
      <c r="BH1333" s="624">
        <v>40121</v>
      </c>
      <c r="BI1333" s="355">
        <v>0.105153</v>
      </c>
      <c r="BJ1333" s="624">
        <v>40120</v>
      </c>
      <c r="BK1333" s="355">
        <v>2.9881999999999999E-2</v>
      </c>
    </row>
    <row r="1334" spans="3:63" x14ac:dyDescent="0.15">
      <c r="C1334" s="624"/>
      <c r="D1334" s="355">
        <v>3.4450000000000001E-2</v>
      </c>
      <c r="AV1334" s="624"/>
      <c r="AX1334" s="624">
        <v>40123</v>
      </c>
      <c r="AY1334" s="355">
        <v>3.44E-2</v>
      </c>
      <c r="AZ1334" s="624">
        <v>40191</v>
      </c>
      <c r="BA1334" s="355">
        <v>1.49E-2</v>
      </c>
      <c r="BB1334" s="624">
        <v>40121</v>
      </c>
      <c r="BC1334" s="355">
        <v>0.34949999999999998</v>
      </c>
      <c r="BD1334" s="624">
        <v>40122</v>
      </c>
      <c r="BE1334" s="355">
        <v>8.4900000000000003E-2</v>
      </c>
      <c r="BF1334" s="624">
        <v>40179</v>
      </c>
      <c r="BG1334" s="355">
        <v>2.1447999999999998E-2</v>
      </c>
      <c r="BH1334" s="624">
        <v>40122</v>
      </c>
      <c r="BI1334" s="355">
        <v>0.105153</v>
      </c>
      <c r="BJ1334" s="624">
        <v>40121</v>
      </c>
      <c r="BK1334" s="355">
        <v>2.9937999999999999E-2</v>
      </c>
    </row>
    <row r="1335" spans="3:63" x14ac:dyDescent="0.15">
      <c r="C1335" s="624"/>
      <c r="D1335" s="355">
        <v>3.44E-2</v>
      </c>
      <c r="AV1335" s="624"/>
      <c r="AX1335" s="624">
        <v>40126</v>
      </c>
      <c r="AY1335" s="355">
        <v>3.4790000000000001E-2</v>
      </c>
      <c r="AZ1335" s="624">
        <v>40192</v>
      </c>
      <c r="BA1335" s="355">
        <v>1.49E-2</v>
      </c>
      <c r="BB1335" s="624">
        <v>40122</v>
      </c>
      <c r="BC1335" s="355">
        <v>0.34920000000000001</v>
      </c>
      <c r="BD1335" s="624">
        <v>40123</v>
      </c>
      <c r="BE1335" s="355">
        <v>8.5739999999999997E-2</v>
      </c>
      <c r="BF1335" s="624">
        <v>40182</v>
      </c>
      <c r="BG1335" s="355">
        <v>2.1597999999999999E-2</v>
      </c>
      <c r="BH1335" s="624">
        <v>40123</v>
      </c>
      <c r="BI1335" s="355">
        <v>0.105708</v>
      </c>
      <c r="BJ1335" s="624">
        <v>40122</v>
      </c>
      <c r="BK1335" s="355">
        <v>2.9936000000000001E-2</v>
      </c>
    </row>
    <row r="1336" spans="3:63" x14ac:dyDescent="0.15">
      <c r="C1336" s="624"/>
      <c r="D1336" s="355">
        <v>3.4790000000000001E-2</v>
      </c>
      <c r="AV1336" s="624"/>
      <c r="AX1336" s="624">
        <v>40127</v>
      </c>
      <c r="AY1336" s="355">
        <v>3.4799999999999998E-2</v>
      </c>
      <c r="AZ1336" s="624">
        <v>40193</v>
      </c>
      <c r="BA1336" s="355">
        <v>1.49E-2</v>
      </c>
      <c r="BB1336" s="624">
        <v>40123</v>
      </c>
      <c r="BC1336" s="355">
        <v>0.35010000000000002</v>
      </c>
      <c r="BD1336" s="624">
        <v>40126</v>
      </c>
      <c r="BE1336" s="355">
        <v>8.6379999999999998E-2</v>
      </c>
      <c r="BF1336" s="624">
        <v>40183</v>
      </c>
      <c r="BG1336" s="355">
        <v>2.1625999999999999E-2</v>
      </c>
      <c r="BH1336" s="624">
        <v>40126</v>
      </c>
      <c r="BI1336" s="355">
        <v>0.10627</v>
      </c>
      <c r="BJ1336" s="624">
        <v>40123</v>
      </c>
      <c r="BK1336" s="355">
        <v>2.9968999999999999E-2</v>
      </c>
    </row>
    <row r="1337" spans="3:63" x14ac:dyDescent="0.15">
      <c r="C1337" s="624"/>
      <c r="D1337" s="355">
        <v>3.4799999999999998E-2</v>
      </c>
      <c r="AV1337" s="624"/>
      <c r="AX1337" s="624">
        <v>40128</v>
      </c>
      <c r="AY1337" s="355">
        <v>3.483E-2</v>
      </c>
      <c r="AZ1337" s="624">
        <v>40196</v>
      </c>
      <c r="BA1337" s="355">
        <v>1.4800000000000001E-2</v>
      </c>
      <c r="BB1337" s="624">
        <v>40126</v>
      </c>
      <c r="BC1337" s="355">
        <v>0.35680000000000001</v>
      </c>
      <c r="BD1337" s="624">
        <v>40127</v>
      </c>
      <c r="BE1337" s="355">
        <v>8.6069999999999994E-2</v>
      </c>
      <c r="BF1337" s="624">
        <v>40184</v>
      </c>
      <c r="BG1337" s="355">
        <v>2.1805999999999999E-2</v>
      </c>
      <c r="BH1337" s="624">
        <v>40127</v>
      </c>
      <c r="BI1337" s="355">
        <v>0.106214</v>
      </c>
      <c r="BJ1337" s="624">
        <v>40126</v>
      </c>
      <c r="BK1337" s="355">
        <v>3.0016999999999999E-2</v>
      </c>
    </row>
    <row r="1338" spans="3:63" x14ac:dyDescent="0.15">
      <c r="C1338" s="624"/>
      <c r="D1338" s="355">
        <v>3.483E-2</v>
      </c>
      <c r="AV1338" s="624"/>
      <c r="AX1338" s="624">
        <v>40129</v>
      </c>
      <c r="AY1338" s="355">
        <v>3.4610000000000002E-2</v>
      </c>
      <c r="AZ1338" s="624">
        <v>40197</v>
      </c>
      <c r="BA1338" s="355">
        <v>1.47E-2</v>
      </c>
      <c r="BB1338" s="624">
        <v>40127</v>
      </c>
      <c r="BC1338" s="355">
        <v>0.35880000000000001</v>
      </c>
      <c r="BD1338" s="624">
        <v>40128</v>
      </c>
      <c r="BE1338" s="355">
        <v>8.6430000000000007E-2</v>
      </c>
      <c r="BF1338" s="624">
        <v>40185</v>
      </c>
      <c r="BG1338" s="355">
        <v>2.1887E-2</v>
      </c>
      <c r="BH1338" s="624">
        <v>40128</v>
      </c>
      <c r="BI1338" s="355">
        <v>0.106462</v>
      </c>
      <c r="BJ1338" s="624">
        <v>40127</v>
      </c>
      <c r="BK1338" s="355">
        <v>3.0016999999999999E-2</v>
      </c>
    </row>
    <row r="1339" spans="3:63" x14ac:dyDescent="0.15">
      <c r="C1339" s="624"/>
      <c r="D1339" s="355">
        <v>3.4610000000000002E-2</v>
      </c>
      <c r="AV1339" s="624"/>
      <c r="AX1339" s="624">
        <v>40130</v>
      </c>
      <c r="AY1339" s="355">
        <v>3.4660000000000003E-2</v>
      </c>
      <c r="AZ1339" s="624">
        <v>40198</v>
      </c>
      <c r="BA1339" s="355">
        <v>1.44E-2</v>
      </c>
      <c r="BB1339" s="624">
        <v>40128</v>
      </c>
      <c r="BC1339" s="355">
        <v>0.36259999999999998</v>
      </c>
      <c r="BD1339" s="624">
        <v>40129</v>
      </c>
      <c r="BE1339" s="355">
        <v>8.5980000000000001E-2</v>
      </c>
      <c r="BF1339" s="624">
        <v>40186</v>
      </c>
      <c r="BG1339" s="355">
        <v>2.1853000000000001E-2</v>
      </c>
      <c r="BH1339" s="624">
        <v>40129</v>
      </c>
      <c r="BI1339" s="355">
        <v>0.10627</v>
      </c>
      <c r="BJ1339" s="624">
        <v>40128</v>
      </c>
      <c r="BK1339" s="355">
        <v>3.0008E-2</v>
      </c>
    </row>
    <row r="1340" spans="3:63" x14ac:dyDescent="0.15">
      <c r="C1340" s="624"/>
      <c r="D1340" s="355">
        <v>3.4660000000000003E-2</v>
      </c>
      <c r="AV1340" s="624"/>
      <c r="AX1340" s="624">
        <v>40133</v>
      </c>
      <c r="AY1340" s="355">
        <v>3.4860000000000002E-2</v>
      </c>
      <c r="AZ1340" s="624">
        <v>40199</v>
      </c>
      <c r="BA1340" s="355">
        <v>1.4500000000000001E-2</v>
      </c>
      <c r="BB1340" s="624">
        <v>40129</v>
      </c>
      <c r="BC1340" s="355">
        <v>0.35949999999999999</v>
      </c>
      <c r="BD1340" s="624">
        <v>40130</v>
      </c>
      <c r="BE1340" s="355">
        <v>8.6449999999999999E-2</v>
      </c>
      <c r="BF1340" s="624">
        <v>40189</v>
      </c>
      <c r="BG1340" s="355">
        <v>2.206E-2</v>
      </c>
      <c r="BH1340" s="624">
        <v>40130</v>
      </c>
      <c r="BI1340" s="355">
        <v>0.106667</v>
      </c>
      <c r="BJ1340" s="624">
        <v>40129</v>
      </c>
      <c r="BK1340" s="355">
        <v>3.0053E-2</v>
      </c>
    </row>
    <row r="1341" spans="3:63" x14ac:dyDescent="0.15">
      <c r="C1341" s="624"/>
      <c r="D1341" s="355">
        <v>3.4860000000000002E-2</v>
      </c>
      <c r="AV1341" s="624"/>
      <c r="AX1341" s="624">
        <v>40134</v>
      </c>
      <c r="AY1341" s="355">
        <v>3.4709999999999998E-2</v>
      </c>
      <c r="AZ1341" s="624">
        <v>40200</v>
      </c>
      <c r="BA1341" s="355">
        <v>1.4500000000000001E-2</v>
      </c>
      <c r="BB1341" s="624">
        <v>40130</v>
      </c>
      <c r="BC1341" s="355">
        <v>0.36309999999999998</v>
      </c>
      <c r="BD1341" s="624">
        <v>40133</v>
      </c>
      <c r="BE1341" s="355">
        <v>8.6910000000000001E-2</v>
      </c>
      <c r="BF1341" s="624">
        <v>40190</v>
      </c>
      <c r="BG1341" s="355">
        <v>2.1905999999999998E-2</v>
      </c>
      <c r="BH1341" s="624">
        <v>40133</v>
      </c>
      <c r="BI1341" s="355">
        <v>0.10649599999999999</v>
      </c>
      <c r="BJ1341" s="624">
        <v>40130</v>
      </c>
      <c r="BK1341" s="355">
        <v>3.0086999999999999E-2</v>
      </c>
    </row>
    <row r="1342" spans="3:63" x14ac:dyDescent="0.15">
      <c r="C1342" s="624"/>
      <c r="D1342" s="355">
        <v>3.4709999999999998E-2</v>
      </c>
      <c r="AV1342" s="624"/>
      <c r="AX1342" s="624">
        <v>40135</v>
      </c>
      <c r="AY1342" s="355">
        <v>3.483E-2</v>
      </c>
      <c r="AZ1342" s="624">
        <v>40203</v>
      </c>
      <c r="BA1342" s="355">
        <v>1.4500000000000001E-2</v>
      </c>
      <c r="BB1342" s="624">
        <v>40133</v>
      </c>
      <c r="BC1342" s="355">
        <v>0.36670000000000003</v>
      </c>
      <c r="BD1342" s="624">
        <v>40134</v>
      </c>
      <c r="BE1342" s="355">
        <v>8.6669999999999997E-2</v>
      </c>
      <c r="BF1342" s="624">
        <v>40191</v>
      </c>
      <c r="BG1342" s="355">
        <v>2.1898999999999998E-2</v>
      </c>
      <c r="BH1342" s="624">
        <v>40134</v>
      </c>
      <c r="BI1342" s="355">
        <v>0.10627</v>
      </c>
      <c r="BJ1342" s="624">
        <v>40133</v>
      </c>
      <c r="BK1342" s="355">
        <v>3.0120000000000001E-2</v>
      </c>
    </row>
    <row r="1343" spans="3:63" x14ac:dyDescent="0.15">
      <c r="C1343" s="624"/>
      <c r="D1343" s="355">
        <v>3.483E-2</v>
      </c>
      <c r="AV1343" s="624"/>
      <c r="AX1343" s="624">
        <v>40136</v>
      </c>
      <c r="AY1343" s="355">
        <v>3.4709999999999998E-2</v>
      </c>
      <c r="AZ1343" s="624">
        <v>40204</v>
      </c>
      <c r="BA1343" s="355">
        <v>1.44E-2</v>
      </c>
      <c r="BB1343" s="624">
        <v>40134</v>
      </c>
      <c r="BC1343" s="355">
        <v>0.36359999999999998</v>
      </c>
      <c r="BD1343" s="624">
        <v>40135</v>
      </c>
      <c r="BE1343" s="355">
        <v>8.6660000000000001E-2</v>
      </c>
      <c r="BF1343" s="624">
        <v>40192</v>
      </c>
      <c r="BG1343" s="355">
        <v>2.1958999999999999E-2</v>
      </c>
      <c r="BH1343" s="624">
        <v>40135</v>
      </c>
      <c r="BI1343" s="355">
        <v>0.10649599999999999</v>
      </c>
      <c r="BJ1343" s="624">
        <v>40134</v>
      </c>
      <c r="BK1343" s="355">
        <v>3.0120000000000001E-2</v>
      </c>
    </row>
    <row r="1344" spans="3:63" x14ac:dyDescent="0.15">
      <c r="C1344" s="624"/>
      <c r="D1344" s="355">
        <v>3.4709999999999998E-2</v>
      </c>
      <c r="AV1344" s="624"/>
      <c r="AX1344" s="624">
        <v>40137</v>
      </c>
      <c r="AY1344" s="355">
        <v>3.449E-2</v>
      </c>
      <c r="AZ1344" s="624">
        <v>40205</v>
      </c>
      <c r="BA1344" s="355">
        <v>1.43E-2</v>
      </c>
      <c r="BB1344" s="624">
        <v>40135</v>
      </c>
      <c r="BC1344" s="355">
        <v>0.36470000000000002</v>
      </c>
      <c r="BD1344" s="624">
        <v>40136</v>
      </c>
      <c r="BE1344" s="355">
        <v>8.6010000000000003E-2</v>
      </c>
      <c r="BF1344" s="624">
        <v>40193</v>
      </c>
      <c r="BG1344" s="355">
        <v>2.1919999999999999E-2</v>
      </c>
      <c r="BH1344" s="624">
        <v>40136</v>
      </c>
      <c r="BI1344" s="355">
        <v>0.104657</v>
      </c>
      <c r="BJ1344" s="624">
        <v>40135</v>
      </c>
      <c r="BK1344" s="355">
        <v>3.0161E-2</v>
      </c>
    </row>
    <row r="1345" spans="3:63" x14ac:dyDescent="0.15">
      <c r="C1345" s="624"/>
      <c r="D1345" s="355">
        <v>3.449E-2</v>
      </c>
      <c r="AV1345" s="624"/>
      <c r="AX1345" s="624">
        <v>40140</v>
      </c>
      <c r="AY1345" s="355">
        <v>3.4729999999999997E-2</v>
      </c>
      <c r="AZ1345" s="624">
        <v>40206</v>
      </c>
      <c r="BA1345" s="355">
        <v>1.41E-2</v>
      </c>
      <c r="BB1345" s="624">
        <v>40136</v>
      </c>
      <c r="BC1345" s="355">
        <v>0.36099999999999999</v>
      </c>
      <c r="BD1345" s="624">
        <v>40137</v>
      </c>
      <c r="BE1345" s="355">
        <v>8.6410000000000001E-2</v>
      </c>
      <c r="BF1345" s="624">
        <v>40196</v>
      </c>
      <c r="BG1345" s="355">
        <v>2.1908E-2</v>
      </c>
      <c r="BH1345" s="624">
        <v>40137</v>
      </c>
      <c r="BI1345" s="355">
        <v>0.10543</v>
      </c>
      <c r="BJ1345" s="624">
        <v>40136</v>
      </c>
      <c r="BK1345" s="355">
        <v>3.0130000000000001E-2</v>
      </c>
    </row>
    <row r="1346" spans="3:63" x14ac:dyDescent="0.15">
      <c r="C1346" s="624"/>
      <c r="D1346" s="355">
        <v>3.4729999999999997E-2</v>
      </c>
      <c r="AV1346" s="624"/>
      <c r="AX1346" s="624">
        <v>40141</v>
      </c>
      <c r="AY1346" s="355">
        <v>3.4709999999999998E-2</v>
      </c>
      <c r="AZ1346" s="624">
        <v>40207</v>
      </c>
      <c r="BA1346" s="355">
        <v>1.41E-2</v>
      </c>
      <c r="BB1346" s="624">
        <v>40137</v>
      </c>
      <c r="BC1346" s="355">
        <v>0.35799999999999998</v>
      </c>
      <c r="BD1346" s="624">
        <v>40140</v>
      </c>
      <c r="BE1346" s="355">
        <v>8.6709999999999995E-2</v>
      </c>
      <c r="BF1346" s="624">
        <v>40197</v>
      </c>
      <c r="BG1346" s="355">
        <v>2.1853000000000001E-2</v>
      </c>
      <c r="BH1346" s="624">
        <v>40140</v>
      </c>
      <c r="BI1346" s="355">
        <v>0.105708</v>
      </c>
      <c r="BJ1346" s="624">
        <v>40137</v>
      </c>
      <c r="BK1346" s="355">
        <v>3.0084E-2</v>
      </c>
    </row>
    <row r="1347" spans="3:63" x14ac:dyDescent="0.15">
      <c r="C1347" s="624"/>
      <c r="D1347" s="355">
        <v>3.4709999999999998E-2</v>
      </c>
      <c r="AV1347" s="624"/>
      <c r="AX1347" s="624">
        <v>40142</v>
      </c>
      <c r="AY1347" s="355">
        <v>3.4750000000000003E-2</v>
      </c>
      <c r="AZ1347" s="624">
        <v>40210</v>
      </c>
      <c r="BA1347" s="355">
        <v>1.41E-2</v>
      </c>
      <c r="BB1347" s="624">
        <v>40140</v>
      </c>
      <c r="BC1347" s="355">
        <v>0.36299999999999999</v>
      </c>
      <c r="BD1347" s="624">
        <v>40141</v>
      </c>
      <c r="BE1347" s="355">
        <v>8.6550000000000002E-2</v>
      </c>
      <c r="BF1347" s="624">
        <v>40198</v>
      </c>
      <c r="BG1347" s="355">
        <v>2.1711000000000001E-2</v>
      </c>
      <c r="BH1347" s="624">
        <v>40141</v>
      </c>
      <c r="BI1347" s="355">
        <v>0.105152</v>
      </c>
      <c r="BJ1347" s="624">
        <v>40140</v>
      </c>
      <c r="BK1347" s="355">
        <v>3.0112E-2</v>
      </c>
    </row>
    <row r="1348" spans="3:63" x14ac:dyDescent="0.15">
      <c r="C1348" s="624"/>
      <c r="D1348" s="355">
        <v>3.4750000000000003E-2</v>
      </c>
      <c r="AV1348" s="624"/>
      <c r="AX1348" s="624">
        <v>40143</v>
      </c>
      <c r="AY1348" s="355">
        <v>3.4180000000000002E-2</v>
      </c>
      <c r="AZ1348" s="624">
        <v>40211</v>
      </c>
      <c r="BA1348" s="355">
        <v>1.41E-2</v>
      </c>
      <c r="BB1348" s="624">
        <v>40141</v>
      </c>
      <c r="BC1348" s="355">
        <v>0.36320000000000002</v>
      </c>
      <c r="BD1348" s="624">
        <v>40142</v>
      </c>
      <c r="BE1348" s="355">
        <v>8.6760000000000004E-2</v>
      </c>
      <c r="BF1348" s="624">
        <v>40199</v>
      </c>
      <c r="BG1348" s="355">
        <v>2.1631000000000001E-2</v>
      </c>
      <c r="BH1348" s="624">
        <v>40142</v>
      </c>
      <c r="BI1348" s="355">
        <v>0.10638300000000001</v>
      </c>
      <c r="BJ1348" s="624">
        <v>40141</v>
      </c>
      <c r="BK1348" s="355">
        <v>3.0102E-2</v>
      </c>
    </row>
    <row r="1349" spans="3:63" x14ac:dyDescent="0.15">
      <c r="C1349" s="624"/>
      <c r="D1349" s="355">
        <v>3.4180000000000002E-2</v>
      </c>
      <c r="AV1349" s="624"/>
      <c r="AX1349" s="624">
        <v>40144</v>
      </c>
      <c r="AY1349" s="355">
        <v>3.4090000000000002E-2</v>
      </c>
      <c r="AZ1349" s="624">
        <v>40212</v>
      </c>
      <c r="BA1349" s="355">
        <v>1.41E-2</v>
      </c>
      <c r="BB1349" s="624">
        <v>40142</v>
      </c>
      <c r="BC1349" s="355">
        <v>0.36890000000000001</v>
      </c>
      <c r="BD1349" s="624">
        <v>40143</v>
      </c>
      <c r="BE1349" s="355">
        <v>8.6370000000000002E-2</v>
      </c>
      <c r="BF1349" s="624">
        <v>40200</v>
      </c>
      <c r="BG1349" s="355">
        <v>2.1666000000000001E-2</v>
      </c>
      <c r="BH1349" s="624">
        <v>40143</v>
      </c>
      <c r="BI1349" s="355">
        <v>0.105876</v>
      </c>
      <c r="BJ1349" s="624">
        <v>40142</v>
      </c>
      <c r="BK1349" s="355">
        <v>3.0190999999999999E-2</v>
      </c>
    </row>
    <row r="1350" spans="3:63" x14ac:dyDescent="0.15">
      <c r="C1350" s="624"/>
      <c r="D1350" s="355">
        <v>3.4090000000000002E-2</v>
      </c>
      <c r="AV1350" s="624"/>
      <c r="AX1350" s="624">
        <v>40147</v>
      </c>
      <c r="AY1350" s="355">
        <v>3.4169999999999999E-2</v>
      </c>
      <c r="AZ1350" s="624">
        <v>40213</v>
      </c>
      <c r="BA1350" s="355">
        <v>1.3899999999999999E-2</v>
      </c>
      <c r="BB1350" s="624">
        <v>40143</v>
      </c>
      <c r="BC1350" s="355">
        <v>0.36159999999999998</v>
      </c>
      <c r="BD1350" s="624">
        <v>40144</v>
      </c>
      <c r="BE1350" s="355">
        <v>8.5440000000000002E-2</v>
      </c>
      <c r="BF1350" s="624">
        <v>40203</v>
      </c>
      <c r="BG1350" s="355">
        <v>2.1697000000000001E-2</v>
      </c>
      <c r="BH1350" s="624">
        <v>40144</v>
      </c>
      <c r="BI1350" s="355">
        <v>0.105876</v>
      </c>
      <c r="BJ1350" s="624">
        <v>40143</v>
      </c>
      <c r="BK1350" s="355">
        <v>3.0165999999999998E-2</v>
      </c>
    </row>
    <row r="1351" spans="3:63" x14ac:dyDescent="0.15">
      <c r="C1351" s="624"/>
      <c r="D1351" s="355">
        <v>3.4169999999999999E-2</v>
      </c>
      <c r="AV1351" s="624"/>
      <c r="AX1351" s="624">
        <v>40148</v>
      </c>
      <c r="AY1351" s="355">
        <v>3.4419999999999999E-2</v>
      </c>
      <c r="AZ1351" s="624">
        <v>40214</v>
      </c>
      <c r="BA1351" s="355">
        <v>1.38E-2</v>
      </c>
      <c r="BB1351" s="624">
        <v>40144</v>
      </c>
      <c r="BC1351" s="355">
        <v>0.3609</v>
      </c>
      <c r="BD1351" s="624">
        <v>40147</v>
      </c>
      <c r="BE1351" s="355">
        <v>8.591E-2</v>
      </c>
      <c r="BF1351" s="624">
        <v>40205</v>
      </c>
      <c r="BG1351" s="355">
        <v>2.1565999999999998E-2</v>
      </c>
      <c r="BH1351" s="624">
        <v>40147</v>
      </c>
      <c r="BI1351" s="355">
        <v>0.10568</v>
      </c>
      <c r="BJ1351" s="624">
        <v>40144</v>
      </c>
      <c r="BK1351" s="355">
        <v>3.0086999999999999E-2</v>
      </c>
    </row>
    <row r="1352" spans="3:63" x14ac:dyDescent="0.15">
      <c r="C1352" s="624"/>
      <c r="D1352" s="355">
        <v>3.4419999999999999E-2</v>
      </c>
      <c r="AV1352" s="624"/>
      <c r="AX1352" s="624">
        <v>40149</v>
      </c>
      <c r="AY1352" s="355">
        <v>3.406E-2</v>
      </c>
      <c r="AZ1352" s="624">
        <v>40217</v>
      </c>
      <c r="BA1352" s="355">
        <v>1.38E-2</v>
      </c>
      <c r="BB1352" s="624">
        <v>40147</v>
      </c>
      <c r="BC1352" s="355">
        <v>0.36059999999999998</v>
      </c>
      <c r="BD1352" s="624">
        <v>40148</v>
      </c>
      <c r="BE1352" s="355">
        <v>8.652E-2</v>
      </c>
      <c r="BF1352" s="624">
        <v>40206</v>
      </c>
      <c r="BG1352" s="355">
        <v>2.1597999999999999E-2</v>
      </c>
      <c r="BH1352" s="624">
        <v>40148</v>
      </c>
      <c r="BI1352" s="355">
        <v>0.105764</v>
      </c>
      <c r="BJ1352" s="624">
        <v>40147</v>
      </c>
      <c r="BK1352" s="355">
        <v>3.0093000000000002E-2</v>
      </c>
    </row>
    <row r="1353" spans="3:63" x14ac:dyDescent="0.15">
      <c r="C1353" s="624"/>
      <c r="D1353" s="355">
        <v>3.406E-2</v>
      </c>
      <c r="AV1353" s="624"/>
      <c r="AX1353" s="624">
        <v>40150</v>
      </c>
      <c r="AY1353" s="355">
        <v>3.4290000000000001E-2</v>
      </c>
      <c r="AZ1353" s="624">
        <v>40218</v>
      </c>
      <c r="BA1353" s="355">
        <v>1.3899999999999999E-2</v>
      </c>
      <c r="BB1353" s="624">
        <v>40148</v>
      </c>
      <c r="BC1353" s="355">
        <v>0.36649999999999999</v>
      </c>
      <c r="BD1353" s="624">
        <v>40149</v>
      </c>
      <c r="BE1353" s="355">
        <v>8.6690000000000003E-2</v>
      </c>
      <c r="BF1353" s="624">
        <v>40207</v>
      </c>
      <c r="BG1353" s="355">
        <v>2.1659000000000001E-2</v>
      </c>
      <c r="BH1353" s="624">
        <v>40149</v>
      </c>
      <c r="BI1353" s="355">
        <v>0.105949</v>
      </c>
      <c r="BJ1353" s="624">
        <v>40148</v>
      </c>
      <c r="BK1353" s="355">
        <v>3.0143E-2</v>
      </c>
    </row>
    <row r="1354" spans="3:63" x14ac:dyDescent="0.15">
      <c r="C1354" s="624"/>
      <c r="D1354" s="355">
        <v>3.4290000000000001E-2</v>
      </c>
      <c r="AV1354" s="624"/>
      <c r="AX1354" s="624">
        <v>40151</v>
      </c>
      <c r="AY1354" s="355">
        <v>3.3910000000000003E-2</v>
      </c>
      <c r="AZ1354" s="624">
        <v>40219</v>
      </c>
      <c r="BA1354" s="355">
        <v>1.3899999999999999E-2</v>
      </c>
      <c r="BB1354" s="624">
        <v>40149</v>
      </c>
      <c r="BC1354" s="355">
        <v>0.36649999999999999</v>
      </c>
      <c r="BD1354" s="624">
        <v>40150</v>
      </c>
      <c r="BE1354" s="355">
        <v>8.6860000000000007E-2</v>
      </c>
      <c r="BF1354" s="624">
        <v>40210</v>
      </c>
      <c r="BG1354" s="355">
        <v>2.1600999999999999E-2</v>
      </c>
      <c r="BH1354" s="624">
        <v>40150</v>
      </c>
      <c r="BI1354" s="355">
        <v>0.106157</v>
      </c>
      <c r="BJ1354" s="624">
        <v>40149</v>
      </c>
      <c r="BK1354" s="355">
        <v>3.0136E-2</v>
      </c>
    </row>
    <row r="1355" spans="3:63" x14ac:dyDescent="0.15">
      <c r="C1355" s="624"/>
      <c r="D1355" s="355">
        <v>3.3910000000000003E-2</v>
      </c>
      <c r="AV1355" s="624"/>
      <c r="AX1355" s="624">
        <v>40154</v>
      </c>
      <c r="AY1355" s="355">
        <v>3.3439999999999998E-2</v>
      </c>
      <c r="AZ1355" s="624">
        <v>40220</v>
      </c>
      <c r="BA1355" s="355">
        <v>1.3899999999999999E-2</v>
      </c>
      <c r="BB1355" s="624">
        <v>40150</v>
      </c>
      <c r="BC1355" s="355">
        <v>0.36749999999999999</v>
      </c>
      <c r="BD1355" s="624">
        <v>40151</v>
      </c>
      <c r="BE1355" s="355">
        <v>8.6720000000000005E-2</v>
      </c>
      <c r="BF1355" s="624">
        <v>40211</v>
      </c>
      <c r="BG1355" s="355">
        <v>2.1680000000000001E-2</v>
      </c>
      <c r="BH1355" s="624">
        <v>40151</v>
      </c>
      <c r="BI1355" s="355">
        <v>0.106214</v>
      </c>
      <c r="BJ1355" s="624">
        <v>40150</v>
      </c>
      <c r="BK1355" s="355">
        <v>3.0183999999999999E-2</v>
      </c>
    </row>
    <row r="1356" spans="3:63" x14ac:dyDescent="0.15">
      <c r="C1356" s="624"/>
      <c r="D1356" s="355">
        <v>3.3439999999999998E-2</v>
      </c>
      <c r="AV1356" s="624"/>
      <c r="AX1356" s="624">
        <v>40155</v>
      </c>
      <c r="AY1356" s="355">
        <v>3.2680000000000001E-2</v>
      </c>
      <c r="AZ1356" s="624">
        <v>40221</v>
      </c>
      <c r="BA1356" s="355">
        <v>1.38E-2</v>
      </c>
      <c r="BB1356" s="624">
        <v>40151</v>
      </c>
      <c r="BC1356" s="355">
        <v>0.3659</v>
      </c>
      <c r="BD1356" s="624">
        <v>40154</v>
      </c>
      <c r="BE1356" s="355">
        <v>8.6699999999999999E-2</v>
      </c>
      <c r="BF1356" s="624">
        <v>40212</v>
      </c>
      <c r="BG1356" s="355">
        <v>2.1774999999999999E-2</v>
      </c>
      <c r="BH1356" s="624">
        <v>40154</v>
      </c>
      <c r="BI1356" s="355">
        <v>0.105764</v>
      </c>
      <c r="BJ1356" s="624">
        <v>40151</v>
      </c>
      <c r="BK1356" s="355">
        <v>3.0143E-2</v>
      </c>
    </row>
    <row r="1357" spans="3:63" x14ac:dyDescent="0.15">
      <c r="C1357" s="624"/>
      <c r="D1357" s="355">
        <v>3.2680000000000001E-2</v>
      </c>
      <c r="AV1357" s="624"/>
      <c r="AX1357" s="624">
        <v>40156</v>
      </c>
      <c r="AY1357" s="355">
        <v>3.2829999999999998E-2</v>
      </c>
      <c r="AZ1357" s="624">
        <v>40224</v>
      </c>
      <c r="BA1357" s="355">
        <v>1.38E-2</v>
      </c>
      <c r="BB1357" s="624">
        <v>40154</v>
      </c>
      <c r="BC1357" s="355">
        <v>0.36449999999999999</v>
      </c>
      <c r="BD1357" s="624">
        <v>40155</v>
      </c>
      <c r="BE1357" s="355">
        <v>8.5949999999999999E-2</v>
      </c>
      <c r="BF1357" s="624">
        <v>40213</v>
      </c>
      <c r="BG1357" s="355">
        <v>2.1628999999999999E-2</v>
      </c>
      <c r="BH1357" s="624">
        <v>40155</v>
      </c>
      <c r="BI1357" s="355">
        <v>0.10543</v>
      </c>
      <c r="BJ1357" s="624">
        <v>40154</v>
      </c>
      <c r="BK1357" s="355">
        <v>3.0169999999999999E-2</v>
      </c>
    </row>
    <row r="1358" spans="3:63" x14ac:dyDescent="0.15">
      <c r="C1358" s="624"/>
      <c r="D1358" s="355">
        <v>3.2829999999999998E-2</v>
      </c>
      <c r="AV1358" s="624"/>
      <c r="AX1358" s="624">
        <v>40157</v>
      </c>
      <c r="AY1358" s="355">
        <v>3.2870000000000003E-2</v>
      </c>
      <c r="AZ1358" s="624">
        <v>40225</v>
      </c>
      <c r="BA1358" s="355">
        <v>1.4E-2</v>
      </c>
      <c r="BB1358" s="624">
        <v>40155</v>
      </c>
      <c r="BC1358" s="355">
        <v>0.35639999999999999</v>
      </c>
      <c r="BD1358" s="624">
        <v>40156</v>
      </c>
      <c r="BE1358" s="355">
        <v>8.5940000000000003E-2</v>
      </c>
      <c r="BF1358" s="624">
        <v>40214</v>
      </c>
      <c r="BG1358" s="355">
        <v>2.1394E-2</v>
      </c>
      <c r="BH1358" s="624">
        <v>40156</v>
      </c>
      <c r="BI1358" s="355">
        <v>0.105653</v>
      </c>
      <c r="BJ1358" s="624">
        <v>40155</v>
      </c>
      <c r="BK1358" s="355">
        <v>3.0138999999999999E-2</v>
      </c>
    </row>
    <row r="1359" spans="3:63" x14ac:dyDescent="0.15">
      <c r="C1359" s="624"/>
      <c r="D1359" s="355">
        <v>3.2870000000000003E-2</v>
      </c>
      <c r="AV1359" s="624"/>
      <c r="AX1359" s="624">
        <v>40158</v>
      </c>
      <c r="AY1359" s="355">
        <v>3.3070000000000002E-2</v>
      </c>
      <c r="AZ1359" s="624">
        <v>40226</v>
      </c>
      <c r="BA1359" s="355">
        <v>1.38E-2</v>
      </c>
      <c r="BB1359" s="624">
        <v>40156</v>
      </c>
      <c r="BC1359" s="355">
        <v>0.35410000000000003</v>
      </c>
      <c r="BD1359" s="624">
        <v>40157</v>
      </c>
      <c r="BE1359" s="355">
        <v>8.6050000000000001E-2</v>
      </c>
      <c r="BF1359" s="624">
        <v>40217</v>
      </c>
      <c r="BG1359" s="355">
        <v>2.1356E-2</v>
      </c>
      <c r="BH1359" s="624">
        <v>40157</v>
      </c>
      <c r="BI1359" s="355">
        <v>0.105876</v>
      </c>
      <c r="BJ1359" s="624">
        <v>40156</v>
      </c>
      <c r="BK1359" s="355">
        <v>3.0175E-2</v>
      </c>
    </row>
    <row r="1360" spans="3:63" x14ac:dyDescent="0.15">
      <c r="C1360" s="624"/>
      <c r="D1360" s="355">
        <v>3.3070000000000002E-2</v>
      </c>
      <c r="AV1360" s="624"/>
      <c r="AX1360" s="624">
        <v>40161</v>
      </c>
      <c r="AY1360" s="355">
        <v>3.3259999999999998E-2</v>
      </c>
      <c r="AZ1360" s="624">
        <v>40227</v>
      </c>
      <c r="BA1360" s="355">
        <v>1.37E-2</v>
      </c>
      <c r="BB1360" s="624">
        <v>40157</v>
      </c>
      <c r="BC1360" s="355">
        <v>0.35449999999999998</v>
      </c>
      <c r="BD1360" s="624">
        <v>40158</v>
      </c>
      <c r="BE1360" s="355">
        <v>8.5779999999999995E-2</v>
      </c>
      <c r="BF1360" s="624">
        <v>40218</v>
      </c>
      <c r="BG1360" s="355">
        <v>2.1429E-2</v>
      </c>
      <c r="BH1360" s="624">
        <v>40158</v>
      </c>
      <c r="BI1360" s="355">
        <v>0.10596</v>
      </c>
      <c r="BJ1360" s="624">
        <v>40157</v>
      </c>
      <c r="BK1360" s="355">
        <v>3.0190999999999999E-2</v>
      </c>
    </row>
    <row r="1361" spans="3:63" x14ac:dyDescent="0.15">
      <c r="C1361" s="624"/>
      <c r="D1361" s="355">
        <v>3.3259999999999998E-2</v>
      </c>
      <c r="AV1361" s="624"/>
      <c r="AX1361" s="624">
        <v>40162</v>
      </c>
      <c r="AY1361" s="355">
        <v>3.3119999999999997E-2</v>
      </c>
      <c r="AZ1361" s="624">
        <v>40228</v>
      </c>
      <c r="BA1361" s="355">
        <v>1.37E-2</v>
      </c>
      <c r="BB1361" s="624">
        <v>40158</v>
      </c>
      <c r="BC1361" s="355">
        <v>0.35199999999999998</v>
      </c>
      <c r="BD1361" s="624">
        <v>40161</v>
      </c>
      <c r="BE1361" s="355">
        <v>8.6230000000000001E-2</v>
      </c>
      <c r="BF1361" s="624">
        <v>40219</v>
      </c>
      <c r="BG1361" s="355">
        <v>2.1568E-2</v>
      </c>
      <c r="BH1361" s="624">
        <v>40161</v>
      </c>
      <c r="BI1361" s="355">
        <v>0.105558</v>
      </c>
      <c r="BJ1361" s="624">
        <v>40158</v>
      </c>
      <c r="BK1361" s="355">
        <v>3.0221000000000001E-2</v>
      </c>
    </row>
    <row r="1362" spans="3:63" x14ac:dyDescent="0.15">
      <c r="C1362" s="624"/>
      <c r="D1362" s="355">
        <v>3.3119999999999997E-2</v>
      </c>
      <c r="AV1362" s="624"/>
      <c r="AX1362" s="624">
        <v>40163</v>
      </c>
      <c r="AY1362" s="355">
        <v>3.304E-2</v>
      </c>
      <c r="AZ1362" s="624">
        <v>40231</v>
      </c>
      <c r="BA1362" s="355">
        <v>1.37E-2</v>
      </c>
      <c r="BB1362" s="624">
        <v>40161</v>
      </c>
      <c r="BC1362" s="355">
        <v>0.35270000000000001</v>
      </c>
      <c r="BD1362" s="624">
        <v>40162</v>
      </c>
      <c r="BE1362" s="355">
        <v>8.5800000000000001E-2</v>
      </c>
      <c r="BF1362" s="624">
        <v>40220</v>
      </c>
      <c r="BG1362" s="355">
        <v>2.1547E-2</v>
      </c>
      <c r="BH1362" s="624">
        <v>40162</v>
      </c>
      <c r="BI1362" s="355">
        <v>0.105519</v>
      </c>
      <c r="BJ1362" s="624">
        <v>40161</v>
      </c>
      <c r="BK1362" s="355">
        <v>3.0186000000000001E-2</v>
      </c>
    </row>
    <row r="1363" spans="3:63" x14ac:dyDescent="0.15">
      <c r="C1363" s="624"/>
      <c r="D1363" s="355">
        <v>3.304E-2</v>
      </c>
      <c r="AV1363" s="624"/>
      <c r="AX1363" s="624">
        <v>40164</v>
      </c>
      <c r="AY1363" s="355">
        <v>3.243E-2</v>
      </c>
      <c r="AZ1363" s="624">
        <v>40232</v>
      </c>
      <c r="BA1363" s="355">
        <v>1.3599999999999999E-2</v>
      </c>
      <c r="BB1363" s="624">
        <v>40162</v>
      </c>
      <c r="BC1363" s="355">
        <v>0.34549999999999997</v>
      </c>
      <c r="BD1363" s="624">
        <v>40163</v>
      </c>
      <c r="BE1363" s="355">
        <v>8.584E-2</v>
      </c>
      <c r="BF1363" s="624">
        <v>40224</v>
      </c>
      <c r="BG1363" s="355">
        <v>2.1586999999999999E-2</v>
      </c>
      <c r="BH1363" s="624">
        <v>40163</v>
      </c>
      <c r="BI1363" s="355">
        <v>0.105374</v>
      </c>
      <c r="BJ1363" s="624">
        <v>40162</v>
      </c>
      <c r="BK1363" s="355">
        <v>3.0164E-2</v>
      </c>
    </row>
    <row r="1364" spans="3:63" x14ac:dyDescent="0.15">
      <c r="C1364" s="624"/>
      <c r="D1364" s="355">
        <v>3.243E-2</v>
      </c>
      <c r="AV1364" s="624"/>
      <c r="AX1364" s="624">
        <v>40165</v>
      </c>
      <c r="AY1364" s="355">
        <v>3.2640000000000002E-2</v>
      </c>
      <c r="AZ1364" s="624">
        <v>40233</v>
      </c>
      <c r="BA1364" s="355">
        <v>1.3599999999999999E-2</v>
      </c>
      <c r="BB1364" s="624">
        <v>40163</v>
      </c>
      <c r="BC1364" s="355">
        <v>0.34749999999999998</v>
      </c>
      <c r="BD1364" s="624">
        <v>40164</v>
      </c>
      <c r="BE1364" s="355">
        <v>8.4220000000000003E-2</v>
      </c>
      <c r="BF1364" s="624">
        <v>40225</v>
      </c>
      <c r="BG1364" s="355">
        <v>2.164E-2</v>
      </c>
      <c r="BH1364" s="624">
        <v>40164</v>
      </c>
      <c r="BI1364" s="355">
        <v>0.104493</v>
      </c>
      <c r="BJ1364" s="624">
        <v>40163</v>
      </c>
      <c r="BK1364" s="355">
        <v>3.0138999999999999E-2</v>
      </c>
    </row>
    <row r="1365" spans="3:63" x14ac:dyDescent="0.15">
      <c r="C1365" s="624"/>
      <c r="D1365" s="355">
        <v>3.2640000000000002E-2</v>
      </c>
      <c r="AV1365" s="624"/>
      <c r="AX1365" s="624">
        <v>40168</v>
      </c>
      <c r="AY1365" s="355">
        <v>3.2770000000000001E-2</v>
      </c>
      <c r="AZ1365" s="624">
        <v>40234</v>
      </c>
      <c r="BA1365" s="355">
        <v>1.3599999999999999E-2</v>
      </c>
      <c r="BB1365" s="624">
        <v>40164</v>
      </c>
      <c r="BC1365" s="355">
        <v>0.3417</v>
      </c>
      <c r="BD1365" s="624">
        <v>40165</v>
      </c>
      <c r="BE1365" s="355">
        <v>8.5010000000000002E-2</v>
      </c>
      <c r="BF1365" s="624">
        <v>40226</v>
      </c>
      <c r="BG1365" s="355">
        <v>2.1687000000000001E-2</v>
      </c>
      <c r="BH1365" s="624">
        <v>40165</v>
      </c>
      <c r="BI1365" s="355">
        <v>0.105236</v>
      </c>
      <c r="BJ1365" s="624">
        <v>40164</v>
      </c>
      <c r="BK1365" s="355">
        <v>3.0092000000000001E-2</v>
      </c>
    </row>
    <row r="1366" spans="3:63" x14ac:dyDescent="0.15">
      <c r="C1366" s="624"/>
      <c r="D1366" s="355">
        <v>3.2770000000000001E-2</v>
      </c>
      <c r="AV1366" s="624"/>
      <c r="AX1366" s="624">
        <v>40169</v>
      </c>
      <c r="AY1366" s="355">
        <v>3.2739999999999998E-2</v>
      </c>
      <c r="AZ1366" s="624">
        <v>40235</v>
      </c>
      <c r="BA1366" s="355">
        <v>1.3599999999999999E-2</v>
      </c>
      <c r="BB1366" s="624">
        <v>40165</v>
      </c>
      <c r="BC1366" s="355">
        <v>0.34129999999999999</v>
      </c>
      <c r="BD1366" s="624">
        <v>40168</v>
      </c>
      <c r="BE1366" s="355">
        <v>8.448E-2</v>
      </c>
      <c r="BF1366" s="624">
        <v>40227</v>
      </c>
      <c r="BG1366" s="355">
        <v>2.1610000000000001E-2</v>
      </c>
      <c r="BH1366" s="624">
        <v>40168</v>
      </c>
      <c r="BI1366" s="355">
        <v>0.105402</v>
      </c>
      <c r="BJ1366" s="624">
        <v>40165</v>
      </c>
      <c r="BK1366" s="355">
        <v>3.0161E-2</v>
      </c>
    </row>
    <row r="1367" spans="3:63" x14ac:dyDescent="0.15">
      <c r="C1367" s="624"/>
      <c r="D1367" s="355">
        <v>3.2739999999999998E-2</v>
      </c>
      <c r="AV1367" s="624"/>
      <c r="AX1367" s="624">
        <v>40170</v>
      </c>
      <c r="AY1367" s="355">
        <v>3.3180000000000001E-2</v>
      </c>
      <c r="AZ1367" s="624">
        <v>40238</v>
      </c>
      <c r="BA1367" s="355">
        <v>1.3599999999999999E-2</v>
      </c>
      <c r="BB1367" s="624">
        <v>40168</v>
      </c>
      <c r="BC1367" s="355">
        <v>0.34010000000000001</v>
      </c>
      <c r="BD1367" s="624">
        <v>40169</v>
      </c>
      <c r="BE1367" s="355">
        <v>8.4669999999999995E-2</v>
      </c>
      <c r="BF1367" s="624">
        <v>40228</v>
      </c>
      <c r="BG1367" s="355">
        <v>2.1597999999999999E-2</v>
      </c>
      <c r="BH1367" s="624">
        <v>40169</v>
      </c>
      <c r="BI1367" s="355">
        <v>0.10543</v>
      </c>
      <c r="BJ1367" s="624">
        <v>40168</v>
      </c>
      <c r="BK1367" s="355">
        <v>3.0068000000000001E-2</v>
      </c>
    </row>
    <row r="1368" spans="3:63" x14ac:dyDescent="0.15">
      <c r="C1368" s="624"/>
      <c r="D1368" s="355">
        <v>3.3180000000000001E-2</v>
      </c>
      <c r="AV1368" s="624"/>
      <c r="AX1368" s="624">
        <v>40171</v>
      </c>
      <c r="AY1368" s="355">
        <v>3.3759999999999998E-2</v>
      </c>
      <c r="AZ1368" s="624">
        <v>40239</v>
      </c>
      <c r="BA1368" s="355">
        <v>1.3599999999999999E-2</v>
      </c>
      <c r="BB1368" s="624">
        <v>40169</v>
      </c>
      <c r="BC1368" s="355">
        <v>0.3417</v>
      </c>
      <c r="BD1368" s="624">
        <v>40170</v>
      </c>
      <c r="BE1368" s="355">
        <v>8.4669999999999995E-2</v>
      </c>
      <c r="BF1368" s="624">
        <v>40231</v>
      </c>
      <c r="BG1368" s="355">
        <v>2.1684999999999999E-2</v>
      </c>
      <c r="BH1368" s="624">
        <v>40170</v>
      </c>
      <c r="BI1368" s="355">
        <v>0.105263</v>
      </c>
      <c r="BJ1368" s="624">
        <v>40169</v>
      </c>
      <c r="BK1368" s="355">
        <v>3.0071000000000001E-2</v>
      </c>
    </row>
    <row r="1369" spans="3:63" x14ac:dyDescent="0.15">
      <c r="C1369" s="624"/>
      <c r="D1369" s="355">
        <v>3.3759999999999998E-2</v>
      </c>
      <c r="AV1369" s="624"/>
      <c r="AX1369" s="624">
        <v>40172</v>
      </c>
      <c r="AY1369" s="355">
        <v>3.3820000000000003E-2</v>
      </c>
      <c r="AZ1369" s="624">
        <v>40240</v>
      </c>
      <c r="BA1369" s="355">
        <v>1.37E-2</v>
      </c>
      <c r="BB1369" s="624">
        <v>40170</v>
      </c>
      <c r="BC1369" s="355">
        <v>0.34470000000000001</v>
      </c>
      <c r="BD1369" s="624">
        <v>40171</v>
      </c>
      <c r="BE1369" s="355">
        <v>8.4970000000000004E-2</v>
      </c>
      <c r="BF1369" s="624">
        <v>40232</v>
      </c>
      <c r="BG1369" s="355">
        <v>2.1610000000000001E-2</v>
      </c>
      <c r="BH1369" s="624">
        <v>40171</v>
      </c>
      <c r="BI1369" s="355">
        <v>0.105541</v>
      </c>
      <c r="BJ1369" s="624">
        <v>40170</v>
      </c>
      <c r="BK1369" s="355">
        <v>2.9991E-2</v>
      </c>
    </row>
    <row r="1370" spans="3:63" x14ac:dyDescent="0.15">
      <c r="C1370" s="624"/>
      <c r="D1370" s="355">
        <v>3.3820000000000003E-2</v>
      </c>
      <c r="AV1370" s="624"/>
      <c r="AX1370" s="624">
        <v>40175</v>
      </c>
      <c r="AY1370" s="355">
        <v>3.3649999999999999E-2</v>
      </c>
      <c r="AZ1370" s="624">
        <v>40241</v>
      </c>
      <c r="BA1370" s="355">
        <v>1.3599999999999999E-2</v>
      </c>
      <c r="BB1370" s="624">
        <v>40171</v>
      </c>
      <c r="BC1370" s="355">
        <v>0.34710000000000002</v>
      </c>
      <c r="BD1370" s="624">
        <v>40172</v>
      </c>
      <c r="BE1370" s="355">
        <v>8.5139999999999993E-2</v>
      </c>
      <c r="BF1370" s="624">
        <v>40233</v>
      </c>
      <c r="BG1370" s="355">
        <v>2.1583999999999999E-2</v>
      </c>
      <c r="BH1370" s="624">
        <v>40172</v>
      </c>
      <c r="BI1370" s="355">
        <v>0.105513</v>
      </c>
      <c r="BJ1370" s="624">
        <v>40171</v>
      </c>
      <c r="BK1370" s="355">
        <v>3.0002999999999998E-2</v>
      </c>
    </row>
    <row r="1371" spans="3:63" x14ac:dyDescent="0.15">
      <c r="C1371" s="624"/>
      <c r="D1371" s="355">
        <v>3.3649999999999999E-2</v>
      </c>
      <c r="AV1371" s="624"/>
      <c r="AX1371" s="624">
        <v>40176</v>
      </c>
      <c r="AY1371" s="355">
        <v>3.3160000000000002E-2</v>
      </c>
      <c r="AZ1371" s="624">
        <v>40242</v>
      </c>
      <c r="BA1371" s="355">
        <v>1.3599999999999999E-2</v>
      </c>
      <c r="BB1371" s="624">
        <v>40172</v>
      </c>
      <c r="BC1371" s="355">
        <v>0.34689999999999999</v>
      </c>
      <c r="BD1371" s="624">
        <v>40175</v>
      </c>
      <c r="BE1371" s="355">
        <v>8.5500000000000007E-2</v>
      </c>
      <c r="BF1371" s="624">
        <v>40234</v>
      </c>
      <c r="BG1371" s="355">
        <v>2.1562999999999999E-2</v>
      </c>
      <c r="BH1371" s="624">
        <v>40175</v>
      </c>
      <c r="BI1371" s="355">
        <v>0.10582</v>
      </c>
      <c r="BJ1371" s="624">
        <v>40172</v>
      </c>
      <c r="BK1371" s="355">
        <v>2.9989999999999999E-2</v>
      </c>
    </row>
    <row r="1372" spans="3:63" x14ac:dyDescent="0.15">
      <c r="C1372" s="624"/>
      <c r="D1372" s="355">
        <v>3.3160000000000002E-2</v>
      </c>
      <c r="AV1372" s="624"/>
      <c r="AX1372" s="624">
        <v>40177</v>
      </c>
      <c r="AY1372" s="355">
        <v>3.2989999999999998E-2</v>
      </c>
      <c r="AZ1372" s="624">
        <v>40245</v>
      </c>
      <c r="BA1372" s="355">
        <v>1.3599999999999999E-2</v>
      </c>
      <c r="BB1372" s="624">
        <v>40175</v>
      </c>
      <c r="BC1372" s="355">
        <v>0.34520000000000001</v>
      </c>
      <c r="BD1372" s="624">
        <v>40176</v>
      </c>
      <c r="BE1372" s="355">
        <v>8.5709999999999995E-2</v>
      </c>
      <c r="BF1372" s="624">
        <v>40235</v>
      </c>
      <c r="BG1372" s="355">
        <v>2.1697999999999999E-2</v>
      </c>
      <c r="BH1372" s="624">
        <v>40176</v>
      </c>
      <c r="BI1372" s="355">
        <v>0.106005</v>
      </c>
      <c r="BJ1372" s="624">
        <v>40175</v>
      </c>
      <c r="BK1372" s="355">
        <v>2.9968999999999999E-2</v>
      </c>
    </row>
    <row r="1373" spans="3:63" x14ac:dyDescent="0.15">
      <c r="C1373" s="624"/>
      <c r="D1373" s="355">
        <v>3.2989999999999998E-2</v>
      </c>
      <c r="AV1373" s="624"/>
      <c r="AX1373" s="624">
        <v>40178</v>
      </c>
      <c r="AY1373" s="355">
        <v>3.329E-2</v>
      </c>
      <c r="AZ1373" s="624">
        <v>40246</v>
      </c>
      <c r="BA1373" s="355">
        <v>1.3599999999999999E-2</v>
      </c>
      <c r="BB1373" s="624">
        <v>40176</v>
      </c>
      <c r="BC1373" s="355">
        <v>0.34699999999999998</v>
      </c>
      <c r="BD1373" s="624">
        <v>40177</v>
      </c>
      <c r="BE1373" s="355">
        <v>8.5800000000000001E-2</v>
      </c>
      <c r="BF1373" s="624">
        <v>40238</v>
      </c>
      <c r="BG1373" s="355">
        <v>2.1718000000000001E-2</v>
      </c>
      <c r="BH1373" s="624">
        <v>40177</v>
      </c>
      <c r="BI1373" s="355">
        <v>0.105989</v>
      </c>
      <c r="BJ1373" s="624">
        <v>40176</v>
      </c>
      <c r="BK1373" s="355">
        <v>2.9999000000000001E-2</v>
      </c>
    </row>
    <row r="1374" spans="3:63" x14ac:dyDescent="0.15">
      <c r="C1374" s="624"/>
      <c r="D1374" s="355">
        <v>3.329E-2</v>
      </c>
      <c r="AV1374" s="624"/>
      <c r="AX1374" s="624">
        <v>40182</v>
      </c>
      <c r="AY1374" s="355">
        <v>3.322E-2</v>
      </c>
      <c r="AZ1374" s="624">
        <v>40247</v>
      </c>
      <c r="BA1374" s="355">
        <v>1.37E-2</v>
      </c>
      <c r="BB1374" s="624">
        <v>40177</v>
      </c>
      <c r="BC1374" s="355">
        <v>0.34689999999999999</v>
      </c>
      <c r="BD1374" s="624">
        <v>40178</v>
      </c>
      <c r="BE1374" s="355">
        <v>8.5860000000000006E-2</v>
      </c>
      <c r="BF1374" s="624">
        <v>40239</v>
      </c>
      <c r="BG1374" s="355">
        <v>2.1774999999999999E-2</v>
      </c>
      <c r="BH1374" s="624">
        <v>40178</v>
      </c>
      <c r="BI1374" s="355">
        <v>0.10649599999999999</v>
      </c>
      <c r="BJ1374" s="624">
        <v>40177</v>
      </c>
      <c r="BK1374" s="355">
        <v>2.9981000000000001E-2</v>
      </c>
    </row>
    <row r="1375" spans="3:63" x14ac:dyDescent="0.15">
      <c r="C1375" s="624"/>
      <c r="D1375" s="355">
        <v>3.322E-2</v>
      </c>
      <c r="AV1375" s="624"/>
      <c r="AX1375" s="624">
        <v>40183</v>
      </c>
      <c r="AY1375" s="355">
        <v>3.3590000000000002E-2</v>
      </c>
      <c r="AZ1375" s="624">
        <v>40248</v>
      </c>
      <c r="BA1375" s="355">
        <v>1.37E-2</v>
      </c>
      <c r="BB1375" s="624">
        <v>40178</v>
      </c>
      <c r="BC1375" s="355">
        <v>0.34910000000000002</v>
      </c>
      <c r="BD1375" s="624">
        <v>40179</v>
      </c>
      <c r="BE1375" s="355">
        <v>8.6239999999999997E-2</v>
      </c>
      <c r="BF1375" s="624">
        <v>40240</v>
      </c>
      <c r="BG1375" s="355">
        <v>2.1881999999999999E-2</v>
      </c>
      <c r="BH1375" s="624">
        <v>40179</v>
      </c>
      <c r="BI1375" s="355">
        <v>0.10655299999999999</v>
      </c>
      <c r="BJ1375" s="624">
        <v>40178</v>
      </c>
      <c r="BK1375" s="355">
        <v>2.9968999999999999E-2</v>
      </c>
    </row>
    <row r="1376" spans="3:63" x14ac:dyDescent="0.15">
      <c r="C1376" s="624"/>
      <c r="D1376" s="355">
        <v>3.3590000000000002E-2</v>
      </c>
      <c r="AV1376" s="624"/>
      <c r="AX1376" s="624">
        <v>40184</v>
      </c>
      <c r="AY1376" s="355">
        <v>3.3649999999999999E-2</v>
      </c>
      <c r="AZ1376" s="624">
        <v>40249</v>
      </c>
      <c r="BA1376" s="355">
        <v>1.38E-2</v>
      </c>
      <c r="BB1376" s="624">
        <v>40182</v>
      </c>
      <c r="BC1376" s="355">
        <v>0.35310000000000002</v>
      </c>
      <c r="BD1376" s="624">
        <v>40182</v>
      </c>
      <c r="BE1376" s="355">
        <v>8.6929999999999993E-2</v>
      </c>
      <c r="BF1376" s="624">
        <v>40241</v>
      </c>
      <c r="BG1376" s="355">
        <v>2.1832000000000001E-2</v>
      </c>
      <c r="BH1376" s="624">
        <v>40182</v>
      </c>
      <c r="BI1376" s="355">
        <v>0.106542</v>
      </c>
      <c r="BJ1376" s="624">
        <v>40179</v>
      </c>
      <c r="BK1376" s="355">
        <v>2.9994E-2</v>
      </c>
    </row>
    <row r="1377" spans="3:63" x14ac:dyDescent="0.15">
      <c r="C1377" s="624"/>
      <c r="D1377" s="355">
        <v>3.3649999999999999E-2</v>
      </c>
      <c r="AV1377" s="624"/>
      <c r="AX1377" s="624">
        <v>40185</v>
      </c>
      <c r="AY1377" s="355">
        <v>3.3590000000000002E-2</v>
      </c>
      <c r="AZ1377" s="624">
        <v>40252</v>
      </c>
      <c r="BA1377" s="355">
        <v>1.37E-2</v>
      </c>
      <c r="BB1377" s="624">
        <v>40183</v>
      </c>
      <c r="BC1377" s="355">
        <v>0.35099999999999998</v>
      </c>
      <c r="BD1377" s="624">
        <v>40183</v>
      </c>
      <c r="BE1377" s="355">
        <v>8.7690000000000004E-2</v>
      </c>
      <c r="BF1377" s="624">
        <v>40242</v>
      </c>
      <c r="BG1377" s="355">
        <v>2.1925E-2</v>
      </c>
      <c r="BH1377" s="624">
        <v>40183</v>
      </c>
      <c r="BI1377" s="355">
        <v>0.107394</v>
      </c>
      <c r="BJ1377" s="624">
        <v>40182</v>
      </c>
      <c r="BK1377" s="355">
        <v>3.0091E-2</v>
      </c>
    </row>
    <row r="1378" spans="3:63" x14ac:dyDescent="0.15">
      <c r="C1378" s="624"/>
      <c r="D1378" s="355">
        <v>3.3590000000000002E-2</v>
      </c>
      <c r="AV1378" s="624"/>
      <c r="AX1378" s="624">
        <v>40189</v>
      </c>
      <c r="AY1378" s="355">
        <v>3.4099999999999998E-2</v>
      </c>
      <c r="AZ1378" s="624">
        <v>40253</v>
      </c>
      <c r="BA1378" s="355">
        <v>1.38E-2</v>
      </c>
      <c r="BB1378" s="624">
        <v>40184</v>
      </c>
      <c r="BC1378" s="355">
        <v>0.35220000000000001</v>
      </c>
      <c r="BD1378" s="624">
        <v>40184</v>
      </c>
      <c r="BE1378" s="355">
        <v>8.8480000000000003E-2</v>
      </c>
      <c r="BF1378" s="624">
        <v>40245</v>
      </c>
      <c r="BG1378" s="355">
        <v>2.1968000000000001E-2</v>
      </c>
      <c r="BH1378" s="624">
        <v>40184</v>
      </c>
      <c r="BI1378" s="355">
        <v>0.10839500000000001</v>
      </c>
      <c r="BJ1378" s="624">
        <v>40183</v>
      </c>
      <c r="BK1378" s="355">
        <v>3.0151000000000001E-2</v>
      </c>
    </row>
    <row r="1379" spans="3:63" x14ac:dyDescent="0.15">
      <c r="C1379" s="624"/>
      <c r="D1379" s="355">
        <v>3.4099999999999998E-2</v>
      </c>
      <c r="AV1379" s="624"/>
      <c r="AX1379" s="624">
        <v>40190</v>
      </c>
      <c r="AY1379" s="355">
        <v>3.3869999999999997E-2</v>
      </c>
      <c r="AZ1379" s="624">
        <v>40254</v>
      </c>
      <c r="BA1379" s="355">
        <v>1.38E-2</v>
      </c>
      <c r="BB1379" s="624">
        <v>40185</v>
      </c>
      <c r="BC1379" s="355">
        <v>0.3483</v>
      </c>
      <c r="BD1379" s="624">
        <v>40185</v>
      </c>
      <c r="BE1379" s="355">
        <v>8.7870000000000004E-2</v>
      </c>
      <c r="BF1379" s="624">
        <v>40246</v>
      </c>
      <c r="BG1379" s="355">
        <v>2.1947000000000001E-2</v>
      </c>
      <c r="BH1379" s="624">
        <v>40185</v>
      </c>
      <c r="BI1379" s="355">
        <v>0.10771799999999999</v>
      </c>
      <c r="BJ1379" s="624">
        <v>40184</v>
      </c>
      <c r="BK1379" s="355">
        <v>3.0172999999999998E-2</v>
      </c>
    </row>
    <row r="1380" spans="3:63" x14ac:dyDescent="0.15">
      <c r="C1380" s="624"/>
      <c r="D1380" s="355">
        <v>3.3869999999999997E-2</v>
      </c>
      <c r="AV1380" s="624"/>
      <c r="AX1380" s="624">
        <v>40191</v>
      </c>
      <c r="AY1380" s="355">
        <v>3.3829999999999999E-2</v>
      </c>
      <c r="AZ1380" s="624">
        <v>40255</v>
      </c>
      <c r="BA1380" s="355">
        <v>1.3599999999999999E-2</v>
      </c>
      <c r="BB1380" s="624">
        <v>40186</v>
      </c>
      <c r="BC1380" s="355">
        <v>0.35460000000000003</v>
      </c>
      <c r="BD1380" s="624">
        <v>40186</v>
      </c>
      <c r="BE1380" s="355">
        <v>8.8929999999999995E-2</v>
      </c>
      <c r="BF1380" s="624">
        <v>40247</v>
      </c>
      <c r="BG1380" s="355">
        <v>2.2041000000000002E-2</v>
      </c>
      <c r="BH1380" s="624">
        <v>40186</v>
      </c>
      <c r="BI1380" s="355">
        <v>0.108501</v>
      </c>
      <c r="BJ1380" s="624">
        <v>40185</v>
      </c>
      <c r="BK1380" s="355">
        <v>3.0169999999999999E-2</v>
      </c>
    </row>
    <row r="1381" spans="3:63" x14ac:dyDescent="0.15">
      <c r="C1381" s="624"/>
      <c r="D1381" s="355">
        <v>3.3829999999999999E-2</v>
      </c>
      <c r="AV1381" s="624"/>
      <c r="AX1381" s="624">
        <v>40192</v>
      </c>
      <c r="AY1381" s="355">
        <v>3.3959999999999997E-2</v>
      </c>
      <c r="AZ1381" s="624">
        <v>40256</v>
      </c>
      <c r="BA1381" s="355">
        <v>1.3599999999999999E-2</v>
      </c>
      <c r="BB1381" s="624">
        <v>40189</v>
      </c>
      <c r="BC1381" s="355">
        <v>0.35680000000000001</v>
      </c>
      <c r="BD1381" s="624">
        <v>40189</v>
      </c>
      <c r="BE1381" s="355">
        <v>8.9279999999999998E-2</v>
      </c>
      <c r="BF1381" s="624">
        <v>40248</v>
      </c>
      <c r="BG1381" s="355">
        <v>2.1923999999999999E-2</v>
      </c>
      <c r="BH1381" s="624">
        <v>40189</v>
      </c>
      <c r="BI1381" s="355">
        <v>0.109212</v>
      </c>
      <c r="BJ1381" s="624">
        <v>40186</v>
      </c>
      <c r="BK1381" s="355">
        <v>3.0204999999999999E-2</v>
      </c>
    </row>
    <row r="1382" spans="3:63" x14ac:dyDescent="0.15">
      <c r="C1382" s="624"/>
      <c r="D1382" s="355">
        <v>3.3959999999999997E-2</v>
      </c>
      <c r="AV1382" s="624"/>
      <c r="AX1382" s="624">
        <v>40193</v>
      </c>
      <c r="AY1382" s="355">
        <v>3.3840000000000002E-2</v>
      </c>
      <c r="AZ1382" s="624">
        <v>40259</v>
      </c>
      <c r="BA1382" s="355">
        <v>1.3599999999999999E-2</v>
      </c>
      <c r="BB1382" s="624">
        <v>40190</v>
      </c>
      <c r="BC1382" s="355">
        <v>0.35549999999999998</v>
      </c>
      <c r="BD1382" s="624">
        <v>40190</v>
      </c>
      <c r="BE1382" s="355">
        <v>8.899E-2</v>
      </c>
      <c r="BF1382" s="624">
        <v>40249</v>
      </c>
      <c r="BG1382" s="355">
        <v>2.2006999999999999E-2</v>
      </c>
      <c r="BH1382" s="624">
        <v>40190</v>
      </c>
      <c r="BI1382" s="355">
        <v>0.109051</v>
      </c>
      <c r="BJ1382" s="624">
        <v>40189</v>
      </c>
      <c r="BK1382" s="355">
        <v>3.0256999999999999E-2</v>
      </c>
    </row>
    <row r="1383" spans="3:63" x14ac:dyDescent="0.15">
      <c r="C1383" s="624"/>
      <c r="D1383" s="355">
        <v>3.3840000000000002E-2</v>
      </c>
      <c r="AV1383" s="624"/>
      <c r="AX1383" s="624">
        <v>40196</v>
      </c>
      <c r="AY1383" s="355">
        <v>3.3779999999999998E-2</v>
      </c>
      <c r="AZ1383" s="624">
        <v>40260</v>
      </c>
      <c r="BA1383" s="355">
        <v>1.35E-2</v>
      </c>
      <c r="BB1383" s="624">
        <v>40191</v>
      </c>
      <c r="BC1383" s="355">
        <v>0.35799999999999998</v>
      </c>
      <c r="BD1383" s="624">
        <v>40191</v>
      </c>
      <c r="BE1383" s="355">
        <v>8.9109999999999995E-2</v>
      </c>
      <c r="BF1383" s="624">
        <v>40252</v>
      </c>
      <c r="BG1383" s="355">
        <v>2.1939E-2</v>
      </c>
      <c r="BH1383" s="624">
        <v>40191</v>
      </c>
      <c r="BI1383" s="355">
        <v>0.109212</v>
      </c>
      <c r="BJ1383" s="624">
        <v>40190</v>
      </c>
      <c r="BK1383" s="355">
        <v>3.0256999999999999E-2</v>
      </c>
    </row>
    <row r="1384" spans="3:63" x14ac:dyDescent="0.15">
      <c r="C1384" s="624"/>
      <c r="D1384" s="355">
        <v>3.3779999999999998E-2</v>
      </c>
      <c r="AV1384" s="624"/>
      <c r="AX1384" s="624">
        <v>40197</v>
      </c>
      <c r="AY1384" s="355">
        <v>3.3770000000000001E-2</v>
      </c>
      <c r="AZ1384" s="624">
        <v>40261</v>
      </c>
      <c r="BA1384" s="355">
        <v>1.3299999999999999E-2</v>
      </c>
      <c r="BB1384" s="624">
        <v>40192</v>
      </c>
      <c r="BC1384" s="355">
        <v>0.35849999999999999</v>
      </c>
      <c r="BD1384" s="624">
        <v>40192</v>
      </c>
      <c r="BE1384" s="355">
        <v>8.9050000000000004E-2</v>
      </c>
      <c r="BF1384" s="624">
        <v>40254</v>
      </c>
      <c r="BG1384" s="355">
        <v>2.2046E-2</v>
      </c>
      <c r="BH1384" s="624">
        <v>40192</v>
      </c>
      <c r="BI1384" s="355">
        <v>0.10915900000000001</v>
      </c>
      <c r="BJ1384" s="624">
        <v>40191</v>
      </c>
      <c r="BK1384" s="355">
        <v>3.0280000000000001E-2</v>
      </c>
    </row>
    <row r="1385" spans="3:63" x14ac:dyDescent="0.15">
      <c r="C1385" s="624"/>
      <c r="D1385" s="355">
        <v>3.3770000000000001E-2</v>
      </c>
      <c r="AV1385" s="624"/>
      <c r="AX1385" s="624">
        <v>40198</v>
      </c>
      <c r="AY1385" s="355">
        <v>3.3599999999999998E-2</v>
      </c>
      <c r="AZ1385" s="624">
        <v>40262</v>
      </c>
      <c r="BA1385" s="355">
        <v>1.3299999999999999E-2</v>
      </c>
      <c r="BB1385" s="624">
        <v>40193</v>
      </c>
      <c r="BC1385" s="355">
        <v>0.35510000000000003</v>
      </c>
      <c r="BD1385" s="624">
        <v>40193</v>
      </c>
      <c r="BE1385" s="355">
        <v>8.9039999999999994E-2</v>
      </c>
      <c r="BF1385" s="624">
        <v>40255</v>
      </c>
      <c r="BG1385" s="355">
        <v>2.2019E-2</v>
      </c>
      <c r="BH1385" s="624">
        <v>40193</v>
      </c>
      <c r="BI1385" s="355">
        <v>0.108255</v>
      </c>
      <c r="BJ1385" s="624">
        <v>40192</v>
      </c>
      <c r="BK1385" s="355">
        <v>3.0440999999999999E-2</v>
      </c>
    </row>
    <row r="1386" spans="3:63" x14ac:dyDescent="0.15">
      <c r="C1386" s="624"/>
      <c r="D1386" s="355">
        <v>3.3599999999999998E-2</v>
      </c>
      <c r="AV1386" s="624"/>
      <c r="AX1386" s="624">
        <v>40199</v>
      </c>
      <c r="AY1386" s="355">
        <v>3.3590000000000002E-2</v>
      </c>
      <c r="AZ1386" s="624">
        <v>40263</v>
      </c>
      <c r="BA1386" s="355">
        <v>1.34E-2</v>
      </c>
      <c r="BB1386" s="624">
        <v>40196</v>
      </c>
      <c r="BC1386" s="355">
        <v>0.3579</v>
      </c>
      <c r="BD1386" s="624">
        <v>40196</v>
      </c>
      <c r="BE1386" s="355">
        <v>8.8919999999999999E-2</v>
      </c>
      <c r="BF1386" s="624">
        <v>40256</v>
      </c>
      <c r="BG1386" s="355">
        <v>2.1977E-2</v>
      </c>
      <c r="BH1386" s="624">
        <v>40196</v>
      </c>
      <c r="BI1386" s="355">
        <v>0.108372</v>
      </c>
      <c r="BJ1386" s="624">
        <v>40193</v>
      </c>
      <c r="BK1386" s="355">
        <v>3.0414E-2</v>
      </c>
    </row>
    <row r="1387" spans="3:63" x14ac:dyDescent="0.15">
      <c r="C1387" s="624"/>
      <c r="D1387" s="355">
        <v>3.3590000000000002E-2</v>
      </c>
      <c r="AV1387" s="624"/>
      <c r="AX1387" s="624">
        <v>40200</v>
      </c>
      <c r="AY1387" s="355">
        <v>3.3480000000000003E-2</v>
      </c>
      <c r="AZ1387" s="624">
        <v>40266</v>
      </c>
      <c r="BA1387" s="355">
        <v>1.35E-2</v>
      </c>
      <c r="BB1387" s="624">
        <v>40197</v>
      </c>
      <c r="BC1387" s="355">
        <v>0.35680000000000001</v>
      </c>
      <c r="BD1387" s="624">
        <v>40197</v>
      </c>
      <c r="BE1387" s="355">
        <v>8.8650000000000007E-2</v>
      </c>
      <c r="BF1387" s="624">
        <v>40259</v>
      </c>
      <c r="BG1387" s="355">
        <v>2.198E-2</v>
      </c>
      <c r="BH1387" s="624">
        <v>40197</v>
      </c>
      <c r="BI1387" s="355">
        <v>0.10828400000000001</v>
      </c>
      <c r="BJ1387" s="624">
        <v>40196</v>
      </c>
      <c r="BK1387" s="355">
        <v>3.0436999999999999E-2</v>
      </c>
    </row>
    <row r="1388" spans="3:63" x14ac:dyDescent="0.15">
      <c r="C1388" s="624"/>
      <c r="D1388" s="355">
        <v>3.3480000000000003E-2</v>
      </c>
      <c r="AV1388" s="624"/>
      <c r="AX1388" s="624">
        <v>40203</v>
      </c>
      <c r="AY1388" s="355">
        <v>3.3210000000000003E-2</v>
      </c>
      <c r="AZ1388" s="624">
        <v>40267</v>
      </c>
      <c r="BA1388" s="355">
        <v>1.34E-2</v>
      </c>
      <c r="BB1388" s="624">
        <v>40198</v>
      </c>
      <c r="BC1388" s="355">
        <v>0.34820000000000001</v>
      </c>
      <c r="BD1388" s="624">
        <v>40198</v>
      </c>
      <c r="BE1388" s="355">
        <v>8.7840000000000001E-2</v>
      </c>
      <c r="BF1388" s="624">
        <v>40260</v>
      </c>
      <c r="BG1388" s="355">
        <v>2.2013999999999999E-2</v>
      </c>
      <c r="BH1388" s="624">
        <v>40198</v>
      </c>
      <c r="BI1388" s="355">
        <v>0.107469</v>
      </c>
      <c r="BJ1388" s="624">
        <v>40197</v>
      </c>
      <c r="BK1388" s="355">
        <v>3.0432000000000001E-2</v>
      </c>
    </row>
    <row r="1389" spans="3:63" x14ac:dyDescent="0.15">
      <c r="C1389" s="624"/>
      <c r="D1389" s="355">
        <v>3.3210000000000003E-2</v>
      </c>
      <c r="AV1389" s="624"/>
      <c r="AX1389" s="624">
        <v>40204</v>
      </c>
      <c r="AY1389" s="355">
        <v>3.2960000000000003E-2</v>
      </c>
      <c r="AZ1389" s="624">
        <v>40268</v>
      </c>
      <c r="BA1389" s="355">
        <v>1.35E-2</v>
      </c>
      <c r="BB1389" s="624">
        <v>40199</v>
      </c>
      <c r="BC1389" s="355">
        <v>0.34399999999999997</v>
      </c>
      <c r="BD1389" s="624">
        <v>40199</v>
      </c>
      <c r="BE1389" s="355">
        <v>8.7209999999999996E-2</v>
      </c>
      <c r="BF1389" s="624">
        <v>40262</v>
      </c>
      <c r="BG1389" s="355">
        <v>2.1985000000000001E-2</v>
      </c>
      <c r="BH1389" s="624">
        <v>40199</v>
      </c>
      <c r="BI1389" s="355">
        <v>0.10770100000000001</v>
      </c>
      <c r="BJ1389" s="624">
        <v>40198</v>
      </c>
      <c r="BK1389" s="355">
        <v>3.0335000000000001E-2</v>
      </c>
    </row>
    <row r="1390" spans="3:63" x14ac:dyDescent="0.15">
      <c r="C1390" s="624"/>
      <c r="D1390" s="355">
        <v>3.2960000000000003E-2</v>
      </c>
      <c r="AV1390" s="624"/>
      <c r="AX1390" s="624">
        <v>40205</v>
      </c>
      <c r="AY1390" s="355">
        <v>3.2980000000000002E-2</v>
      </c>
      <c r="AZ1390" s="624">
        <v>40269</v>
      </c>
      <c r="BA1390" s="355">
        <v>1.3599999999999999E-2</v>
      </c>
      <c r="BB1390" s="624">
        <v>40200</v>
      </c>
      <c r="BC1390" s="355">
        <v>0.34560000000000002</v>
      </c>
      <c r="BD1390" s="624">
        <v>40200</v>
      </c>
      <c r="BE1390" s="355">
        <v>8.6929999999999993E-2</v>
      </c>
      <c r="BF1390" s="624">
        <v>40263</v>
      </c>
      <c r="BG1390" s="355">
        <v>2.2099000000000001E-2</v>
      </c>
      <c r="BH1390" s="624">
        <v>40200</v>
      </c>
      <c r="BI1390" s="355">
        <v>0.10706599999999999</v>
      </c>
      <c r="BJ1390" s="624">
        <v>40199</v>
      </c>
      <c r="BK1390" s="355">
        <v>3.0325999999999999E-2</v>
      </c>
    </row>
    <row r="1391" spans="3:63" x14ac:dyDescent="0.15">
      <c r="C1391" s="624"/>
      <c r="D1391" s="355">
        <v>3.2980000000000002E-2</v>
      </c>
      <c r="AV1391" s="624"/>
      <c r="AX1391" s="624">
        <v>40206</v>
      </c>
      <c r="AY1391" s="355">
        <v>3.2939999999999997E-2</v>
      </c>
      <c r="AZ1391" s="624">
        <v>40270</v>
      </c>
      <c r="BA1391" s="355">
        <v>1.35E-2</v>
      </c>
      <c r="BB1391" s="624">
        <v>40203</v>
      </c>
      <c r="BC1391" s="355">
        <v>0.34760000000000002</v>
      </c>
      <c r="BD1391" s="624">
        <v>40203</v>
      </c>
      <c r="BE1391" s="355">
        <v>8.7239999999999998E-2</v>
      </c>
      <c r="BF1391" s="624">
        <v>40266</v>
      </c>
      <c r="BG1391" s="355">
        <v>2.2273999999999999E-2</v>
      </c>
      <c r="BH1391" s="624">
        <v>40203</v>
      </c>
      <c r="BI1391" s="355">
        <v>0.107377</v>
      </c>
      <c r="BJ1391" s="624">
        <v>40200</v>
      </c>
      <c r="BK1391" s="355">
        <v>3.0266000000000001E-2</v>
      </c>
    </row>
    <row r="1392" spans="3:63" x14ac:dyDescent="0.15">
      <c r="C1392" s="624"/>
      <c r="D1392" s="355">
        <v>3.2939999999999997E-2</v>
      </c>
      <c r="AV1392" s="624"/>
      <c r="AX1392" s="624">
        <v>40207</v>
      </c>
      <c r="AY1392" s="355">
        <v>3.2919999999999998E-2</v>
      </c>
      <c r="AZ1392" s="624">
        <v>40273</v>
      </c>
      <c r="BA1392" s="355">
        <v>1.3599999999999999E-2</v>
      </c>
      <c r="BB1392" s="624">
        <v>40204</v>
      </c>
      <c r="BC1392" s="355">
        <v>0.34510000000000002</v>
      </c>
      <c r="BD1392" s="624">
        <v>40204</v>
      </c>
      <c r="BE1392" s="355">
        <v>8.6220000000000005E-2</v>
      </c>
      <c r="BF1392" s="624">
        <v>40267</v>
      </c>
      <c r="BG1392" s="355">
        <v>2.2178E-2</v>
      </c>
      <c r="BH1392" s="624">
        <v>40204</v>
      </c>
      <c r="BI1392" s="355">
        <v>0.10661</v>
      </c>
      <c r="BJ1392" s="624">
        <v>40203</v>
      </c>
      <c r="BK1392" s="355">
        <v>3.0308000000000002E-2</v>
      </c>
    </row>
    <row r="1393" spans="3:63" x14ac:dyDescent="0.15">
      <c r="C1393" s="624"/>
      <c r="D1393" s="355">
        <v>3.2919999999999998E-2</v>
      </c>
      <c r="AV1393" s="624"/>
      <c r="AX1393" s="624">
        <v>40210</v>
      </c>
      <c r="AY1393" s="355">
        <v>3.3009999999999998E-2</v>
      </c>
      <c r="AZ1393" s="624">
        <v>40274</v>
      </c>
      <c r="BA1393" s="355">
        <v>1.35E-2</v>
      </c>
      <c r="BB1393" s="624">
        <v>40205</v>
      </c>
      <c r="BC1393" s="355">
        <v>0.34260000000000002</v>
      </c>
      <c r="BD1393" s="624">
        <v>40205</v>
      </c>
      <c r="BE1393" s="355">
        <v>8.6199999999999999E-2</v>
      </c>
      <c r="BF1393" s="624">
        <v>40268</v>
      </c>
      <c r="BG1393" s="355">
        <v>2.2305999999999999E-2</v>
      </c>
      <c r="BH1393" s="624">
        <v>40205</v>
      </c>
      <c r="BI1393" s="355">
        <v>0.106276</v>
      </c>
      <c r="BJ1393" s="624">
        <v>40204</v>
      </c>
      <c r="BK1393" s="355">
        <v>3.0262000000000001E-2</v>
      </c>
    </row>
    <row r="1394" spans="3:63" x14ac:dyDescent="0.15">
      <c r="C1394" s="624"/>
      <c r="D1394" s="355">
        <v>3.3009999999999998E-2</v>
      </c>
      <c r="AV1394" s="624"/>
      <c r="AX1394" s="624">
        <v>40211</v>
      </c>
      <c r="AY1394" s="355">
        <v>3.3230000000000003E-2</v>
      </c>
      <c r="AZ1394" s="624">
        <v>40275</v>
      </c>
      <c r="BA1394" s="355">
        <v>1.34E-2</v>
      </c>
      <c r="BB1394" s="624">
        <v>40206</v>
      </c>
      <c r="BC1394" s="355">
        <v>0.34250000000000003</v>
      </c>
      <c r="BD1394" s="624">
        <v>40206</v>
      </c>
      <c r="BE1394" s="355">
        <v>8.6679999999999993E-2</v>
      </c>
      <c r="BF1394" s="624">
        <v>40273</v>
      </c>
      <c r="BG1394" s="355">
        <v>2.2530000000000001E-2</v>
      </c>
      <c r="BH1394" s="624">
        <v>40206</v>
      </c>
      <c r="BI1394" s="355">
        <v>0.107268</v>
      </c>
      <c r="BJ1394" s="624">
        <v>40205</v>
      </c>
      <c r="BK1394" s="355">
        <v>3.0248000000000001E-2</v>
      </c>
    </row>
    <row r="1395" spans="3:63" x14ac:dyDescent="0.15">
      <c r="C1395" s="624"/>
      <c r="D1395" s="355">
        <v>3.3230000000000003E-2</v>
      </c>
      <c r="AV1395" s="624"/>
      <c r="AX1395" s="624">
        <v>40212</v>
      </c>
      <c r="AY1395" s="355">
        <v>3.329E-2</v>
      </c>
      <c r="AZ1395" s="624">
        <v>40276</v>
      </c>
      <c r="BA1395" s="355">
        <v>1.34E-2</v>
      </c>
      <c r="BB1395" s="624">
        <v>40207</v>
      </c>
      <c r="BC1395" s="355">
        <v>0.34229999999999999</v>
      </c>
      <c r="BD1395" s="624">
        <v>40207</v>
      </c>
      <c r="BE1395" s="355">
        <v>8.6309999999999998E-2</v>
      </c>
      <c r="BF1395" s="624">
        <v>40274</v>
      </c>
      <c r="BG1395" s="355">
        <v>2.2487E-2</v>
      </c>
      <c r="BH1395" s="624">
        <v>40207</v>
      </c>
      <c r="BI1395" s="355">
        <v>0.106867</v>
      </c>
      <c r="BJ1395" s="624">
        <v>40206</v>
      </c>
      <c r="BK1395" s="355">
        <v>3.0197999999999999E-2</v>
      </c>
    </row>
    <row r="1396" spans="3:63" x14ac:dyDescent="0.15">
      <c r="C1396" s="624"/>
      <c r="D1396" s="355">
        <v>3.329E-2</v>
      </c>
      <c r="AV1396" s="624"/>
      <c r="AX1396" s="624">
        <v>40213</v>
      </c>
      <c r="AY1396" s="355">
        <v>3.2800000000000003E-2</v>
      </c>
      <c r="AZ1396" s="624">
        <v>40277</v>
      </c>
      <c r="BA1396" s="355">
        <v>1.35E-2</v>
      </c>
      <c r="BB1396" s="624">
        <v>40210</v>
      </c>
      <c r="BC1396" s="355">
        <v>0.35010000000000002</v>
      </c>
      <c r="BD1396" s="624">
        <v>40210</v>
      </c>
      <c r="BE1396" s="355">
        <v>8.6220000000000005E-2</v>
      </c>
      <c r="BF1396" s="624">
        <v>40275</v>
      </c>
      <c r="BG1396" s="355">
        <v>2.2449E-2</v>
      </c>
      <c r="BH1396" s="624">
        <v>40210</v>
      </c>
      <c r="BI1396" s="355">
        <v>0.107997</v>
      </c>
      <c r="BJ1396" s="624">
        <v>40207</v>
      </c>
      <c r="BK1396" s="355">
        <v>3.0138999999999999E-2</v>
      </c>
    </row>
    <row r="1397" spans="3:63" x14ac:dyDescent="0.15">
      <c r="C1397" s="624"/>
      <c r="D1397" s="355">
        <v>3.2800000000000003E-2</v>
      </c>
      <c r="AV1397" s="624"/>
      <c r="AX1397" s="624">
        <v>40214</v>
      </c>
      <c r="AY1397" s="355">
        <v>3.2779999999999997E-2</v>
      </c>
      <c r="AZ1397" s="624">
        <v>40280</v>
      </c>
      <c r="BA1397" s="355">
        <v>1.3599999999999999E-2</v>
      </c>
      <c r="BB1397" s="624">
        <v>40211</v>
      </c>
      <c r="BC1397" s="355">
        <v>0.3513</v>
      </c>
      <c r="BD1397" s="624">
        <v>40211</v>
      </c>
      <c r="BE1397" s="355">
        <v>8.6730000000000002E-2</v>
      </c>
      <c r="BF1397" s="624">
        <v>40276</v>
      </c>
      <c r="BG1397" s="355">
        <v>2.2540000000000001E-2</v>
      </c>
      <c r="BH1397" s="624">
        <v>40211</v>
      </c>
      <c r="BI1397" s="355">
        <v>0.106878</v>
      </c>
      <c r="BJ1397" s="624">
        <v>40210</v>
      </c>
      <c r="BK1397" s="355">
        <v>3.0183999999999999E-2</v>
      </c>
    </row>
    <row r="1398" spans="3:63" x14ac:dyDescent="0.15">
      <c r="C1398" s="624"/>
      <c r="D1398" s="355">
        <v>3.2779999999999997E-2</v>
      </c>
      <c r="AV1398" s="624"/>
      <c r="AX1398" s="624">
        <v>40217</v>
      </c>
      <c r="AY1398" s="355">
        <v>3.2730000000000002E-2</v>
      </c>
      <c r="AZ1398" s="624">
        <v>40281</v>
      </c>
      <c r="BA1398" s="355">
        <v>1.3599999999999999E-2</v>
      </c>
      <c r="BB1398" s="624">
        <v>40212</v>
      </c>
      <c r="BC1398" s="355">
        <v>0.34710000000000002</v>
      </c>
      <c r="BD1398" s="624">
        <v>40212</v>
      </c>
      <c r="BE1398" s="355">
        <v>8.6800000000000002E-2</v>
      </c>
      <c r="BF1398" s="624">
        <v>40277</v>
      </c>
      <c r="BG1398" s="355">
        <v>2.2581E-2</v>
      </c>
      <c r="BH1398" s="624">
        <v>40212</v>
      </c>
      <c r="BI1398" s="355">
        <v>0.107654</v>
      </c>
      <c r="BJ1398" s="624">
        <v>40211</v>
      </c>
      <c r="BK1398" s="355">
        <v>3.0175E-2</v>
      </c>
    </row>
    <row r="1399" spans="3:63" x14ac:dyDescent="0.15">
      <c r="C1399" s="624"/>
      <c r="D1399" s="355">
        <v>3.2730000000000002E-2</v>
      </c>
      <c r="AV1399" s="624"/>
      <c r="AX1399" s="624">
        <v>40218</v>
      </c>
      <c r="AY1399" s="355">
        <v>3.3070000000000002E-2</v>
      </c>
      <c r="AZ1399" s="624">
        <v>40282</v>
      </c>
      <c r="BA1399" s="355">
        <v>1.37E-2</v>
      </c>
      <c r="BB1399" s="624">
        <v>40213</v>
      </c>
      <c r="BC1399" s="355">
        <v>0.3367</v>
      </c>
      <c r="BD1399" s="624">
        <v>40213</v>
      </c>
      <c r="BE1399" s="355">
        <v>8.5070000000000007E-2</v>
      </c>
      <c r="BF1399" s="624">
        <v>40280</v>
      </c>
      <c r="BG1399" s="355">
        <v>2.2540000000000001E-2</v>
      </c>
      <c r="BH1399" s="624">
        <v>40213</v>
      </c>
      <c r="BI1399" s="355">
        <v>0.10700900000000001</v>
      </c>
      <c r="BJ1399" s="624">
        <v>40212</v>
      </c>
      <c r="BK1399" s="355">
        <v>3.0270999999999999E-2</v>
      </c>
    </row>
    <row r="1400" spans="3:63" x14ac:dyDescent="0.15">
      <c r="C1400" s="624"/>
      <c r="D1400" s="355">
        <v>3.3070000000000002E-2</v>
      </c>
      <c r="AV1400" s="624"/>
      <c r="AX1400" s="624">
        <v>40219</v>
      </c>
      <c r="AY1400" s="355">
        <v>3.3000000000000002E-2</v>
      </c>
      <c r="AZ1400" s="624">
        <v>40283</v>
      </c>
      <c r="BA1400" s="355">
        <v>1.37E-2</v>
      </c>
      <c r="BB1400" s="624">
        <v>40214</v>
      </c>
      <c r="BC1400" s="355">
        <v>0.33379999999999999</v>
      </c>
      <c r="BD1400" s="624">
        <v>40214</v>
      </c>
      <c r="BE1400" s="355">
        <v>8.5059999999999997E-2</v>
      </c>
      <c r="BF1400" s="624">
        <v>40281</v>
      </c>
      <c r="BG1400" s="355">
        <v>2.2478000000000001E-2</v>
      </c>
      <c r="BH1400" s="624">
        <v>40214</v>
      </c>
      <c r="BI1400" s="355">
        <v>0.105848</v>
      </c>
      <c r="BJ1400" s="624">
        <v>40213</v>
      </c>
      <c r="BK1400" s="355">
        <v>3.0165999999999998E-2</v>
      </c>
    </row>
    <row r="1401" spans="3:63" x14ac:dyDescent="0.15">
      <c r="C1401" s="624"/>
      <c r="D1401" s="355">
        <v>3.3000000000000002E-2</v>
      </c>
      <c r="AV1401" s="624"/>
      <c r="AX1401" s="624">
        <v>40220</v>
      </c>
      <c r="AY1401" s="355">
        <v>3.3180000000000001E-2</v>
      </c>
      <c r="AZ1401" s="624">
        <v>40284</v>
      </c>
      <c r="BA1401" s="355">
        <v>1.3599999999999999E-2</v>
      </c>
      <c r="BB1401" s="624">
        <v>40217</v>
      </c>
      <c r="BC1401" s="355">
        <v>0.33150000000000002</v>
      </c>
      <c r="BD1401" s="624">
        <v>40217</v>
      </c>
      <c r="BE1401" s="355">
        <v>8.5360000000000005E-2</v>
      </c>
      <c r="BF1401" s="624">
        <v>40283</v>
      </c>
      <c r="BG1401" s="355">
        <v>2.2502000000000001E-2</v>
      </c>
      <c r="BH1401" s="624">
        <v>40217</v>
      </c>
      <c r="BI1401" s="355">
        <v>0.10635500000000001</v>
      </c>
      <c r="BJ1401" s="624">
        <v>40214</v>
      </c>
      <c r="BK1401" s="355">
        <v>3.0193000000000001E-2</v>
      </c>
    </row>
    <row r="1402" spans="3:63" x14ac:dyDescent="0.15">
      <c r="C1402" s="624"/>
      <c r="D1402" s="355">
        <v>3.3180000000000001E-2</v>
      </c>
      <c r="AV1402" s="624"/>
      <c r="AX1402" s="624">
        <v>40221</v>
      </c>
      <c r="AY1402" s="355">
        <v>3.3079999999999998E-2</v>
      </c>
      <c r="AZ1402" s="624">
        <v>40287</v>
      </c>
      <c r="BA1402" s="355">
        <v>1.3599999999999999E-2</v>
      </c>
      <c r="BB1402" s="624">
        <v>40218</v>
      </c>
      <c r="BC1402" s="355">
        <v>0.33929999999999999</v>
      </c>
      <c r="BD1402" s="624">
        <v>40218</v>
      </c>
      <c r="BE1402" s="355">
        <v>8.6470000000000005E-2</v>
      </c>
      <c r="BF1402" s="624">
        <v>40284</v>
      </c>
      <c r="BG1402" s="355">
        <v>2.2558000000000002E-2</v>
      </c>
      <c r="BH1402" s="624">
        <v>40218</v>
      </c>
      <c r="BI1402" s="355">
        <v>0.10725</v>
      </c>
      <c r="BJ1402" s="624">
        <v>40217</v>
      </c>
      <c r="BK1402" s="355">
        <v>3.0124999999999999E-2</v>
      </c>
    </row>
    <row r="1403" spans="3:63" x14ac:dyDescent="0.15">
      <c r="C1403" s="624"/>
      <c r="D1403" s="355">
        <v>3.3079999999999998E-2</v>
      </c>
      <c r="AV1403" s="624"/>
      <c r="AX1403" s="624">
        <v>40224</v>
      </c>
      <c r="AY1403" s="355">
        <v>3.3070000000000002E-2</v>
      </c>
      <c r="AZ1403" s="624">
        <v>40288</v>
      </c>
      <c r="BA1403" s="355">
        <v>1.35E-2</v>
      </c>
      <c r="BB1403" s="624">
        <v>40219</v>
      </c>
      <c r="BC1403" s="355">
        <v>0.33810000000000001</v>
      </c>
      <c r="BD1403" s="624">
        <v>40219</v>
      </c>
      <c r="BE1403" s="355">
        <v>8.6139999999999994E-2</v>
      </c>
      <c r="BF1403" s="624">
        <v>40287</v>
      </c>
      <c r="BG1403" s="355">
        <v>2.2356000000000001E-2</v>
      </c>
      <c r="BH1403" s="624">
        <v>40219</v>
      </c>
      <c r="BI1403" s="355">
        <v>0.10675800000000001</v>
      </c>
      <c r="BJ1403" s="624">
        <v>40218</v>
      </c>
      <c r="BK1403" s="355">
        <v>3.0197999999999999E-2</v>
      </c>
    </row>
    <row r="1404" spans="3:63" x14ac:dyDescent="0.15">
      <c r="C1404" s="624"/>
      <c r="D1404" s="355">
        <v>3.3070000000000002E-2</v>
      </c>
      <c r="AV1404" s="624"/>
      <c r="AX1404" s="624">
        <v>40225</v>
      </c>
      <c r="AY1404" s="355">
        <v>3.338E-2</v>
      </c>
      <c r="AZ1404" s="624">
        <v>40289</v>
      </c>
      <c r="BA1404" s="355">
        <v>1.34E-2</v>
      </c>
      <c r="BB1404" s="624">
        <v>40220</v>
      </c>
      <c r="BC1404" s="355">
        <v>0.3412</v>
      </c>
      <c r="BD1404" s="624">
        <v>40220</v>
      </c>
      <c r="BE1404" s="355">
        <v>8.6699999999999999E-2</v>
      </c>
      <c r="BF1404" s="624">
        <v>40288</v>
      </c>
      <c r="BG1404" s="355">
        <v>2.2467999999999998E-2</v>
      </c>
      <c r="BH1404" s="624">
        <v>40220</v>
      </c>
      <c r="BI1404" s="355">
        <v>0.106752</v>
      </c>
      <c r="BJ1404" s="624">
        <v>40219</v>
      </c>
      <c r="BK1404" s="355">
        <v>3.0138999999999999E-2</v>
      </c>
    </row>
    <row r="1405" spans="3:63" x14ac:dyDescent="0.15">
      <c r="C1405" s="624"/>
      <c r="D1405" s="355">
        <v>3.338E-2</v>
      </c>
      <c r="AV1405" s="624"/>
      <c r="AX1405" s="624">
        <v>40226</v>
      </c>
      <c r="AY1405" s="355">
        <v>3.3189999999999997E-2</v>
      </c>
      <c r="AZ1405" s="624">
        <v>40290</v>
      </c>
      <c r="BA1405" s="355">
        <v>1.34E-2</v>
      </c>
      <c r="BB1405" s="624">
        <v>40221</v>
      </c>
      <c r="BC1405" s="355">
        <v>0.33910000000000001</v>
      </c>
      <c r="BD1405" s="624">
        <v>40221</v>
      </c>
      <c r="BE1405" s="355">
        <v>8.6260000000000003E-2</v>
      </c>
      <c r="BF1405" s="624">
        <v>40289</v>
      </c>
      <c r="BG1405" s="355">
        <v>2.2442E-2</v>
      </c>
      <c r="BH1405" s="624">
        <v>40221</v>
      </c>
      <c r="BI1405" s="355">
        <v>0.10706599999999999</v>
      </c>
      <c r="BJ1405" s="624">
        <v>40220</v>
      </c>
      <c r="BK1405" s="355">
        <v>3.0157E-2</v>
      </c>
    </row>
    <row r="1406" spans="3:63" x14ac:dyDescent="0.15">
      <c r="C1406" s="624"/>
      <c r="D1406" s="355">
        <v>3.3189999999999997E-2</v>
      </c>
      <c r="AV1406" s="624"/>
      <c r="AX1406" s="624">
        <v>40227</v>
      </c>
      <c r="AY1406" s="355">
        <v>3.3259999999999998E-2</v>
      </c>
      <c r="AZ1406" s="624">
        <v>40291</v>
      </c>
      <c r="BA1406" s="355">
        <v>1.35E-2</v>
      </c>
      <c r="BB1406" s="624">
        <v>40224</v>
      </c>
      <c r="BC1406" s="355">
        <v>0.33729999999999999</v>
      </c>
      <c r="BD1406" s="624">
        <v>40224</v>
      </c>
      <c r="BE1406" s="355">
        <v>8.6529999999999996E-2</v>
      </c>
      <c r="BF1406" s="624">
        <v>40290</v>
      </c>
      <c r="BG1406" s="355">
        <v>2.2450000000000001E-2</v>
      </c>
      <c r="BH1406" s="624">
        <v>40224</v>
      </c>
      <c r="BI1406" s="355">
        <v>0.10695200000000001</v>
      </c>
      <c r="BJ1406" s="624">
        <v>40221</v>
      </c>
      <c r="BK1406" s="355">
        <v>3.0130000000000001E-2</v>
      </c>
    </row>
    <row r="1407" spans="3:63" x14ac:dyDescent="0.15">
      <c r="C1407" s="624"/>
      <c r="D1407" s="355">
        <v>3.3259999999999998E-2</v>
      </c>
      <c r="AV1407" s="624"/>
      <c r="AX1407" s="624">
        <v>40228</v>
      </c>
      <c r="AY1407" s="355">
        <v>3.3360000000000001E-2</v>
      </c>
      <c r="AZ1407" s="624">
        <v>40294</v>
      </c>
      <c r="BA1407" s="355">
        <v>1.35E-2</v>
      </c>
      <c r="BB1407" s="624">
        <v>40225</v>
      </c>
      <c r="BC1407" s="355">
        <v>0.34610000000000002</v>
      </c>
      <c r="BD1407" s="624">
        <v>40225</v>
      </c>
      <c r="BE1407" s="355">
        <v>8.7169999999999997E-2</v>
      </c>
      <c r="BF1407" s="624">
        <v>40291</v>
      </c>
      <c r="BG1407" s="355">
        <v>2.2502000000000001E-2</v>
      </c>
      <c r="BH1407" s="624">
        <v>40225</v>
      </c>
      <c r="BI1407" s="355">
        <v>0.107394</v>
      </c>
      <c r="BJ1407" s="624">
        <v>40224</v>
      </c>
      <c r="BK1407" s="355">
        <v>3.0120000000000001E-2</v>
      </c>
    </row>
    <row r="1408" spans="3:63" x14ac:dyDescent="0.15">
      <c r="C1408" s="624"/>
      <c r="D1408" s="355">
        <v>3.3360000000000001E-2</v>
      </c>
      <c r="AV1408" s="624"/>
      <c r="AX1408" s="624">
        <v>40231</v>
      </c>
      <c r="AY1408" s="355">
        <v>3.3419999999999998E-2</v>
      </c>
      <c r="AZ1408" s="624">
        <v>40295</v>
      </c>
      <c r="BA1408" s="355">
        <v>1.3299999999999999E-2</v>
      </c>
      <c r="BB1408" s="624">
        <v>40226</v>
      </c>
      <c r="BC1408" s="355">
        <v>0.34189999999999998</v>
      </c>
      <c r="BD1408" s="624">
        <v>40226</v>
      </c>
      <c r="BE1408" s="355">
        <v>8.7340000000000001E-2</v>
      </c>
      <c r="BF1408" s="624">
        <v>40294</v>
      </c>
      <c r="BG1408" s="355">
        <v>2.2523000000000001E-2</v>
      </c>
      <c r="BH1408" s="624">
        <v>40226</v>
      </c>
      <c r="BI1408" s="355">
        <v>0.10773000000000001</v>
      </c>
      <c r="BJ1408" s="624">
        <v>40225</v>
      </c>
      <c r="BK1408" s="355">
        <v>3.0175E-2</v>
      </c>
    </row>
    <row r="1409" spans="3:63" x14ac:dyDescent="0.15">
      <c r="C1409" s="624"/>
      <c r="D1409" s="355">
        <v>3.3419999999999998E-2</v>
      </c>
      <c r="AV1409" s="624"/>
      <c r="AX1409" s="624">
        <v>40232</v>
      </c>
      <c r="AY1409" s="355">
        <v>3.3340000000000002E-2</v>
      </c>
      <c r="AZ1409" s="624">
        <v>40296</v>
      </c>
      <c r="BA1409" s="355">
        <v>1.3299999999999999E-2</v>
      </c>
      <c r="BB1409" s="624">
        <v>40227</v>
      </c>
      <c r="BC1409" s="355">
        <v>0.33760000000000001</v>
      </c>
      <c r="BD1409" s="624">
        <v>40227</v>
      </c>
      <c r="BE1409" s="355">
        <v>8.6959999999999996E-2</v>
      </c>
      <c r="BF1409" s="624">
        <v>40295</v>
      </c>
      <c r="BG1409" s="355">
        <v>2.2499999999999999E-2</v>
      </c>
      <c r="BH1409" s="624">
        <v>40227</v>
      </c>
      <c r="BI1409" s="355">
        <v>0.1074</v>
      </c>
      <c r="BJ1409" s="624">
        <v>40226</v>
      </c>
      <c r="BK1409" s="355">
        <v>3.0138999999999999E-2</v>
      </c>
    </row>
    <row r="1410" spans="3:63" x14ac:dyDescent="0.15">
      <c r="C1410" s="624"/>
      <c r="D1410" s="355">
        <v>3.3340000000000002E-2</v>
      </c>
      <c r="AV1410" s="624"/>
      <c r="AX1410" s="624">
        <v>40233</v>
      </c>
      <c r="AY1410" s="355">
        <v>3.3300000000000003E-2</v>
      </c>
      <c r="AZ1410" s="624">
        <v>40297</v>
      </c>
      <c r="BA1410" s="355">
        <v>1.3299999999999999E-2</v>
      </c>
      <c r="BB1410" s="624">
        <v>40228</v>
      </c>
      <c r="BC1410" s="355">
        <v>0.34189999999999998</v>
      </c>
      <c r="BD1410" s="624">
        <v>40228</v>
      </c>
      <c r="BE1410" s="355">
        <v>8.6809999999999998E-2</v>
      </c>
      <c r="BF1410" s="624">
        <v>40296</v>
      </c>
      <c r="BG1410" s="355">
        <v>2.2398999999999999E-2</v>
      </c>
      <c r="BH1410" s="624">
        <v>40228</v>
      </c>
      <c r="BI1410" s="355">
        <v>0.107095</v>
      </c>
      <c r="BJ1410" s="624">
        <v>40227</v>
      </c>
      <c r="BK1410" s="355">
        <v>3.0130000000000001E-2</v>
      </c>
    </row>
    <row r="1411" spans="3:63" x14ac:dyDescent="0.15">
      <c r="C1411" s="624"/>
      <c r="D1411" s="355">
        <v>3.3300000000000003E-2</v>
      </c>
      <c r="AV1411" s="624"/>
      <c r="AX1411" s="624">
        <v>40234</v>
      </c>
      <c r="AY1411" s="355">
        <v>3.3320000000000002E-2</v>
      </c>
      <c r="AZ1411" s="624">
        <v>40298</v>
      </c>
      <c r="BA1411" s="355">
        <v>1.34E-2</v>
      </c>
      <c r="BB1411" s="624">
        <v>40231</v>
      </c>
      <c r="BC1411" s="355">
        <v>0.34300000000000003</v>
      </c>
      <c r="BD1411" s="624">
        <v>40231</v>
      </c>
      <c r="BE1411" s="355">
        <v>8.7150000000000005E-2</v>
      </c>
      <c r="BF1411" s="624">
        <v>40297</v>
      </c>
      <c r="BG1411" s="355">
        <v>2.2471999999999999E-2</v>
      </c>
      <c r="BH1411" s="624">
        <v>40231</v>
      </c>
      <c r="BI1411" s="355">
        <v>0.10761900000000001</v>
      </c>
      <c r="BJ1411" s="624">
        <v>40228</v>
      </c>
      <c r="BK1411" s="355">
        <v>3.0085000000000001E-2</v>
      </c>
    </row>
    <row r="1412" spans="3:63" x14ac:dyDescent="0.15">
      <c r="C1412" s="624"/>
      <c r="D1412" s="355">
        <v>3.3320000000000002E-2</v>
      </c>
      <c r="AV1412" s="624"/>
      <c r="AX1412" s="624">
        <v>40235</v>
      </c>
      <c r="AY1412" s="355">
        <v>3.3439999999999998E-2</v>
      </c>
      <c r="AZ1412" s="624">
        <v>40301</v>
      </c>
      <c r="BA1412" s="355">
        <v>1.3299999999999999E-2</v>
      </c>
      <c r="BB1412" s="624">
        <v>40232</v>
      </c>
      <c r="BC1412" s="355">
        <v>0.33800000000000002</v>
      </c>
      <c r="BD1412" s="624">
        <v>40232</v>
      </c>
      <c r="BE1412" s="355">
        <v>8.6349999999999996E-2</v>
      </c>
      <c r="BF1412" s="624">
        <v>40298</v>
      </c>
      <c r="BG1412" s="355">
        <v>2.2542E-2</v>
      </c>
      <c r="BH1412" s="624">
        <v>40232</v>
      </c>
      <c r="BI1412" s="355">
        <v>0.107614</v>
      </c>
      <c r="BJ1412" s="624">
        <v>40231</v>
      </c>
      <c r="BK1412" s="355">
        <v>3.0179999999999998E-2</v>
      </c>
    </row>
    <row r="1413" spans="3:63" x14ac:dyDescent="0.15">
      <c r="C1413" s="624"/>
      <c r="D1413" s="355">
        <v>3.3439999999999998E-2</v>
      </c>
      <c r="AV1413" s="624"/>
      <c r="AX1413" s="624">
        <v>40238</v>
      </c>
      <c r="AY1413" s="355">
        <v>3.3419999999999998E-2</v>
      </c>
      <c r="AZ1413" s="624">
        <v>40302</v>
      </c>
      <c r="BA1413" s="355">
        <v>1.3100000000000001E-2</v>
      </c>
      <c r="BB1413" s="624">
        <v>40233</v>
      </c>
      <c r="BC1413" s="355">
        <v>0.34</v>
      </c>
      <c r="BD1413" s="624">
        <v>40233</v>
      </c>
      <c r="BE1413" s="355">
        <v>8.6690000000000003E-2</v>
      </c>
      <c r="BF1413" s="624">
        <v>40301</v>
      </c>
      <c r="BG1413" s="355">
        <v>2.2460000000000001E-2</v>
      </c>
      <c r="BH1413" s="624">
        <v>40233</v>
      </c>
      <c r="BI1413" s="355">
        <v>0.10702100000000001</v>
      </c>
      <c r="BJ1413" s="624">
        <v>40232</v>
      </c>
      <c r="BK1413" s="355">
        <v>3.0193000000000001E-2</v>
      </c>
    </row>
    <row r="1414" spans="3:63" x14ac:dyDescent="0.15">
      <c r="C1414" s="624"/>
      <c r="D1414" s="355">
        <v>3.3419999999999998E-2</v>
      </c>
      <c r="AV1414" s="624"/>
      <c r="AX1414" s="624">
        <v>40239</v>
      </c>
      <c r="AY1414" s="355">
        <v>3.3529999999999997E-2</v>
      </c>
      <c r="AZ1414" s="624">
        <v>40303</v>
      </c>
      <c r="BA1414" s="355">
        <v>1.29E-2</v>
      </c>
      <c r="BB1414" s="624">
        <v>40234</v>
      </c>
      <c r="BC1414" s="355">
        <v>0.34110000000000001</v>
      </c>
      <c r="BD1414" s="624">
        <v>40234</v>
      </c>
      <c r="BE1414" s="355">
        <v>8.5949999999999999E-2</v>
      </c>
      <c r="BF1414" s="624">
        <v>40302</v>
      </c>
      <c r="BG1414" s="355">
        <v>2.2409999999999999E-2</v>
      </c>
      <c r="BH1414" s="624">
        <v>40234</v>
      </c>
      <c r="BI1414" s="355">
        <v>0.10698100000000001</v>
      </c>
      <c r="BJ1414" s="624">
        <v>40233</v>
      </c>
      <c r="BK1414" s="355">
        <v>3.0303E-2</v>
      </c>
    </row>
    <row r="1415" spans="3:63" x14ac:dyDescent="0.15">
      <c r="C1415" s="624"/>
      <c r="D1415" s="355">
        <v>3.3529999999999997E-2</v>
      </c>
      <c r="AV1415" s="624"/>
      <c r="AX1415" s="624">
        <v>40240</v>
      </c>
      <c r="AY1415" s="355">
        <v>3.3570000000000003E-2</v>
      </c>
      <c r="AZ1415" s="624">
        <v>40304</v>
      </c>
      <c r="BA1415" s="355">
        <v>1.26E-2</v>
      </c>
      <c r="BB1415" s="624">
        <v>40235</v>
      </c>
      <c r="BC1415" s="355">
        <v>0.34570000000000001</v>
      </c>
      <c r="BD1415" s="624">
        <v>40235</v>
      </c>
      <c r="BE1415" s="355">
        <v>8.6660000000000001E-2</v>
      </c>
      <c r="BF1415" s="624">
        <v>40303</v>
      </c>
      <c r="BG1415" s="355">
        <v>2.2256000000000001E-2</v>
      </c>
      <c r="BH1415" s="624">
        <v>40235</v>
      </c>
      <c r="BI1415" s="355">
        <v>0.107239</v>
      </c>
      <c r="BJ1415" s="624">
        <v>40234</v>
      </c>
      <c r="BK1415" s="355">
        <v>3.0224999999999998E-2</v>
      </c>
    </row>
    <row r="1416" spans="3:63" x14ac:dyDescent="0.15">
      <c r="C1416" s="624"/>
      <c r="D1416" s="355">
        <v>3.3570000000000003E-2</v>
      </c>
      <c r="AV1416" s="624"/>
      <c r="AX1416" s="624">
        <v>40241</v>
      </c>
      <c r="AY1416" s="355">
        <v>3.3489999999999999E-2</v>
      </c>
      <c r="AZ1416" s="624">
        <v>40305</v>
      </c>
      <c r="BA1416" s="355">
        <v>1.2699999999999999E-2</v>
      </c>
      <c r="BB1416" s="624">
        <v>40238</v>
      </c>
      <c r="BC1416" s="355">
        <v>0.34560000000000002</v>
      </c>
      <c r="BD1416" s="624">
        <v>40238</v>
      </c>
      <c r="BE1416" s="355">
        <v>8.6749999999999994E-2</v>
      </c>
      <c r="BF1416" s="624">
        <v>40304</v>
      </c>
      <c r="BG1416" s="355">
        <v>2.2072999999999999E-2</v>
      </c>
      <c r="BH1416" s="624">
        <v>40238</v>
      </c>
      <c r="BI1416" s="355">
        <v>0.10775899999999999</v>
      </c>
      <c r="BJ1416" s="624">
        <v>40235</v>
      </c>
      <c r="BK1416" s="355">
        <v>3.0256999999999999E-2</v>
      </c>
    </row>
    <row r="1417" spans="3:63" x14ac:dyDescent="0.15">
      <c r="C1417" s="624"/>
      <c r="D1417" s="355">
        <v>3.3489999999999999E-2</v>
      </c>
      <c r="AV1417" s="624"/>
      <c r="AX1417" s="624">
        <v>40242</v>
      </c>
      <c r="AY1417" s="355">
        <v>3.3590000000000002E-2</v>
      </c>
      <c r="AZ1417" s="624">
        <v>40308</v>
      </c>
      <c r="BA1417" s="355">
        <v>1.2800000000000001E-2</v>
      </c>
      <c r="BB1417" s="624">
        <v>40239</v>
      </c>
      <c r="BC1417" s="355">
        <v>0.34770000000000001</v>
      </c>
      <c r="BD1417" s="624">
        <v>40239</v>
      </c>
      <c r="BE1417" s="355">
        <v>8.7179999999999994E-2</v>
      </c>
      <c r="BF1417" s="624">
        <v>40305</v>
      </c>
      <c r="BG1417" s="355">
        <v>2.1988000000000001E-2</v>
      </c>
      <c r="BH1417" s="624">
        <v>40239</v>
      </c>
      <c r="BI1417" s="355">
        <v>0.107527</v>
      </c>
      <c r="BJ1417" s="624">
        <v>40238</v>
      </c>
      <c r="BK1417" s="355">
        <v>3.0469E-2</v>
      </c>
    </row>
    <row r="1418" spans="3:63" x14ac:dyDescent="0.15">
      <c r="C1418" s="624"/>
      <c r="D1418" s="355">
        <v>3.3590000000000002E-2</v>
      </c>
      <c r="AV1418" s="624"/>
      <c r="AX1418" s="624">
        <v>40245</v>
      </c>
      <c r="AY1418" s="355">
        <v>3.3610000000000001E-2</v>
      </c>
      <c r="AZ1418" s="624">
        <v>40309</v>
      </c>
      <c r="BA1418" s="355">
        <v>1.26E-2</v>
      </c>
      <c r="BB1418" s="624">
        <v>40240</v>
      </c>
      <c r="BC1418" s="355">
        <v>0.35060000000000002</v>
      </c>
      <c r="BD1418" s="624">
        <v>40240</v>
      </c>
      <c r="BE1418" s="355">
        <v>8.7459999999999996E-2</v>
      </c>
      <c r="BF1418" s="624">
        <v>40308</v>
      </c>
      <c r="BG1418" s="355">
        <v>2.2290000000000001E-2</v>
      </c>
      <c r="BH1418" s="624">
        <v>40240</v>
      </c>
      <c r="BI1418" s="355">
        <v>0.10775899999999999</v>
      </c>
      <c r="BJ1418" s="624">
        <v>40239</v>
      </c>
      <c r="BK1418" s="355">
        <v>3.0581000000000001E-2</v>
      </c>
    </row>
    <row r="1419" spans="3:63" x14ac:dyDescent="0.15">
      <c r="C1419" s="624"/>
      <c r="D1419" s="355">
        <v>3.3610000000000001E-2</v>
      </c>
      <c r="AV1419" s="624"/>
      <c r="AX1419" s="624">
        <v>40246</v>
      </c>
      <c r="AY1419" s="355">
        <v>3.3619999999999997E-2</v>
      </c>
      <c r="AZ1419" s="624">
        <v>40310</v>
      </c>
      <c r="BA1419" s="355">
        <v>1.26E-2</v>
      </c>
      <c r="BB1419" s="624">
        <v>40241</v>
      </c>
      <c r="BC1419" s="355">
        <v>0.34849999999999998</v>
      </c>
      <c r="BD1419" s="624">
        <v>40241</v>
      </c>
      <c r="BE1419" s="355">
        <v>8.7359999999999993E-2</v>
      </c>
      <c r="BF1419" s="624">
        <v>40309</v>
      </c>
      <c r="BG1419" s="355">
        <v>2.2074E-2</v>
      </c>
      <c r="BH1419" s="624">
        <v>40241</v>
      </c>
      <c r="BI1419" s="355">
        <v>0.10770100000000001</v>
      </c>
      <c r="BJ1419" s="624">
        <v>40240</v>
      </c>
      <c r="BK1419" s="355">
        <v>3.0585999999999999E-2</v>
      </c>
    </row>
    <row r="1420" spans="3:63" x14ac:dyDescent="0.15">
      <c r="C1420" s="624"/>
      <c r="D1420" s="355">
        <v>3.3619999999999997E-2</v>
      </c>
      <c r="AV1420" s="624"/>
      <c r="AX1420" s="624">
        <v>40247</v>
      </c>
      <c r="AY1420" s="355">
        <v>3.3860000000000001E-2</v>
      </c>
      <c r="AZ1420" s="624">
        <v>40311</v>
      </c>
      <c r="BA1420" s="355">
        <v>1.2500000000000001E-2</v>
      </c>
      <c r="BB1420" s="624">
        <v>40242</v>
      </c>
      <c r="BC1420" s="355">
        <v>0.35170000000000001</v>
      </c>
      <c r="BD1420" s="624">
        <v>40242</v>
      </c>
      <c r="BE1420" s="355">
        <v>8.795E-2</v>
      </c>
      <c r="BF1420" s="624">
        <v>40310</v>
      </c>
      <c r="BG1420" s="355">
        <v>2.2166000000000002E-2</v>
      </c>
      <c r="BH1420" s="624">
        <v>40242</v>
      </c>
      <c r="BI1420" s="355">
        <v>0.108519</v>
      </c>
      <c r="BJ1420" s="624">
        <v>40241</v>
      </c>
      <c r="BK1420" s="355">
        <v>3.0633000000000001E-2</v>
      </c>
    </row>
    <row r="1421" spans="3:63" x14ac:dyDescent="0.15">
      <c r="C1421" s="624"/>
      <c r="D1421" s="355">
        <v>3.3860000000000001E-2</v>
      </c>
      <c r="AV1421" s="624"/>
      <c r="AX1421" s="624">
        <v>40248</v>
      </c>
      <c r="AY1421" s="355">
        <v>3.3950000000000001E-2</v>
      </c>
      <c r="AZ1421" s="624">
        <v>40312</v>
      </c>
      <c r="BA1421" s="355">
        <v>1.23E-2</v>
      </c>
      <c r="BB1421" s="624">
        <v>40245</v>
      </c>
      <c r="BC1421" s="355">
        <v>0.35239999999999999</v>
      </c>
      <c r="BD1421" s="624">
        <v>40245</v>
      </c>
      <c r="BE1421" s="355">
        <v>8.8340000000000002E-2</v>
      </c>
      <c r="BF1421" s="624">
        <v>40311</v>
      </c>
      <c r="BG1421" s="355">
        <v>2.2185E-2</v>
      </c>
      <c r="BH1421" s="624">
        <v>40245</v>
      </c>
      <c r="BI1421" s="355">
        <v>0.108873</v>
      </c>
      <c r="BJ1421" s="624">
        <v>40242</v>
      </c>
      <c r="BK1421" s="355">
        <v>3.0647000000000001E-2</v>
      </c>
    </row>
    <row r="1422" spans="3:63" x14ac:dyDescent="0.15">
      <c r="C1422" s="624"/>
      <c r="D1422" s="355">
        <v>3.3950000000000001E-2</v>
      </c>
      <c r="AV1422" s="624"/>
      <c r="AX1422" s="624">
        <v>40249</v>
      </c>
      <c r="AY1422" s="355">
        <v>3.4139999999999997E-2</v>
      </c>
      <c r="AZ1422" s="624">
        <v>40315</v>
      </c>
      <c r="BA1422" s="355">
        <v>1.23E-2</v>
      </c>
      <c r="BB1422" s="624">
        <v>40246</v>
      </c>
      <c r="BC1422" s="355">
        <v>0.35170000000000001</v>
      </c>
      <c r="BD1422" s="624">
        <v>40246</v>
      </c>
      <c r="BE1422" s="355">
        <v>8.8139999999999996E-2</v>
      </c>
      <c r="BF1422" s="624">
        <v>40312</v>
      </c>
      <c r="BG1422" s="355">
        <v>2.2120999999999998E-2</v>
      </c>
      <c r="BH1422" s="624">
        <v>40246</v>
      </c>
      <c r="BI1422" s="355">
        <v>0.10857799999999999</v>
      </c>
      <c r="BJ1422" s="624">
        <v>40245</v>
      </c>
      <c r="BK1422" s="355">
        <v>3.0589999999999999E-2</v>
      </c>
    </row>
    <row r="1423" spans="3:63" x14ac:dyDescent="0.15">
      <c r="C1423" s="624"/>
      <c r="D1423" s="355">
        <v>3.4139999999999997E-2</v>
      </c>
      <c r="AV1423" s="624"/>
      <c r="AX1423" s="624">
        <v>40252</v>
      </c>
      <c r="AY1423" s="355">
        <v>3.3980000000000003E-2</v>
      </c>
      <c r="AZ1423" s="624">
        <v>40316</v>
      </c>
      <c r="BA1423" s="355">
        <v>1.2E-2</v>
      </c>
      <c r="BB1423" s="624">
        <v>40247</v>
      </c>
      <c r="BC1423" s="355">
        <v>0.3518</v>
      </c>
      <c r="BD1423" s="624">
        <v>40247</v>
      </c>
      <c r="BE1423" s="355">
        <v>8.863E-2</v>
      </c>
      <c r="BF1423" s="624">
        <v>40315</v>
      </c>
      <c r="BG1423" s="355">
        <v>2.1915E-2</v>
      </c>
      <c r="BH1423" s="624">
        <v>40247</v>
      </c>
      <c r="BI1423" s="355">
        <v>0.10917</v>
      </c>
      <c r="BJ1423" s="624">
        <v>40246</v>
      </c>
      <c r="BK1423" s="355">
        <v>3.0575999999999999E-2</v>
      </c>
    </row>
    <row r="1424" spans="3:63" x14ac:dyDescent="0.15">
      <c r="C1424" s="624"/>
      <c r="D1424" s="355">
        <v>3.3980000000000003E-2</v>
      </c>
      <c r="AV1424" s="624"/>
      <c r="AX1424" s="624">
        <v>40253</v>
      </c>
      <c r="AY1424" s="355">
        <v>3.4139999999999997E-2</v>
      </c>
      <c r="AZ1424" s="624">
        <v>40317</v>
      </c>
      <c r="BA1424" s="355">
        <v>1.2200000000000001E-2</v>
      </c>
      <c r="BB1424" s="624">
        <v>40248</v>
      </c>
      <c r="BC1424" s="355">
        <v>0.3508</v>
      </c>
      <c r="BD1424" s="624">
        <v>40248</v>
      </c>
      <c r="BE1424" s="355">
        <v>8.8419999999999999E-2</v>
      </c>
      <c r="BF1424" s="624">
        <v>40316</v>
      </c>
      <c r="BG1424" s="355">
        <v>2.1935E-2</v>
      </c>
      <c r="BH1424" s="624">
        <v>40248</v>
      </c>
      <c r="BI1424" s="355">
        <v>0.10893899999999999</v>
      </c>
      <c r="BJ1424" s="624">
        <v>40247</v>
      </c>
      <c r="BK1424" s="355">
        <v>3.0595000000000001E-2</v>
      </c>
    </row>
    <row r="1425" spans="3:63" x14ac:dyDescent="0.15">
      <c r="C1425" s="624"/>
      <c r="D1425" s="355">
        <v>3.4139999999999997E-2</v>
      </c>
      <c r="AV1425" s="624"/>
      <c r="AX1425" s="624">
        <v>40254</v>
      </c>
      <c r="AY1425" s="355">
        <v>3.4279999999999998E-2</v>
      </c>
      <c r="AZ1425" s="624">
        <v>40318</v>
      </c>
      <c r="BA1425" s="355">
        <v>1.2200000000000001E-2</v>
      </c>
      <c r="BB1425" s="624">
        <v>40249</v>
      </c>
      <c r="BC1425" s="355">
        <v>0.35460000000000003</v>
      </c>
      <c r="BD1425" s="624">
        <v>40249</v>
      </c>
      <c r="BE1425" s="355">
        <v>8.8609999999999994E-2</v>
      </c>
      <c r="BF1425" s="624">
        <v>40317</v>
      </c>
      <c r="BG1425" s="355">
        <v>2.1568E-2</v>
      </c>
      <c r="BH1425" s="624">
        <v>40249</v>
      </c>
      <c r="BI1425" s="355">
        <v>0.10922999999999999</v>
      </c>
      <c r="BJ1425" s="624">
        <v>40248</v>
      </c>
      <c r="BK1425" s="355">
        <v>3.0589999999999999E-2</v>
      </c>
    </row>
    <row r="1426" spans="3:63" x14ac:dyDescent="0.15">
      <c r="C1426" s="624"/>
      <c r="D1426" s="355">
        <v>3.4279999999999998E-2</v>
      </c>
      <c r="AV1426" s="624"/>
      <c r="AX1426" s="624">
        <v>40255</v>
      </c>
      <c r="AY1426" s="355">
        <v>3.4119999999999998E-2</v>
      </c>
      <c r="AZ1426" s="624">
        <v>40319</v>
      </c>
      <c r="BA1426" s="355">
        <v>1.23E-2</v>
      </c>
      <c r="BB1426" s="624">
        <v>40252</v>
      </c>
      <c r="BC1426" s="355">
        <v>0.35120000000000001</v>
      </c>
      <c r="BD1426" s="624">
        <v>40252</v>
      </c>
      <c r="BE1426" s="355">
        <v>8.8120000000000004E-2</v>
      </c>
      <c r="BF1426" s="624">
        <v>40318</v>
      </c>
      <c r="BG1426" s="355">
        <v>2.1354000000000001E-2</v>
      </c>
      <c r="BH1426" s="624">
        <v>40252</v>
      </c>
      <c r="BI1426" s="355">
        <v>0.109111</v>
      </c>
      <c r="BJ1426" s="624">
        <v>40249</v>
      </c>
      <c r="BK1426" s="355">
        <v>3.0735999999999999E-2</v>
      </c>
    </row>
    <row r="1427" spans="3:63" x14ac:dyDescent="0.15">
      <c r="C1427" s="624"/>
      <c r="D1427" s="355">
        <v>3.4119999999999998E-2</v>
      </c>
      <c r="AV1427" s="624"/>
      <c r="AX1427" s="624">
        <v>40256</v>
      </c>
      <c r="AY1427" s="355">
        <v>3.4110000000000001E-2</v>
      </c>
      <c r="AZ1427" s="624">
        <v>40322</v>
      </c>
      <c r="BA1427" s="355">
        <v>1.21E-2</v>
      </c>
      <c r="BB1427" s="624">
        <v>40253</v>
      </c>
      <c r="BC1427" s="355">
        <v>0.35589999999999999</v>
      </c>
      <c r="BD1427" s="624">
        <v>40253</v>
      </c>
      <c r="BE1427" s="355">
        <v>8.8289999999999993E-2</v>
      </c>
      <c r="BF1427" s="624">
        <v>40319</v>
      </c>
      <c r="BG1427" s="355">
        <v>2.1304E-2</v>
      </c>
      <c r="BH1427" s="624">
        <v>40253</v>
      </c>
      <c r="BI1427" s="355">
        <v>0.10899200000000001</v>
      </c>
      <c r="BJ1427" s="624">
        <v>40252</v>
      </c>
      <c r="BK1427" s="355">
        <v>3.0721999999999999E-2</v>
      </c>
    </row>
    <row r="1428" spans="3:63" x14ac:dyDescent="0.15">
      <c r="C1428" s="624"/>
      <c r="D1428" s="355">
        <v>3.4110000000000001E-2</v>
      </c>
      <c r="AV1428" s="624"/>
      <c r="AX1428" s="624">
        <v>40259</v>
      </c>
      <c r="AY1428" s="355">
        <v>3.3860000000000001E-2</v>
      </c>
      <c r="AZ1428" s="624">
        <v>40323</v>
      </c>
      <c r="BA1428" s="355">
        <v>1.2E-2</v>
      </c>
      <c r="BB1428" s="624">
        <v>40254</v>
      </c>
      <c r="BC1428" s="355">
        <v>0.3553</v>
      </c>
      <c r="BD1428" s="624">
        <v>40254</v>
      </c>
      <c r="BE1428" s="355">
        <v>8.8609999999999994E-2</v>
      </c>
      <c r="BF1428" s="624">
        <v>40322</v>
      </c>
      <c r="BG1428" s="355">
        <v>2.1287E-2</v>
      </c>
      <c r="BH1428" s="624">
        <v>40254</v>
      </c>
      <c r="BI1428" s="355">
        <v>0.109709</v>
      </c>
      <c r="BJ1428" s="624">
        <v>40253</v>
      </c>
      <c r="BK1428" s="355">
        <v>3.0835999999999999E-2</v>
      </c>
    </row>
    <row r="1429" spans="3:63" x14ac:dyDescent="0.15">
      <c r="C1429" s="624"/>
      <c r="D1429" s="355">
        <v>3.3860000000000001E-2</v>
      </c>
      <c r="AV1429" s="624"/>
      <c r="AX1429" s="624">
        <v>40260</v>
      </c>
      <c r="AY1429" s="355">
        <v>3.3890000000000003E-2</v>
      </c>
      <c r="AZ1429" s="624">
        <v>40324</v>
      </c>
      <c r="BA1429" s="355">
        <v>1.18E-2</v>
      </c>
      <c r="BB1429" s="624">
        <v>40255</v>
      </c>
      <c r="BC1429" s="355">
        <v>0.3508</v>
      </c>
      <c r="BD1429" s="624">
        <v>40255</v>
      </c>
      <c r="BE1429" s="355">
        <v>8.8179999999999994E-2</v>
      </c>
      <c r="BF1429" s="624">
        <v>40323</v>
      </c>
      <c r="BG1429" s="355">
        <v>2.0964E-2</v>
      </c>
      <c r="BH1429" s="624">
        <v>40255</v>
      </c>
      <c r="BI1429" s="355">
        <v>0.10958900000000001</v>
      </c>
      <c r="BJ1429" s="624">
        <v>40254</v>
      </c>
      <c r="BK1429" s="355">
        <v>3.0979E-2</v>
      </c>
    </row>
    <row r="1430" spans="3:63" x14ac:dyDescent="0.15">
      <c r="C1430" s="624"/>
      <c r="D1430" s="355">
        <v>3.3890000000000003E-2</v>
      </c>
      <c r="AV1430" s="624"/>
      <c r="AX1430" s="624">
        <v>40261</v>
      </c>
      <c r="AY1430" s="355">
        <v>3.3669999999999999E-2</v>
      </c>
      <c r="AZ1430" s="624">
        <v>40325</v>
      </c>
      <c r="BA1430" s="355">
        <v>1.2E-2</v>
      </c>
      <c r="BB1430" s="624">
        <v>40256</v>
      </c>
      <c r="BC1430" s="355">
        <v>0.34770000000000001</v>
      </c>
      <c r="BD1430" s="624">
        <v>40256</v>
      </c>
      <c r="BE1430" s="355">
        <v>8.8150000000000006E-2</v>
      </c>
      <c r="BF1430" s="624">
        <v>40324</v>
      </c>
      <c r="BG1430" s="355">
        <v>2.1144E-2</v>
      </c>
      <c r="BH1430" s="624">
        <v>40256</v>
      </c>
      <c r="BI1430" s="355">
        <v>0.10983</v>
      </c>
      <c r="BJ1430" s="624">
        <v>40255</v>
      </c>
      <c r="BK1430" s="355">
        <v>3.0960000000000001E-2</v>
      </c>
    </row>
    <row r="1431" spans="3:63" x14ac:dyDescent="0.15">
      <c r="C1431" s="624"/>
      <c r="D1431" s="355">
        <v>3.3669999999999999E-2</v>
      </c>
      <c r="AV1431" s="624"/>
      <c r="AX1431" s="624">
        <v>40262</v>
      </c>
      <c r="AY1431" s="355">
        <v>3.3739999999999999E-2</v>
      </c>
      <c r="AZ1431" s="624">
        <v>40326</v>
      </c>
      <c r="BA1431" s="355">
        <v>1.1900000000000001E-2</v>
      </c>
      <c r="BB1431" s="624">
        <v>40259</v>
      </c>
      <c r="BC1431" s="355">
        <v>0.34870000000000001</v>
      </c>
      <c r="BD1431" s="624">
        <v>40259</v>
      </c>
      <c r="BE1431" s="355">
        <v>8.8120000000000004E-2</v>
      </c>
      <c r="BF1431" s="624">
        <v>40326</v>
      </c>
      <c r="BG1431" s="355">
        <v>2.1568E-2</v>
      </c>
      <c r="BH1431" s="624">
        <v>40259</v>
      </c>
      <c r="BI1431" s="355">
        <v>0.10958900000000001</v>
      </c>
      <c r="BJ1431" s="624">
        <v>40256</v>
      </c>
      <c r="BK1431" s="355">
        <v>3.0865E-2</v>
      </c>
    </row>
    <row r="1432" spans="3:63" x14ac:dyDescent="0.15">
      <c r="C1432" s="624"/>
      <c r="D1432" s="355">
        <v>3.3739999999999999E-2</v>
      </c>
      <c r="AV1432" s="624"/>
      <c r="AX1432" s="624">
        <v>40263</v>
      </c>
      <c r="AY1432" s="355">
        <v>3.3790000000000001E-2</v>
      </c>
      <c r="AZ1432" s="624">
        <v>40329</v>
      </c>
      <c r="BA1432" s="355">
        <v>1.2E-2</v>
      </c>
      <c r="BB1432" s="624">
        <v>40260</v>
      </c>
      <c r="BC1432" s="355">
        <v>0.34739999999999999</v>
      </c>
      <c r="BD1432" s="624">
        <v>40260</v>
      </c>
      <c r="BE1432" s="355">
        <v>8.7989999999999999E-2</v>
      </c>
      <c r="BF1432" s="624">
        <v>40329</v>
      </c>
      <c r="BG1432" s="355">
        <v>2.1565999999999998E-2</v>
      </c>
      <c r="BH1432" s="624">
        <v>40260</v>
      </c>
      <c r="BI1432" s="355">
        <v>0.109709</v>
      </c>
      <c r="BJ1432" s="624">
        <v>40259</v>
      </c>
      <c r="BK1432" s="355">
        <v>3.0921000000000001E-2</v>
      </c>
    </row>
    <row r="1433" spans="3:63" x14ac:dyDescent="0.15">
      <c r="C1433" s="624"/>
      <c r="D1433" s="355">
        <v>3.3790000000000001E-2</v>
      </c>
      <c r="AV1433" s="624"/>
      <c r="AX1433" s="624">
        <v>40266</v>
      </c>
      <c r="AY1433" s="355">
        <v>3.388E-2</v>
      </c>
      <c r="AZ1433" s="624">
        <v>40330</v>
      </c>
      <c r="BA1433" s="355">
        <v>1.1900000000000001E-2</v>
      </c>
      <c r="BB1433" s="624">
        <v>40261</v>
      </c>
      <c r="BC1433" s="355">
        <v>0.3422</v>
      </c>
      <c r="BD1433" s="624">
        <v>40261</v>
      </c>
      <c r="BE1433" s="355">
        <v>8.77E-2</v>
      </c>
      <c r="BF1433" s="624">
        <v>40330</v>
      </c>
      <c r="BG1433" s="355">
        <v>2.1207E-2</v>
      </c>
      <c r="BH1433" s="624">
        <v>40261</v>
      </c>
      <c r="BI1433" s="355">
        <v>0.109529</v>
      </c>
      <c r="BJ1433" s="624">
        <v>40260</v>
      </c>
      <c r="BK1433" s="355">
        <v>3.0917E-2</v>
      </c>
    </row>
    <row r="1434" spans="3:63" x14ac:dyDescent="0.15">
      <c r="C1434" s="624"/>
      <c r="D1434" s="355">
        <v>3.388E-2</v>
      </c>
      <c r="AV1434" s="624"/>
      <c r="AX1434" s="624">
        <v>40267</v>
      </c>
      <c r="AY1434" s="355">
        <v>3.3869999999999997E-2</v>
      </c>
      <c r="AZ1434" s="624">
        <v>40331</v>
      </c>
      <c r="BA1434" s="355">
        <v>1.1900000000000001E-2</v>
      </c>
      <c r="BB1434" s="624">
        <v>40262</v>
      </c>
      <c r="BC1434" s="355">
        <v>0.34</v>
      </c>
      <c r="BD1434" s="624">
        <v>40262</v>
      </c>
      <c r="BE1434" s="355">
        <v>8.7340000000000001E-2</v>
      </c>
      <c r="BF1434" s="624">
        <v>40331</v>
      </c>
      <c r="BG1434" s="355">
        <v>2.1288000000000001E-2</v>
      </c>
      <c r="BH1434" s="624">
        <v>40262</v>
      </c>
      <c r="BI1434" s="355">
        <v>0.109529</v>
      </c>
      <c r="BJ1434" s="624">
        <v>40261</v>
      </c>
      <c r="BK1434" s="355">
        <v>3.0855E-2</v>
      </c>
    </row>
    <row r="1435" spans="3:63" x14ac:dyDescent="0.15">
      <c r="C1435" s="624"/>
      <c r="D1435" s="355">
        <v>3.3869999999999997E-2</v>
      </c>
      <c r="AV1435" s="624"/>
      <c r="AX1435" s="624">
        <v>40268</v>
      </c>
      <c r="AY1435" s="355">
        <v>3.397E-2</v>
      </c>
      <c r="AZ1435" s="624">
        <v>40332</v>
      </c>
      <c r="BA1435" s="355">
        <v>1.18E-2</v>
      </c>
      <c r="BB1435" s="624">
        <v>40263</v>
      </c>
      <c r="BC1435" s="355">
        <v>0.34410000000000002</v>
      </c>
      <c r="BD1435" s="624">
        <v>40263</v>
      </c>
      <c r="BE1435" s="355">
        <v>8.7650000000000006E-2</v>
      </c>
      <c r="BF1435" s="624">
        <v>40332</v>
      </c>
      <c r="BG1435" s="355">
        <v>2.1419000000000001E-2</v>
      </c>
      <c r="BH1435" s="624">
        <v>40263</v>
      </c>
      <c r="BI1435" s="355">
        <v>0.10958900000000001</v>
      </c>
      <c r="BJ1435" s="624">
        <v>40262</v>
      </c>
      <c r="BK1435" s="355">
        <v>3.0821000000000001E-2</v>
      </c>
    </row>
    <row r="1436" spans="3:63" x14ac:dyDescent="0.15">
      <c r="C1436" s="624"/>
      <c r="D1436" s="355">
        <v>3.397E-2</v>
      </c>
      <c r="AV1436" s="624"/>
      <c r="AX1436" s="624">
        <v>40269</v>
      </c>
      <c r="AY1436" s="355">
        <v>3.4209999999999997E-2</v>
      </c>
      <c r="AZ1436" s="624">
        <v>40333</v>
      </c>
      <c r="BA1436" s="355">
        <v>1.1599999999999999E-2</v>
      </c>
      <c r="BB1436" s="624">
        <v>40266</v>
      </c>
      <c r="BC1436" s="355">
        <v>0.34749999999999998</v>
      </c>
      <c r="BD1436" s="624">
        <v>40266</v>
      </c>
      <c r="BE1436" s="355">
        <v>8.8450000000000001E-2</v>
      </c>
      <c r="BF1436" s="624">
        <v>40333</v>
      </c>
      <c r="BG1436" s="355">
        <v>2.1346E-2</v>
      </c>
      <c r="BH1436" s="624">
        <v>40266</v>
      </c>
      <c r="BI1436" s="355">
        <v>0.110072</v>
      </c>
      <c r="BJ1436" s="624">
        <v>40263</v>
      </c>
      <c r="BK1436" s="355">
        <v>3.0861E-2</v>
      </c>
    </row>
    <row r="1437" spans="3:63" x14ac:dyDescent="0.15">
      <c r="C1437" s="624"/>
      <c r="D1437" s="355">
        <v>3.4209999999999997E-2</v>
      </c>
      <c r="AV1437" s="624"/>
      <c r="AX1437" s="624">
        <v>40270</v>
      </c>
      <c r="AY1437" s="355">
        <v>3.4189999999999998E-2</v>
      </c>
      <c r="AZ1437" s="624">
        <v>40336</v>
      </c>
      <c r="BA1437" s="355">
        <v>1.15E-2</v>
      </c>
      <c r="BB1437" s="624">
        <v>40267</v>
      </c>
      <c r="BC1437" s="355">
        <v>0.34649999999999997</v>
      </c>
      <c r="BD1437" s="624">
        <v>40267</v>
      </c>
      <c r="BE1437" s="355">
        <v>8.8389999999999996E-2</v>
      </c>
      <c r="BF1437" s="624">
        <v>40336</v>
      </c>
      <c r="BG1437" s="355">
        <v>2.1233999999999999E-2</v>
      </c>
      <c r="BH1437" s="624">
        <v>40267</v>
      </c>
      <c r="BI1437" s="355">
        <v>0.10995099999999999</v>
      </c>
      <c r="BJ1437" s="624">
        <v>40266</v>
      </c>
      <c r="BK1437" s="355">
        <v>3.0911999999999999E-2</v>
      </c>
    </row>
    <row r="1438" spans="3:63" x14ac:dyDescent="0.15">
      <c r="C1438" s="624"/>
      <c r="D1438" s="355">
        <v>3.4189999999999998E-2</v>
      </c>
      <c r="AV1438" s="624"/>
      <c r="AX1438" s="624">
        <v>40273</v>
      </c>
      <c r="AY1438" s="355">
        <v>3.4279999999999998E-2</v>
      </c>
      <c r="AZ1438" s="624">
        <v>40337</v>
      </c>
      <c r="BA1438" s="355">
        <v>1.15E-2</v>
      </c>
      <c r="BB1438" s="624">
        <v>40268</v>
      </c>
      <c r="BC1438" s="355">
        <v>0.34989999999999999</v>
      </c>
      <c r="BD1438" s="624">
        <v>40268</v>
      </c>
      <c r="BE1438" s="355">
        <v>8.8330000000000006E-2</v>
      </c>
      <c r="BF1438" s="624">
        <v>40337</v>
      </c>
      <c r="BG1438" s="355">
        <v>2.1304E-2</v>
      </c>
      <c r="BH1438" s="624">
        <v>40268</v>
      </c>
      <c r="BI1438" s="355">
        <v>0.10995099999999999</v>
      </c>
      <c r="BJ1438" s="624">
        <v>40267</v>
      </c>
      <c r="BK1438" s="355">
        <v>3.0922000000000002E-2</v>
      </c>
    </row>
    <row r="1439" spans="3:63" x14ac:dyDescent="0.15">
      <c r="C1439" s="624"/>
      <c r="D1439" s="355">
        <v>3.4279999999999998E-2</v>
      </c>
      <c r="AV1439" s="624"/>
      <c r="AX1439" s="624">
        <v>40274</v>
      </c>
      <c r="AY1439" s="355">
        <v>3.4130000000000001E-2</v>
      </c>
      <c r="AZ1439" s="624">
        <v>40338</v>
      </c>
      <c r="BA1439" s="355">
        <v>1.15E-2</v>
      </c>
      <c r="BB1439" s="624">
        <v>40269</v>
      </c>
      <c r="BC1439" s="355">
        <v>0.35270000000000001</v>
      </c>
      <c r="BD1439" s="624">
        <v>40269</v>
      </c>
      <c r="BE1439" s="355">
        <v>8.8919999999999999E-2</v>
      </c>
      <c r="BF1439" s="624">
        <v>40338</v>
      </c>
      <c r="BG1439" s="355">
        <v>2.1264999999999999E-2</v>
      </c>
      <c r="BH1439" s="624">
        <v>40269</v>
      </c>
      <c r="BI1439" s="355">
        <v>0.110254</v>
      </c>
      <c r="BJ1439" s="624">
        <v>40268</v>
      </c>
      <c r="BK1439" s="355">
        <v>3.0921000000000001E-2</v>
      </c>
    </row>
    <row r="1440" spans="3:63" x14ac:dyDescent="0.15">
      <c r="C1440" s="624"/>
      <c r="D1440" s="355">
        <v>3.4130000000000001E-2</v>
      </c>
      <c r="AV1440" s="624"/>
      <c r="AX1440" s="624">
        <v>40275</v>
      </c>
      <c r="AY1440" s="355">
        <v>3.4110000000000001E-2</v>
      </c>
      <c r="AZ1440" s="624">
        <v>40339</v>
      </c>
      <c r="BA1440" s="355">
        <v>1.17E-2</v>
      </c>
      <c r="BB1440" s="624">
        <v>40270</v>
      </c>
      <c r="BC1440" s="355">
        <v>0.35110000000000002</v>
      </c>
      <c r="BD1440" s="624">
        <v>40270</v>
      </c>
      <c r="BE1440" s="355">
        <v>8.8940000000000005E-2</v>
      </c>
      <c r="BF1440" s="624">
        <v>40339</v>
      </c>
      <c r="BG1440" s="355">
        <v>2.129E-2</v>
      </c>
      <c r="BH1440" s="624">
        <v>40270</v>
      </c>
      <c r="BI1440" s="355">
        <v>0.11026</v>
      </c>
      <c r="BJ1440" s="624">
        <v>40269</v>
      </c>
      <c r="BK1440" s="355">
        <v>3.0917E-2</v>
      </c>
    </row>
    <row r="1441" spans="3:63" x14ac:dyDescent="0.15">
      <c r="C1441" s="624"/>
      <c r="D1441" s="355">
        <v>3.4110000000000001E-2</v>
      </c>
      <c r="AV1441" s="624"/>
      <c r="AX1441" s="624">
        <v>40276</v>
      </c>
      <c r="AY1441" s="355">
        <v>3.3989999999999999E-2</v>
      </c>
      <c r="AZ1441" s="624">
        <v>40340</v>
      </c>
      <c r="BA1441" s="355">
        <v>1.1599999999999999E-2</v>
      </c>
      <c r="BB1441" s="624">
        <v>40273</v>
      </c>
      <c r="BC1441" s="355">
        <v>0.3508</v>
      </c>
      <c r="BD1441" s="624">
        <v>40273</v>
      </c>
      <c r="BE1441" s="355">
        <v>8.9050000000000004E-2</v>
      </c>
      <c r="BF1441" s="624">
        <v>40340</v>
      </c>
      <c r="BG1441" s="355">
        <v>2.1349E-2</v>
      </c>
      <c r="BH1441" s="624">
        <v>40273</v>
      </c>
      <c r="BI1441" s="355">
        <v>0.110375</v>
      </c>
      <c r="BJ1441" s="624">
        <v>40270</v>
      </c>
      <c r="BK1441" s="355">
        <v>3.0911999999999999E-2</v>
      </c>
    </row>
    <row r="1442" spans="3:63" x14ac:dyDescent="0.15">
      <c r="C1442" s="624"/>
      <c r="D1442" s="355">
        <v>3.3989999999999999E-2</v>
      </c>
      <c r="AV1442" s="624"/>
      <c r="AX1442" s="624">
        <v>40277</v>
      </c>
      <c r="AY1442" s="355">
        <v>3.4320000000000003E-2</v>
      </c>
      <c r="AZ1442" s="624">
        <v>40343</v>
      </c>
      <c r="BA1442" s="355">
        <v>1.18E-2</v>
      </c>
      <c r="BB1442" s="624">
        <v>40274</v>
      </c>
      <c r="BC1442" s="355">
        <v>0.34949999999999998</v>
      </c>
      <c r="BD1442" s="624">
        <v>40274</v>
      </c>
      <c r="BE1442" s="355">
        <v>8.9090000000000003E-2</v>
      </c>
      <c r="BF1442" s="624">
        <v>40343</v>
      </c>
      <c r="BG1442" s="355">
        <v>2.1510000000000001E-2</v>
      </c>
      <c r="BH1442" s="624">
        <v>40274</v>
      </c>
      <c r="BI1442" s="355">
        <v>0.11054600000000001</v>
      </c>
      <c r="BJ1442" s="624">
        <v>40273</v>
      </c>
      <c r="BK1442" s="355">
        <v>3.0879E-2</v>
      </c>
    </row>
    <row r="1443" spans="3:63" x14ac:dyDescent="0.15">
      <c r="C1443" s="624"/>
      <c r="D1443" s="355">
        <v>3.4320000000000003E-2</v>
      </c>
      <c r="AV1443" s="624"/>
      <c r="AX1443" s="624">
        <v>40280</v>
      </c>
      <c r="AY1443" s="355">
        <v>3.4470000000000001E-2</v>
      </c>
      <c r="AZ1443" s="624">
        <v>40344</v>
      </c>
      <c r="BA1443" s="355">
        <v>1.1900000000000001E-2</v>
      </c>
      <c r="BB1443" s="624">
        <v>40275</v>
      </c>
      <c r="BC1443" s="355">
        <v>0.34820000000000001</v>
      </c>
      <c r="BD1443" s="624">
        <v>40275</v>
      </c>
      <c r="BE1443" s="355">
        <v>8.9080000000000006E-2</v>
      </c>
      <c r="BF1443" s="624">
        <v>40344</v>
      </c>
      <c r="BG1443" s="355">
        <v>2.1472999999999999E-2</v>
      </c>
      <c r="BH1443" s="624">
        <v>40275</v>
      </c>
      <c r="BI1443" s="355">
        <v>0.110461</v>
      </c>
      <c r="BJ1443" s="624">
        <v>40274</v>
      </c>
      <c r="BK1443" s="355">
        <v>3.0893E-2</v>
      </c>
    </row>
    <row r="1444" spans="3:63" x14ac:dyDescent="0.15">
      <c r="C1444" s="624"/>
      <c r="D1444" s="355">
        <v>3.4470000000000001E-2</v>
      </c>
      <c r="AV1444" s="624"/>
      <c r="AX1444" s="624">
        <v>40281</v>
      </c>
      <c r="AY1444" s="355">
        <v>3.4430000000000002E-2</v>
      </c>
      <c r="AZ1444" s="624">
        <v>40345</v>
      </c>
      <c r="BA1444" s="355">
        <v>1.1900000000000001E-2</v>
      </c>
      <c r="BB1444" s="624">
        <v>40276</v>
      </c>
      <c r="BC1444" s="355">
        <v>0.34739999999999999</v>
      </c>
      <c r="BD1444" s="624">
        <v>40276</v>
      </c>
      <c r="BE1444" s="355">
        <v>8.9010000000000006E-2</v>
      </c>
      <c r="BF1444" s="624">
        <v>40345</v>
      </c>
      <c r="BG1444" s="355">
        <v>2.1481E-2</v>
      </c>
      <c r="BH1444" s="624">
        <v>40276</v>
      </c>
      <c r="BI1444" s="355">
        <v>0.110522</v>
      </c>
      <c r="BJ1444" s="624">
        <v>40275</v>
      </c>
      <c r="BK1444" s="355">
        <v>3.0911999999999999E-2</v>
      </c>
    </row>
    <row r="1445" spans="3:63" x14ac:dyDescent="0.15">
      <c r="C1445" s="624"/>
      <c r="D1445" s="355">
        <v>3.4430000000000002E-2</v>
      </c>
      <c r="AV1445" s="624"/>
      <c r="AX1445" s="624">
        <v>40282</v>
      </c>
      <c r="AY1445" s="355">
        <v>3.4540000000000001E-2</v>
      </c>
      <c r="AZ1445" s="624">
        <v>40346</v>
      </c>
      <c r="BA1445" s="355">
        <v>1.1900000000000001E-2</v>
      </c>
      <c r="BB1445" s="624">
        <v>40277</v>
      </c>
      <c r="BC1445" s="355">
        <v>0.3488</v>
      </c>
      <c r="BD1445" s="624">
        <v>40277</v>
      </c>
      <c r="BE1445" s="355">
        <v>8.9709999999999998E-2</v>
      </c>
      <c r="BF1445" s="624">
        <v>40346</v>
      </c>
      <c r="BG1445" s="355">
        <v>2.1593999999999999E-2</v>
      </c>
      <c r="BH1445" s="624">
        <v>40277</v>
      </c>
      <c r="BI1445" s="355">
        <v>0.11083999999999999</v>
      </c>
      <c r="BJ1445" s="624">
        <v>40276</v>
      </c>
      <c r="BK1445" s="355">
        <v>3.0964999999999999E-2</v>
      </c>
    </row>
    <row r="1446" spans="3:63" x14ac:dyDescent="0.15">
      <c r="C1446" s="624"/>
      <c r="D1446" s="355">
        <v>3.4540000000000001E-2</v>
      </c>
      <c r="AV1446" s="624"/>
      <c r="AX1446" s="624">
        <v>40283</v>
      </c>
      <c r="AY1446" s="355">
        <v>3.4470000000000001E-2</v>
      </c>
      <c r="AZ1446" s="624">
        <v>40347</v>
      </c>
      <c r="BA1446" s="355">
        <v>1.1900000000000001E-2</v>
      </c>
      <c r="BB1446" s="624">
        <v>40280</v>
      </c>
      <c r="BC1446" s="355">
        <v>0.35220000000000001</v>
      </c>
      <c r="BD1446" s="624">
        <v>40280</v>
      </c>
      <c r="BE1446" s="355">
        <v>8.9639999999999997E-2</v>
      </c>
      <c r="BF1446" s="624">
        <v>40347</v>
      </c>
      <c r="BG1446" s="355">
        <v>2.1663999999999999E-2</v>
      </c>
      <c r="BH1446" s="624">
        <v>40280</v>
      </c>
      <c r="BI1446" s="355">
        <v>0.110889</v>
      </c>
      <c r="BJ1446" s="624">
        <v>40277</v>
      </c>
      <c r="BK1446" s="355">
        <v>3.1119000000000001E-2</v>
      </c>
    </row>
    <row r="1447" spans="3:63" x14ac:dyDescent="0.15">
      <c r="C1447" s="624"/>
      <c r="D1447" s="355">
        <v>3.4470000000000001E-2</v>
      </c>
      <c r="AV1447" s="624"/>
      <c r="AX1447" s="624">
        <v>40284</v>
      </c>
      <c r="AY1447" s="355">
        <v>3.44E-2</v>
      </c>
      <c r="AZ1447" s="624">
        <v>40350</v>
      </c>
      <c r="BA1447" s="355">
        <v>1.18E-2</v>
      </c>
      <c r="BB1447" s="624">
        <v>40281</v>
      </c>
      <c r="BC1447" s="355">
        <v>0.35149999999999998</v>
      </c>
      <c r="BD1447" s="624">
        <v>40281</v>
      </c>
      <c r="BE1447" s="355">
        <v>8.9270000000000002E-2</v>
      </c>
      <c r="BF1447" s="624">
        <v>40350</v>
      </c>
      <c r="BG1447" s="355">
        <v>2.1850999999999999E-2</v>
      </c>
      <c r="BH1447" s="624">
        <v>40281</v>
      </c>
      <c r="BI1447" s="355">
        <v>0.110739</v>
      </c>
      <c r="BJ1447" s="624">
        <v>40280</v>
      </c>
      <c r="BK1447" s="355">
        <v>3.0901999999999999E-2</v>
      </c>
    </row>
    <row r="1448" spans="3:63" x14ac:dyDescent="0.15">
      <c r="C1448" s="624"/>
      <c r="D1448" s="355">
        <v>3.44E-2</v>
      </c>
      <c r="AV1448" s="624"/>
      <c r="AX1448" s="624">
        <v>40287</v>
      </c>
      <c r="AY1448" s="355">
        <v>3.4290000000000001E-2</v>
      </c>
      <c r="AZ1448" s="624">
        <v>40351</v>
      </c>
      <c r="BA1448" s="355">
        <v>1.18E-2</v>
      </c>
      <c r="BB1448" s="624">
        <v>40282</v>
      </c>
      <c r="BC1448" s="355">
        <v>0.3538</v>
      </c>
      <c r="BD1448" s="624">
        <v>40282</v>
      </c>
      <c r="BE1448" s="355">
        <v>9.0069999999999997E-2</v>
      </c>
      <c r="BF1448" s="624">
        <v>40351</v>
      </c>
      <c r="BG1448" s="355">
        <v>2.1625999999999999E-2</v>
      </c>
      <c r="BH1448" s="624">
        <v>40282</v>
      </c>
      <c r="BI1448" s="355">
        <v>0.11107400000000001</v>
      </c>
      <c r="BJ1448" s="624">
        <v>40281</v>
      </c>
      <c r="BK1448" s="355">
        <v>3.0907E-2</v>
      </c>
    </row>
    <row r="1449" spans="3:63" x14ac:dyDescent="0.15">
      <c r="C1449" s="624"/>
      <c r="D1449" s="355">
        <v>3.4290000000000001E-2</v>
      </c>
      <c r="AV1449" s="624"/>
      <c r="AX1449" s="624">
        <v>40288</v>
      </c>
      <c r="AY1449" s="355">
        <v>3.4320000000000003E-2</v>
      </c>
      <c r="AZ1449" s="624">
        <v>40352</v>
      </c>
      <c r="BA1449" s="355">
        <v>1.18E-2</v>
      </c>
      <c r="BB1449" s="624">
        <v>40283</v>
      </c>
      <c r="BC1449" s="355">
        <v>0.35189999999999999</v>
      </c>
      <c r="BD1449" s="624">
        <v>40283</v>
      </c>
      <c r="BE1449" s="355">
        <v>9.0060000000000001E-2</v>
      </c>
      <c r="BF1449" s="624">
        <v>40352</v>
      </c>
      <c r="BG1449" s="355">
        <v>2.1649999999999999E-2</v>
      </c>
      <c r="BH1449" s="624">
        <v>40283</v>
      </c>
      <c r="BI1449" s="355">
        <v>0.110914</v>
      </c>
      <c r="BJ1449" s="624">
        <v>40282</v>
      </c>
      <c r="BK1449" s="355">
        <v>3.1036999999999999E-2</v>
      </c>
    </row>
    <row r="1450" spans="3:63" x14ac:dyDescent="0.15">
      <c r="C1450" s="624"/>
      <c r="D1450" s="355">
        <v>3.4320000000000003E-2</v>
      </c>
      <c r="AV1450" s="624"/>
      <c r="AX1450" s="624">
        <v>40289</v>
      </c>
      <c r="AY1450" s="355">
        <v>3.4329999999999999E-2</v>
      </c>
      <c r="AZ1450" s="624">
        <v>40353</v>
      </c>
      <c r="BA1450" s="355">
        <v>1.1900000000000001E-2</v>
      </c>
      <c r="BB1450" s="624">
        <v>40284</v>
      </c>
      <c r="BC1450" s="355">
        <v>0.34810000000000002</v>
      </c>
      <c r="BD1450" s="624">
        <v>40284</v>
      </c>
      <c r="BE1450" s="355">
        <v>8.9840000000000003E-2</v>
      </c>
      <c r="BF1450" s="624">
        <v>40353</v>
      </c>
      <c r="BG1450" s="355">
        <v>2.1513000000000001E-2</v>
      </c>
      <c r="BH1450" s="624">
        <v>40284</v>
      </c>
      <c r="BI1450" s="355">
        <v>0.111012</v>
      </c>
      <c r="BJ1450" s="624">
        <v>40283</v>
      </c>
      <c r="BK1450" s="355">
        <v>3.1026999999999999E-2</v>
      </c>
    </row>
    <row r="1451" spans="3:63" x14ac:dyDescent="0.15">
      <c r="C1451" s="624"/>
      <c r="D1451" s="355">
        <v>3.4329999999999999E-2</v>
      </c>
      <c r="AV1451" s="624"/>
      <c r="AX1451" s="624">
        <v>40290</v>
      </c>
      <c r="AY1451" s="355">
        <v>3.4189999999999998E-2</v>
      </c>
      <c r="AZ1451" s="624">
        <v>40354</v>
      </c>
      <c r="BA1451" s="355">
        <v>1.1900000000000001E-2</v>
      </c>
      <c r="BB1451" s="624">
        <v>40287</v>
      </c>
      <c r="BC1451" s="355">
        <v>0.34660000000000002</v>
      </c>
      <c r="BD1451" s="624">
        <v>40287</v>
      </c>
      <c r="BE1451" s="355">
        <v>8.9389999999999997E-2</v>
      </c>
      <c r="BF1451" s="624">
        <v>40354</v>
      </c>
      <c r="BG1451" s="355">
        <v>2.1603000000000001E-2</v>
      </c>
      <c r="BH1451" s="624">
        <v>40287</v>
      </c>
      <c r="BI1451" s="355">
        <v>0.110675</v>
      </c>
      <c r="BJ1451" s="624">
        <v>40284</v>
      </c>
      <c r="BK1451" s="355">
        <v>3.1014E-2</v>
      </c>
    </row>
    <row r="1452" spans="3:63" x14ac:dyDescent="0.15">
      <c r="C1452" s="624"/>
      <c r="D1452" s="355">
        <v>3.4189999999999998E-2</v>
      </c>
      <c r="AV1452" s="624"/>
      <c r="AX1452" s="624">
        <v>40291</v>
      </c>
      <c r="AY1452" s="355">
        <v>3.4340000000000002E-2</v>
      </c>
      <c r="AZ1452" s="624">
        <v>40357</v>
      </c>
      <c r="BA1452" s="355">
        <v>1.17E-2</v>
      </c>
      <c r="BB1452" s="624">
        <v>40288</v>
      </c>
      <c r="BC1452" s="355">
        <v>0.34599999999999997</v>
      </c>
      <c r="BD1452" s="624">
        <v>40288</v>
      </c>
      <c r="BE1452" s="355">
        <v>8.9789999999999995E-2</v>
      </c>
      <c r="BF1452" s="624">
        <v>40357</v>
      </c>
      <c r="BG1452" s="355">
        <v>2.164E-2</v>
      </c>
      <c r="BH1452" s="624">
        <v>40288</v>
      </c>
      <c r="BI1452" s="355">
        <v>0.11108</v>
      </c>
      <c r="BJ1452" s="624">
        <v>40287</v>
      </c>
      <c r="BK1452" s="355">
        <v>3.1042E-2</v>
      </c>
    </row>
    <row r="1453" spans="3:63" x14ac:dyDescent="0.15">
      <c r="C1453" s="624"/>
      <c r="D1453" s="355">
        <v>3.4340000000000002E-2</v>
      </c>
      <c r="AV1453" s="624"/>
      <c r="AX1453" s="624">
        <v>40294</v>
      </c>
      <c r="AY1453" s="355">
        <v>3.4430000000000002E-2</v>
      </c>
      <c r="AZ1453" s="624">
        <v>40358</v>
      </c>
      <c r="BA1453" s="355">
        <v>1.1599999999999999E-2</v>
      </c>
      <c r="BB1453" s="624">
        <v>40289</v>
      </c>
      <c r="BC1453" s="355">
        <v>0.34660000000000002</v>
      </c>
      <c r="BD1453" s="624">
        <v>40289</v>
      </c>
      <c r="BE1453" s="355">
        <v>9.0149999999999994E-2</v>
      </c>
      <c r="BF1453" s="624">
        <v>40358</v>
      </c>
      <c r="BG1453" s="355">
        <v>2.1514999999999999E-2</v>
      </c>
      <c r="BH1453" s="624">
        <v>40289</v>
      </c>
      <c r="BI1453" s="355">
        <v>0.11101900000000001</v>
      </c>
      <c r="BJ1453" s="624">
        <v>40288</v>
      </c>
      <c r="BK1453" s="355">
        <v>3.1085000000000002E-2</v>
      </c>
    </row>
    <row r="1454" spans="3:63" x14ac:dyDescent="0.15">
      <c r="C1454" s="624"/>
      <c r="D1454" s="355">
        <v>3.4430000000000002E-2</v>
      </c>
      <c r="AV1454" s="624"/>
      <c r="AX1454" s="624">
        <v>40295</v>
      </c>
      <c r="AY1454" s="355">
        <v>3.4000000000000002E-2</v>
      </c>
      <c r="AZ1454" s="624">
        <v>40359</v>
      </c>
      <c r="BA1454" s="355">
        <v>1.17E-2</v>
      </c>
      <c r="BB1454" s="624">
        <v>40290</v>
      </c>
      <c r="BC1454" s="355">
        <v>0.34150000000000003</v>
      </c>
      <c r="BD1454" s="624">
        <v>40290</v>
      </c>
      <c r="BE1454" s="355">
        <v>9.0130000000000002E-2</v>
      </c>
      <c r="BF1454" s="624">
        <v>40359</v>
      </c>
      <c r="BG1454" s="355">
        <v>2.1527000000000001E-2</v>
      </c>
      <c r="BH1454" s="624">
        <v>40290</v>
      </c>
      <c r="BI1454" s="355">
        <v>0.11089499999999999</v>
      </c>
      <c r="BJ1454" s="624">
        <v>40289</v>
      </c>
      <c r="BK1454" s="355">
        <v>3.107E-2</v>
      </c>
    </row>
    <row r="1455" spans="3:63" x14ac:dyDescent="0.15">
      <c r="C1455" s="624"/>
      <c r="D1455" s="355">
        <v>3.4000000000000002E-2</v>
      </c>
      <c r="AV1455" s="624"/>
      <c r="AX1455" s="624">
        <v>40296</v>
      </c>
      <c r="AY1455" s="355">
        <v>3.4079999999999999E-2</v>
      </c>
      <c r="AZ1455" s="624">
        <v>40360</v>
      </c>
      <c r="BA1455" s="355">
        <v>1.2E-2</v>
      </c>
      <c r="BB1455" s="624">
        <v>40291</v>
      </c>
      <c r="BC1455" s="355">
        <v>0.3448</v>
      </c>
      <c r="BD1455" s="624">
        <v>40291</v>
      </c>
      <c r="BE1455" s="355">
        <v>9.0270000000000003E-2</v>
      </c>
      <c r="BF1455" s="624">
        <v>40360</v>
      </c>
      <c r="BG1455" s="355">
        <v>2.1468000000000001E-2</v>
      </c>
      <c r="BH1455" s="624">
        <v>40291</v>
      </c>
      <c r="BI1455" s="355">
        <v>0.11126</v>
      </c>
      <c r="BJ1455" s="624">
        <v>40290</v>
      </c>
      <c r="BK1455" s="355">
        <v>3.0969E-2</v>
      </c>
    </row>
    <row r="1456" spans="3:63" x14ac:dyDescent="0.15">
      <c r="C1456" s="624"/>
      <c r="D1456" s="355">
        <v>3.4079999999999999E-2</v>
      </c>
      <c r="AV1456" s="624"/>
      <c r="AX1456" s="624">
        <v>40297</v>
      </c>
      <c r="AY1456" s="355">
        <v>3.4200000000000001E-2</v>
      </c>
      <c r="AZ1456" s="624">
        <v>40361</v>
      </c>
      <c r="BA1456" s="355">
        <v>1.2E-2</v>
      </c>
      <c r="BB1456" s="624">
        <v>40294</v>
      </c>
      <c r="BC1456" s="355">
        <v>0.3448</v>
      </c>
      <c r="BD1456" s="624">
        <v>40294</v>
      </c>
      <c r="BE1456" s="355">
        <v>9.0539999999999995E-2</v>
      </c>
      <c r="BF1456" s="624">
        <v>40361</v>
      </c>
      <c r="BG1456" s="355">
        <v>2.1374000000000001E-2</v>
      </c>
      <c r="BH1456" s="624">
        <v>40294</v>
      </c>
      <c r="BI1456" s="355">
        <v>0.11101900000000001</v>
      </c>
      <c r="BJ1456" s="624">
        <v>40291</v>
      </c>
      <c r="BK1456" s="355">
        <v>3.1046000000000001E-2</v>
      </c>
    </row>
    <row r="1457" spans="3:63" x14ac:dyDescent="0.15">
      <c r="C1457" s="624"/>
      <c r="D1457" s="355">
        <v>3.4200000000000001E-2</v>
      </c>
      <c r="AV1457" s="624"/>
      <c r="AX1457" s="624">
        <v>40298</v>
      </c>
      <c r="AY1457" s="355">
        <v>3.422E-2</v>
      </c>
      <c r="AZ1457" s="624">
        <v>40364</v>
      </c>
      <c r="BA1457" s="355">
        <v>1.2E-2</v>
      </c>
      <c r="BB1457" s="624">
        <v>40295</v>
      </c>
      <c r="BC1457" s="355">
        <v>0.33500000000000002</v>
      </c>
      <c r="BD1457" s="624">
        <v>40295</v>
      </c>
      <c r="BE1457" s="355">
        <v>8.9469999999999994E-2</v>
      </c>
      <c r="BF1457" s="624">
        <v>40364</v>
      </c>
      <c r="BG1457" s="355">
        <v>2.1377E-2</v>
      </c>
      <c r="BH1457" s="624">
        <v>40295</v>
      </c>
      <c r="BI1457" s="355">
        <v>0.11101900000000001</v>
      </c>
      <c r="BJ1457" s="624">
        <v>40294</v>
      </c>
      <c r="BK1457" s="355">
        <v>3.1104E-2</v>
      </c>
    </row>
    <row r="1458" spans="3:63" x14ac:dyDescent="0.15">
      <c r="C1458" s="624"/>
      <c r="D1458" s="355">
        <v>3.422E-2</v>
      </c>
      <c r="AV1458" s="624"/>
      <c r="AX1458" s="624">
        <v>40301</v>
      </c>
      <c r="AY1458" s="355">
        <v>3.406E-2</v>
      </c>
      <c r="AZ1458" s="624">
        <v>40365</v>
      </c>
      <c r="BA1458" s="355">
        <v>1.21E-2</v>
      </c>
      <c r="BB1458" s="624">
        <v>40296</v>
      </c>
      <c r="BC1458" s="355">
        <v>0.33829999999999999</v>
      </c>
      <c r="BD1458" s="624">
        <v>40296</v>
      </c>
      <c r="BE1458" s="355">
        <v>8.9630000000000001E-2</v>
      </c>
      <c r="BF1458" s="624">
        <v>40365</v>
      </c>
      <c r="BG1458" s="355">
        <v>2.1319000000000001E-2</v>
      </c>
      <c r="BH1458" s="624">
        <v>40296</v>
      </c>
      <c r="BI1458" s="355">
        <v>0.110528</v>
      </c>
      <c r="BJ1458" s="624">
        <v>40295</v>
      </c>
      <c r="BK1458" s="355">
        <v>3.0993E-2</v>
      </c>
    </row>
    <row r="1459" spans="3:63" x14ac:dyDescent="0.15">
      <c r="C1459" s="624"/>
      <c r="D1459" s="355">
        <v>3.406E-2</v>
      </c>
      <c r="AV1459" s="624"/>
      <c r="AX1459" s="624">
        <v>40302</v>
      </c>
      <c r="AY1459" s="355">
        <v>3.3790000000000001E-2</v>
      </c>
      <c r="AZ1459" s="624">
        <v>40366</v>
      </c>
      <c r="BA1459" s="355">
        <v>1.2200000000000001E-2</v>
      </c>
      <c r="BB1459" s="624">
        <v>40297</v>
      </c>
      <c r="BC1459" s="355">
        <v>0.3387</v>
      </c>
      <c r="BD1459" s="624">
        <v>40297</v>
      </c>
      <c r="BE1459" s="355">
        <v>9.0039999999999995E-2</v>
      </c>
      <c r="BF1459" s="624">
        <v>40366</v>
      </c>
      <c r="BG1459" s="355">
        <v>2.1262E-2</v>
      </c>
      <c r="BH1459" s="624">
        <v>40297</v>
      </c>
      <c r="BI1459" s="355">
        <v>0.110957</v>
      </c>
      <c r="BJ1459" s="624">
        <v>40296</v>
      </c>
      <c r="BK1459" s="355">
        <v>3.0938E-2</v>
      </c>
    </row>
    <row r="1460" spans="3:63" x14ac:dyDescent="0.15">
      <c r="C1460" s="624"/>
      <c r="D1460" s="355">
        <v>3.3790000000000001E-2</v>
      </c>
      <c r="AV1460" s="624"/>
      <c r="AX1460" s="624">
        <v>40303</v>
      </c>
      <c r="AY1460" s="355">
        <v>3.3270000000000001E-2</v>
      </c>
      <c r="AZ1460" s="624">
        <v>40367</v>
      </c>
      <c r="BA1460" s="355">
        <v>1.2200000000000001E-2</v>
      </c>
      <c r="BB1460" s="624">
        <v>40298</v>
      </c>
      <c r="BC1460" s="355">
        <v>0.33839999999999998</v>
      </c>
      <c r="BD1460" s="624">
        <v>40298</v>
      </c>
      <c r="BE1460" s="355">
        <v>8.9959999999999998E-2</v>
      </c>
      <c r="BF1460" s="624">
        <v>40367</v>
      </c>
      <c r="BG1460" s="355">
        <v>2.1336999999999998E-2</v>
      </c>
      <c r="BH1460" s="624">
        <v>40298</v>
      </c>
      <c r="BI1460" s="355">
        <v>0.110926</v>
      </c>
      <c r="BJ1460" s="624">
        <v>40297</v>
      </c>
      <c r="BK1460" s="355">
        <v>3.0984000000000001E-2</v>
      </c>
    </row>
    <row r="1461" spans="3:63" x14ac:dyDescent="0.15">
      <c r="C1461" s="624"/>
      <c r="D1461" s="355">
        <v>3.3270000000000001E-2</v>
      </c>
      <c r="AV1461" s="624"/>
      <c r="AX1461" s="624">
        <v>40304</v>
      </c>
      <c r="AY1461" s="355">
        <v>3.2570000000000002E-2</v>
      </c>
      <c r="AZ1461" s="624">
        <v>40368</v>
      </c>
      <c r="BA1461" s="355">
        <v>1.2200000000000001E-2</v>
      </c>
      <c r="BB1461" s="624">
        <v>40301</v>
      </c>
      <c r="BC1461" s="355">
        <v>0.3367</v>
      </c>
      <c r="BD1461" s="624">
        <v>40301</v>
      </c>
      <c r="BE1461" s="355">
        <v>8.9849999999999999E-2</v>
      </c>
      <c r="BF1461" s="624">
        <v>40368</v>
      </c>
      <c r="BG1461" s="355">
        <v>2.1432E-2</v>
      </c>
      <c r="BH1461" s="624">
        <v>40301</v>
      </c>
      <c r="BI1461" s="355">
        <v>0.110773</v>
      </c>
      <c r="BJ1461" s="624">
        <v>40298</v>
      </c>
      <c r="BK1461" s="355">
        <v>3.1005999999999999E-2</v>
      </c>
    </row>
    <row r="1462" spans="3:63" x14ac:dyDescent="0.15">
      <c r="C1462" s="624"/>
      <c r="D1462" s="355">
        <v>3.2570000000000002E-2</v>
      </c>
      <c r="AV1462" s="624"/>
      <c r="AX1462" s="624">
        <v>40305</v>
      </c>
      <c r="AY1462" s="355">
        <v>3.2820000000000002E-2</v>
      </c>
      <c r="AZ1462" s="624">
        <v>40371</v>
      </c>
      <c r="BA1462" s="355">
        <v>1.21E-2</v>
      </c>
      <c r="BB1462" s="624">
        <v>40302</v>
      </c>
      <c r="BC1462" s="355">
        <v>0.32290000000000002</v>
      </c>
      <c r="BD1462" s="624">
        <v>40302</v>
      </c>
      <c r="BE1462" s="355">
        <v>8.8270000000000001E-2</v>
      </c>
      <c r="BF1462" s="624">
        <v>40371</v>
      </c>
      <c r="BG1462" s="355">
        <v>2.1378999999999999E-2</v>
      </c>
      <c r="BH1462" s="624">
        <v>40302</v>
      </c>
      <c r="BI1462" s="355">
        <v>0.110711</v>
      </c>
      <c r="BJ1462" s="624">
        <v>40301</v>
      </c>
      <c r="BK1462" s="355">
        <v>3.0883000000000001E-2</v>
      </c>
    </row>
    <row r="1463" spans="3:63" x14ac:dyDescent="0.15">
      <c r="C1463" s="624"/>
      <c r="D1463" s="355">
        <v>3.2820000000000002E-2</v>
      </c>
      <c r="AV1463" s="624"/>
      <c r="AX1463" s="624">
        <v>40308</v>
      </c>
      <c r="AY1463" s="355">
        <v>3.313E-2</v>
      </c>
      <c r="AZ1463" s="624">
        <v>40372</v>
      </c>
      <c r="BA1463" s="355">
        <v>1.2200000000000001E-2</v>
      </c>
      <c r="BB1463" s="624">
        <v>40303</v>
      </c>
      <c r="BC1463" s="355">
        <v>0.31390000000000001</v>
      </c>
      <c r="BD1463" s="624">
        <v>40303</v>
      </c>
      <c r="BE1463" s="355">
        <v>8.7400000000000005E-2</v>
      </c>
      <c r="BF1463" s="624">
        <v>40372</v>
      </c>
      <c r="BG1463" s="355">
        <v>2.1377E-2</v>
      </c>
      <c r="BH1463" s="624">
        <v>40303</v>
      </c>
      <c r="BI1463" s="355">
        <v>0.107643</v>
      </c>
      <c r="BJ1463" s="624">
        <v>40302</v>
      </c>
      <c r="BK1463" s="355">
        <v>3.0941E-2</v>
      </c>
    </row>
    <row r="1464" spans="3:63" x14ac:dyDescent="0.15">
      <c r="C1464" s="624"/>
      <c r="D1464" s="355">
        <v>3.313E-2</v>
      </c>
      <c r="AV1464" s="624"/>
      <c r="AX1464" s="624">
        <v>40309</v>
      </c>
      <c r="AY1464" s="355">
        <v>3.3140000000000003E-2</v>
      </c>
      <c r="AZ1464" s="624">
        <v>40373</v>
      </c>
      <c r="BA1464" s="355">
        <v>1.2200000000000001E-2</v>
      </c>
      <c r="BB1464" s="624">
        <v>40304</v>
      </c>
      <c r="BC1464" s="355">
        <v>0.30080000000000001</v>
      </c>
      <c r="BD1464" s="624">
        <v>40304</v>
      </c>
      <c r="BE1464" s="355">
        <v>8.6379999999999998E-2</v>
      </c>
      <c r="BF1464" s="624">
        <v>40373</v>
      </c>
      <c r="BG1464" s="355">
        <v>2.1409999999999998E-2</v>
      </c>
      <c r="BH1464" s="624">
        <v>40304</v>
      </c>
      <c r="BI1464" s="355">
        <v>0.105519</v>
      </c>
      <c r="BJ1464" s="624">
        <v>40303</v>
      </c>
      <c r="BK1464" s="355">
        <v>3.0875E-2</v>
      </c>
    </row>
    <row r="1465" spans="3:63" x14ac:dyDescent="0.15">
      <c r="C1465" s="624"/>
      <c r="D1465" s="355">
        <v>3.3140000000000003E-2</v>
      </c>
      <c r="AV1465" s="624"/>
      <c r="AX1465" s="624">
        <v>40310</v>
      </c>
      <c r="AY1465" s="355">
        <v>3.3300000000000003E-2</v>
      </c>
      <c r="AZ1465" s="624">
        <v>40374</v>
      </c>
      <c r="BA1465" s="355">
        <v>1.24E-2</v>
      </c>
      <c r="BB1465" s="624">
        <v>40305</v>
      </c>
      <c r="BC1465" s="355">
        <v>0.30980000000000002</v>
      </c>
      <c r="BD1465" s="624">
        <v>40305</v>
      </c>
      <c r="BE1465" s="355">
        <v>8.6849999999999997E-2</v>
      </c>
      <c r="BF1465" s="624">
        <v>40374</v>
      </c>
      <c r="BG1465" s="355">
        <v>2.1454999999999998E-2</v>
      </c>
      <c r="BH1465" s="624">
        <v>40305</v>
      </c>
      <c r="BI1465" s="355">
        <v>0.107707</v>
      </c>
      <c r="BJ1465" s="624">
        <v>40304</v>
      </c>
      <c r="BK1465" s="355">
        <v>3.1012999999999999E-2</v>
      </c>
    </row>
    <row r="1466" spans="3:63" x14ac:dyDescent="0.15">
      <c r="C1466" s="624"/>
      <c r="D1466" s="355">
        <v>3.3300000000000003E-2</v>
      </c>
      <c r="AV1466" s="624"/>
      <c r="AX1466" s="624">
        <v>40311</v>
      </c>
      <c r="AY1466" s="355">
        <v>3.3279999999999997E-2</v>
      </c>
      <c r="AZ1466" s="624">
        <v>40375</v>
      </c>
      <c r="BA1466" s="355">
        <v>1.23E-2</v>
      </c>
      <c r="BB1466" s="624">
        <v>40308</v>
      </c>
      <c r="BC1466" s="355">
        <v>0.31819999999999998</v>
      </c>
      <c r="BD1466" s="624">
        <v>40308</v>
      </c>
      <c r="BE1466" s="355">
        <v>8.8340000000000002E-2</v>
      </c>
      <c r="BF1466" s="624">
        <v>40375</v>
      </c>
      <c r="BG1466" s="355">
        <v>2.1378999999999999E-2</v>
      </c>
      <c r="BH1466" s="624">
        <v>40308</v>
      </c>
      <c r="BI1466" s="355">
        <v>0.110175</v>
      </c>
      <c r="BJ1466" s="624">
        <v>40305</v>
      </c>
      <c r="BK1466" s="355">
        <v>3.099E-2</v>
      </c>
    </row>
    <row r="1467" spans="3:63" x14ac:dyDescent="0.15">
      <c r="C1467" s="624"/>
      <c r="D1467" s="355">
        <v>3.3279999999999997E-2</v>
      </c>
      <c r="AV1467" s="624"/>
      <c r="AX1467" s="624">
        <v>40312</v>
      </c>
      <c r="AY1467" s="355">
        <v>3.2779999999999997E-2</v>
      </c>
      <c r="AZ1467" s="624">
        <v>40378</v>
      </c>
      <c r="BA1467" s="355">
        <v>1.23E-2</v>
      </c>
      <c r="BB1467" s="624">
        <v>40309</v>
      </c>
      <c r="BC1467" s="355">
        <v>0.3145</v>
      </c>
      <c r="BD1467" s="624">
        <v>40309</v>
      </c>
      <c r="BE1467" s="355">
        <v>8.8099999999999998E-2</v>
      </c>
      <c r="BF1467" s="624">
        <v>40378</v>
      </c>
      <c r="BG1467" s="355">
        <v>2.1236000000000001E-2</v>
      </c>
      <c r="BH1467" s="624">
        <v>40309</v>
      </c>
      <c r="BI1467" s="355">
        <v>0.10977000000000001</v>
      </c>
      <c r="BJ1467" s="624">
        <v>40308</v>
      </c>
      <c r="BK1467" s="355">
        <v>3.1022000000000001E-2</v>
      </c>
    </row>
    <row r="1468" spans="3:63" x14ac:dyDescent="0.15">
      <c r="C1468" s="624"/>
      <c r="D1468" s="355">
        <v>3.2779999999999997E-2</v>
      </c>
      <c r="AV1468" s="624"/>
      <c r="AX1468" s="624">
        <v>40315</v>
      </c>
      <c r="AY1468" s="355">
        <v>3.2750000000000001E-2</v>
      </c>
      <c r="AZ1468" s="624">
        <v>40379</v>
      </c>
      <c r="BA1468" s="355">
        <v>1.23E-2</v>
      </c>
      <c r="BB1468" s="624">
        <v>40310</v>
      </c>
      <c r="BC1468" s="355">
        <v>0.31909999999999999</v>
      </c>
      <c r="BD1468" s="624">
        <v>40310</v>
      </c>
      <c r="BE1468" s="355">
        <v>8.8099999999999998E-2</v>
      </c>
      <c r="BF1468" s="624">
        <v>40379</v>
      </c>
      <c r="BG1468" s="355">
        <v>2.1115999999999999E-2</v>
      </c>
      <c r="BH1468" s="624">
        <v>40310</v>
      </c>
      <c r="BI1468" s="355">
        <v>0.10979999999999999</v>
      </c>
      <c r="BJ1468" s="624">
        <v>40309</v>
      </c>
      <c r="BK1468" s="355">
        <v>3.0941E-2</v>
      </c>
    </row>
    <row r="1469" spans="3:63" x14ac:dyDescent="0.15">
      <c r="C1469" s="624"/>
      <c r="D1469" s="355">
        <v>3.2750000000000001E-2</v>
      </c>
      <c r="AV1469" s="624"/>
      <c r="AX1469" s="624">
        <v>40316</v>
      </c>
      <c r="AY1469" s="355">
        <v>3.2770000000000001E-2</v>
      </c>
      <c r="AZ1469" s="624">
        <v>40380</v>
      </c>
      <c r="BA1469" s="355">
        <v>1.21E-2</v>
      </c>
      <c r="BB1469" s="624">
        <v>40311</v>
      </c>
      <c r="BC1469" s="355">
        <v>0.31719999999999998</v>
      </c>
      <c r="BD1469" s="624">
        <v>40311</v>
      </c>
      <c r="BE1469" s="355">
        <v>8.8179999999999994E-2</v>
      </c>
      <c r="BF1469" s="624">
        <v>40380</v>
      </c>
      <c r="BG1469" s="355">
        <v>2.12E-2</v>
      </c>
      <c r="BH1469" s="624">
        <v>40311</v>
      </c>
      <c r="BI1469" s="355">
        <v>0.109685</v>
      </c>
      <c r="BJ1469" s="624">
        <v>40310</v>
      </c>
      <c r="BK1469" s="355">
        <v>3.0974000000000002E-2</v>
      </c>
    </row>
    <row r="1470" spans="3:63" x14ac:dyDescent="0.15">
      <c r="C1470" s="624"/>
      <c r="D1470" s="355">
        <v>3.2770000000000001E-2</v>
      </c>
      <c r="AV1470" s="624"/>
      <c r="AX1470" s="624">
        <v>40317</v>
      </c>
      <c r="AY1470" s="355">
        <v>3.2640000000000002E-2</v>
      </c>
      <c r="AZ1470" s="624">
        <v>40381</v>
      </c>
      <c r="BA1470" s="355">
        <v>1.2200000000000001E-2</v>
      </c>
      <c r="BB1470" s="624">
        <v>40312</v>
      </c>
      <c r="BC1470" s="355">
        <v>0.308</v>
      </c>
      <c r="BD1470" s="624">
        <v>40312</v>
      </c>
      <c r="BE1470" s="355">
        <v>8.727E-2</v>
      </c>
      <c r="BF1470" s="624">
        <v>40381</v>
      </c>
      <c r="BG1470" s="355">
        <v>2.1298999999999998E-2</v>
      </c>
      <c r="BH1470" s="624">
        <v>40312</v>
      </c>
      <c r="BI1470" s="355">
        <v>0.109523</v>
      </c>
      <c r="BJ1470" s="624">
        <v>40311</v>
      </c>
      <c r="BK1470" s="355">
        <v>3.0887999999999999E-2</v>
      </c>
    </row>
    <row r="1471" spans="3:63" x14ac:dyDescent="0.15">
      <c r="C1471" s="624"/>
      <c r="D1471" s="355">
        <v>3.2640000000000002E-2</v>
      </c>
      <c r="AV1471" s="624"/>
      <c r="AX1471" s="624">
        <v>40318</v>
      </c>
      <c r="AY1471" s="355">
        <v>3.1910000000000001E-2</v>
      </c>
      <c r="AZ1471" s="624">
        <v>40382</v>
      </c>
      <c r="BA1471" s="355">
        <v>1.2200000000000001E-2</v>
      </c>
      <c r="BB1471" s="624">
        <v>40315</v>
      </c>
      <c r="BC1471" s="355">
        <v>0.30840000000000001</v>
      </c>
      <c r="BD1471" s="624">
        <v>40315</v>
      </c>
      <c r="BE1471" s="355">
        <v>8.6679999999999993E-2</v>
      </c>
      <c r="BF1471" s="624">
        <v>40382</v>
      </c>
      <c r="BG1471" s="355">
        <v>2.1256000000000001E-2</v>
      </c>
      <c r="BH1471" s="624">
        <v>40315</v>
      </c>
      <c r="BI1471" s="355">
        <v>0.10921500000000001</v>
      </c>
      <c r="BJ1471" s="624">
        <v>40312</v>
      </c>
      <c r="BK1471" s="355">
        <v>3.0807000000000001E-2</v>
      </c>
    </row>
    <row r="1472" spans="3:63" x14ac:dyDescent="0.15">
      <c r="C1472" s="624"/>
      <c r="D1472" s="355">
        <v>3.1910000000000001E-2</v>
      </c>
      <c r="AV1472" s="624"/>
      <c r="AX1472" s="624">
        <v>40319</v>
      </c>
      <c r="AY1472" s="355">
        <v>3.2230000000000002E-2</v>
      </c>
      <c r="AZ1472" s="624">
        <v>40385</v>
      </c>
      <c r="BA1472" s="355">
        <v>1.23E-2</v>
      </c>
      <c r="BB1472" s="624">
        <v>40316</v>
      </c>
      <c r="BC1472" s="355">
        <v>0.30070000000000002</v>
      </c>
      <c r="BD1472" s="624">
        <v>40316</v>
      </c>
      <c r="BE1472" s="355">
        <v>8.6389999999999995E-2</v>
      </c>
      <c r="BF1472" s="624">
        <v>40385</v>
      </c>
      <c r="BG1472" s="355">
        <v>2.1312999999999999E-2</v>
      </c>
      <c r="BH1472" s="624">
        <v>40316</v>
      </c>
      <c r="BI1472" s="355">
        <v>0.10961899999999999</v>
      </c>
      <c r="BJ1472" s="624">
        <v>40315</v>
      </c>
      <c r="BK1472" s="355">
        <v>3.0883000000000001E-2</v>
      </c>
    </row>
    <row r="1473" spans="3:63" x14ac:dyDescent="0.15">
      <c r="C1473" s="624"/>
      <c r="D1473" s="355">
        <v>3.2230000000000002E-2</v>
      </c>
      <c r="AV1473" s="624"/>
      <c r="AX1473" s="624">
        <v>40322</v>
      </c>
      <c r="AY1473" s="355">
        <v>3.2210000000000003E-2</v>
      </c>
      <c r="AZ1473" s="624">
        <v>40386</v>
      </c>
      <c r="BA1473" s="355">
        <v>1.2200000000000001E-2</v>
      </c>
      <c r="BB1473" s="624">
        <v>40317</v>
      </c>
      <c r="BC1473" s="355">
        <v>0.30359999999999998</v>
      </c>
      <c r="BD1473" s="624">
        <v>40317</v>
      </c>
      <c r="BE1473" s="355">
        <v>8.5419999999999996E-2</v>
      </c>
      <c r="BF1473" s="624">
        <v>40386</v>
      </c>
      <c r="BG1473" s="355">
        <v>2.1396999999999999E-2</v>
      </c>
      <c r="BH1473" s="624">
        <v>40317</v>
      </c>
      <c r="BI1473" s="355">
        <v>0.108254</v>
      </c>
      <c r="BJ1473" s="624">
        <v>40316</v>
      </c>
      <c r="BK1473" s="355">
        <v>3.0941E-2</v>
      </c>
    </row>
    <row r="1474" spans="3:63" x14ac:dyDescent="0.15">
      <c r="C1474" s="624"/>
      <c r="D1474" s="355">
        <v>3.2210000000000003E-2</v>
      </c>
      <c r="AV1474" s="624"/>
      <c r="AX1474" s="624">
        <v>40323</v>
      </c>
      <c r="AY1474" s="355">
        <v>3.1809999999999998E-2</v>
      </c>
      <c r="AZ1474" s="624">
        <v>40387</v>
      </c>
      <c r="BA1474" s="355">
        <v>1.2200000000000001E-2</v>
      </c>
      <c r="BB1474" s="624">
        <v>40318</v>
      </c>
      <c r="BC1474" s="355">
        <v>0.2999</v>
      </c>
      <c r="BD1474" s="624">
        <v>40318</v>
      </c>
      <c r="BE1474" s="355">
        <v>8.2540000000000002E-2</v>
      </c>
      <c r="BF1474" s="624">
        <v>40387</v>
      </c>
      <c r="BG1474" s="355">
        <v>2.137E-2</v>
      </c>
      <c r="BH1474" s="624">
        <v>40318</v>
      </c>
      <c r="BI1474" s="355">
        <v>0.10773000000000001</v>
      </c>
      <c r="BJ1474" s="624">
        <v>40317</v>
      </c>
      <c r="BK1474" s="355">
        <v>3.0869000000000001E-2</v>
      </c>
    </row>
    <row r="1475" spans="3:63" x14ac:dyDescent="0.15">
      <c r="C1475" s="624"/>
      <c r="D1475" s="355">
        <v>3.1809999999999998E-2</v>
      </c>
      <c r="AV1475" s="624"/>
      <c r="AX1475" s="624">
        <v>40324</v>
      </c>
      <c r="AY1475" s="355">
        <v>3.209E-2</v>
      </c>
      <c r="AZ1475" s="624">
        <v>40388</v>
      </c>
      <c r="BA1475" s="355">
        <v>1.23E-2</v>
      </c>
      <c r="BB1475" s="624">
        <v>40319</v>
      </c>
      <c r="BC1475" s="355">
        <v>0.30559999999999998</v>
      </c>
      <c r="BD1475" s="624">
        <v>40319</v>
      </c>
      <c r="BE1475" s="355">
        <v>8.2439999999999999E-2</v>
      </c>
      <c r="BF1475" s="624">
        <v>40388</v>
      </c>
      <c r="BG1475" s="355">
        <v>2.1475000000000001E-2</v>
      </c>
      <c r="BH1475" s="624">
        <v>40319</v>
      </c>
      <c r="BI1475" s="355">
        <v>0.10778799999999999</v>
      </c>
      <c r="BJ1475" s="624">
        <v>40318</v>
      </c>
      <c r="BK1475" s="355">
        <v>3.0802E-2</v>
      </c>
    </row>
    <row r="1476" spans="3:63" x14ac:dyDescent="0.15">
      <c r="C1476" s="624"/>
      <c r="D1476" s="355">
        <v>3.209E-2</v>
      </c>
      <c r="AV1476" s="624"/>
      <c r="AX1476" s="624">
        <v>40325</v>
      </c>
      <c r="AY1476" s="355">
        <v>3.2739999999999998E-2</v>
      </c>
      <c r="AZ1476" s="624">
        <v>40389</v>
      </c>
      <c r="BA1476" s="355">
        <v>1.23E-2</v>
      </c>
      <c r="BB1476" s="624">
        <v>40322</v>
      </c>
      <c r="BC1476" s="355">
        <v>0.3014</v>
      </c>
      <c r="BD1476" s="624">
        <v>40322</v>
      </c>
      <c r="BE1476" s="355">
        <v>8.2049999999999998E-2</v>
      </c>
      <c r="BF1476" s="624">
        <v>40389</v>
      </c>
      <c r="BG1476" s="355">
        <v>2.1519E-2</v>
      </c>
      <c r="BH1476" s="624">
        <v>40322</v>
      </c>
      <c r="BI1476" s="355">
        <v>0.10778799999999999</v>
      </c>
      <c r="BJ1476" s="624">
        <v>40319</v>
      </c>
      <c r="BK1476" s="355">
        <v>3.0865E-2</v>
      </c>
    </row>
    <row r="1477" spans="3:63" x14ac:dyDescent="0.15">
      <c r="C1477" s="624"/>
      <c r="D1477" s="355">
        <v>3.2739999999999998E-2</v>
      </c>
      <c r="AV1477" s="624"/>
      <c r="AX1477" s="624">
        <v>40326</v>
      </c>
      <c r="AY1477" s="355">
        <v>3.2469999999999999E-2</v>
      </c>
      <c r="AZ1477" s="624">
        <v>40392</v>
      </c>
      <c r="BA1477" s="355">
        <v>1.23E-2</v>
      </c>
      <c r="BB1477" s="624">
        <v>40323</v>
      </c>
      <c r="BC1477" s="355">
        <v>0.29849999999999999</v>
      </c>
      <c r="BD1477" s="624">
        <v>40323</v>
      </c>
      <c r="BE1477" s="355">
        <v>8.0100000000000005E-2</v>
      </c>
      <c r="BF1477" s="624">
        <v>40392</v>
      </c>
      <c r="BG1477" s="355">
        <v>2.1734E-2</v>
      </c>
      <c r="BH1477" s="624">
        <v>40323</v>
      </c>
      <c r="BI1477" s="355">
        <v>0.106326</v>
      </c>
      <c r="BJ1477" s="624">
        <v>40322</v>
      </c>
      <c r="BK1477" s="355">
        <v>3.0839999999999999E-2</v>
      </c>
    </row>
    <row r="1478" spans="3:63" x14ac:dyDescent="0.15">
      <c r="C1478" s="624"/>
      <c r="D1478" s="355">
        <v>3.2469999999999999E-2</v>
      </c>
      <c r="AV1478" s="624"/>
      <c r="AX1478" s="624">
        <v>40329</v>
      </c>
      <c r="AY1478" s="355">
        <v>3.2370000000000003E-2</v>
      </c>
      <c r="AZ1478" s="624">
        <v>40393</v>
      </c>
      <c r="BA1478" s="355">
        <v>1.24E-2</v>
      </c>
      <c r="BB1478" s="624">
        <v>40324</v>
      </c>
      <c r="BC1478" s="355">
        <v>0.2949</v>
      </c>
      <c r="BD1478" s="624">
        <v>40324</v>
      </c>
      <c r="BE1478" s="355">
        <v>8.0610000000000001E-2</v>
      </c>
      <c r="BF1478" s="624">
        <v>40393</v>
      </c>
      <c r="BG1478" s="355">
        <v>2.1683000000000001E-2</v>
      </c>
      <c r="BH1478" s="624">
        <v>40324</v>
      </c>
      <c r="BI1478" s="355">
        <v>0.10721</v>
      </c>
      <c r="BJ1478" s="624">
        <v>40323</v>
      </c>
      <c r="BK1478" s="355">
        <v>3.0731000000000001E-2</v>
      </c>
    </row>
    <row r="1479" spans="3:63" x14ac:dyDescent="0.15">
      <c r="C1479" s="624"/>
      <c r="D1479" s="355">
        <v>3.2370000000000003E-2</v>
      </c>
      <c r="AV1479" s="624"/>
      <c r="AX1479" s="624">
        <v>40330</v>
      </c>
      <c r="AY1479" s="355">
        <v>3.2129999999999999E-2</v>
      </c>
      <c r="AZ1479" s="624">
        <v>40394</v>
      </c>
      <c r="BA1479" s="355">
        <v>1.24E-2</v>
      </c>
      <c r="BB1479" s="624">
        <v>40325</v>
      </c>
      <c r="BC1479" s="355">
        <v>0.30480000000000002</v>
      </c>
      <c r="BD1479" s="624">
        <v>40325</v>
      </c>
      <c r="BE1479" s="355">
        <v>8.2710000000000006E-2</v>
      </c>
      <c r="BF1479" s="624">
        <v>40394</v>
      </c>
      <c r="BG1479" s="355">
        <v>2.1706E-2</v>
      </c>
      <c r="BH1479" s="624">
        <v>40325</v>
      </c>
      <c r="BI1479" s="355">
        <v>0.108372</v>
      </c>
      <c r="BJ1479" s="624">
        <v>40324</v>
      </c>
      <c r="BK1479" s="355">
        <v>3.0717999999999999E-2</v>
      </c>
    </row>
    <row r="1480" spans="3:63" x14ac:dyDescent="0.15">
      <c r="C1480" s="624"/>
      <c r="D1480" s="355">
        <v>3.2129999999999999E-2</v>
      </c>
      <c r="AV1480" s="624"/>
      <c r="AX1480" s="624">
        <v>40331</v>
      </c>
      <c r="AY1480" s="355">
        <v>3.2099999999999997E-2</v>
      </c>
      <c r="AZ1480" s="624">
        <v>40395</v>
      </c>
      <c r="BA1480" s="355">
        <v>1.24E-2</v>
      </c>
      <c r="BB1480" s="624">
        <v>40326</v>
      </c>
      <c r="BC1480" s="355">
        <v>0.30130000000000001</v>
      </c>
      <c r="BD1480" s="624">
        <v>40326</v>
      </c>
      <c r="BE1480" s="355">
        <v>8.2100000000000006E-2</v>
      </c>
      <c r="BF1480" s="624">
        <v>40395</v>
      </c>
      <c r="BG1480" s="355">
        <v>2.1652999999999999E-2</v>
      </c>
      <c r="BH1480" s="624">
        <v>40326</v>
      </c>
      <c r="BI1480" s="355">
        <v>0.109111</v>
      </c>
      <c r="BJ1480" s="624">
        <v>40325</v>
      </c>
      <c r="BK1480" s="355">
        <v>3.0721999999999999E-2</v>
      </c>
    </row>
    <row r="1481" spans="3:63" x14ac:dyDescent="0.15">
      <c r="C1481" s="624"/>
      <c r="D1481" s="355">
        <v>3.2099999999999997E-2</v>
      </c>
      <c r="AV1481" s="624"/>
      <c r="AX1481" s="624">
        <v>40332</v>
      </c>
      <c r="AY1481" s="355">
        <v>3.209E-2</v>
      </c>
      <c r="AZ1481" s="624">
        <v>40396</v>
      </c>
      <c r="BA1481" s="355">
        <v>1.2500000000000001E-2</v>
      </c>
      <c r="BB1481" s="624">
        <v>40329</v>
      </c>
      <c r="BC1481" s="355">
        <v>0.30180000000000001</v>
      </c>
      <c r="BD1481" s="624">
        <v>40329</v>
      </c>
      <c r="BE1481" s="355">
        <v>8.2989999999999994E-2</v>
      </c>
      <c r="BF1481" s="624">
        <v>40396</v>
      </c>
      <c r="BG1481" s="355">
        <v>2.1666000000000001E-2</v>
      </c>
      <c r="BH1481" s="624">
        <v>40329</v>
      </c>
      <c r="BI1481" s="355">
        <v>0.108933</v>
      </c>
      <c r="BJ1481" s="624">
        <v>40326</v>
      </c>
      <c r="BK1481" s="355">
        <v>3.0713000000000001E-2</v>
      </c>
    </row>
    <row r="1482" spans="3:63" x14ac:dyDescent="0.15">
      <c r="C1482" s="624"/>
      <c r="D1482" s="355">
        <v>3.209E-2</v>
      </c>
      <c r="AV1482" s="624"/>
      <c r="AX1482" s="624">
        <v>40333</v>
      </c>
      <c r="AY1482" s="355">
        <v>3.1649999999999998E-2</v>
      </c>
      <c r="AZ1482" s="624">
        <v>40399</v>
      </c>
      <c r="BA1482" s="355">
        <v>1.2500000000000001E-2</v>
      </c>
      <c r="BB1482" s="624">
        <v>40330</v>
      </c>
      <c r="BC1482" s="355">
        <v>0.29730000000000001</v>
      </c>
      <c r="BD1482" s="624">
        <v>40330</v>
      </c>
      <c r="BE1482" s="355">
        <v>8.1269999999999995E-2</v>
      </c>
      <c r="BF1482" s="624">
        <v>40399</v>
      </c>
      <c r="BG1482" s="355">
        <v>2.1679E-2</v>
      </c>
      <c r="BH1482" s="624">
        <v>40330</v>
      </c>
      <c r="BI1482" s="355">
        <v>0.108319</v>
      </c>
      <c r="BJ1482" s="624">
        <v>40329</v>
      </c>
      <c r="BK1482" s="355">
        <v>3.075E-2</v>
      </c>
    </row>
    <row r="1483" spans="3:63" x14ac:dyDescent="0.15">
      <c r="C1483" s="624"/>
      <c r="D1483" s="355">
        <v>3.1649999999999998E-2</v>
      </c>
      <c r="AV1483" s="624"/>
      <c r="AX1483" s="624">
        <v>40336</v>
      </c>
      <c r="AY1483" s="355">
        <v>3.1399999999999997E-2</v>
      </c>
      <c r="AZ1483" s="624">
        <v>40400</v>
      </c>
      <c r="BA1483" s="355">
        <v>1.2500000000000001E-2</v>
      </c>
      <c r="BB1483" s="624">
        <v>40331</v>
      </c>
      <c r="BC1483" s="355">
        <v>0.29949999999999999</v>
      </c>
      <c r="BD1483" s="624">
        <v>40331</v>
      </c>
      <c r="BE1483" s="355">
        <v>8.3199999999999996E-2</v>
      </c>
      <c r="BF1483" s="624">
        <v>40400</v>
      </c>
      <c r="BG1483" s="355">
        <v>2.1554E-2</v>
      </c>
      <c r="BH1483" s="624">
        <v>40331</v>
      </c>
      <c r="BI1483" s="355">
        <v>0.10828400000000001</v>
      </c>
      <c r="BJ1483" s="624">
        <v>40330</v>
      </c>
      <c r="BK1483" s="355">
        <v>3.0675000000000001E-2</v>
      </c>
    </row>
    <row r="1484" spans="3:63" x14ac:dyDescent="0.15">
      <c r="C1484" s="624"/>
      <c r="D1484" s="355">
        <v>3.1399999999999997E-2</v>
      </c>
      <c r="AV1484" s="624"/>
      <c r="AX1484" s="624">
        <v>40337</v>
      </c>
      <c r="AY1484" s="355">
        <v>3.1449999999999999E-2</v>
      </c>
      <c r="AZ1484" s="624">
        <v>40401</v>
      </c>
      <c r="BA1484" s="355">
        <v>1.2200000000000001E-2</v>
      </c>
      <c r="BB1484" s="624">
        <v>40332</v>
      </c>
      <c r="BC1484" s="355">
        <v>0.29509999999999997</v>
      </c>
      <c r="BD1484" s="624">
        <v>40332</v>
      </c>
      <c r="BE1484" s="355">
        <v>8.2680000000000003E-2</v>
      </c>
      <c r="BF1484" s="624">
        <v>40401</v>
      </c>
      <c r="BG1484" s="355">
        <v>2.1413000000000001E-2</v>
      </c>
      <c r="BH1484" s="624">
        <v>40332</v>
      </c>
      <c r="BI1484" s="355">
        <v>0.108755</v>
      </c>
      <c r="BJ1484" s="624">
        <v>40331</v>
      </c>
      <c r="BK1484" s="355">
        <v>3.0693999999999999E-2</v>
      </c>
    </row>
    <row r="1485" spans="3:63" x14ac:dyDescent="0.15">
      <c r="C1485" s="624"/>
      <c r="D1485" s="355">
        <v>3.1449999999999999E-2</v>
      </c>
      <c r="AV1485" s="624"/>
      <c r="AX1485" s="624">
        <v>40338</v>
      </c>
      <c r="AY1485" s="355">
        <v>3.1550000000000002E-2</v>
      </c>
      <c r="AZ1485" s="624">
        <v>40402</v>
      </c>
      <c r="BA1485" s="355">
        <v>1.2200000000000001E-2</v>
      </c>
      <c r="BB1485" s="624">
        <v>40333</v>
      </c>
      <c r="BC1485" s="355">
        <v>0.2863</v>
      </c>
      <c r="BD1485" s="624">
        <v>40333</v>
      </c>
      <c r="BE1485" s="355">
        <v>8.1680000000000003E-2</v>
      </c>
      <c r="BF1485" s="624">
        <v>40402</v>
      </c>
      <c r="BG1485" s="355">
        <v>2.1381000000000001E-2</v>
      </c>
      <c r="BH1485" s="624">
        <v>40333</v>
      </c>
      <c r="BI1485" s="355">
        <v>0.107113</v>
      </c>
      <c r="BJ1485" s="624">
        <v>40332</v>
      </c>
      <c r="BK1485" s="355">
        <v>3.0703000000000001E-2</v>
      </c>
    </row>
    <row r="1486" spans="3:63" x14ac:dyDescent="0.15">
      <c r="C1486" s="624"/>
      <c r="D1486" s="355">
        <v>3.1550000000000002E-2</v>
      </c>
      <c r="AV1486" s="624"/>
      <c r="AX1486" s="624">
        <v>40339</v>
      </c>
      <c r="AY1486" s="355">
        <v>3.1800000000000002E-2</v>
      </c>
      <c r="AZ1486" s="624">
        <v>40403</v>
      </c>
      <c r="BA1486" s="355">
        <v>1.2200000000000001E-2</v>
      </c>
      <c r="BB1486" s="624">
        <v>40336</v>
      </c>
      <c r="BC1486" s="355">
        <v>0.28660000000000002</v>
      </c>
      <c r="BD1486" s="624">
        <v>40336</v>
      </c>
      <c r="BE1486" s="355">
        <v>8.0600000000000005E-2</v>
      </c>
      <c r="BF1486" s="624">
        <v>40403</v>
      </c>
      <c r="BG1486" s="355">
        <v>2.1382000000000002E-2</v>
      </c>
      <c r="BH1486" s="624">
        <v>40336</v>
      </c>
      <c r="BI1486" s="355">
        <v>0.107585</v>
      </c>
      <c r="BJ1486" s="624">
        <v>40333</v>
      </c>
      <c r="BK1486" s="355">
        <v>3.0655999999999999E-2</v>
      </c>
    </row>
    <row r="1487" spans="3:63" x14ac:dyDescent="0.15">
      <c r="C1487" s="624"/>
      <c r="D1487" s="355">
        <v>3.1800000000000002E-2</v>
      </c>
      <c r="AV1487" s="624"/>
      <c r="AX1487" s="624">
        <v>40340</v>
      </c>
      <c r="AY1487" s="355">
        <v>3.1730000000000001E-2</v>
      </c>
      <c r="AZ1487" s="624">
        <v>40406</v>
      </c>
      <c r="BA1487" s="355">
        <v>1.2200000000000001E-2</v>
      </c>
      <c r="BB1487" s="624">
        <v>40337</v>
      </c>
      <c r="BC1487" s="355">
        <v>0.28999999999999998</v>
      </c>
      <c r="BD1487" s="624">
        <v>40337</v>
      </c>
      <c r="BE1487" s="355">
        <v>8.1019999999999995E-2</v>
      </c>
      <c r="BF1487" s="624">
        <v>40406</v>
      </c>
      <c r="BG1487" s="355">
        <v>2.137E-2</v>
      </c>
      <c r="BH1487" s="624">
        <v>40337</v>
      </c>
      <c r="BI1487" s="355">
        <v>0.10770100000000001</v>
      </c>
      <c r="BJ1487" s="624">
        <v>40336</v>
      </c>
      <c r="BK1487" s="355">
        <v>3.0641999999999999E-2</v>
      </c>
    </row>
    <row r="1488" spans="3:63" x14ac:dyDescent="0.15">
      <c r="C1488" s="624"/>
      <c r="D1488" s="355">
        <v>3.1730000000000001E-2</v>
      </c>
      <c r="AV1488" s="624"/>
      <c r="AX1488" s="624">
        <v>40343</v>
      </c>
      <c r="AY1488" s="355">
        <v>3.1879999999999999E-2</v>
      </c>
      <c r="AZ1488" s="624">
        <v>40407</v>
      </c>
      <c r="BA1488" s="355">
        <v>1.23E-2</v>
      </c>
      <c r="BB1488" s="624">
        <v>40338</v>
      </c>
      <c r="BC1488" s="355">
        <v>0.28889999999999999</v>
      </c>
      <c r="BD1488" s="624">
        <v>40338</v>
      </c>
      <c r="BE1488" s="355">
        <v>7.9850000000000004E-2</v>
      </c>
      <c r="BF1488" s="624">
        <v>40407</v>
      </c>
      <c r="BG1488" s="355">
        <v>2.1440000000000001E-2</v>
      </c>
      <c r="BH1488" s="624">
        <v>40338</v>
      </c>
      <c r="BI1488" s="355">
        <v>0.108167</v>
      </c>
      <c r="BJ1488" s="624">
        <v>40337</v>
      </c>
      <c r="BK1488" s="355">
        <v>3.0665000000000001E-2</v>
      </c>
    </row>
    <row r="1489" spans="3:63" x14ac:dyDescent="0.15">
      <c r="C1489" s="624"/>
      <c r="D1489" s="355">
        <v>3.1879999999999999E-2</v>
      </c>
      <c r="AV1489" s="624"/>
      <c r="AX1489" s="624">
        <v>40344</v>
      </c>
      <c r="AY1489" s="355">
        <v>3.1989999999999998E-2</v>
      </c>
      <c r="AZ1489" s="624">
        <v>40408</v>
      </c>
      <c r="BA1489" s="355">
        <v>1.23E-2</v>
      </c>
      <c r="BB1489" s="624">
        <v>40339</v>
      </c>
      <c r="BC1489" s="355">
        <v>0.29659999999999997</v>
      </c>
      <c r="BD1489" s="624">
        <v>40339</v>
      </c>
      <c r="BE1489" s="355">
        <v>8.072E-2</v>
      </c>
      <c r="BF1489" s="624">
        <v>40408</v>
      </c>
      <c r="BG1489" s="355">
        <v>2.1468000000000001E-2</v>
      </c>
      <c r="BH1489" s="624">
        <v>40339</v>
      </c>
      <c r="BI1489" s="355">
        <v>0.108519</v>
      </c>
      <c r="BJ1489" s="624">
        <v>40338</v>
      </c>
      <c r="BK1489" s="355">
        <v>3.0679999999999999E-2</v>
      </c>
    </row>
    <row r="1490" spans="3:63" x14ac:dyDescent="0.15">
      <c r="C1490" s="624"/>
      <c r="D1490" s="355">
        <v>3.1989999999999998E-2</v>
      </c>
      <c r="AV1490" s="624"/>
      <c r="AX1490" s="624">
        <v>40345</v>
      </c>
      <c r="AY1490" s="355">
        <v>3.2039999999999999E-2</v>
      </c>
      <c r="AZ1490" s="624">
        <v>40409</v>
      </c>
      <c r="BA1490" s="355">
        <v>1.2200000000000001E-2</v>
      </c>
      <c r="BB1490" s="624">
        <v>40340</v>
      </c>
      <c r="BC1490" s="355">
        <v>0.29509999999999997</v>
      </c>
      <c r="BD1490" s="624">
        <v>40340</v>
      </c>
      <c r="BE1490" s="355">
        <v>8.0269999999999994E-2</v>
      </c>
      <c r="BF1490" s="624">
        <v>40410</v>
      </c>
      <c r="BG1490" s="355">
        <v>2.1427000000000002E-2</v>
      </c>
      <c r="BH1490" s="624">
        <v>40340</v>
      </c>
      <c r="BI1490" s="355">
        <v>0.108755</v>
      </c>
      <c r="BJ1490" s="624">
        <v>40339</v>
      </c>
      <c r="BK1490" s="355">
        <v>3.0807000000000001E-2</v>
      </c>
    </row>
    <row r="1491" spans="3:63" x14ac:dyDescent="0.15">
      <c r="C1491" s="624"/>
      <c r="D1491" s="355">
        <v>3.2039999999999999E-2</v>
      </c>
      <c r="AV1491" s="624"/>
      <c r="AX1491" s="624">
        <v>40346</v>
      </c>
      <c r="AY1491" s="355">
        <v>3.2219999999999999E-2</v>
      </c>
      <c r="AZ1491" s="624">
        <v>40410</v>
      </c>
      <c r="BA1491" s="355">
        <v>1.21E-2</v>
      </c>
      <c r="BB1491" s="624">
        <v>40343</v>
      </c>
      <c r="BC1491" s="355">
        <v>0.30009999999999998</v>
      </c>
      <c r="BD1491" s="624">
        <v>40343</v>
      </c>
      <c r="BE1491" s="355">
        <v>8.2019999999999996E-2</v>
      </c>
      <c r="BF1491" s="624">
        <v>40413</v>
      </c>
      <c r="BG1491" s="355">
        <v>2.1434999999999999E-2</v>
      </c>
      <c r="BH1491" s="624">
        <v>40343</v>
      </c>
      <c r="BI1491" s="355">
        <v>0.109004</v>
      </c>
      <c r="BJ1491" s="624">
        <v>40340</v>
      </c>
      <c r="BK1491" s="355">
        <v>3.0818000000000002E-2</v>
      </c>
    </row>
    <row r="1492" spans="3:63" x14ac:dyDescent="0.15">
      <c r="C1492" s="624"/>
      <c r="D1492" s="355">
        <v>3.2219999999999999E-2</v>
      </c>
      <c r="AV1492" s="624"/>
      <c r="AX1492" s="624">
        <v>40347</v>
      </c>
      <c r="AY1492" s="355">
        <v>3.2289999999999999E-2</v>
      </c>
      <c r="AZ1492" s="624">
        <v>40413</v>
      </c>
      <c r="BA1492" s="355">
        <v>1.2E-2</v>
      </c>
      <c r="BB1492" s="624">
        <v>40344</v>
      </c>
      <c r="BC1492" s="355">
        <v>0.30370000000000003</v>
      </c>
      <c r="BD1492" s="624">
        <v>40344</v>
      </c>
      <c r="BE1492" s="355">
        <v>8.2369999999999999E-2</v>
      </c>
      <c r="BF1492" s="624">
        <v>40414</v>
      </c>
      <c r="BG1492" s="355">
        <v>2.1315000000000001E-2</v>
      </c>
      <c r="BH1492" s="624">
        <v>40344</v>
      </c>
      <c r="BI1492" s="355">
        <v>0.109051</v>
      </c>
      <c r="BJ1492" s="624">
        <v>40343</v>
      </c>
      <c r="BK1492" s="355">
        <v>3.0897999999999998E-2</v>
      </c>
    </row>
    <row r="1493" spans="3:63" x14ac:dyDescent="0.15">
      <c r="C1493" s="624"/>
      <c r="D1493" s="355">
        <v>3.2289999999999999E-2</v>
      </c>
      <c r="AV1493" s="624"/>
      <c r="AX1493" s="624">
        <v>40350</v>
      </c>
      <c r="AY1493" s="355">
        <v>3.2419999999999997E-2</v>
      </c>
      <c r="AZ1493" s="624">
        <v>40414</v>
      </c>
      <c r="BA1493" s="355">
        <v>1.2E-2</v>
      </c>
      <c r="BB1493" s="624">
        <v>40345</v>
      </c>
      <c r="BC1493" s="355">
        <v>0.30280000000000001</v>
      </c>
      <c r="BD1493" s="624">
        <v>40345</v>
      </c>
      <c r="BE1493" s="355">
        <v>8.2589999999999997E-2</v>
      </c>
      <c r="BF1493" s="624">
        <v>40415</v>
      </c>
      <c r="BG1493" s="355">
        <v>2.1316999999999999E-2</v>
      </c>
      <c r="BH1493" s="624">
        <v>40345</v>
      </c>
      <c r="BI1493" s="355">
        <v>0.109349</v>
      </c>
      <c r="BJ1493" s="624">
        <v>40344</v>
      </c>
      <c r="BK1493" s="355">
        <v>3.0811999999999999E-2</v>
      </c>
    </row>
    <row r="1494" spans="3:63" x14ac:dyDescent="0.15">
      <c r="C1494" s="624"/>
      <c r="D1494" s="355">
        <v>3.2419999999999997E-2</v>
      </c>
      <c r="AV1494" s="624"/>
      <c r="AX1494" s="624">
        <v>40351</v>
      </c>
      <c r="AY1494" s="355">
        <v>3.2340000000000001E-2</v>
      </c>
      <c r="AZ1494" s="624">
        <v>40415</v>
      </c>
      <c r="BA1494" s="355">
        <v>1.2E-2</v>
      </c>
      <c r="BB1494" s="624">
        <v>40346</v>
      </c>
      <c r="BC1494" s="355">
        <v>0.30399999999999999</v>
      </c>
      <c r="BD1494" s="624">
        <v>40346</v>
      </c>
      <c r="BE1494" s="355">
        <v>8.2390000000000005E-2</v>
      </c>
      <c r="BF1494" s="624">
        <v>40416</v>
      </c>
      <c r="BG1494" s="355">
        <v>2.1344999999999999E-2</v>
      </c>
      <c r="BH1494" s="624">
        <v>40346</v>
      </c>
      <c r="BI1494" s="355">
        <v>0.109559</v>
      </c>
      <c r="BJ1494" s="624">
        <v>40345</v>
      </c>
      <c r="BK1494" s="355">
        <v>3.0911999999999999E-2</v>
      </c>
    </row>
    <row r="1495" spans="3:63" x14ac:dyDescent="0.15">
      <c r="C1495" s="624"/>
      <c r="D1495" s="355">
        <v>3.2340000000000001E-2</v>
      </c>
      <c r="AV1495" s="624"/>
      <c r="AX1495" s="624">
        <v>40352</v>
      </c>
      <c r="AY1495" s="355">
        <v>3.2259999999999997E-2</v>
      </c>
      <c r="AZ1495" s="624">
        <v>40416</v>
      </c>
      <c r="BA1495" s="355">
        <v>1.2E-2</v>
      </c>
      <c r="BB1495" s="624">
        <v>40347</v>
      </c>
      <c r="BC1495" s="355">
        <v>0.30630000000000002</v>
      </c>
      <c r="BD1495" s="624">
        <v>40347</v>
      </c>
      <c r="BE1495" s="355">
        <v>8.3720000000000003E-2</v>
      </c>
      <c r="BF1495" s="624">
        <v>40417</v>
      </c>
      <c r="BG1495" s="355">
        <v>2.1323000000000002E-2</v>
      </c>
      <c r="BH1495" s="624">
        <v>40347</v>
      </c>
      <c r="BI1495" s="355">
        <v>0.11018699999999999</v>
      </c>
      <c r="BJ1495" s="624">
        <v>40346</v>
      </c>
      <c r="BK1495" s="355">
        <v>3.0887999999999999E-2</v>
      </c>
    </row>
    <row r="1496" spans="3:63" x14ac:dyDescent="0.15">
      <c r="C1496" s="624"/>
      <c r="D1496" s="355">
        <v>3.2259999999999997E-2</v>
      </c>
      <c r="AV1496" s="624"/>
      <c r="AX1496" s="624">
        <v>40353</v>
      </c>
      <c r="AY1496" s="355">
        <v>3.2210000000000003E-2</v>
      </c>
      <c r="AZ1496" s="624">
        <v>40417</v>
      </c>
      <c r="BA1496" s="355">
        <v>1.21E-2</v>
      </c>
      <c r="BB1496" s="624">
        <v>40350</v>
      </c>
      <c r="BC1496" s="355">
        <v>0.30330000000000001</v>
      </c>
      <c r="BD1496" s="624">
        <v>40350</v>
      </c>
      <c r="BE1496" s="355">
        <v>8.4919999999999995E-2</v>
      </c>
      <c r="BF1496" s="624">
        <v>40420</v>
      </c>
      <c r="BG1496" s="355">
        <v>2.1314E-2</v>
      </c>
      <c r="BH1496" s="624">
        <v>40350</v>
      </c>
      <c r="BI1496" s="355">
        <v>0.11101900000000001</v>
      </c>
      <c r="BJ1496" s="624">
        <v>40347</v>
      </c>
      <c r="BK1496" s="355">
        <v>3.0865E-2</v>
      </c>
    </row>
    <row r="1497" spans="3:63" x14ac:dyDescent="0.15">
      <c r="C1497" s="624"/>
      <c r="D1497" s="355">
        <v>3.2210000000000003E-2</v>
      </c>
      <c r="AV1497" s="624"/>
      <c r="AX1497" s="624">
        <v>40354</v>
      </c>
      <c r="AY1497" s="355">
        <v>3.2259999999999997E-2</v>
      </c>
      <c r="AZ1497" s="624">
        <v>40420</v>
      </c>
      <c r="BA1497" s="355">
        <v>1.2E-2</v>
      </c>
      <c r="BB1497" s="624">
        <v>40351</v>
      </c>
      <c r="BC1497" s="355">
        <v>0.30170000000000002</v>
      </c>
      <c r="BD1497" s="624">
        <v>40351</v>
      </c>
      <c r="BE1497" s="355">
        <v>8.4029999999999994E-2</v>
      </c>
      <c r="BF1497" s="624">
        <v>40421</v>
      </c>
      <c r="BG1497" s="355">
        <v>2.1243000000000001E-2</v>
      </c>
      <c r="BH1497" s="624">
        <v>40351</v>
      </c>
      <c r="BI1497" s="355">
        <v>0.110773</v>
      </c>
      <c r="BJ1497" s="624">
        <v>40350</v>
      </c>
      <c r="BK1497" s="355">
        <v>3.1016999999999999E-2</v>
      </c>
    </row>
    <row r="1498" spans="3:63" x14ac:dyDescent="0.15">
      <c r="C1498" s="624"/>
      <c r="D1498" s="355">
        <v>3.2259999999999997E-2</v>
      </c>
      <c r="AV1498" s="624"/>
      <c r="AX1498" s="624">
        <v>40357</v>
      </c>
      <c r="AY1498" s="355">
        <v>3.2190000000000003E-2</v>
      </c>
      <c r="AZ1498" s="624">
        <v>40421</v>
      </c>
      <c r="BA1498" s="355">
        <v>1.21E-2</v>
      </c>
      <c r="BB1498" s="624">
        <v>40352</v>
      </c>
      <c r="BC1498" s="355">
        <v>0.3029</v>
      </c>
      <c r="BD1498" s="624">
        <v>40352</v>
      </c>
      <c r="BE1498" s="355">
        <v>8.4320000000000006E-2</v>
      </c>
      <c r="BF1498" s="624">
        <v>40422</v>
      </c>
      <c r="BG1498" s="355">
        <v>2.1364999999999999E-2</v>
      </c>
      <c r="BH1498" s="624">
        <v>40352</v>
      </c>
      <c r="BI1498" s="355">
        <v>0.110467</v>
      </c>
      <c r="BJ1498" s="624">
        <v>40351</v>
      </c>
      <c r="BK1498" s="355">
        <v>3.0925999999999999E-2</v>
      </c>
    </row>
    <row r="1499" spans="3:63" x14ac:dyDescent="0.15">
      <c r="C1499" s="624"/>
      <c r="D1499" s="355">
        <v>3.2190000000000003E-2</v>
      </c>
      <c r="AV1499" s="624"/>
      <c r="AX1499" s="624">
        <v>40358</v>
      </c>
      <c r="AY1499" s="355">
        <v>3.1919999999999997E-2</v>
      </c>
      <c r="AZ1499" s="624">
        <v>40422</v>
      </c>
      <c r="BA1499" s="355">
        <v>1.21E-2</v>
      </c>
      <c r="BB1499" s="624">
        <v>40353</v>
      </c>
      <c r="BC1499" s="355">
        <v>0.2994</v>
      </c>
      <c r="BD1499" s="624">
        <v>40353</v>
      </c>
      <c r="BE1499" s="355">
        <v>8.3320000000000005E-2</v>
      </c>
      <c r="BF1499" s="624">
        <v>40423</v>
      </c>
      <c r="BG1499" s="355">
        <v>2.1403999999999999E-2</v>
      </c>
      <c r="BH1499" s="624">
        <v>40353</v>
      </c>
      <c r="BI1499" s="355">
        <v>0.11054</v>
      </c>
      <c r="BJ1499" s="624">
        <v>40352</v>
      </c>
      <c r="BK1499" s="355">
        <v>3.0901999999999999E-2</v>
      </c>
    </row>
    <row r="1500" spans="3:63" x14ac:dyDescent="0.15">
      <c r="C1500" s="624"/>
      <c r="D1500" s="355">
        <v>3.1919999999999997E-2</v>
      </c>
      <c r="AV1500" s="624"/>
      <c r="AX1500" s="624">
        <v>40359</v>
      </c>
      <c r="AY1500" s="355">
        <v>3.1989999999999998E-2</v>
      </c>
      <c r="AZ1500" s="624">
        <v>40423</v>
      </c>
      <c r="BA1500" s="355">
        <v>1.21E-2</v>
      </c>
      <c r="BB1500" s="624">
        <v>40354</v>
      </c>
      <c r="BC1500" s="355">
        <v>0.30059999999999998</v>
      </c>
      <c r="BD1500" s="624">
        <v>40354</v>
      </c>
      <c r="BE1500" s="355">
        <v>8.3199999999999996E-2</v>
      </c>
      <c r="BF1500" s="624">
        <v>40424</v>
      </c>
      <c r="BG1500" s="355">
        <v>2.1441000000000002E-2</v>
      </c>
      <c r="BH1500" s="624">
        <v>40354</v>
      </c>
      <c r="BI1500" s="355">
        <v>0.110163</v>
      </c>
      <c r="BJ1500" s="624">
        <v>40353</v>
      </c>
      <c r="BK1500" s="355">
        <v>3.0863999999999999E-2</v>
      </c>
    </row>
    <row r="1501" spans="3:63" x14ac:dyDescent="0.15">
      <c r="C1501" s="624"/>
      <c r="D1501" s="355">
        <v>3.1989999999999998E-2</v>
      </c>
      <c r="AV1501" s="624"/>
      <c r="AX1501" s="624">
        <v>40360</v>
      </c>
      <c r="AY1501" s="355">
        <v>3.1989999999999998E-2</v>
      </c>
      <c r="AZ1501" s="624">
        <v>40424</v>
      </c>
      <c r="BA1501" s="355">
        <v>1.2200000000000001E-2</v>
      </c>
      <c r="BB1501" s="624">
        <v>40357</v>
      </c>
      <c r="BC1501" s="355">
        <v>0.2954</v>
      </c>
      <c r="BD1501" s="624">
        <v>40357</v>
      </c>
      <c r="BE1501" s="355">
        <v>8.3260000000000001E-2</v>
      </c>
      <c r="BF1501" s="624">
        <v>40427</v>
      </c>
      <c r="BG1501" s="355">
        <v>2.1486999999999999E-2</v>
      </c>
      <c r="BH1501" s="624">
        <v>40357</v>
      </c>
      <c r="BI1501" s="355">
        <v>0.110773</v>
      </c>
      <c r="BJ1501" s="624">
        <v>40354</v>
      </c>
      <c r="BK1501" s="355">
        <v>3.0884000000000002E-2</v>
      </c>
    </row>
    <row r="1502" spans="3:63" x14ac:dyDescent="0.15">
      <c r="C1502" s="624"/>
      <c r="D1502" s="355">
        <v>3.1989999999999998E-2</v>
      </c>
      <c r="AV1502" s="624"/>
      <c r="AX1502" s="624">
        <v>40361</v>
      </c>
      <c r="AY1502" s="355">
        <v>3.2169999999999997E-2</v>
      </c>
      <c r="AZ1502" s="624">
        <v>40427</v>
      </c>
      <c r="BA1502" s="355">
        <v>1.2200000000000001E-2</v>
      </c>
      <c r="BB1502" s="624">
        <v>40358</v>
      </c>
      <c r="BC1502" s="355">
        <v>0.29339999999999999</v>
      </c>
      <c r="BD1502" s="624">
        <v>40358</v>
      </c>
      <c r="BE1502" s="355">
        <v>8.1320000000000003E-2</v>
      </c>
      <c r="BF1502" s="624">
        <v>40428</v>
      </c>
      <c r="BG1502" s="355">
        <v>2.1346E-2</v>
      </c>
      <c r="BH1502" s="624">
        <v>40358</v>
      </c>
      <c r="BI1502" s="355">
        <v>0.110406</v>
      </c>
      <c r="BJ1502" s="624">
        <v>40357</v>
      </c>
      <c r="BK1502" s="355">
        <v>3.0855E-2</v>
      </c>
    </row>
    <row r="1503" spans="3:63" x14ac:dyDescent="0.15">
      <c r="C1503" s="624"/>
      <c r="D1503" s="355">
        <v>3.2169999999999997E-2</v>
      </c>
      <c r="AV1503" s="624"/>
      <c r="AX1503" s="624">
        <v>40364</v>
      </c>
      <c r="AY1503" s="355">
        <v>3.211E-2</v>
      </c>
      <c r="AZ1503" s="624">
        <v>40428</v>
      </c>
      <c r="BA1503" s="355">
        <v>1.2E-2</v>
      </c>
      <c r="BB1503" s="624">
        <v>40359</v>
      </c>
      <c r="BC1503" s="355">
        <v>0.29509999999999997</v>
      </c>
      <c r="BD1503" s="624">
        <v>40359</v>
      </c>
      <c r="BE1503" s="355">
        <v>8.1939999999999999E-2</v>
      </c>
      <c r="BF1503" s="624">
        <v>40429</v>
      </c>
      <c r="BG1503" s="355">
        <v>2.1444999999999999E-2</v>
      </c>
      <c r="BH1503" s="624">
        <v>40359</v>
      </c>
      <c r="BI1503" s="355">
        <v>0.110467</v>
      </c>
      <c r="BJ1503" s="624">
        <v>40358</v>
      </c>
      <c r="BK1503" s="355">
        <v>3.0869000000000001E-2</v>
      </c>
    </row>
    <row r="1504" spans="3:63" x14ac:dyDescent="0.15">
      <c r="C1504" s="624"/>
      <c r="D1504" s="355">
        <v>3.211E-2</v>
      </c>
      <c r="AV1504" s="624"/>
      <c r="AX1504" s="624">
        <v>40365</v>
      </c>
      <c r="AY1504" s="355">
        <v>3.227E-2</v>
      </c>
      <c r="AZ1504" s="624">
        <v>40429</v>
      </c>
      <c r="BA1504" s="355">
        <v>1.21E-2</v>
      </c>
      <c r="BB1504" s="624">
        <v>40360</v>
      </c>
      <c r="BC1504" s="355">
        <v>0.30080000000000001</v>
      </c>
      <c r="BD1504" s="624">
        <v>40360</v>
      </c>
      <c r="BE1504" s="355">
        <v>8.1820000000000004E-2</v>
      </c>
      <c r="BF1504" s="624">
        <v>40430</v>
      </c>
      <c r="BG1504" s="355">
        <v>2.1519E-2</v>
      </c>
      <c r="BH1504" s="624">
        <v>40360</v>
      </c>
      <c r="BI1504" s="355">
        <v>0.110467</v>
      </c>
      <c r="BJ1504" s="624">
        <v>40359</v>
      </c>
      <c r="BK1504" s="355">
        <v>3.0845000000000001E-2</v>
      </c>
    </row>
    <row r="1505" spans="3:63" x14ac:dyDescent="0.15">
      <c r="C1505" s="624"/>
      <c r="D1505" s="355">
        <v>3.227E-2</v>
      </c>
      <c r="AV1505" s="624"/>
      <c r="AX1505" s="624">
        <v>40366</v>
      </c>
      <c r="AY1505" s="355">
        <v>3.2239999999999998E-2</v>
      </c>
      <c r="AZ1505" s="624">
        <v>40430</v>
      </c>
      <c r="BA1505" s="355">
        <v>1.21E-2</v>
      </c>
      <c r="BB1505" s="624">
        <v>40361</v>
      </c>
      <c r="BC1505" s="355">
        <v>0.30249999999999999</v>
      </c>
      <c r="BD1505" s="624">
        <v>40361</v>
      </c>
      <c r="BE1505" s="355">
        <v>8.1299999999999997E-2</v>
      </c>
      <c r="BF1505" s="624">
        <v>40434</v>
      </c>
      <c r="BG1505" s="355">
        <v>2.1555999999999999E-2</v>
      </c>
      <c r="BH1505" s="624">
        <v>40361</v>
      </c>
      <c r="BI1505" s="355">
        <v>0.110157</v>
      </c>
      <c r="BJ1505" s="624">
        <v>40360</v>
      </c>
      <c r="BK1505" s="355">
        <v>3.0893E-2</v>
      </c>
    </row>
    <row r="1506" spans="3:63" x14ac:dyDescent="0.15">
      <c r="C1506" s="624"/>
      <c r="D1506" s="355">
        <v>3.2239999999999998E-2</v>
      </c>
      <c r="AV1506" s="624"/>
      <c r="AX1506" s="624">
        <v>40367</v>
      </c>
      <c r="AY1506" s="355">
        <v>3.243E-2</v>
      </c>
      <c r="AZ1506" s="624">
        <v>40431</v>
      </c>
      <c r="BA1506" s="355">
        <v>1.21E-2</v>
      </c>
      <c r="BB1506" s="624">
        <v>40364</v>
      </c>
      <c r="BC1506" s="355">
        <v>0.30459999999999998</v>
      </c>
      <c r="BD1506" s="624">
        <v>40364</v>
      </c>
      <c r="BE1506" s="355">
        <v>8.1629999999999994E-2</v>
      </c>
      <c r="BF1506" s="624">
        <v>40435</v>
      </c>
      <c r="BG1506" s="355">
        <v>2.1527000000000001E-2</v>
      </c>
      <c r="BH1506" s="624">
        <v>40364</v>
      </c>
      <c r="BI1506" s="355">
        <v>0.110345</v>
      </c>
      <c r="BJ1506" s="624">
        <v>40361</v>
      </c>
      <c r="BK1506" s="355">
        <v>3.0856000000000001E-2</v>
      </c>
    </row>
    <row r="1507" spans="3:63" x14ac:dyDescent="0.15">
      <c r="C1507" s="624"/>
      <c r="D1507" s="355">
        <v>3.243E-2</v>
      </c>
      <c r="AV1507" s="624"/>
      <c r="AX1507" s="624">
        <v>40368</v>
      </c>
      <c r="AY1507" s="355">
        <v>3.2419999999999997E-2</v>
      </c>
      <c r="AZ1507" s="624">
        <v>40434</v>
      </c>
      <c r="BA1507" s="355">
        <v>1.23E-2</v>
      </c>
      <c r="BB1507" s="624">
        <v>40365</v>
      </c>
      <c r="BC1507" s="355">
        <v>0.30730000000000002</v>
      </c>
      <c r="BD1507" s="624">
        <v>40365</v>
      </c>
      <c r="BE1507" s="355">
        <v>8.2210000000000005E-2</v>
      </c>
      <c r="BF1507" s="624">
        <v>40436</v>
      </c>
      <c r="BG1507" s="355">
        <v>2.1566999999999999E-2</v>
      </c>
      <c r="BH1507" s="624">
        <v>40365</v>
      </c>
      <c r="BI1507" s="355">
        <v>0.11028399999999999</v>
      </c>
      <c r="BJ1507" s="624">
        <v>40364</v>
      </c>
      <c r="BK1507" s="355">
        <v>3.0825999999999999E-2</v>
      </c>
    </row>
    <row r="1508" spans="3:63" x14ac:dyDescent="0.15">
      <c r="C1508" s="624"/>
      <c r="D1508" s="355">
        <v>3.2419999999999997E-2</v>
      </c>
      <c r="AV1508" s="624"/>
      <c r="AX1508" s="624">
        <v>40371</v>
      </c>
      <c r="AY1508" s="355">
        <v>3.2500000000000001E-2</v>
      </c>
      <c r="AZ1508" s="624">
        <v>40435</v>
      </c>
      <c r="BA1508" s="355">
        <v>1.23E-2</v>
      </c>
      <c r="BB1508" s="624">
        <v>40366</v>
      </c>
      <c r="BC1508" s="355">
        <v>0.30909999999999999</v>
      </c>
      <c r="BD1508" s="624">
        <v>40366</v>
      </c>
      <c r="BE1508" s="355">
        <v>8.2239999999999994E-2</v>
      </c>
      <c r="BF1508" s="624">
        <v>40437</v>
      </c>
      <c r="BG1508" s="355">
        <v>2.1668E-2</v>
      </c>
      <c r="BH1508" s="624">
        <v>40366</v>
      </c>
      <c r="BI1508" s="355">
        <v>0.110163</v>
      </c>
      <c r="BJ1508" s="624">
        <v>40365</v>
      </c>
      <c r="BK1508" s="355">
        <v>3.0835999999999999E-2</v>
      </c>
    </row>
    <row r="1509" spans="3:63" x14ac:dyDescent="0.15">
      <c r="C1509" s="624"/>
      <c r="D1509" s="355">
        <v>3.2500000000000001E-2</v>
      </c>
      <c r="AV1509" s="624"/>
      <c r="AX1509" s="624">
        <v>40372</v>
      </c>
      <c r="AY1509" s="355">
        <v>3.2689999999999997E-2</v>
      </c>
      <c r="AZ1509" s="624">
        <v>40436</v>
      </c>
      <c r="BA1509" s="355">
        <v>1.23E-2</v>
      </c>
      <c r="BB1509" s="624">
        <v>40367</v>
      </c>
      <c r="BC1509" s="355">
        <v>0.31130000000000002</v>
      </c>
      <c r="BD1509" s="624">
        <v>40367</v>
      </c>
      <c r="BE1509" s="355">
        <v>8.2720000000000002E-2</v>
      </c>
      <c r="BF1509" s="624">
        <v>40438</v>
      </c>
      <c r="BG1509" s="355">
        <v>2.1814E-2</v>
      </c>
      <c r="BH1509" s="624">
        <v>40367</v>
      </c>
      <c r="BI1509" s="355">
        <v>0.110345</v>
      </c>
      <c r="BJ1509" s="624">
        <v>40366</v>
      </c>
      <c r="BK1509" s="355">
        <v>3.0802E-2</v>
      </c>
    </row>
    <row r="1510" spans="3:63" x14ac:dyDescent="0.15">
      <c r="C1510" s="624"/>
      <c r="D1510" s="355">
        <v>3.2689999999999997E-2</v>
      </c>
      <c r="AV1510" s="624"/>
      <c r="AX1510" s="624">
        <v>40373</v>
      </c>
      <c r="AY1510" s="355">
        <v>3.2719999999999999E-2</v>
      </c>
      <c r="AZ1510" s="624">
        <v>40437</v>
      </c>
      <c r="BA1510" s="355">
        <v>1.24E-2</v>
      </c>
      <c r="BB1510" s="624">
        <v>40368</v>
      </c>
      <c r="BC1510" s="355">
        <v>0.31040000000000001</v>
      </c>
      <c r="BD1510" s="624">
        <v>40368</v>
      </c>
      <c r="BE1510" s="355">
        <v>8.3589999999999998E-2</v>
      </c>
      <c r="BF1510" s="624">
        <v>40441</v>
      </c>
      <c r="BG1510" s="355">
        <v>2.1881000000000001E-2</v>
      </c>
      <c r="BH1510" s="624">
        <v>40368</v>
      </c>
      <c r="BI1510" s="355">
        <v>0.11058900000000001</v>
      </c>
      <c r="BJ1510" s="624">
        <v>40367</v>
      </c>
      <c r="BK1510" s="355">
        <v>3.0835999999999999E-2</v>
      </c>
    </row>
    <row r="1511" spans="3:63" x14ac:dyDescent="0.15">
      <c r="C1511" s="624"/>
      <c r="D1511" s="355">
        <v>3.2719999999999999E-2</v>
      </c>
      <c r="AV1511" s="624"/>
      <c r="AX1511" s="624">
        <v>40374</v>
      </c>
      <c r="AY1511" s="355">
        <v>3.2919999999999998E-2</v>
      </c>
      <c r="AZ1511" s="624">
        <v>40438</v>
      </c>
      <c r="BA1511" s="355">
        <v>1.24E-2</v>
      </c>
      <c r="BB1511" s="624">
        <v>40371</v>
      </c>
      <c r="BC1511" s="355">
        <v>0.3095</v>
      </c>
      <c r="BD1511" s="624">
        <v>40371</v>
      </c>
      <c r="BE1511" s="355">
        <v>8.2989999999999994E-2</v>
      </c>
      <c r="BF1511" s="624">
        <v>40442</v>
      </c>
      <c r="BG1511" s="355">
        <v>2.1894E-2</v>
      </c>
      <c r="BH1511" s="624">
        <v>40371</v>
      </c>
      <c r="BI1511" s="355">
        <v>0.110717</v>
      </c>
      <c r="BJ1511" s="624">
        <v>40368</v>
      </c>
      <c r="BK1511" s="355">
        <v>3.0988999999999999E-2</v>
      </c>
    </row>
    <row r="1512" spans="3:63" x14ac:dyDescent="0.15">
      <c r="C1512" s="624"/>
      <c r="D1512" s="355">
        <v>3.2919999999999998E-2</v>
      </c>
      <c r="AV1512" s="624"/>
      <c r="AX1512" s="624">
        <v>40375</v>
      </c>
      <c r="AY1512" s="355">
        <v>3.2770000000000001E-2</v>
      </c>
      <c r="AZ1512" s="624">
        <v>40441</v>
      </c>
      <c r="BA1512" s="355">
        <v>1.24E-2</v>
      </c>
      <c r="BB1512" s="624">
        <v>40372</v>
      </c>
      <c r="BC1512" s="355">
        <v>0.31280000000000002</v>
      </c>
      <c r="BD1512" s="624">
        <v>40372</v>
      </c>
      <c r="BE1512" s="355">
        <v>8.3360000000000004E-2</v>
      </c>
      <c r="BF1512" s="624">
        <v>40443</v>
      </c>
      <c r="BG1512" s="355">
        <v>2.1935E-2</v>
      </c>
      <c r="BH1512" s="624">
        <v>40372</v>
      </c>
      <c r="BI1512" s="355">
        <v>0.110406</v>
      </c>
      <c r="BJ1512" s="624">
        <v>40371</v>
      </c>
      <c r="BK1512" s="355">
        <v>3.0903E-2</v>
      </c>
    </row>
    <row r="1513" spans="3:63" x14ac:dyDescent="0.15">
      <c r="C1513" s="624"/>
      <c r="D1513" s="355">
        <v>3.2770000000000001E-2</v>
      </c>
      <c r="AV1513" s="624"/>
      <c r="AX1513" s="624">
        <v>40378</v>
      </c>
      <c r="AY1513" s="355">
        <v>3.2759999999999997E-2</v>
      </c>
      <c r="AZ1513" s="624">
        <v>40442</v>
      </c>
      <c r="BA1513" s="355">
        <v>1.26E-2</v>
      </c>
      <c r="BB1513" s="624">
        <v>40373</v>
      </c>
      <c r="BC1513" s="355">
        <v>0.31430000000000002</v>
      </c>
      <c r="BD1513" s="624">
        <v>40373</v>
      </c>
      <c r="BE1513" s="355">
        <v>8.3470000000000003E-2</v>
      </c>
      <c r="BF1513" s="624">
        <v>40444</v>
      </c>
      <c r="BG1513" s="355">
        <v>2.1902999999999999E-2</v>
      </c>
      <c r="BH1513" s="624">
        <v>40373</v>
      </c>
      <c r="BI1513" s="355">
        <v>0.110564</v>
      </c>
      <c r="BJ1513" s="624">
        <v>40372</v>
      </c>
      <c r="BK1513" s="355">
        <v>3.0911999999999999E-2</v>
      </c>
    </row>
    <row r="1514" spans="3:63" x14ac:dyDescent="0.15">
      <c r="C1514" s="624"/>
      <c r="D1514" s="355">
        <v>3.2759999999999997E-2</v>
      </c>
      <c r="AV1514" s="624"/>
      <c r="AX1514" s="624">
        <v>40379</v>
      </c>
      <c r="AY1514" s="355">
        <v>3.2779999999999997E-2</v>
      </c>
      <c r="AZ1514" s="624">
        <v>40443</v>
      </c>
      <c r="BA1514" s="355">
        <v>1.2699999999999999E-2</v>
      </c>
      <c r="BB1514" s="624">
        <v>40374</v>
      </c>
      <c r="BC1514" s="355">
        <v>0.31790000000000002</v>
      </c>
      <c r="BD1514" s="624">
        <v>40374</v>
      </c>
      <c r="BE1514" s="355">
        <v>8.362E-2</v>
      </c>
      <c r="BF1514" s="624">
        <v>40445</v>
      </c>
      <c r="BG1514" s="355">
        <v>2.2096999999999999E-2</v>
      </c>
      <c r="BH1514" s="624">
        <v>40374</v>
      </c>
      <c r="BI1514" s="355">
        <v>0.11065</v>
      </c>
      <c r="BJ1514" s="624">
        <v>40373</v>
      </c>
      <c r="BK1514" s="355">
        <v>3.0941E-2</v>
      </c>
    </row>
    <row r="1515" spans="3:63" x14ac:dyDescent="0.15">
      <c r="C1515" s="624"/>
      <c r="D1515" s="355">
        <v>3.2779999999999997E-2</v>
      </c>
      <c r="AV1515" s="624"/>
      <c r="AX1515" s="624">
        <v>40380</v>
      </c>
      <c r="AY1515" s="355">
        <v>3.2770000000000001E-2</v>
      </c>
      <c r="AZ1515" s="624">
        <v>40444</v>
      </c>
      <c r="BA1515" s="355">
        <v>1.26E-2</v>
      </c>
      <c r="BB1515" s="624">
        <v>40375</v>
      </c>
      <c r="BC1515" s="355">
        <v>0.31480000000000002</v>
      </c>
      <c r="BD1515" s="624">
        <v>40375</v>
      </c>
      <c r="BE1515" s="355">
        <v>8.2250000000000004E-2</v>
      </c>
      <c r="BF1515" s="624">
        <v>40448</v>
      </c>
      <c r="BG1515" s="355">
        <v>2.2217000000000001E-2</v>
      </c>
      <c r="BH1515" s="624">
        <v>40375</v>
      </c>
      <c r="BI1515" s="355">
        <v>0.110528</v>
      </c>
      <c r="BJ1515" s="624">
        <v>40374</v>
      </c>
      <c r="BK1515" s="355">
        <v>3.1026999999999999E-2</v>
      </c>
    </row>
    <row r="1516" spans="3:63" x14ac:dyDescent="0.15">
      <c r="C1516" s="624"/>
      <c r="D1516" s="355">
        <v>3.2770000000000001E-2</v>
      </c>
      <c r="AV1516" s="624"/>
      <c r="AX1516" s="624">
        <v>40381</v>
      </c>
      <c r="AY1516" s="355">
        <v>3.2939999999999997E-2</v>
      </c>
      <c r="AZ1516" s="624">
        <v>40445</v>
      </c>
      <c r="BA1516" s="355">
        <v>1.2800000000000001E-2</v>
      </c>
      <c r="BB1516" s="624">
        <v>40378</v>
      </c>
      <c r="BC1516" s="355">
        <v>0.31369999999999998</v>
      </c>
      <c r="BD1516" s="624">
        <v>40378</v>
      </c>
      <c r="BE1516" s="355">
        <v>8.2390000000000005E-2</v>
      </c>
      <c r="BF1516" s="624">
        <v>40449</v>
      </c>
      <c r="BG1516" s="355">
        <v>2.2141999999999998E-2</v>
      </c>
      <c r="BH1516" s="624">
        <v>40378</v>
      </c>
      <c r="BI1516" s="355">
        <v>0.110345</v>
      </c>
      <c r="BJ1516" s="624">
        <v>40375</v>
      </c>
      <c r="BK1516" s="355">
        <v>3.1004E-2</v>
      </c>
    </row>
    <row r="1517" spans="3:63" x14ac:dyDescent="0.15">
      <c r="C1517" s="624"/>
      <c r="D1517" s="355">
        <v>3.2939999999999997E-2</v>
      </c>
      <c r="AV1517" s="624"/>
      <c r="AX1517" s="624">
        <v>40382</v>
      </c>
      <c r="AY1517" s="355">
        <v>3.2969999999999999E-2</v>
      </c>
      <c r="AZ1517" s="624">
        <v>40448</v>
      </c>
      <c r="BA1517" s="355">
        <v>1.2699999999999999E-2</v>
      </c>
      <c r="BB1517" s="624">
        <v>40379</v>
      </c>
      <c r="BC1517" s="355">
        <v>0.31340000000000001</v>
      </c>
      <c r="BD1517" s="624">
        <v>40379</v>
      </c>
      <c r="BE1517" s="355">
        <v>8.3169999999999994E-2</v>
      </c>
      <c r="BF1517" s="624">
        <v>40450</v>
      </c>
      <c r="BG1517" s="355">
        <v>2.2246999999999999E-2</v>
      </c>
      <c r="BH1517" s="624">
        <v>40379</v>
      </c>
      <c r="BI1517" s="355">
        <v>0.11043</v>
      </c>
      <c r="BJ1517" s="624">
        <v>40378</v>
      </c>
      <c r="BK1517" s="355">
        <v>3.0970000000000001E-2</v>
      </c>
    </row>
    <row r="1518" spans="3:63" x14ac:dyDescent="0.15">
      <c r="C1518" s="624"/>
      <c r="D1518" s="355">
        <v>3.2969999999999999E-2</v>
      </c>
      <c r="AV1518" s="624"/>
      <c r="AX1518" s="624">
        <v>40385</v>
      </c>
      <c r="AY1518" s="355">
        <v>3.3090000000000001E-2</v>
      </c>
      <c r="AZ1518" s="624">
        <v>40449</v>
      </c>
      <c r="BA1518" s="355">
        <v>1.2800000000000001E-2</v>
      </c>
      <c r="BB1518" s="624">
        <v>40380</v>
      </c>
      <c r="BC1518" s="355">
        <v>0.3105</v>
      </c>
      <c r="BD1518" s="624">
        <v>40380</v>
      </c>
      <c r="BE1518" s="355">
        <v>8.3019999999999997E-2</v>
      </c>
      <c r="BF1518" s="624">
        <v>40451</v>
      </c>
      <c r="BG1518" s="355">
        <v>2.2253999999999999E-2</v>
      </c>
      <c r="BH1518" s="624">
        <v>40380</v>
      </c>
      <c r="BI1518" s="355">
        <v>0.110345</v>
      </c>
      <c r="BJ1518" s="624">
        <v>40379</v>
      </c>
      <c r="BK1518" s="355">
        <v>3.1014E-2</v>
      </c>
    </row>
    <row r="1519" spans="3:63" x14ac:dyDescent="0.15">
      <c r="C1519" s="624"/>
      <c r="D1519" s="355">
        <v>3.3090000000000001E-2</v>
      </c>
      <c r="AV1519" s="624"/>
      <c r="AX1519" s="624">
        <v>40386</v>
      </c>
      <c r="AY1519" s="355">
        <v>3.3090000000000001E-2</v>
      </c>
      <c r="AZ1519" s="624">
        <v>40450</v>
      </c>
      <c r="BA1519" s="355">
        <v>1.2800000000000001E-2</v>
      </c>
      <c r="BB1519" s="624">
        <v>40381</v>
      </c>
      <c r="BC1519" s="355">
        <v>0.31580000000000003</v>
      </c>
      <c r="BD1519" s="624">
        <v>40381</v>
      </c>
      <c r="BE1519" s="355">
        <v>8.3470000000000003E-2</v>
      </c>
      <c r="BF1519" s="624">
        <v>40452</v>
      </c>
      <c r="BG1519" s="355">
        <v>2.2474000000000001E-2</v>
      </c>
      <c r="BH1519" s="624">
        <v>40381</v>
      </c>
      <c r="BI1519" s="355">
        <v>0.110467</v>
      </c>
      <c r="BJ1519" s="624">
        <v>40380</v>
      </c>
      <c r="BK1519" s="355">
        <v>3.0960000000000001E-2</v>
      </c>
    </row>
    <row r="1520" spans="3:63" x14ac:dyDescent="0.15">
      <c r="C1520" s="624"/>
      <c r="D1520" s="355">
        <v>3.3090000000000001E-2</v>
      </c>
      <c r="AV1520" s="624"/>
      <c r="AX1520" s="624">
        <v>40387</v>
      </c>
      <c r="AY1520" s="355">
        <v>3.3059999999999999E-2</v>
      </c>
      <c r="AZ1520" s="624">
        <v>40451</v>
      </c>
      <c r="BA1520" s="355">
        <v>1.2800000000000001E-2</v>
      </c>
      <c r="BB1520" s="624">
        <v>40382</v>
      </c>
      <c r="BC1520" s="355">
        <v>0.318</v>
      </c>
      <c r="BD1520" s="624">
        <v>40382</v>
      </c>
      <c r="BE1520" s="355">
        <v>8.3659999999999998E-2</v>
      </c>
      <c r="BF1520" s="624">
        <v>40455</v>
      </c>
      <c r="BG1520" s="355">
        <v>2.2433000000000002E-2</v>
      </c>
      <c r="BH1520" s="624">
        <v>40382</v>
      </c>
      <c r="BI1520" s="355">
        <v>0.110528</v>
      </c>
      <c r="BJ1520" s="624">
        <v>40381</v>
      </c>
      <c r="BK1520" s="355">
        <v>3.1008000000000001E-2</v>
      </c>
    </row>
    <row r="1521" spans="3:63" x14ac:dyDescent="0.15">
      <c r="C1521" s="624"/>
      <c r="D1521" s="355">
        <v>3.3059999999999999E-2</v>
      </c>
      <c r="AV1521" s="624"/>
      <c r="AX1521" s="624">
        <v>40388</v>
      </c>
      <c r="AY1521" s="355">
        <v>3.3090000000000001E-2</v>
      </c>
      <c r="AZ1521" s="624">
        <v>40452</v>
      </c>
      <c r="BA1521" s="355">
        <v>1.29E-2</v>
      </c>
      <c r="BB1521" s="624">
        <v>40385</v>
      </c>
      <c r="BC1521" s="355">
        <v>0.32300000000000001</v>
      </c>
      <c r="BD1521" s="624">
        <v>40385</v>
      </c>
      <c r="BE1521" s="355">
        <v>8.4250000000000005E-2</v>
      </c>
      <c r="BF1521" s="624">
        <v>40456</v>
      </c>
      <c r="BG1521" s="355">
        <v>2.2411E-2</v>
      </c>
      <c r="BH1521" s="624">
        <v>40385</v>
      </c>
      <c r="BI1521" s="355">
        <v>0.110711</v>
      </c>
      <c r="BJ1521" s="624">
        <v>40382</v>
      </c>
      <c r="BK1521" s="355">
        <v>3.1032000000000001E-2</v>
      </c>
    </row>
    <row r="1522" spans="3:63" x14ac:dyDescent="0.15">
      <c r="C1522" s="624"/>
      <c r="D1522" s="355">
        <v>3.3090000000000001E-2</v>
      </c>
      <c r="AV1522" s="624"/>
      <c r="AX1522" s="624">
        <v>40389</v>
      </c>
      <c r="AY1522" s="355">
        <v>3.3090000000000001E-2</v>
      </c>
      <c r="AZ1522" s="624">
        <v>40455</v>
      </c>
      <c r="BA1522" s="355">
        <v>1.29E-2</v>
      </c>
      <c r="BB1522" s="624">
        <v>40386</v>
      </c>
      <c r="BC1522" s="355">
        <v>0.32450000000000001</v>
      </c>
      <c r="BD1522" s="624">
        <v>40386</v>
      </c>
      <c r="BE1522" s="355">
        <v>8.4519999999999998E-2</v>
      </c>
      <c r="BF1522" s="624">
        <v>40457</v>
      </c>
      <c r="BG1522" s="355">
        <v>2.2471999999999999E-2</v>
      </c>
      <c r="BH1522" s="624">
        <v>40386</v>
      </c>
      <c r="BI1522" s="355">
        <v>0.11089499999999999</v>
      </c>
      <c r="BJ1522" s="624">
        <v>40385</v>
      </c>
      <c r="BK1522" s="355">
        <v>3.1047000000000002E-2</v>
      </c>
    </row>
    <row r="1523" spans="3:63" x14ac:dyDescent="0.15">
      <c r="C1523" s="624"/>
      <c r="D1523" s="355">
        <v>3.3090000000000001E-2</v>
      </c>
      <c r="AV1523" s="624"/>
      <c r="AX1523" s="624">
        <v>40392</v>
      </c>
      <c r="AY1523" s="355">
        <v>3.3320000000000002E-2</v>
      </c>
      <c r="AZ1523" s="624">
        <v>40456</v>
      </c>
      <c r="BA1523" s="355">
        <v>1.2999999999999999E-2</v>
      </c>
      <c r="BB1523" s="624">
        <v>40387</v>
      </c>
      <c r="BC1523" s="355">
        <v>0.3246</v>
      </c>
      <c r="BD1523" s="624">
        <v>40387</v>
      </c>
      <c r="BE1523" s="355">
        <v>8.3790000000000003E-2</v>
      </c>
      <c r="BF1523" s="624">
        <v>40458</v>
      </c>
      <c r="BG1523" s="355">
        <v>2.2623999999999998E-2</v>
      </c>
      <c r="BH1523" s="624">
        <v>40387</v>
      </c>
      <c r="BI1523" s="355">
        <v>0.11108</v>
      </c>
      <c r="BJ1523" s="624">
        <v>40386</v>
      </c>
      <c r="BK1523" s="355">
        <v>3.1050999999999999E-2</v>
      </c>
    </row>
    <row r="1524" spans="3:63" x14ac:dyDescent="0.15">
      <c r="C1524" s="624"/>
      <c r="D1524" s="355">
        <v>3.3320000000000002E-2</v>
      </c>
      <c r="AV1524" s="624"/>
      <c r="AX1524" s="624">
        <v>40393</v>
      </c>
      <c r="AY1524" s="355">
        <v>3.3640000000000003E-2</v>
      </c>
      <c r="AZ1524" s="624">
        <v>40457</v>
      </c>
      <c r="BA1524" s="355">
        <v>1.3100000000000001E-2</v>
      </c>
      <c r="BB1524" s="624">
        <v>40388</v>
      </c>
      <c r="BC1524" s="355">
        <v>0.3261</v>
      </c>
      <c r="BD1524" s="624">
        <v>40388</v>
      </c>
      <c r="BE1524" s="355">
        <v>8.4239999999999995E-2</v>
      </c>
      <c r="BF1524" s="624">
        <v>40459</v>
      </c>
      <c r="BG1524" s="355">
        <v>2.2506999999999999E-2</v>
      </c>
      <c r="BH1524" s="624">
        <v>40388</v>
      </c>
      <c r="BI1524" s="355">
        <v>0.111514</v>
      </c>
      <c r="BJ1524" s="624">
        <v>40387</v>
      </c>
      <c r="BK1524" s="355">
        <v>3.1050999999999999E-2</v>
      </c>
    </row>
    <row r="1525" spans="3:63" x14ac:dyDescent="0.15">
      <c r="C1525" s="624"/>
      <c r="D1525" s="355">
        <v>3.3640000000000003E-2</v>
      </c>
      <c r="AV1525" s="624"/>
      <c r="AX1525" s="624">
        <v>40394</v>
      </c>
      <c r="AY1525" s="355">
        <v>3.354E-2</v>
      </c>
      <c r="AZ1525" s="624">
        <v>40458</v>
      </c>
      <c r="BA1525" s="355">
        <v>1.3100000000000001E-2</v>
      </c>
      <c r="BB1525" s="624">
        <v>40389</v>
      </c>
      <c r="BC1525" s="355">
        <v>0.32540000000000002</v>
      </c>
      <c r="BD1525" s="624">
        <v>40389</v>
      </c>
      <c r="BE1525" s="355">
        <v>8.4589999999999999E-2</v>
      </c>
      <c r="BF1525" s="624">
        <v>40462</v>
      </c>
      <c r="BG1525" s="355">
        <v>2.2506999999999999E-2</v>
      </c>
      <c r="BH1525" s="624">
        <v>40389</v>
      </c>
      <c r="BI1525" s="355">
        <v>0.112139</v>
      </c>
      <c r="BJ1525" s="624">
        <v>40388</v>
      </c>
      <c r="BK1525" s="355">
        <v>3.1022999999999998E-2</v>
      </c>
    </row>
    <row r="1526" spans="3:63" x14ac:dyDescent="0.15">
      <c r="C1526" s="624"/>
      <c r="D1526" s="355">
        <v>3.354E-2</v>
      </c>
      <c r="AV1526" s="624"/>
      <c r="AX1526" s="624">
        <v>40395</v>
      </c>
      <c r="AY1526" s="355">
        <v>3.3509999999999998E-2</v>
      </c>
      <c r="AZ1526" s="624">
        <v>40459</v>
      </c>
      <c r="BA1526" s="355">
        <v>1.3100000000000001E-2</v>
      </c>
      <c r="BB1526" s="624">
        <v>40392</v>
      </c>
      <c r="BC1526" s="355">
        <v>0.33100000000000002</v>
      </c>
      <c r="BD1526" s="624">
        <v>40392</v>
      </c>
      <c r="BE1526" s="355">
        <v>8.5639999999999994E-2</v>
      </c>
      <c r="BF1526" s="624">
        <v>40463</v>
      </c>
      <c r="BG1526" s="355">
        <v>2.2388999999999999E-2</v>
      </c>
      <c r="BH1526" s="624">
        <v>40392</v>
      </c>
      <c r="BI1526" s="355">
        <v>0.11182599999999999</v>
      </c>
      <c r="BJ1526" s="624">
        <v>40389</v>
      </c>
      <c r="BK1526" s="355">
        <v>3.1008000000000001E-2</v>
      </c>
    </row>
    <row r="1527" spans="3:63" x14ac:dyDescent="0.15">
      <c r="C1527" s="624"/>
      <c r="D1527" s="355">
        <v>3.3509999999999998E-2</v>
      </c>
      <c r="AV1527" s="624"/>
      <c r="AX1527" s="624">
        <v>40396</v>
      </c>
      <c r="AY1527" s="355">
        <v>3.3529999999999997E-2</v>
      </c>
      <c r="AZ1527" s="624">
        <v>40462</v>
      </c>
      <c r="BA1527" s="355">
        <v>1.2999999999999999E-2</v>
      </c>
      <c r="BB1527" s="624">
        <v>40393</v>
      </c>
      <c r="BC1527" s="355">
        <v>0.33040000000000003</v>
      </c>
      <c r="BD1527" s="624">
        <v>40393</v>
      </c>
      <c r="BE1527" s="355">
        <v>8.5529999999999995E-2</v>
      </c>
      <c r="BF1527" s="624">
        <v>40464</v>
      </c>
      <c r="BG1527" s="355">
        <v>2.2463E-2</v>
      </c>
      <c r="BH1527" s="624">
        <v>40393</v>
      </c>
      <c r="BI1527" s="355">
        <v>0.111888</v>
      </c>
      <c r="BJ1527" s="624">
        <v>40392</v>
      </c>
      <c r="BK1527" s="355">
        <v>3.1095000000000001E-2</v>
      </c>
    </row>
    <row r="1528" spans="3:63" x14ac:dyDescent="0.15">
      <c r="C1528" s="624"/>
      <c r="D1528" s="355">
        <v>3.3529999999999997E-2</v>
      </c>
      <c r="AV1528" s="624"/>
      <c r="AX1528" s="624">
        <v>40399</v>
      </c>
      <c r="AY1528" s="355">
        <v>3.3410000000000002E-2</v>
      </c>
      <c r="AZ1528" s="624">
        <v>40463</v>
      </c>
      <c r="BA1528" s="355">
        <v>1.3100000000000001E-2</v>
      </c>
      <c r="BB1528" s="624">
        <v>40394</v>
      </c>
      <c r="BC1528" s="355">
        <v>0.33019999999999999</v>
      </c>
      <c r="BD1528" s="624">
        <v>40394</v>
      </c>
      <c r="BE1528" s="355">
        <v>8.5790000000000005E-2</v>
      </c>
      <c r="BF1528" s="624">
        <v>40465</v>
      </c>
      <c r="BG1528" s="355">
        <v>2.266E-2</v>
      </c>
      <c r="BH1528" s="624">
        <v>40394</v>
      </c>
      <c r="BI1528" s="355">
        <v>0.11170099999999999</v>
      </c>
      <c r="BJ1528" s="624">
        <v>40393</v>
      </c>
      <c r="BK1528" s="355">
        <v>3.1129E-2</v>
      </c>
    </row>
    <row r="1529" spans="3:63" x14ac:dyDescent="0.15">
      <c r="C1529" s="624"/>
      <c r="D1529" s="355">
        <v>3.3410000000000002E-2</v>
      </c>
      <c r="AV1529" s="624"/>
      <c r="AX1529" s="624">
        <v>40400</v>
      </c>
      <c r="AY1529" s="355">
        <v>3.3309999999999999E-2</v>
      </c>
      <c r="AZ1529" s="624">
        <v>40464</v>
      </c>
      <c r="BA1529" s="355">
        <v>1.3100000000000001E-2</v>
      </c>
      <c r="BB1529" s="624">
        <v>40395</v>
      </c>
      <c r="BC1529" s="355">
        <v>0.33050000000000002</v>
      </c>
      <c r="BD1529" s="624">
        <v>40395</v>
      </c>
      <c r="BE1529" s="355">
        <v>8.5699999999999998E-2</v>
      </c>
      <c r="BF1529" s="624">
        <v>40466</v>
      </c>
      <c r="BG1529" s="355">
        <v>2.2674E-2</v>
      </c>
      <c r="BH1529" s="624">
        <v>40395</v>
      </c>
      <c r="BI1529" s="355">
        <v>0.11195099999999999</v>
      </c>
      <c r="BJ1529" s="624">
        <v>40394</v>
      </c>
      <c r="BK1529" s="355">
        <v>3.1137999999999999E-2</v>
      </c>
    </row>
    <row r="1530" spans="3:63" x14ac:dyDescent="0.15">
      <c r="C1530" s="624"/>
      <c r="D1530" s="355">
        <v>3.3309999999999999E-2</v>
      </c>
      <c r="AV1530" s="624"/>
      <c r="AX1530" s="624">
        <v>40401</v>
      </c>
      <c r="AY1530" s="355">
        <v>3.2849999999999997E-2</v>
      </c>
      <c r="AZ1530" s="624">
        <v>40465</v>
      </c>
      <c r="BA1530" s="355">
        <v>1.32E-2</v>
      </c>
      <c r="BB1530" s="624">
        <v>40396</v>
      </c>
      <c r="BC1530" s="355">
        <v>0.33300000000000002</v>
      </c>
      <c r="BD1530" s="624">
        <v>40396</v>
      </c>
      <c r="BE1530" s="355">
        <v>8.6480000000000001E-2</v>
      </c>
      <c r="BF1530" s="624">
        <v>40469</v>
      </c>
      <c r="BG1530" s="355">
        <v>2.2533999999999998E-2</v>
      </c>
      <c r="BH1530" s="624">
        <v>40396</v>
      </c>
      <c r="BI1530" s="355">
        <v>0.111863</v>
      </c>
      <c r="BJ1530" s="624">
        <v>40395</v>
      </c>
      <c r="BK1530" s="355">
        <v>3.1182000000000001E-2</v>
      </c>
    </row>
    <row r="1531" spans="3:63" x14ac:dyDescent="0.15">
      <c r="C1531" s="624"/>
      <c r="D1531" s="355">
        <v>3.2849999999999997E-2</v>
      </c>
      <c r="AV1531" s="624"/>
      <c r="AX1531" s="624">
        <v>40402</v>
      </c>
      <c r="AY1531" s="355">
        <v>3.2680000000000001E-2</v>
      </c>
      <c r="AZ1531" s="624">
        <v>40466</v>
      </c>
      <c r="BA1531" s="355">
        <v>1.32E-2</v>
      </c>
      <c r="BB1531" s="624">
        <v>40399</v>
      </c>
      <c r="BC1531" s="355">
        <v>0.33339999999999997</v>
      </c>
      <c r="BD1531" s="624">
        <v>40399</v>
      </c>
      <c r="BE1531" s="355">
        <v>8.6099999999999996E-2</v>
      </c>
      <c r="BF1531" s="624">
        <v>40470</v>
      </c>
      <c r="BG1531" s="355">
        <v>2.2542E-2</v>
      </c>
      <c r="BH1531" s="624">
        <v>40399</v>
      </c>
      <c r="BI1531" s="355">
        <v>0.11195099999999999</v>
      </c>
      <c r="BJ1531" s="624">
        <v>40396</v>
      </c>
      <c r="BK1531" s="355">
        <v>3.1269999999999999E-2</v>
      </c>
    </row>
    <row r="1532" spans="3:63" x14ac:dyDescent="0.15">
      <c r="C1532" s="624"/>
      <c r="D1532" s="355">
        <v>3.2680000000000001E-2</v>
      </c>
      <c r="AV1532" s="624"/>
      <c r="AX1532" s="624">
        <v>40403</v>
      </c>
      <c r="AY1532" s="355">
        <v>3.2680000000000001E-2</v>
      </c>
      <c r="AZ1532" s="624">
        <v>40469</v>
      </c>
      <c r="BA1532" s="355">
        <v>1.3100000000000001E-2</v>
      </c>
      <c r="BB1532" s="624">
        <v>40400</v>
      </c>
      <c r="BC1532" s="355">
        <v>0.33179999999999998</v>
      </c>
      <c r="BD1532" s="624">
        <v>40400</v>
      </c>
      <c r="BE1532" s="355">
        <v>8.5389999999999994E-2</v>
      </c>
      <c r="BF1532" s="624">
        <v>40471</v>
      </c>
      <c r="BG1532" s="355">
        <v>2.2544000000000002E-2</v>
      </c>
      <c r="BH1532" s="624">
        <v>40400</v>
      </c>
      <c r="BI1532" s="355">
        <v>0.111638</v>
      </c>
      <c r="BJ1532" s="624">
        <v>40399</v>
      </c>
      <c r="BK1532" s="355">
        <v>3.1333E-2</v>
      </c>
    </row>
    <row r="1533" spans="3:63" x14ac:dyDescent="0.15">
      <c r="C1533" s="624"/>
      <c r="D1533" s="355">
        <v>3.2680000000000001E-2</v>
      </c>
      <c r="AV1533" s="624"/>
      <c r="AX1533" s="624">
        <v>40406</v>
      </c>
      <c r="AY1533" s="355">
        <v>3.279E-2</v>
      </c>
      <c r="AZ1533" s="624">
        <v>40470</v>
      </c>
      <c r="BA1533" s="355">
        <v>1.29E-2</v>
      </c>
      <c r="BB1533" s="624">
        <v>40401</v>
      </c>
      <c r="BC1533" s="355">
        <v>0.32090000000000002</v>
      </c>
      <c r="BD1533" s="624">
        <v>40401</v>
      </c>
      <c r="BE1533" s="355">
        <v>8.4220000000000003E-2</v>
      </c>
      <c r="BF1533" s="624">
        <v>40472</v>
      </c>
      <c r="BG1533" s="355">
        <v>2.2568000000000001E-2</v>
      </c>
      <c r="BH1533" s="624">
        <v>40401</v>
      </c>
      <c r="BI1533" s="355">
        <v>0.111266</v>
      </c>
      <c r="BJ1533" s="624">
        <v>40400</v>
      </c>
      <c r="BK1533" s="355">
        <v>3.1230999999999998E-2</v>
      </c>
    </row>
    <row r="1534" spans="3:63" x14ac:dyDescent="0.15">
      <c r="C1534" s="624"/>
      <c r="D1534" s="355">
        <v>3.279E-2</v>
      </c>
      <c r="AV1534" s="624"/>
      <c r="AX1534" s="624">
        <v>40407</v>
      </c>
      <c r="AY1534" s="355">
        <v>3.2989999999999998E-2</v>
      </c>
      <c r="AZ1534" s="624">
        <v>40471</v>
      </c>
      <c r="BA1534" s="355">
        <v>1.32E-2</v>
      </c>
      <c r="BB1534" s="624">
        <v>40402</v>
      </c>
      <c r="BC1534" s="355">
        <v>0.32050000000000001</v>
      </c>
      <c r="BD1534" s="624">
        <v>40402</v>
      </c>
      <c r="BE1534" s="355">
        <v>8.4239999999999995E-2</v>
      </c>
      <c r="BF1534" s="624">
        <v>40473</v>
      </c>
      <c r="BG1534" s="355">
        <v>2.2426999999999999E-2</v>
      </c>
      <c r="BH1534" s="624">
        <v>40402</v>
      </c>
      <c r="BI1534" s="355">
        <v>0.11101900000000001</v>
      </c>
      <c r="BJ1534" s="624">
        <v>40401</v>
      </c>
      <c r="BK1534" s="355">
        <v>3.1322000000000003E-2</v>
      </c>
    </row>
    <row r="1535" spans="3:63" x14ac:dyDescent="0.15">
      <c r="C1535" s="624"/>
      <c r="D1535" s="355">
        <v>3.2989999999999998E-2</v>
      </c>
      <c r="AV1535" s="624"/>
      <c r="AX1535" s="624">
        <v>40408</v>
      </c>
      <c r="AY1535" s="355">
        <v>3.2849999999999997E-2</v>
      </c>
      <c r="AZ1535" s="624">
        <v>40472</v>
      </c>
      <c r="BA1535" s="355">
        <v>1.3100000000000001E-2</v>
      </c>
      <c r="BB1535" s="624">
        <v>40403</v>
      </c>
      <c r="BC1535" s="355">
        <v>0.31840000000000002</v>
      </c>
      <c r="BD1535" s="624">
        <v>40403</v>
      </c>
      <c r="BE1535" s="355">
        <v>8.4190000000000001E-2</v>
      </c>
      <c r="BF1535" s="624">
        <v>40476</v>
      </c>
      <c r="BG1535" s="355">
        <v>2.2544999999999999E-2</v>
      </c>
      <c r="BH1535" s="624">
        <v>40403</v>
      </c>
      <c r="BI1535" s="355">
        <v>0.11142100000000001</v>
      </c>
      <c r="BJ1535" s="624">
        <v>40402</v>
      </c>
      <c r="BK1535" s="355">
        <v>3.1333E-2</v>
      </c>
    </row>
    <row r="1536" spans="3:63" x14ac:dyDescent="0.15">
      <c r="C1536" s="624"/>
      <c r="D1536" s="355">
        <v>3.2849999999999997E-2</v>
      </c>
      <c r="AV1536" s="624"/>
      <c r="AX1536" s="624">
        <v>40409</v>
      </c>
      <c r="AY1536" s="355">
        <v>3.279E-2</v>
      </c>
      <c r="AZ1536" s="624">
        <v>40473</v>
      </c>
      <c r="BA1536" s="355">
        <v>1.3100000000000001E-2</v>
      </c>
      <c r="BB1536" s="624">
        <v>40406</v>
      </c>
      <c r="BC1536" s="355">
        <v>0.32200000000000001</v>
      </c>
      <c r="BD1536" s="624">
        <v>40406</v>
      </c>
      <c r="BE1536" s="355">
        <v>8.4470000000000003E-2</v>
      </c>
      <c r="BF1536" s="624">
        <v>40477</v>
      </c>
      <c r="BG1536" s="355">
        <v>2.2501E-2</v>
      </c>
      <c r="BH1536" s="624">
        <v>40406</v>
      </c>
      <c r="BI1536" s="355">
        <v>0.111328</v>
      </c>
      <c r="BJ1536" s="624">
        <v>40403</v>
      </c>
      <c r="BK1536" s="355">
        <v>3.1348000000000001E-2</v>
      </c>
    </row>
    <row r="1537" spans="3:63" x14ac:dyDescent="0.15">
      <c r="C1537" s="624"/>
      <c r="D1537" s="355">
        <v>3.279E-2</v>
      </c>
      <c r="AV1537" s="624"/>
      <c r="AX1537" s="624">
        <v>40410</v>
      </c>
      <c r="AY1537" s="355">
        <v>3.2660000000000002E-2</v>
      </c>
      <c r="AZ1537" s="624">
        <v>40476</v>
      </c>
      <c r="BA1537" s="355">
        <v>1.3100000000000001E-2</v>
      </c>
      <c r="BB1537" s="624">
        <v>40407</v>
      </c>
      <c r="BC1537" s="355">
        <v>0.32669999999999999</v>
      </c>
      <c r="BD1537" s="624">
        <v>40407</v>
      </c>
      <c r="BE1537" s="355">
        <v>8.5209999999999994E-2</v>
      </c>
      <c r="BF1537" s="624">
        <v>40478</v>
      </c>
      <c r="BG1537" s="355">
        <v>2.2495000000000001E-2</v>
      </c>
      <c r="BH1537" s="624">
        <v>40407</v>
      </c>
      <c r="BI1537" s="355">
        <v>0.11157599999999999</v>
      </c>
      <c r="BJ1537" s="624">
        <v>40406</v>
      </c>
      <c r="BK1537" s="355">
        <v>3.1432000000000002E-2</v>
      </c>
    </row>
    <row r="1538" spans="3:63" x14ac:dyDescent="0.15">
      <c r="C1538" s="624"/>
      <c r="D1538" s="355">
        <v>3.2660000000000002E-2</v>
      </c>
      <c r="AV1538" s="624"/>
      <c r="AX1538" s="624">
        <v>40413</v>
      </c>
      <c r="AY1538" s="355">
        <v>3.2579999999999998E-2</v>
      </c>
      <c r="AZ1538" s="624">
        <v>40477</v>
      </c>
      <c r="BA1538" s="355">
        <v>1.29E-2</v>
      </c>
      <c r="BB1538" s="624">
        <v>40408</v>
      </c>
      <c r="BC1538" s="355">
        <v>0.32629999999999998</v>
      </c>
      <c r="BD1538" s="624">
        <v>40408</v>
      </c>
      <c r="BE1538" s="355">
        <v>8.5279999999999995E-2</v>
      </c>
      <c r="BF1538" s="624">
        <v>40479</v>
      </c>
      <c r="BG1538" s="355">
        <v>2.2457000000000001E-2</v>
      </c>
      <c r="BH1538" s="624">
        <v>40408</v>
      </c>
      <c r="BI1538" s="355">
        <v>0.11154500000000001</v>
      </c>
      <c r="BJ1538" s="624">
        <v>40407</v>
      </c>
      <c r="BK1538" s="355">
        <v>3.1452000000000001E-2</v>
      </c>
    </row>
    <row r="1539" spans="3:63" x14ac:dyDescent="0.15">
      <c r="C1539" s="624"/>
      <c r="D1539" s="355">
        <v>3.2579999999999998E-2</v>
      </c>
      <c r="AV1539" s="624"/>
      <c r="AX1539" s="624">
        <v>40414</v>
      </c>
      <c r="AY1539" s="355">
        <v>3.2439999999999997E-2</v>
      </c>
      <c r="AZ1539" s="624">
        <v>40478</v>
      </c>
      <c r="BA1539" s="355">
        <v>1.2800000000000001E-2</v>
      </c>
      <c r="BB1539" s="624">
        <v>40409</v>
      </c>
      <c r="BC1539" s="355">
        <v>0.32300000000000001</v>
      </c>
      <c r="BD1539" s="624">
        <v>40409</v>
      </c>
      <c r="BE1539" s="355">
        <v>8.4949999999999998E-2</v>
      </c>
      <c r="BF1539" s="624">
        <v>40480</v>
      </c>
      <c r="BG1539" s="355">
        <v>2.2502000000000001E-2</v>
      </c>
      <c r="BH1539" s="624">
        <v>40409</v>
      </c>
      <c r="BI1539" s="355">
        <v>0.111514</v>
      </c>
      <c r="BJ1539" s="624">
        <v>40408</v>
      </c>
      <c r="BK1539" s="355">
        <v>3.1614999999999997E-2</v>
      </c>
    </row>
    <row r="1540" spans="3:63" x14ac:dyDescent="0.15">
      <c r="C1540" s="624"/>
      <c r="D1540" s="355">
        <v>3.2439999999999997E-2</v>
      </c>
      <c r="AV1540" s="624"/>
      <c r="AX1540" s="624">
        <v>40415</v>
      </c>
      <c r="AY1540" s="355">
        <v>3.2320000000000002E-2</v>
      </c>
      <c r="AZ1540" s="624">
        <v>40479</v>
      </c>
      <c r="BA1540" s="355">
        <v>1.29E-2</v>
      </c>
      <c r="BB1540" s="624">
        <v>40410</v>
      </c>
      <c r="BC1540" s="355">
        <v>0.31969999999999998</v>
      </c>
      <c r="BD1540" s="624">
        <v>40410</v>
      </c>
      <c r="BE1540" s="355">
        <v>8.4449999999999997E-2</v>
      </c>
      <c r="BF1540" s="624">
        <v>40483</v>
      </c>
      <c r="BG1540" s="355">
        <v>2.2485000000000002E-2</v>
      </c>
      <c r="BH1540" s="624">
        <v>40410</v>
      </c>
      <c r="BI1540" s="355">
        <v>0.11119800000000001</v>
      </c>
      <c r="BJ1540" s="624">
        <v>40409</v>
      </c>
      <c r="BK1540" s="355">
        <v>3.1706999999999999E-2</v>
      </c>
    </row>
    <row r="1541" spans="3:63" x14ac:dyDescent="0.15">
      <c r="C1541" s="624"/>
      <c r="D1541" s="355">
        <v>3.2320000000000002E-2</v>
      </c>
      <c r="AV1541" s="624"/>
      <c r="AX1541" s="624">
        <v>40416</v>
      </c>
      <c r="AY1541" s="355">
        <v>3.2550000000000003E-2</v>
      </c>
      <c r="AZ1541" s="624">
        <v>40480</v>
      </c>
      <c r="BA1541" s="355">
        <v>1.2999999999999999E-2</v>
      </c>
      <c r="BB1541" s="624">
        <v>40413</v>
      </c>
      <c r="BC1541" s="355">
        <v>0.315</v>
      </c>
      <c r="BD1541" s="624">
        <v>40413</v>
      </c>
      <c r="BE1541" s="355">
        <v>8.4459999999999993E-2</v>
      </c>
      <c r="BF1541" s="624">
        <v>40484</v>
      </c>
      <c r="BG1541" s="355">
        <v>2.2536E-2</v>
      </c>
      <c r="BH1541" s="624">
        <v>40413</v>
      </c>
      <c r="BI1541" s="355">
        <v>0.111359</v>
      </c>
      <c r="BJ1541" s="624">
        <v>40410</v>
      </c>
      <c r="BK1541" s="355">
        <v>3.1615999999999998E-2</v>
      </c>
    </row>
    <row r="1542" spans="3:63" x14ac:dyDescent="0.15">
      <c r="C1542" s="624"/>
      <c r="D1542" s="355">
        <v>3.2550000000000003E-2</v>
      </c>
      <c r="AV1542" s="624"/>
      <c r="AX1542" s="624">
        <v>40417</v>
      </c>
      <c r="AY1542" s="355">
        <v>3.2599999999999997E-2</v>
      </c>
      <c r="AZ1542" s="624">
        <v>40483</v>
      </c>
      <c r="BA1542" s="355">
        <v>1.29E-2</v>
      </c>
      <c r="BB1542" s="624">
        <v>40414</v>
      </c>
      <c r="BC1542" s="355">
        <v>0.31509999999999999</v>
      </c>
      <c r="BD1542" s="624">
        <v>40414</v>
      </c>
      <c r="BE1542" s="355">
        <v>8.3820000000000006E-2</v>
      </c>
      <c r="BF1542" s="624">
        <v>40485</v>
      </c>
      <c r="BG1542" s="355">
        <v>2.2543000000000001E-2</v>
      </c>
      <c r="BH1542" s="624">
        <v>40414</v>
      </c>
      <c r="BI1542" s="355">
        <v>0.11129</v>
      </c>
      <c r="BJ1542" s="624">
        <v>40413</v>
      </c>
      <c r="BK1542" s="355">
        <v>3.1812E-2</v>
      </c>
    </row>
    <row r="1543" spans="3:63" x14ac:dyDescent="0.15">
      <c r="C1543" s="624"/>
      <c r="D1543" s="355">
        <v>3.2599999999999997E-2</v>
      </c>
      <c r="AV1543" s="624"/>
      <c r="AX1543" s="624">
        <v>40420</v>
      </c>
      <c r="AY1543" s="355">
        <v>3.2509999999999997E-2</v>
      </c>
      <c r="AZ1543" s="624">
        <v>40484</v>
      </c>
      <c r="BA1543" s="355">
        <v>1.2999999999999999E-2</v>
      </c>
      <c r="BB1543" s="624">
        <v>40415</v>
      </c>
      <c r="BC1543" s="355">
        <v>0.31659999999999999</v>
      </c>
      <c r="BD1543" s="624">
        <v>40415</v>
      </c>
      <c r="BE1543" s="355">
        <v>8.3250000000000005E-2</v>
      </c>
      <c r="BF1543" s="624">
        <v>40486</v>
      </c>
      <c r="BG1543" s="355">
        <v>2.2613999999999999E-2</v>
      </c>
      <c r="BH1543" s="624">
        <v>40415</v>
      </c>
      <c r="BI1543" s="355">
        <v>0.111328</v>
      </c>
      <c r="BJ1543" s="624">
        <v>40414</v>
      </c>
      <c r="BK1543" s="355">
        <v>3.1764000000000001E-2</v>
      </c>
    </row>
    <row r="1544" spans="3:63" x14ac:dyDescent="0.15">
      <c r="C1544" s="624"/>
      <c r="D1544" s="355">
        <v>3.2509999999999997E-2</v>
      </c>
      <c r="AV1544" s="624"/>
      <c r="AX1544" s="624">
        <v>40421</v>
      </c>
      <c r="AY1544" s="355">
        <v>3.245E-2</v>
      </c>
      <c r="AZ1544" s="624">
        <v>40485</v>
      </c>
      <c r="BA1544" s="355">
        <v>1.3100000000000001E-2</v>
      </c>
      <c r="BB1544" s="624">
        <v>40416</v>
      </c>
      <c r="BC1544" s="355">
        <v>0.31780000000000003</v>
      </c>
      <c r="BD1544" s="624">
        <v>40416</v>
      </c>
      <c r="BE1544" s="355">
        <v>8.3760000000000001E-2</v>
      </c>
      <c r="BF1544" s="624">
        <v>40490</v>
      </c>
      <c r="BG1544" s="355">
        <v>2.2516999999999999E-2</v>
      </c>
      <c r="BH1544" s="624">
        <v>40416</v>
      </c>
      <c r="BI1544" s="355">
        <v>0.111235</v>
      </c>
      <c r="BJ1544" s="624">
        <v>40415</v>
      </c>
      <c r="BK1544" s="355">
        <v>3.1725999999999997E-2</v>
      </c>
    </row>
    <row r="1545" spans="3:63" x14ac:dyDescent="0.15">
      <c r="C1545" s="624"/>
      <c r="D1545" s="355">
        <v>3.245E-2</v>
      </c>
      <c r="AV1545" s="624"/>
      <c r="AX1545" s="624">
        <v>40422</v>
      </c>
      <c r="AY1545" s="355">
        <v>3.2550000000000003E-2</v>
      </c>
      <c r="AZ1545" s="624">
        <v>40486</v>
      </c>
      <c r="BA1545" s="355">
        <v>1.32E-2</v>
      </c>
      <c r="BB1545" s="624">
        <v>40417</v>
      </c>
      <c r="BC1545" s="355">
        <v>0.32179999999999997</v>
      </c>
      <c r="BD1545" s="624">
        <v>40417</v>
      </c>
      <c r="BE1545" s="355">
        <v>8.3960000000000007E-2</v>
      </c>
      <c r="BF1545" s="624">
        <v>40491</v>
      </c>
      <c r="BG1545" s="355">
        <v>2.2568000000000001E-2</v>
      </c>
      <c r="BH1545" s="624">
        <v>40417</v>
      </c>
      <c r="BI1545" s="355">
        <v>0.110767</v>
      </c>
      <c r="BJ1545" s="624">
        <v>40416</v>
      </c>
      <c r="BK1545" s="355">
        <v>3.1888E-2</v>
      </c>
    </row>
    <row r="1546" spans="3:63" x14ac:dyDescent="0.15">
      <c r="C1546" s="624"/>
      <c r="D1546" s="355">
        <v>3.2550000000000003E-2</v>
      </c>
      <c r="AV1546" s="624"/>
      <c r="AX1546" s="624">
        <v>40423</v>
      </c>
      <c r="AY1546" s="355">
        <v>3.2570000000000002E-2</v>
      </c>
      <c r="AZ1546" s="624">
        <v>40487</v>
      </c>
      <c r="BA1546" s="355">
        <v>1.3100000000000001E-2</v>
      </c>
      <c r="BB1546" s="624">
        <v>40420</v>
      </c>
      <c r="BC1546" s="355">
        <v>0.31680000000000003</v>
      </c>
      <c r="BD1546" s="624">
        <v>40420</v>
      </c>
      <c r="BE1546" s="355">
        <v>8.3549999999999999E-2</v>
      </c>
      <c r="BF1546" s="624">
        <v>40492</v>
      </c>
      <c r="BG1546" s="355">
        <v>2.2565999999999999E-2</v>
      </c>
      <c r="BH1546" s="624">
        <v>40420</v>
      </c>
      <c r="BI1546" s="355">
        <v>0.110656</v>
      </c>
      <c r="BJ1546" s="624">
        <v>40417</v>
      </c>
      <c r="BK1546" s="355">
        <v>3.1959000000000001E-2</v>
      </c>
    </row>
    <row r="1547" spans="3:63" x14ac:dyDescent="0.15">
      <c r="C1547" s="624"/>
      <c r="D1547" s="355">
        <v>3.2570000000000002E-2</v>
      </c>
      <c r="AV1547" s="624"/>
      <c r="AX1547" s="624">
        <v>40424</v>
      </c>
      <c r="AY1547" s="355">
        <v>3.27E-2</v>
      </c>
      <c r="AZ1547" s="624">
        <v>40490</v>
      </c>
      <c r="BA1547" s="355">
        <v>1.2999999999999999E-2</v>
      </c>
      <c r="BB1547" s="624">
        <v>40421</v>
      </c>
      <c r="BC1547" s="355">
        <v>0.31659999999999999</v>
      </c>
      <c r="BD1547" s="624">
        <v>40421</v>
      </c>
      <c r="BE1547" s="355">
        <v>8.3470000000000003E-2</v>
      </c>
      <c r="BF1547" s="624">
        <v>40493</v>
      </c>
      <c r="BG1547" s="355">
        <v>2.2741999999999998E-2</v>
      </c>
      <c r="BH1547" s="624">
        <v>40421</v>
      </c>
      <c r="BI1547" s="355">
        <v>0.110681</v>
      </c>
      <c r="BJ1547" s="624">
        <v>40420</v>
      </c>
      <c r="BK1547" s="355">
        <v>3.1954000000000003E-2</v>
      </c>
    </row>
    <row r="1548" spans="3:63" x14ac:dyDescent="0.15">
      <c r="C1548" s="624"/>
      <c r="D1548" s="355">
        <v>3.27E-2</v>
      </c>
      <c r="AV1548" s="624"/>
      <c r="AX1548" s="624">
        <v>40427</v>
      </c>
      <c r="AY1548" s="355">
        <v>3.2660000000000002E-2</v>
      </c>
      <c r="AZ1548" s="624">
        <v>40491</v>
      </c>
      <c r="BA1548" s="355">
        <v>1.2800000000000001E-2</v>
      </c>
      <c r="BB1548" s="624">
        <v>40422</v>
      </c>
      <c r="BC1548" s="355">
        <v>0.3226</v>
      </c>
      <c r="BD1548" s="624">
        <v>40422</v>
      </c>
      <c r="BE1548" s="355">
        <v>8.4709999999999994E-2</v>
      </c>
      <c r="BF1548" s="624">
        <v>40494</v>
      </c>
      <c r="BG1548" s="355">
        <v>2.2311000000000001E-2</v>
      </c>
      <c r="BH1548" s="624">
        <v>40422</v>
      </c>
      <c r="BI1548" s="355">
        <v>0.11129699999999999</v>
      </c>
      <c r="BJ1548" s="624">
        <v>40421</v>
      </c>
      <c r="BK1548" s="355">
        <v>3.1975000000000003E-2</v>
      </c>
    </row>
    <row r="1549" spans="3:63" x14ac:dyDescent="0.15">
      <c r="C1549" s="624"/>
      <c r="D1549" s="355">
        <v>3.2660000000000002E-2</v>
      </c>
      <c r="AV1549" s="624"/>
      <c r="AX1549" s="624">
        <v>40428</v>
      </c>
      <c r="AY1549" s="355">
        <v>3.2349999999999997E-2</v>
      </c>
      <c r="AZ1549" s="624">
        <v>40492</v>
      </c>
      <c r="BA1549" s="355">
        <v>1.29E-2</v>
      </c>
      <c r="BB1549" s="624">
        <v>40423</v>
      </c>
      <c r="BC1549" s="355">
        <v>0.32429999999999998</v>
      </c>
      <c r="BD1549" s="624">
        <v>40423</v>
      </c>
      <c r="BE1549" s="355">
        <v>8.4879999999999997E-2</v>
      </c>
      <c r="BF1549" s="624">
        <v>40497</v>
      </c>
      <c r="BG1549" s="355">
        <v>2.2109E-2</v>
      </c>
      <c r="BH1549" s="624">
        <v>40423</v>
      </c>
      <c r="BI1549" s="355">
        <v>0.111105</v>
      </c>
      <c r="BJ1549" s="624">
        <v>40422</v>
      </c>
      <c r="BK1549" s="355">
        <v>3.2093000000000003E-2</v>
      </c>
    </row>
    <row r="1550" spans="3:63" x14ac:dyDescent="0.15">
      <c r="C1550" s="624"/>
      <c r="D1550" s="355">
        <v>3.2349999999999997E-2</v>
      </c>
      <c r="AV1550" s="624"/>
      <c r="AX1550" s="624">
        <v>40429</v>
      </c>
      <c r="AY1550" s="355">
        <v>3.2410000000000001E-2</v>
      </c>
      <c r="AZ1550" s="624">
        <v>40493</v>
      </c>
      <c r="BA1550" s="355">
        <v>1.2699999999999999E-2</v>
      </c>
      <c r="BB1550" s="624">
        <v>40424</v>
      </c>
      <c r="BC1550" s="355">
        <v>0.3276</v>
      </c>
      <c r="BD1550" s="624">
        <v>40424</v>
      </c>
      <c r="BE1550" s="355">
        <v>8.5459999999999994E-2</v>
      </c>
      <c r="BF1550" s="624">
        <v>40498</v>
      </c>
      <c r="BG1550" s="355">
        <v>2.2075000000000001E-2</v>
      </c>
      <c r="BH1550" s="624">
        <v>40424</v>
      </c>
      <c r="BI1550" s="355">
        <v>0.11142100000000001</v>
      </c>
      <c r="BJ1550" s="624">
        <v>40423</v>
      </c>
      <c r="BK1550" s="355">
        <v>3.2107999999999998E-2</v>
      </c>
    </row>
    <row r="1551" spans="3:63" x14ac:dyDescent="0.15">
      <c r="C1551" s="624"/>
      <c r="D1551" s="355">
        <v>3.2410000000000001E-2</v>
      </c>
      <c r="AV1551" s="624"/>
      <c r="AX1551" s="624">
        <v>40430</v>
      </c>
      <c r="AY1551" s="355">
        <v>3.2370000000000003E-2</v>
      </c>
      <c r="AZ1551" s="624">
        <v>40494</v>
      </c>
      <c r="BA1551" s="355">
        <v>1.2800000000000001E-2</v>
      </c>
      <c r="BB1551" s="624">
        <v>40427</v>
      </c>
      <c r="BC1551" s="355">
        <v>0.32779999999999998</v>
      </c>
      <c r="BD1551" s="624">
        <v>40427</v>
      </c>
      <c r="BE1551" s="355">
        <v>8.5360000000000005E-2</v>
      </c>
      <c r="BF1551" s="624">
        <v>40500</v>
      </c>
      <c r="BG1551" s="355">
        <v>2.2110000000000001E-2</v>
      </c>
      <c r="BH1551" s="624">
        <v>40427</v>
      </c>
      <c r="BI1551" s="355">
        <v>0.11122899999999999</v>
      </c>
      <c r="BJ1551" s="624">
        <v>40424</v>
      </c>
      <c r="BK1551" s="355">
        <v>3.2087999999999998E-2</v>
      </c>
    </row>
    <row r="1552" spans="3:63" x14ac:dyDescent="0.15">
      <c r="C1552" s="624"/>
      <c r="D1552" s="355">
        <v>3.2370000000000003E-2</v>
      </c>
      <c r="AV1552" s="624"/>
      <c r="AX1552" s="624">
        <v>40431</v>
      </c>
      <c r="AY1552" s="355">
        <v>3.2349999999999997E-2</v>
      </c>
      <c r="AZ1552" s="624">
        <v>40497</v>
      </c>
      <c r="BA1552" s="355">
        <v>1.2699999999999999E-2</v>
      </c>
      <c r="BB1552" s="624">
        <v>40428</v>
      </c>
      <c r="BC1552" s="355">
        <v>0.32140000000000002</v>
      </c>
      <c r="BD1552" s="624">
        <v>40428</v>
      </c>
      <c r="BE1552" s="355">
        <v>8.4809999999999997E-2</v>
      </c>
      <c r="BF1552" s="624">
        <v>40501</v>
      </c>
      <c r="BG1552" s="355">
        <v>2.2079000000000001E-2</v>
      </c>
      <c r="BH1552" s="624">
        <v>40428</v>
      </c>
      <c r="BI1552" s="355">
        <v>0.110834</v>
      </c>
      <c r="BJ1552" s="624">
        <v>40427</v>
      </c>
      <c r="BK1552" s="355">
        <v>3.2139000000000001E-2</v>
      </c>
    </row>
    <row r="1553" spans="3:63" x14ac:dyDescent="0.15">
      <c r="C1553" s="624"/>
      <c r="D1553" s="355">
        <v>3.2349999999999997E-2</v>
      </c>
      <c r="AV1553" s="624"/>
      <c r="AX1553" s="624">
        <v>40434</v>
      </c>
      <c r="AY1553" s="355">
        <v>3.2629999999999999E-2</v>
      </c>
      <c r="AZ1553" s="624">
        <v>40498</v>
      </c>
      <c r="BA1553" s="355">
        <v>1.26E-2</v>
      </c>
      <c r="BB1553" s="624">
        <v>40429</v>
      </c>
      <c r="BC1553" s="355">
        <v>0.32279999999999998</v>
      </c>
      <c r="BD1553" s="624">
        <v>40429</v>
      </c>
      <c r="BE1553" s="355">
        <v>8.5459999999999994E-2</v>
      </c>
      <c r="BF1553" s="624">
        <v>40504</v>
      </c>
      <c r="BG1553" s="355">
        <v>2.2019E-2</v>
      </c>
      <c r="BH1553" s="624">
        <v>40429</v>
      </c>
      <c r="BI1553" s="355">
        <v>0.111204</v>
      </c>
      <c r="BJ1553" s="624">
        <v>40428</v>
      </c>
      <c r="BK1553" s="355">
        <v>3.2098000000000002E-2</v>
      </c>
    </row>
    <row r="1554" spans="3:63" x14ac:dyDescent="0.15">
      <c r="C1554" s="624"/>
      <c r="D1554" s="355">
        <v>3.2629999999999999E-2</v>
      </c>
      <c r="AV1554" s="624"/>
      <c r="AX1554" s="624">
        <v>40435</v>
      </c>
      <c r="AY1554" s="355">
        <v>3.27E-2</v>
      </c>
      <c r="AZ1554" s="624">
        <v>40499</v>
      </c>
      <c r="BA1554" s="355">
        <v>1.26E-2</v>
      </c>
      <c r="BB1554" s="624">
        <v>40430</v>
      </c>
      <c r="BC1554" s="355">
        <v>0.32200000000000001</v>
      </c>
      <c r="BD1554" s="624">
        <v>40430</v>
      </c>
      <c r="BE1554" s="355">
        <v>8.5819999999999994E-2</v>
      </c>
      <c r="BF1554" s="624">
        <v>40505</v>
      </c>
      <c r="BG1554" s="355">
        <v>2.1944000000000002E-2</v>
      </c>
      <c r="BH1554" s="624">
        <v>40430</v>
      </c>
      <c r="BI1554" s="355">
        <v>0.111638</v>
      </c>
      <c r="BJ1554" s="624">
        <v>40429</v>
      </c>
      <c r="BK1554" s="355">
        <v>3.2237000000000002E-2</v>
      </c>
    </row>
    <row r="1555" spans="3:63" x14ac:dyDescent="0.15">
      <c r="C1555" s="624"/>
      <c r="D1555" s="355">
        <v>3.27E-2</v>
      </c>
      <c r="AV1555" s="624"/>
      <c r="AX1555" s="624">
        <v>40436</v>
      </c>
      <c r="AY1555" s="355">
        <v>3.2300000000000002E-2</v>
      </c>
      <c r="AZ1555" s="624">
        <v>40500</v>
      </c>
      <c r="BA1555" s="355">
        <v>1.2699999999999999E-2</v>
      </c>
      <c r="BB1555" s="624">
        <v>40431</v>
      </c>
      <c r="BC1555" s="355">
        <v>0.32169999999999999</v>
      </c>
      <c r="BD1555" s="624">
        <v>40431</v>
      </c>
      <c r="BE1555" s="355">
        <v>8.5809999999999997E-2</v>
      </c>
      <c r="BF1555" s="624">
        <v>40506</v>
      </c>
      <c r="BG1555" s="355">
        <v>2.1881999999999999E-2</v>
      </c>
      <c r="BH1555" s="624">
        <v>40431</v>
      </c>
      <c r="BI1555" s="355">
        <v>0.111788</v>
      </c>
      <c r="BJ1555" s="624">
        <v>40430</v>
      </c>
      <c r="BK1555" s="355">
        <v>3.2389000000000001E-2</v>
      </c>
    </row>
    <row r="1556" spans="3:63" x14ac:dyDescent="0.15">
      <c r="C1556" s="624"/>
      <c r="D1556" s="355">
        <v>3.2300000000000002E-2</v>
      </c>
      <c r="AV1556" s="624"/>
      <c r="AX1556" s="624">
        <v>40437</v>
      </c>
      <c r="AY1556" s="355">
        <v>3.2000000000000001E-2</v>
      </c>
      <c r="AZ1556" s="624">
        <v>40501</v>
      </c>
      <c r="BA1556" s="355">
        <v>1.2800000000000001E-2</v>
      </c>
      <c r="BB1556" s="624">
        <v>40434</v>
      </c>
      <c r="BC1556" s="355">
        <v>0.32769999999999999</v>
      </c>
      <c r="BD1556" s="624">
        <v>40434</v>
      </c>
      <c r="BE1556" s="355">
        <v>8.6319999999999994E-2</v>
      </c>
      <c r="BF1556" s="624">
        <v>40507</v>
      </c>
      <c r="BG1556" s="355">
        <v>2.1965999999999999E-2</v>
      </c>
      <c r="BH1556" s="624">
        <v>40434</v>
      </c>
      <c r="BI1556" s="355">
        <v>0.111904</v>
      </c>
      <c r="BJ1556" s="624">
        <v>40431</v>
      </c>
      <c r="BK1556" s="355">
        <v>3.2467999999999997E-2</v>
      </c>
    </row>
    <row r="1557" spans="3:63" x14ac:dyDescent="0.15">
      <c r="C1557" s="624"/>
      <c r="D1557" s="355">
        <v>3.2000000000000001E-2</v>
      </c>
      <c r="AV1557" s="624"/>
      <c r="AX1557" s="624">
        <v>40438</v>
      </c>
      <c r="AY1557" s="355">
        <v>3.2230000000000002E-2</v>
      </c>
      <c r="AZ1557" s="624">
        <v>40504</v>
      </c>
      <c r="BA1557" s="355">
        <v>1.2800000000000001E-2</v>
      </c>
      <c r="BB1557" s="624">
        <v>40435</v>
      </c>
      <c r="BC1557" s="355">
        <v>0.33129999999999998</v>
      </c>
      <c r="BD1557" s="624">
        <v>40435</v>
      </c>
      <c r="BE1557" s="355">
        <v>8.6300000000000002E-2</v>
      </c>
      <c r="BF1557" s="624">
        <v>40508</v>
      </c>
      <c r="BG1557" s="355">
        <v>2.1805999999999999E-2</v>
      </c>
      <c r="BH1557" s="624">
        <v>40435</v>
      </c>
      <c r="BI1557" s="355">
        <v>0.111433</v>
      </c>
      <c r="BJ1557" s="624">
        <v>40434</v>
      </c>
      <c r="BK1557" s="355">
        <v>3.2568E-2</v>
      </c>
    </row>
    <row r="1558" spans="3:63" x14ac:dyDescent="0.15">
      <c r="C1558" s="624"/>
      <c r="D1558" s="355">
        <v>3.2230000000000002E-2</v>
      </c>
      <c r="AV1558" s="624"/>
      <c r="AX1558" s="624">
        <v>40441</v>
      </c>
      <c r="AY1558" s="355">
        <v>3.2230000000000002E-2</v>
      </c>
      <c r="AZ1558" s="624">
        <v>40505</v>
      </c>
      <c r="BA1558" s="355">
        <v>1.2500000000000001E-2</v>
      </c>
      <c r="BB1558" s="624">
        <v>40436</v>
      </c>
      <c r="BC1558" s="355">
        <v>0.33</v>
      </c>
      <c r="BD1558" s="624">
        <v>40436</v>
      </c>
      <c r="BE1558" s="355">
        <v>8.6279999999999996E-2</v>
      </c>
      <c r="BF1558" s="624">
        <v>40511</v>
      </c>
      <c r="BG1558" s="355">
        <v>2.1767999999999999E-2</v>
      </c>
      <c r="BH1558" s="624">
        <v>40436</v>
      </c>
      <c r="BI1558" s="355">
        <v>0.11157599999999999</v>
      </c>
      <c r="BJ1558" s="624">
        <v>40435</v>
      </c>
      <c r="BK1558" s="355">
        <v>3.2530999999999997E-2</v>
      </c>
    </row>
    <row r="1559" spans="3:63" x14ac:dyDescent="0.15">
      <c r="C1559" s="624"/>
      <c r="D1559" s="355">
        <v>3.2230000000000002E-2</v>
      </c>
      <c r="AV1559" s="624"/>
      <c r="AX1559" s="624">
        <v>40442</v>
      </c>
      <c r="AY1559" s="355">
        <v>3.2370000000000003E-2</v>
      </c>
      <c r="AZ1559" s="624">
        <v>40506</v>
      </c>
      <c r="BA1559" s="355">
        <v>1.2500000000000001E-2</v>
      </c>
      <c r="BB1559" s="624">
        <v>40437</v>
      </c>
      <c r="BC1559" s="355">
        <v>0.33079999999999998</v>
      </c>
      <c r="BD1559" s="624">
        <v>40437</v>
      </c>
      <c r="BE1559" s="355">
        <v>8.5999999999999993E-2</v>
      </c>
      <c r="BF1559" s="624">
        <v>40512</v>
      </c>
      <c r="BG1559" s="355">
        <v>2.1791000000000001E-2</v>
      </c>
      <c r="BH1559" s="624">
        <v>40437</v>
      </c>
      <c r="BI1559" s="355">
        <v>0.111526</v>
      </c>
      <c r="BJ1559" s="624">
        <v>40436</v>
      </c>
      <c r="BK1559" s="355">
        <v>3.2483999999999999E-2</v>
      </c>
    </row>
    <row r="1560" spans="3:63" x14ac:dyDescent="0.15">
      <c r="C1560" s="624"/>
      <c r="D1560" s="355">
        <v>3.2370000000000003E-2</v>
      </c>
      <c r="AV1560" s="624"/>
      <c r="AX1560" s="624">
        <v>40443</v>
      </c>
      <c r="AY1560" s="355">
        <v>3.2259999999999997E-2</v>
      </c>
      <c r="AZ1560" s="624">
        <v>40507</v>
      </c>
      <c r="BA1560" s="355">
        <v>1.2500000000000001E-2</v>
      </c>
      <c r="BB1560" s="624">
        <v>40438</v>
      </c>
      <c r="BC1560" s="355">
        <v>0.32969999999999999</v>
      </c>
      <c r="BD1560" s="624">
        <v>40438</v>
      </c>
      <c r="BE1560" s="355">
        <v>8.6360000000000006E-2</v>
      </c>
      <c r="BF1560" s="624">
        <v>40513</v>
      </c>
      <c r="BG1560" s="355">
        <v>2.2034000000000002E-2</v>
      </c>
      <c r="BH1560" s="624">
        <v>40438</v>
      </c>
      <c r="BI1560" s="355">
        <v>0.111414</v>
      </c>
      <c r="BJ1560" s="624">
        <v>40437</v>
      </c>
      <c r="BK1560" s="355">
        <v>3.2488999999999997E-2</v>
      </c>
    </row>
    <row r="1561" spans="3:63" x14ac:dyDescent="0.15">
      <c r="C1561" s="624"/>
      <c r="D1561" s="355">
        <v>3.2259999999999997E-2</v>
      </c>
      <c r="AV1561" s="624"/>
      <c r="AX1561" s="624">
        <v>40444</v>
      </c>
      <c r="AY1561" s="355">
        <v>3.2219999999999999E-2</v>
      </c>
      <c r="AZ1561" s="624">
        <v>40508</v>
      </c>
      <c r="BA1561" s="355">
        <v>1.24E-2</v>
      </c>
      <c r="BB1561" s="624">
        <v>40441</v>
      </c>
      <c r="BC1561" s="355">
        <v>0.33150000000000002</v>
      </c>
      <c r="BD1561" s="624">
        <v>40441</v>
      </c>
      <c r="BE1561" s="355">
        <v>8.6290000000000006E-2</v>
      </c>
      <c r="BF1561" s="624">
        <v>40514</v>
      </c>
      <c r="BG1561" s="355">
        <v>2.2082000000000001E-2</v>
      </c>
      <c r="BH1561" s="624">
        <v>40441</v>
      </c>
      <c r="BI1561" s="355">
        <v>0.111458</v>
      </c>
      <c r="BJ1561" s="624">
        <v>40438</v>
      </c>
      <c r="BK1561" s="355">
        <v>3.2525999999999999E-2</v>
      </c>
    </row>
    <row r="1562" spans="3:63" x14ac:dyDescent="0.15">
      <c r="C1562" s="624"/>
      <c r="D1562" s="355">
        <v>3.2219999999999999E-2</v>
      </c>
      <c r="AV1562" s="624"/>
      <c r="AX1562" s="624">
        <v>40445</v>
      </c>
      <c r="AY1562" s="355">
        <v>3.2570000000000002E-2</v>
      </c>
      <c r="AZ1562" s="624">
        <v>40511</v>
      </c>
      <c r="BA1562" s="355">
        <v>1.23E-2</v>
      </c>
      <c r="BB1562" s="624">
        <v>40442</v>
      </c>
      <c r="BC1562" s="355">
        <v>0.33650000000000002</v>
      </c>
      <c r="BD1562" s="624">
        <v>40442</v>
      </c>
      <c r="BE1562" s="355">
        <v>8.6660000000000001E-2</v>
      </c>
      <c r="BF1562" s="624">
        <v>40515</v>
      </c>
      <c r="BG1562" s="355">
        <v>2.2172999999999998E-2</v>
      </c>
      <c r="BH1562" s="624">
        <v>40442</v>
      </c>
      <c r="BI1562" s="355">
        <v>0.11157599999999999</v>
      </c>
      <c r="BJ1562" s="624">
        <v>40441</v>
      </c>
      <c r="BK1562" s="355">
        <v>3.2530999999999997E-2</v>
      </c>
    </row>
    <row r="1563" spans="3:63" x14ac:dyDescent="0.15">
      <c r="C1563" s="624"/>
      <c r="D1563" s="355">
        <v>3.2570000000000002E-2</v>
      </c>
      <c r="AV1563" s="624"/>
      <c r="AX1563" s="624">
        <v>40448</v>
      </c>
      <c r="AY1563" s="355">
        <v>3.2730000000000002E-2</v>
      </c>
      <c r="AZ1563" s="624">
        <v>40512</v>
      </c>
      <c r="BA1563" s="355">
        <v>1.21E-2</v>
      </c>
      <c r="BB1563" s="624">
        <v>40443</v>
      </c>
      <c r="BC1563" s="355">
        <v>0.3392</v>
      </c>
      <c r="BD1563" s="624">
        <v>40443</v>
      </c>
      <c r="BE1563" s="355">
        <v>8.6879999999999999E-2</v>
      </c>
      <c r="BF1563" s="624">
        <v>40518</v>
      </c>
      <c r="BG1563" s="355">
        <v>2.2246999999999999E-2</v>
      </c>
      <c r="BH1563" s="624">
        <v>40443</v>
      </c>
      <c r="BI1563" s="355">
        <v>0.111763</v>
      </c>
      <c r="BJ1563" s="624">
        <v>40442</v>
      </c>
      <c r="BK1563" s="355">
        <v>3.2515000000000002E-2</v>
      </c>
    </row>
    <row r="1564" spans="3:63" x14ac:dyDescent="0.15">
      <c r="C1564" s="624"/>
      <c r="D1564" s="355">
        <v>3.2730000000000002E-2</v>
      </c>
      <c r="AV1564" s="624"/>
      <c r="AX1564" s="624">
        <v>40449</v>
      </c>
      <c r="AY1564" s="355">
        <v>3.2910000000000002E-2</v>
      </c>
      <c r="AZ1564" s="624">
        <v>40513</v>
      </c>
      <c r="BA1564" s="355">
        <v>1.23E-2</v>
      </c>
      <c r="BB1564" s="624">
        <v>40444</v>
      </c>
      <c r="BC1564" s="355">
        <v>0.33510000000000001</v>
      </c>
      <c r="BD1564" s="624">
        <v>40444</v>
      </c>
      <c r="BE1564" s="355">
        <v>8.6599999999999996E-2</v>
      </c>
      <c r="BF1564" s="624">
        <v>40519</v>
      </c>
      <c r="BG1564" s="355">
        <v>2.2398999999999999E-2</v>
      </c>
      <c r="BH1564" s="624">
        <v>40444</v>
      </c>
      <c r="BI1564" s="355">
        <v>0.111483</v>
      </c>
      <c r="BJ1564" s="624">
        <v>40443</v>
      </c>
      <c r="BK1564" s="355">
        <v>3.2564999999999997E-2</v>
      </c>
    </row>
    <row r="1565" spans="3:63" x14ac:dyDescent="0.15">
      <c r="C1565" s="624"/>
      <c r="D1565" s="355">
        <v>3.2910000000000002E-2</v>
      </c>
      <c r="AV1565" s="624"/>
      <c r="AX1565" s="624">
        <v>40450</v>
      </c>
      <c r="AY1565" s="355">
        <v>3.2890000000000003E-2</v>
      </c>
      <c r="AZ1565" s="624">
        <v>40514</v>
      </c>
      <c r="BA1565" s="355">
        <v>1.24E-2</v>
      </c>
      <c r="BB1565" s="624">
        <v>40445</v>
      </c>
      <c r="BC1565" s="355">
        <v>0.34129999999999999</v>
      </c>
      <c r="BD1565" s="624">
        <v>40445</v>
      </c>
      <c r="BE1565" s="355">
        <v>8.702E-2</v>
      </c>
      <c r="BF1565" s="624">
        <v>40520</v>
      </c>
      <c r="BG1565" s="355">
        <v>2.2183000000000001E-2</v>
      </c>
      <c r="BH1565" s="624">
        <v>40445</v>
      </c>
      <c r="BI1565" s="355">
        <v>0.111751</v>
      </c>
      <c r="BJ1565" s="624">
        <v>40444</v>
      </c>
      <c r="BK1565" s="355">
        <v>3.2586999999999998E-2</v>
      </c>
    </row>
    <row r="1566" spans="3:63" x14ac:dyDescent="0.15">
      <c r="C1566" s="624"/>
      <c r="D1566" s="355">
        <v>3.2890000000000003E-2</v>
      </c>
      <c r="AV1566" s="624"/>
      <c r="AX1566" s="624">
        <v>40451</v>
      </c>
      <c r="AY1566" s="355">
        <v>3.27E-2</v>
      </c>
      <c r="AZ1566" s="624">
        <v>40515</v>
      </c>
      <c r="BA1566" s="355">
        <v>1.2500000000000001E-2</v>
      </c>
      <c r="BB1566" s="624">
        <v>40448</v>
      </c>
      <c r="BC1566" s="355">
        <v>0.34</v>
      </c>
      <c r="BD1566" s="624">
        <v>40448</v>
      </c>
      <c r="BE1566" s="355">
        <v>8.7169999999999997E-2</v>
      </c>
      <c r="BF1566" s="624">
        <v>40521</v>
      </c>
      <c r="BG1566" s="355">
        <v>2.2114000000000002E-2</v>
      </c>
      <c r="BH1566" s="624">
        <v>40448</v>
      </c>
      <c r="BI1566" s="355">
        <v>0.111794</v>
      </c>
      <c r="BJ1566" s="624">
        <v>40445</v>
      </c>
      <c r="BK1566" s="355">
        <v>3.2568E-2</v>
      </c>
    </row>
    <row r="1567" spans="3:63" x14ac:dyDescent="0.15">
      <c r="C1567" s="624"/>
      <c r="D1567" s="355">
        <v>3.27E-2</v>
      </c>
      <c r="AV1567" s="624"/>
      <c r="AX1567" s="624">
        <v>40452</v>
      </c>
      <c r="AY1567" s="355">
        <v>3.288E-2</v>
      </c>
      <c r="AZ1567" s="624">
        <v>40518</v>
      </c>
      <c r="BA1567" s="355">
        <v>1.24E-2</v>
      </c>
      <c r="BB1567" s="624">
        <v>40449</v>
      </c>
      <c r="BC1567" s="355">
        <v>0.34239999999999998</v>
      </c>
      <c r="BD1567" s="624">
        <v>40449</v>
      </c>
      <c r="BE1567" s="355">
        <v>8.7279999999999996E-2</v>
      </c>
      <c r="BF1567" s="624">
        <v>40522</v>
      </c>
      <c r="BG1567" s="355">
        <v>2.2194999999999999E-2</v>
      </c>
      <c r="BH1567" s="624">
        <v>40449</v>
      </c>
      <c r="BI1567" s="355">
        <v>0.111688</v>
      </c>
      <c r="BJ1567" s="624">
        <v>40448</v>
      </c>
      <c r="BK1567" s="355">
        <v>3.2684999999999999E-2</v>
      </c>
    </row>
    <row r="1568" spans="3:63" x14ac:dyDescent="0.15">
      <c r="C1568" s="624"/>
      <c r="D1568" s="355">
        <v>3.288E-2</v>
      </c>
      <c r="AV1568" s="624"/>
      <c r="AX1568" s="624">
        <v>40455</v>
      </c>
      <c r="AY1568" s="355">
        <v>3.2820000000000002E-2</v>
      </c>
      <c r="AZ1568" s="624">
        <v>40519</v>
      </c>
      <c r="BA1568" s="355">
        <v>1.24E-2</v>
      </c>
      <c r="BB1568" s="624">
        <v>40450</v>
      </c>
      <c r="BC1568" s="355">
        <v>0.34260000000000002</v>
      </c>
      <c r="BD1568" s="624">
        <v>40450</v>
      </c>
      <c r="BE1568" s="355">
        <v>8.7709999999999996E-2</v>
      </c>
      <c r="BF1568" s="624">
        <v>40525</v>
      </c>
      <c r="BG1568" s="355">
        <v>2.2152999999999999E-2</v>
      </c>
      <c r="BH1568" s="624">
        <v>40450</v>
      </c>
      <c r="BI1568" s="355">
        <v>0.112221</v>
      </c>
      <c r="BJ1568" s="624">
        <v>40449</v>
      </c>
      <c r="BK1568" s="355">
        <v>3.2675000000000003E-2</v>
      </c>
    </row>
    <row r="1569" spans="3:63" x14ac:dyDescent="0.15">
      <c r="C1569" s="624"/>
      <c r="D1569" s="355">
        <v>3.2820000000000002E-2</v>
      </c>
      <c r="AV1569" s="624"/>
      <c r="AX1569" s="624">
        <v>40456</v>
      </c>
      <c r="AY1569" s="355">
        <v>3.3300000000000003E-2</v>
      </c>
      <c r="AZ1569" s="624">
        <v>40520</v>
      </c>
      <c r="BA1569" s="355">
        <v>1.24E-2</v>
      </c>
      <c r="BB1569" s="624">
        <v>40451</v>
      </c>
      <c r="BC1569" s="355">
        <v>0.34399999999999997</v>
      </c>
      <c r="BD1569" s="624">
        <v>40451</v>
      </c>
      <c r="BE1569" s="355">
        <v>8.7859999999999994E-2</v>
      </c>
      <c r="BF1569" s="624">
        <v>40526</v>
      </c>
      <c r="BG1569" s="355">
        <v>2.2246999999999999E-2</v>
      </c>
      <c r="BH1569" s="624">
        <v>40451</v>
      </c>
      <c r="BI1569" s="355">
        <v>0.112202</v>
      </c>
      <c r="BJ1569" s="624">
        <v>40450</v>
      </c>
      <c r="BK1569" s="355">
        <v>3.2846E-2</v>
      </c>
    </row>
    <row r="1570" spans="3:63" x14ac:dyDescent="0.15">
      <c r="C1570" s="624"/>
      <c r="D1570" s="355">
        <v>3.3300000000000003E-2</v>
      </c>
      <c r="AV1570" s="624"/>
      <c r="AX1570" s="624">
        <v>40457</v>
      </c>
      <c r="AY1570" s="355">
        <v>3.356E-2</v>
      </c>
      <c r="AZ1570" s="624">
        <v>40521</v>
      </c>
      <c r="BA1570" s="355">
        <v>1.24E-2</v>
      </c>
      <c r="BB1570" s="624">
        <v>40452</v>
      </c>
      <c r="BC1570" s="355">
        <v>0.34989999999999999</v>
      </c>
      <c r="BD1570" s="624">
        <v>40452</v>
      </c>
      <c r="BE1570" s="355">
        <v>8.8830000000000006E-2</v>
      </c>
      <c r="BF1570" s="624">
        <v>40527</v>
      </c>
      <c r="BG1570" s="355">
        <v>2.2026E-2</v>
      </c>
      <c r="BH1570" s="624">
        <v>40452</v>
      </c>
      <c r="BI1570" s="355">
        <v>0.112454</v>
      </c>
      <c r="BJ1570" s="624">
        <v>40451</v>
      </c>
      <c r="BK1570" s="355">
        <v>3.3024999999999999E-2</v>
      </c>
    </row>
    <row r="1571" spans="3:63" x14ac:dyDescent="0.15">
      <c r="C1571" s="624"/>
      <c r="D1571" s="355">
        <v>3.356E-2</v>
      </c>
      <c r="AV1571" s="624"/>
      <c r="AX1571" s="624">
        <v>40458</v>
      </c>
      <c r="AY1571" s="355">
        <v>3.3570000000000003E-2</v>
      </c>
      <c r="AZ1571" s="624">
        <v>40522</v>
      </c>
      <c r="BA1571" s="355">
        <v>1.24E-2</v>
      </c>
      <c r="BB1571" s="624">
        <v>40455</v>
      </c>
      <c r="BC1571" s="355">
        <v>0.3453</v>
      </c>
      <c r="BD1571" s="624">
        <v>40455</v>
      </c>
      <c r="BE1571" s="355">
        <v>8.8870000000000005E-2</v>
      </c>
      <c r="BF1571" s="624">
        <v>40528</v>
      </c>
      <c r="BG1571" s="355">
        <v>2.2053E-2</v>
      </c>
      <c r="BH1571" s="624">
        <v>40455</v>
      </c>
      <c r="BI1571" s="355">
        <v>0.11182599999999999</v>
      </c>
      <c r="BJ1571" s="624">
        <v>40452</v>
      </c>
      <c r="BK1571" s="355">
        <v>3.3262E-2</v>
      </c>
    </row>
    <row r="1572" spans="3:63" x14ac:dyDescent="0.15">
      <c r="C1572" s="624"/>
      <c r="D1572" s="355">
        <v>3.3570000000000003E-2</v>
      </c>
      <c r="AV1572" s="624"/>
      <c r="AX1572" s="624">
        <v>40459</v>
      </c>
      <c r="AY1572" s="355">
        <v>3.3509999999999998E-2</v>
      </c>
      <c r="AZ1572" s="624">
        <v>40525</v>
      </c>
      <c r="BA1572" s="355">
        <v>1.2699999999999999E-2</v>
      </c>
      <c r="BB1572" s="624">
        <v>40456</v>
      </c>
      <c r="BC1572" s="355">
        <v>0.35070000000000001</v>
      </c>
      <c r="BD1572" s="624">
        <v>40456</v>
      </c>
      <c r="BE1572" s="355">
        <v>8.9039999999999994E-2</v>
      </c>
      <c r="BF1572" s="624">
        <v>40532</v>
      </c>
      <c r="BG1572" s="355">
        <v>2.2048000000000002E-2</v>
      </c>
      <c r="BH1572" s="624">
        <v>40456</v>
      </c>
      <c r="BI1572" s="355">
        <v>0.111829</v>
      </c>
      <c r="BJ1572" s="624">
        <v>40455</v>
      </c>
      <c r="BK1572" s="355">
        <v>3.3112999999999997E-2</v>
      </c>
    </row>
    <row r="1573" spans="3:63" x14ac:dyDescent="0.15">
      <c r="C1573" s="624"/>
      <c r="D1573" s="355">
        <v>3.3509999999999998E-2</v>
      </c>
      <c r="AV1573" s="624"/>
      <c r="AX1573" s="624">
        <v>40462</v>
      </c>
      <c r="AY1573" s="355">
        <v>3.3419999999999998E-2</v>
      </c>
      <c r="AZ1573" s="624">
        <v>40526</v>
      </c>
      <c r="BA1573" s="355">
        <v>1.2699999999999999E-2</v>
      </c>
      <c r="BB1573" s="624">
        <v>40457</v>
      </c>
      <c r="BC1573" s="355">
        <v>0.3513</v>
      </c>
      <c r="BD1573" s="624">
        <v>40457</v>
      </c>
      <c r="BE1573" s="355">
        <v>8.967E-2</v>
      </c>
      <c r="BF1573" s="624">
        <v>40533</v>
      </c>
      <c r="BG1573" s="355">
        <v>2.2119E-2</v>
      </c>
      <c r="BH1573" s="624">
        <v>40457</v>
      </c>
      <c r="BI1573" s="355">
        <v>0.112076</v>
      </c>
      <c r="BJ1573" s="624">
        <v>40456</v>
      </c>
      <c r="BK1573" s="355">
        <v>3.3203000000000003E-2</v>
      </c>
    </row>
    <row r="1574" spans="3:63" x14ac:dyDescent="0.15">
      <c r="C1574" s="624"/>
      <c r="D1574" s="355">
        <v>3.3419999999999998E-2</v>
      </c>
      <c r="AV1574" s="624"/>
      <c r="AX1574" s="624">
        <v>40463</v>
      </c>
      <c r="AY1574" s="355">
        <v>3.3329999999999999E-2</v>
      </c>
      <c r="AZ1574" s="624">
        <v>40527</v>
      </c>
      <c r="BA1574" s="355">
        <v>1.2500000000000001E-2</v>
      </c>
      <c r="BB1574" s="624">
        <v>40458</v>
      </c>
      <c r="BC1574" s="355">
        <v>0.35049999999999998</v>
      </c>
      <c r="BD1574" s="624">
        <v>40458</v>
      </c>
      <c r="BE1574" s="355">
        <v>8.9050000000000004E-2</v>
      </c>
      <c r="BF1574" s="624">
        <v>40534</v>
      </c>
      <c r="BG1574" s="355">
        <v>2.2217000000000001E-2</v>
      </c>
      <c r="BH1574" s="624">
        <v>40458</v>
      </c>
      <c r="BI1574" s="355">
        <v>0.111888</v>
      </c>
      <c r="BJ1574" s="624">
        <v>40457</v>
      </c>
      <c r="BK1574" s="355">
        <v>3.3473000000000003E-2</v>
      </c>
    </row>
    <row r="1575" spans="3:63" x14ac:dyDescent="0.15">
      <c r="C1575" s="624"/>
      <c r="D1575" s="355">
        <v>3.3329999999999999E-2</v>
      </c>
      <c r="AV1575" s="624"/>
      <c r="AX1575" s="624">
        <v>40464</v>
      </c>
      <c r="AY1575" s="355">
        <v>3.3230000000000003E-2</v>
      </c>
      <c r="AZ1575" s="624">
        <v>40528</v>
      </c>
      <c r="BA1575" s="355">
        <v>1.2699999999999999E-2</v>
      </c>
      <c r="BB1575" s="624">
        <v>40459</v>
      </c>
      <c r="BC1575" s="355">
        <v>0.35160000000000002</v>
      </c>
      <c r="BD1575" s="624">
        <v>40459</v>
      </c>
      <c r="BE1575" s="355">
        <v>8.9770000000000003E-2</v>
      </c>
      <c r="BF1575" s="624">
        <v>40535</v>
      </c>
      <c r="BG1575" s="355">
        <v>2.2185E-2</v>
      </c>
      <c r="BH1575" s="624">
        <v>40459</v>
      </c>
      <c r="BI1575" s="355">
        <v>0.11219899999999999</v>
      </c>
      <c r="BJ1575" s="624">
        <v>40458</v>
      </c>
      <c r="BK1575" s="355">
        <v>3.3377999999999998E-2</v>
      </c>
    </row>
    <row r="1576" spans="3:63" x14ac:dyDescent="0.15">
      <c r="C1576" s="624"/>
      <c r="D1576" s="355">
        <v>3.3230000000000003E-2</v>
      </c>
      <c r="AV1576" s="624"/>
      <c r="AX1576" s="624">
        <v>40465</v>
      </c>
      <c r="AY1576" s="355">
        <v>3.3279999999999997E-2</v>
      </c>
      <c r="AZ1576" s="624">
        <v>40529</v>
      </c>
      <c r="BA1576" s="355">
        <v>1.2500000000000001E-2</v>
      </c>
      <c r="BB1576" s="624">
        <v>40462</v>
      </c>
      <c r="BC1576" s="355">
        <v>0.35089999999999999</v>
      </c>
      <c r="BD1576" s="624">
        <v>40462</v>
      </c>
      <c r="BE1576" s="355">
        <v>8.9270000000000002E-2</v>
      </c>
      <c r="BF1576" s="624">
        <v>40536</v>
      </c>
      <c r="BG1576" s="355">
        <v>2.2166000000000002E-2</v>
      </c>
      <c r="BH1576" s="624">
        <v>40462</v>
      </c>
      <c r="BI1576" s="355">
        <v>0.112013</v>
      </c>
      <c r="BJ1576" s="624">
        <v>40459</v>
      </c>
      <c r="BK1576" s="355">
        <v>3.3377999999999998E-2</v>
      </c>
    </row>
    <row r="1577" spans="3:63" x14ac:dyDescent="0.15">
      <c r="C1577" s="624"/>
      <c r="D1577" s="355">
        <v>3.3279999999999997E-2</v>
      </c>
      <c r="AV1577" s="624"/>
      <c r="AX1577" s="624">
        <v>40466</v>
      </c>
      <c r="AY1577" s="355">
        <v>3.2930000000000001E-2</v>
      </c>
      <c r="AZ1577" s="624">
        <v>40532</v>
      </c>
      <c r="BA1577" s="355">
        <v>1.24E-2</v>
      </c>
      <c r="BB1577" s="624">
        <v>40463</v>
      </c>
      <c r="BC1577" s="355">
        <v>0.35189999999999999</v>
      </c>
      <c r="BD1577" s="624">
        <v>40463</v>
      </c>
      <c r="BE1577" s="355">
        <v>8.8910000000000003E-2</v>
      </c>
      <c r="BF1577" s="624">
        <v>40539</v>
      </c>
      <c r="BG1577" s="355">
        <v>2.2103999999999999E-2</v>
      </c>
      <c r="BH1577" s="624">
        <v>40463</v>
      </c>
      <c r="BI1577" s="355">
        <v>0.111888</v>
      </c>
      <c r="BJ1577" s="624">
        <v>40462</v>
      </c>
      <c r="BK1577" s="355">
        <v>3.3266999999999998E-2</v>
      </c>
    </row>
    <row r="1578" spans="3:63" x14ac:dyDescent="0.15">
      <c r="C1578" s="624"/>
      <c r="D1578" s="355">
        <v>3.2930000000000001E-2</v>
      </c>
      <c r="AV1578" s="624"/>
      <c r="AX1578" s="624">
        <v>40469</v>
      </c>
      <c r="AY1578" s="355">
        <v>3.2910000000000002E-2</v>
      </c>
      <c r="AZ1578" s="624">
        <v>40533</v>
      </c>
      <c r="BA1578" s="355">
        <v>1.23E-2</v>
      </c>
      <c r="BB1578" s="624">
        <v>40464</v>
      </c>
      <c r="BC1578" s="355">
        <v>0.3574</v>
      </c>
      <c r="BD1578" s="624">
        <v>40464</v>
      </c>
      <c r="BE1578" s="355">
        <v>8.9749999999999996E-2</v>
      </c>
      <c r="BF1578" s="624">
        <v>40540</v>
      </c>
      <c r="BG1578" s="355">
        <v>2.2211999999999999E-2</v>
      </c>
      <c r="BH1578" s="624">
        <v>40464</v>
      </c>
      <c r="BI1578" s="355">
        <v>0.112092</v>
      </c>
      <c r="BJ1578" s="624">
        <v>40463</v>
      </c>
      <c r="BK1578" s="355">
        <v>3.3377999999999998E-2</v>
      </c>
    </row>
    <row r="1579" spans="3:63" x14ac:dyDescent="0.15">
      <c r="C1579" s="624"/>
      <c r="D1579" s="355">
        <v>3.2910000000000002E-2</v>
      </c>
      <c r="AV1579" s="624"/>
      <c r="AX1579" s="624">
        <v>40470</v>
      </c>
      <c r="AY1579" s="355">
        <v>3.2509999999999997E-2</v>
      </c>
      <c r="AZ1579" s="624">
        <v>40534</v>
      </c>
      <c r="BA1579" s="355">
        <v>1.2200000000000001E-2</v>
      </c>
      <c r="BB1579" s="624">
        <v>40465</v>
      </c>
      <c r="BC1579" s="355">
        <v>0.3609</v>
      </c>
      <c r="BD1579" s="624">
        <v>40465</v>
      </c>
      <c r="BE1579" s="355">
        <v>8.9789999999999995E-2</v>
      </c>
      <c r="BF1579" s="624">
        <v>40541</v>
      </c>
      <c r="BG1579" s="355">
        <v>2.2202E-2</v>
      </c>
      <c r="BH1579" s="624">
        <v>40465</v>
      </c>
      <c r="BI1579" s="355">
        <v>0.111995</v>
      </c>
      <c r="BJ1579" s="624">
        <v>40464</v>
      </c>
      <c r="BK1579" s="355">
        <v>3.3512E-2</v>
      </c>
    </row>
    <row r="1580" spans="3:63" x14ac:dyDescent="0.15">
      <c r="C1580" s="624"/>
      <c r="D1580" s="355">
        <v>3.2509999999999997E-2</v>
      </c>
      <c r="AV1580" s="624"/>
      <c r="AX1580" s="624">
        <v>40471</v>
      </c>
      <c r="AY1580" s="355">
        <v>3.2570000000000002E-2</v>
      </c>
      <c r="AZ1580" s="624">
        <v>40535</v>
      </c>
      <c r="BA1580" s="355">
        <v>1.24E-2</v>
      </c>
      <c r="BB1580" s="624">
        <v>40466</v>
      </c>
      <c r="BC1580" s="355">
        <v>0.35849999999999999</v>
      </c>
      <c r="BD1580" s="624">
        <v>40466</v>
      </c>
      <c r="BE1580" s="355">
        <v>8.9859999999999995E-2</v>
      </c>
      <c r="BF1580" s="624">
        <v>40542</v>
      </c>
      <c r="BG1580" s="355">
        <v>2.2279E-2</v>
      </c>
      <c r="BH1580" s="624">
        <v>40466</v>
      </c>
      <c r="BI1580" s="355">
        <v>0.11236</v>
      </c>
      <c r="BJ1580" s="624">
        <v>40465</v>
      </c>
      <c r="BK1580" s="355">
        <v>3.3506000000000001E-2</v>
      </c>
    </row>
    <row r="1581" spans="3:63" x14ac:dyDescent="0.15">
      <c r="C1581" s="624"/>
      <c r="D1581" s="355">
        <v>3.2570000000000002E-2</v>
      </c>
      <c r="AV1581" s="624"/>
      <c r="AX1581" s="624">
        <v>40472</v>
      </c>
      <c r="AY1581" s="355">
        <v>3.261E-2</v>
      </c>
      <c r="AZ1581" s="624">
        <v>40536</v>
      </c>
      <c r="BA1581" s="355">
        <v>1.2500000000000001E-2</v>
      </c>
      <c r="BB1581" s="624">
        <v>40469</v>
      </c>
      <c r="BC1581" s="355">
        <v>0.35510000000000003</v>
      </c>
      <c r="BD1581" s="624">
        <v>40469</v>
      </c>
      <c r="BE1581" s="355">
        <v>8.9230000000000004E-2</v>
      </c>
      <c r="BF1581" s="624">
        <v>40543</v>
      </c>
      <c r="BG1581" s="355">
        <v>2.2364999999999999E-2</v>
      </c>
      <c r="BH1581" s="624">
        <v>40469</v>
      </c>
      <c r="BI1581" s="355">
        <v>0.112123</v>
      </c>
      <c r="BJ1581" s="624">
        <v>40466</v>
      </c>
      <c r="BK1581" s="355">
        <v>3.3496999999999999E-2</v>
      </c>
    </row>
    <row r="1582" spans="3:63" x14ac:dyDescent="0.15">
      <c r="C1582" s="624"/>
      <c r="D1582" s="355">
        <v>3.261E-2</v>
      </c>
      <c r="AV1582" s="624"/>
      <c r="AX1582" s="624">
        <v>40473</v>
      </c>
      <c r="AY1582" s="355">
        <v>3.2910000000000002E-2</v>
      </c>
      <c r="AZ1582" s="624">
        <v>40539</v>
      </c>
      <c r="BA1582" s="355">
        <v>1.24E-2</v>
      </c>
      <c r="BB1582" s="624">
        <v>40470</v>
      </c>
      <c r="BC1582" s="355">
        <v>0.3458</v>
      </c>
      <c r="BD1582" s="624">
        <v>40470</v>
      </c>
      <c r="BE1582" s="355">
        <v>8.7749999999999995E-2</v>
      </c>
      <c r="BF1582" s="624">
        <v>40546</v>
      </c>
      <c r="BG1582" s="355">
        <v>2.2408999999999998E-2</v>
      </c>
      <c r="BH1582" s="624">
        <v>40470</v>
      </c>
      <c r="BI1582" s="355">
        <v>0.112013</v>
      </c>
      <c r="BJ1582" s="624">
        <v>40469</v>
      </c>
      <c r="BK1582" s="355">
        <v>3.3466999999999997E-2</v>
      </c>
    </row>
    <row r="1583" spans="3:63" x14ac:dyDescent="0.15">
      <c r="C1583" s="624"/>
      <c r="D1583" s="355">
        <v>3.2910000000000002E-2</v>
      </c>
      <c r="AV1583" s="624"/>
      <c r="AX1583" s="624">
        <v>40476</v>
      </c>
      <c r="AY1583" s="355">
        <v>3.295E-2</v>
      </c>
      <c r="AZ1583" s="624">
        <v>40540</v>
      </c>
      <c r="BA1583" s="355">
        <v>1.23E-2</v>
      </c>
      <c r="BB1583" s="624">
        <v>40471</v>
      </c>
      <c r="BC1583" s="355">
        <v>0.3533</v>
      </c>
      <c r="BD1583" s="624">
        <v>40471</v>
      </c>
      <c r="BE1583" s="355">
        <v>8.9160000000000003E-2</v>
      </c>
      <c r="BF1583" s="624">
        <v>40547</v>
      </c>
      <c r="BG1583" s="355">
        <v>2.2262000000000001E-2</v>
      </c>
      <c r="BH1583" s="624">
        <v>40471</v>
      </c>
      <c r="BI1583" s="355">
        <v>0.111888</v>
      </c>
      <c r="BJ1583" s="624">
        <v>40470</v>
      </c>
      <c r="BK1583" s="355">
        <v>3.3373E-2</v>
      </c>
    </row>
    <row r="1584" spans="3:63" x14ac:dyDescent="0.15">
      <c r="C1584" s="624"/>
      <c r="D1584" s="355">
        <v>3.295E-2</v>
      </c>
      <c r="AV1584" s="624"/>
      <c r="AX1584" s="624">
        <v>40477</v>
      </c>
      <c r="AY1584" s="355">
        <v>3.2820000000000002E-2</v>
      </c>
      <c r="AZ1584" s="624">
        <v>40541</v>
      </c>
      <c r="BA1584" s="355">
        <v>1.2500000000000001E-2</v>
      </c>
      <c r="BB1584" s="624">
        <v>40472</v>
      </c>
      <c r="BC1584" s="355">
        <v>0.3498</v>
      </c>
      <c r="BD1584" s="624">
        <v>40472</v>
      </c>
      <c r="BE1584" s="355">
        <v>8.8370000000000004E-2</v>
      </c>
      <c r="BF1584" s="624">
        <v>40548</v>
      </c>
      <c r="BG1584" s="355">
        <v>2.2062999999999999E-2</v>
      </c>
      <c r="BH1584" s="624">
        <v>40472</v>
      </c>
      <c r="BI1584" s="355">
        <v>0.11195099999999999</v>
      </c>
      <c r="BJ1584" s="624">
        <v>40471</v>
      </c>
      <c r="BK1584" s="355">
        <v>3.3427999999999999E-2</v>
      </c>
    </row>
    <row r="1585" spans="3:63" x14ac:dyDescent="0.15">
      <c r="C1585" s="624"/>
      <c r="D1585" s="355">
        <v>3.2820000000000002E-2</v>
      </c>
      <c r="AV1585" s="624"/>
      <c r="AX1585" s="624">
        <v>40478</v>
      </c>
      <c r="AY1585" s="355">
        <v>3.2570000000000002E-2</v>
      </c>
      <c r="AZ1585" s="624">
        <v>40542</v>
      </c>
      <c r="BA1585" s="355">
        <v>1.26E-2</v>
      </c>
      <c r="BB1585" s="624">
        <v>40473</v>
      </c>
      <c r="BC1585" s="355">
        <v>0.35210000000000002</v>
      </c>
      <c r="BD1585" s="624">
        <v>40473</v>
      </c>
      <c r="BE1585" s="355">
        <v>8.8830000000000006E-2</v>
      </c>
      <c r="BF1585" s="624">
        <v>40549</v>
      </c>
      <c r="BG1585" s="355">
        <v>2.2048000000000002E-2</v>
      </c>
      <c r="BH1585" s="624">
        <v>40473</v>
      </c>
      <c r="BI1585" s="355">
        <v>0.111888</v>
      </c>
      <c r="BJ1585" s="624">
        <v>40472</v>
      </c>
      <c r="BK1585" s="355">
        <v>3.3445000000000003E-2</v>
      </c>
    </row>
    <row r="1586" spans="3:63" x14ac:dyDescent="0.15">
      <c r="C1586" s="624"/>
      <c r="D1586" s="355">
        <v>3.2570000000000002E-2</v>
      </c>
      <c r="AV1586" s="624"/>
      <c r="AX1586" s="624">
        <v>40479</v>
      </c>
      <c r="AY1586" s="355">
        <v>3.2680000000000001E-2</v>
      </c>
      <c r="AZ1586" s="624">
        <v>40543</v>
      </c>
      <c r="BA1586" s="355">
        <v>1.26E-2</v>
      </c>
      <c r="BB1586" s="624">
        <v>40476</v>
      </c>
      <c r="BC1586" s="355">
        <v>0.35549999999999998</v>
      </c>
      <c r="BD1586" s="624">
        <v>40476</v>
      </c>
      <c r="BE1586" s="355">
        <v>8.949E-2</v>
      </c>
      <c r="BF1586" s="624">
        <v>40550</v>
      </c>
      <c r="BG1586" s="355">
        <v>2.2033000000000001E-2</v>
      </c>
      <c r="BH1586" s="624">
        <v>40476</v>
      </c>
      <c r="BI1586" s="355">
        <v>0.112391</v>
      </c>
      <c r="BJ1586" s="624">
        <v>40473</v>
      </c>
      <c r="BK1586" s="355">
        <v>3.3316999999999999E-2</v>
      </c>
    </row>
    <row r="1587" spans="3:63" x14ac:dyDescent="0.15">
      <c r="C1587" s="624"/>
      <c r="D1587" s="355">
        <v>3.2680000000000001E-2</v>
      </c>
      <c r="AV1587" s="624"/>
      <c r="AX1587" s="624">
        <v>40480</v>
      </c>
      <c r="AY1587" s="355">
        <v>3.2550000000000003E-2</v>
      </c>
      <c r="AZ1587" s="624">
        <v>40546</v>
      </c>
      <c r="BA1587" s="355">
        <v>1.26E-2</v>
      </c>
      <c r="BB1587" s="624">
        <v>40477</v>
      </c>
      <c r="BC1587" s="355">
        <v>0.35239999999999999</v>
      </c>
      <c r="BD1587" s="624">
        <v>40477</v>
      </c>
      <c r="BE1587" s="355">
        <v>8.8980000000000004E-2</v>
      </c>
      <c r="BF1587" s="624">
        <v>40553</v>
      </c>
      <c r="BG1587" s="355">
        <v>2.2051000000000001E-2</v>
      </c>
      <c r="BH1587" s="624">
        <v>40477</v>
      </c>
      <c r="BI1587" s="355">
        <v>0.112139</v>
      </c>
      <c r="BJ1587" s="624">
        <v>40476</v>
      </c>
      <c r="BK1587" s="355">
        <v>3.3494999999999997E-2</v>
      </c>
    </row>
    <row r="1588" spans="3:63" x14ac:dyDescent="0.15">
      <c r="C1588" s="624"/>
      <c r="D1588" s="355">
        <v>3.2550000000000003E-2</v>
      </c>
      <c r="AV1588" s="624"/>
      <c r="AX1588" s="624">
        <v>40483</v>
      </c>
      <c r="AY1588" s="355">
        <v>3.245E-2</v>
      </c>
      <c r="AZ1588" s="624">
        <v>40547</v>
      </c>
      <c r="BA1588" s="355">
        <v>1.2500000000000001E-2</v>
      </c>
      <c r="BB1588" s="624">
        <v>40478</v>
      </c>
      <c r="BC1588" s="355">
        <v>0.34760000000000002</v>
      </c>
      <c r="BD1588" s="624">
        <v>40478</v>
      </c>
      <c r="BE1588" s="355">
        <v>8.8239999999999999E-2</v>
      </c>
      <c r="BF1588" s="624">
        <v>40554</v>
      </c>
      <c r="BG1588" s="355">
        <v>2.2169999999999999E-2</v>
      </c>
      <c r="BH1588" s="624">
        <v>40478</v>
      </c>
      <c r="BI1588" s="355">
        <v>0.111639</v>
      </c>
      <c r="BJ1588" s="624">
        <v>40477</v>
      </c>
      <c r="BK1588" s="355">
        <v>3.3417000000000002E-2</v>
      </c>
    </row>
    <row r="1589" spans="3:63" x14ac:dyDescent="0.15">
      <c r="C1589" s="624"/>
      <c r="D1589" s="355">
        <v>3.245E-2</v>
      </c>
      <c r="AV1589" s="624"/>
      <c r="AX1589" s="624">
        <v>40484</v>
      </c>
      <c r="AY1589" s="355">
        <v>3.2500000000000001E-2</v>
      </c>
      <c r="AZ1589" s="624">
        <v>40548</v>
      </c>
      <c r="BA1589" s="355">
        <v>1.24E-2</v>
      </c>
      <c r="BB1589" s="624">
        <v>40479</v>
      </c>
      <c r="BC1589" s="355">
        <v>0.35049999999999998</v>
      </c>
      <c r="BD1589" s="624">
        <v>40479</v>
      </c>
      <c r="BE1589" s="355">
        <v>8.9010000000000006E-2</v>
      </c>
      <c r="BF1589" s="624">
        <v>40555</v>
      </c>
      <c r="BG1589" s="355">
        <v>2.2210000000000001E-2</v>
      </c>
      <c r="BH1589" s="624">
        <v>40479</v>
      </c>
      <c r="BI1589" s="355">
        <v>0.11204500000000001</v>
      </c>
      <c r="BJ1589" s="624">
        <v>40478</v>
      </c>
      <c r="BK1589" s="355">
        <v>3.3339000000000001E-2</v>
      </c>
    </row>
    <row r="1590" spans="3:63" x14ac:dyDescent="0.15">
      <c r="C1590" s="624"/>
      <c r="D1590" s="355">
        <v>3.2500000000000001E-2</v>
      </c>
      <c r="AV1590" s="624"/>
      <c r="AX1590" s="624">
        <v>40485</v>
      </c>
      <c r="AY1590" s="355">
        <v>3.2590000000000001E-2</v>
      </c>
      <c r="AZ1590" s="624">
        <v>40549</v>
      </c>
      <c r="BA1590" s="355">
        <v>1.23E-2</v>
      </c>
      <c r="BB1590" s="624">
        <v>40480</v>
      </c>
      <c r="BC1590" s="355">
        <v>0.35139999999999999</v>
      </c>
      <c r="BD1590" s="624">
        <v>40480</v>
      </c>
      <c r="BE1590" s="355">
        <v>8.9230000000000004E-2</v>
      </c>
      <c r="BF1590" s="624">
        <v>40556</v>
      </c>
      <c r="BG1590" s="355">
        <v>2.2168E-2</v>
      </c>
      <c r="BH1590" s="624">
        <v>40480</v>
      </c>
      <c r="BI1590" s="355">
        <v>0.111919</v>
      </c>
      <c r="BJ1590" s="624">
        <v>40479</v>
      </c>
      <c r="BK1590" s="355">
        <v>3.3389000000000002E-2</v>
      </c>
    </row>
    <row r="1591" spans="3:63" x14ac:dyDescent="0.15">
      <c r="C1591" s="624"/>
      <c r="D1591" s="355">
        <v>3.2590000000000001E-2</v>
      </c>
      <c r="AV1591" s="624"/>
      <c r="AX1591" s="624">
        <v>40486</v>
      </c>
      <c r="AY1591" s="355">
        <v>3.2710000000000003E-2</v>
      </c>
      <c r="AZ1591" s="624">
        <v>40550</v>
      </c>
      <c r="BA1591" s="355">
        <v>1.2200000000000001E-2</v>
      </c>
      <c r="BB1591" s="624">
        <v>40483</v>
      </c>
      <c r="BC1591" s="355">
        <v>0.35010000000000002</v>
      </c>
      <c r="BD1591" s="624">
        <v>40483</v>
      </c>
      <c r="BE1591" s="355">
        <v>8.9550000000000005E-2</v>
      </c>
      <c r="BF1591" s="624">
        <v>40557</v>
      </c>
      <c r="BG1591" s="355">
        <v>2.2041999999999999E-2</v>
      </c>
      <c r="BH1591" s="624">
        <v>40483</v>
      </c>
      <c r="BI1591" s="355">
        <v>0.111857</v>
      </c>
      <c r="BJ1591" s="624">
        <v>40480</v>
      </c>
      <c r="BK1591" s="355">
        <v>3.3456E-2</v>
      </c>
    </row>
    <row r="1592" spans="3:63" x14ac:dyDescent="0.15">
      <c r="C1592" s="624"/>
      <c r="D1592" s="355">
        <v>3.2710000000000003E-2</v>
      </c>
      <c r="AV1592" s="624"/>
      <c r="AX1592" s="624">
        <v>40487</v>
      </c>
      <c r="AY1592" s="355">
        <v>3.2599999999999997E-2</v>
      </c>
      <c r="AZ1592" s="624">
        <v>40553</v>
      </c>
      <c r="BA1592" s="355">
        <v>1.2200000000000001E-2</v>
      </c>
      <c r="BB1592" s="624">
        <v>40484</v>
      </c>
      <c r="BC1592" s="355">
        <v>0.35570000000000002</v>
      </c>
      <c r="BD1592" s="624">
        <v>40484</v>
      </c>
      <c r="BE1592" s="355">
        <v>8.992E-2</v>
      </c>
      <c r="BF1592" s="624">
        <v>40560</v>
      </c>
      <c r="BG1592" s="355">
        <v>2.1995000000000001E-2</v>
      </c>
      <c r="BH1592" s="624">
        <v>40484</v>
      </c>
      <c r="BI1592" s="355">
        <v>0.112108</v>
      </c>
      <c r="BJ1592" s="624">
        <v>40483</v>
      </c>
      <c r="BK1592" s="355">
        <v>3.3501000000000003E-2</v>
      </c>
    </row>
    <row r="1593" spans="3:63" x14ac:dyDescent="0.15">
      <c r="C1593" s="624"/>
      <c r="D1593" s="355">
        <v>3.2599999999999997E-2</v>
      </c>
      <c r="AV1593" s="624"/>
      <c r="AX1593" s="624">
        <v>40490</v>
      </c>
      <c r="AY1593" s="355">
        <v>3.2489999999999998E-2</v>
      </c>
      <c r="AZ1593" s="624">
        <v>40554</v>
      </c>
      <c r="BA1593" s="355">
        <v>1.2200000000000001E-2</v>
      </c>
      <c r="BB1593" s="624">
        <v>40485</v>
      </c>
      <c r="BC1593" s="355">
        <v>0.3614</v>
      </c>
      <c r="BD1593" s="624">
        <v>40485</v>
      </c>
      <c r="BE1593" s="355">
        <v>9.0130000000000002E-2</v>
      </c>
      <c r="BF1593" s="624">
        <v>40561</v>
      </c>
      <c r="BG1593" s="355">
        <v>2.1999999999999999E-2</v>
      </c>
      <c r="BH1593" s="624">
        <v>40485</v>
      </c>
      <c r="BI1593" s="355">
        <v>0.112139</v>
      </c>
      <c r="BJ1593" s="624">
        <v>40484</v>
      </c>
      <c r="BK1593" s="355">
        <v>3.3535000000000002E-2</v>
      </c>
    </row>
    <row r="1594" spans="3:63" x14ac:dyDescent="0.15">
      <c r="C1594" s="624"/>
      <c r="D1594" s="355">
        <v>3.2489999999999998E-2</v>
      </c>
      <c r="AV1594" s="624"/>
      <c r="AX1594" s="624">
        <v>40491</v>
      </c>
      <c r="AY1594" s="355">
        <v>3.245E-2</v>
      </c>
      <c r="AZ1594" s="624">
        <v>40555</v>
      </c>
      <c r="BA1594" s="355">
        <v>1.24E-2</v>
      </c>
      <c r="BB1594" s="624">
        <v>40486</v>
      </c>
      <c r="BC1594" s="355">
        <v>0.36430000000000001</v>
      </c>
      <c r="BD1594" s="624">
        <v>40486</v>
      </c>
      <c r="BE1594" s="355">
        <v>9.0270000000000003E-2</v>
      </c>
      <c r="BF1594" s="624">
        <v>40562</v>
      </c>
      <c r="BG1594" s="355">
        <v>2.2051000000000001E-2</v>
      </c>
      <c r="BH1594" s="624">
        <v>40486</v>
      </c>
      <c r="BI1594" s="355">
        <v>0.11251800000000001</v>
      </c>
      <c r="BJ1594" s="624">
        <v>40485</v>
      </c>
      <c r="BK1594" s="355">
        <v>3.3619999999999997E-2</v>
      </c>
    </row>
    <row r="1595" spans="3:63" x14ac:dyDescent="0.15">
      <c r="C1595" s="624"/>
      <c r="D1595" s="355">
        <v>3.245E-2</v>
      </c>
      <c r="AV1595" s="624"/>
      <c r="AX1595" s="624">
        <v>40492</v>
      </c>
      <c r="AY1595" s="355">
        <v>3.2629999999999999E-2</v>
      </c>
      <c r="AZ1595" s="624">
        <v>40556</v>
      </c>
      <c r="BA1595" s="355">
        <v>1.2699999999999999E-2</v>
      </c>
      <c r="BB1595" s="624">
        <v>40487</v>
      </c>
      <c r="BC1595" s="355">
        <v>0.35859999999999997</v>
      </c>
      <c r="BD1595" s="624">
        <v>40487</v>
      </c>
      <c r="BE1595" s="355">
        <v>9.0190000000000006E-2</v>
      </c>
      <c r="BF1595" s="624">
        <v>40563</v>
      </c>
      <c r="BG1595" s="355">
        <v>2.1961000000000001E-2</v>
      </c>
      <c r="BH1595" s="624">
        <v>40487</v>
      </c>
      <c r="BI1595" s="355">
        <v>0.11237900000000001</v>
      </c>
      <c r="BJ1595" s="624">
        <v>40486</v>
      </c>
      <c r="BK1595" s="355">
        <v>3.3693000000000001E-2</v>
      </c>
    </row>
    <row r="1596" spans="3:63" x14ac:dyDescent="0.15">
      <c r="C1596" s="624"/>
      <c r="D1596" s="355">
        <v>3.2629999999999999E-2</v>
      </c>
      <c r="AV1596" s="624"/>
      <c r="AX1596" s="624">
        <v>40493</v>
      </c>
      <c r="AY1596" s="355">
        <v>3.2649999999999998E-2</v>
      </c>
      <c r="AZ1596" s="624">
        <v>40557</v>
      </c>
      <c r="BA1596" s="355">
        <v>1.2699999999999999E-2</v>
      </c>
      <c r="BB1596" s="624">
        <v>40490</v>
      </c>
      <c r="BC1596" s="355">
        <v>0.35399999999999998</v>
      </c>
      <c r="BD1596" s="624">
        <v>40490</v>
      </c>
      <c r="BE1596" s="355">
        <v>8.9569999999999997E-2</v>
      </c>
      <c r="BF1596" s="624">
        <v>40564</v>
      </c>
      <c r="BG1596" s="355">
        <v>2.1919999999999999E-2</v>
      </c>
      <c r="BH1596" s="624">
        <v>40490</v>
      </c>
      <c r="BI1596" s="355">
        <v>0.112265</v>
      </c>
      <c r="BJ1596" s="624">
        <v>40487</v>
      </c>
      <c r="BK1596" s="355">
        <v>3.3739999999999999E-2</v>
      </c>
    </row>
    <row r="1597" spans="3:63" x14ac:dyDescent="0.15">
      <c r="C1597" s="624"/>
      <c r="D1597" s="355">
        <v>3.2649999999999998E-2</v>
      </c>
      <c r="AV1597" s="624"/>
      <c r="AX1597" s="624">
        <v>40494</v>
      </c>
      <c r="AY1597" s="355">
        <v>3.243E-2</v>
      </c>
      <c r="AZ1597" s="624">
        <v>40560</v>
      </c>
      <c r="BA1597" s="355">
        <v>1.2699999999999999E-2</v>
      </c>
      <c r="BB1597" s="624">
        <v>40491</v>
      </c>
      <c r="BC1597" s="355">
        <v>0.3528</v>
      </c>
      <c r="BD1597" s="624">
        <v>40491</v>
      </c>
      <c r="BE1597" s="355">
        <v>8.9289999999999994E-2</v>
      </c>
      <c r="BF1597" s="624">
        <v>40567</v>
      </c>
      <c r="BG1597" s="355">
        <v>2.1992999999999999E-2</v>
      </c>
      <c r="BH1597" s="624">
        <v>40491</v>
      </c>
      <c r="BI1597" s="355">
        <v>0.111857</v>
      </c>
      <c r="BJ1597" s="624">
        <v>40490</v>
      </c>
      <c r="BK1597" s="355">
        <v>3.3727E-2</v>
      </c>
    </row>
    <row r="1598" spans="3:63" x14ac:dyDescent="0.15">
      <c r="C1598" s="624"/>
      <c r="D1598" s="355">
        <v>3.243E-2</v>
      </c>
      <c r="AV1598" s="624"/>
      <c r="AX1598" s="624">
        <v>40497</v>
      </c>
      <c r="AY1598" s="355">
        <v>3.227E-2</v>
      </c>
      <c r="AZ1598" s="624">
        <v>40561</v>
      </c>
      <c r="BA1598" s="355">
        <v>1.2800000000000001E-2</v>
      </c>
      <c r="BB1598" s="624">
        <v>40492</v>
      </c>
      <c r="BC1598" s="355">
        <v>0.35389999999999999</v>
      </c>
      <c r="BD1598" s="624">
        <v>40492</v>
      </c>
      <c r="BE1598" s="355">
        <v>9.042E-2</v>
      </c>
      <c r="BF1598" s="624">
        <v>40568</v>
      </c>
      <c r="BG1598" s="355">
        <v>2.1881999999999999E-2</v>
      </c>
      <c r="BH1598" s="624">
        <v>40492</v>
      </c>
      <c r="BI1598" s="355">
        <v>0.112454</v>
      </c>
      <c r="BJ1598" s="624">
        <v>40491</v>
      </c>
      <c r="BK1598" s="355">
        <v>3.3806999999999997E-2</v>
      </c>
    </row>
    <row r="1599" spans="3:63" x14ac:dyDescent="0.15">
      <c r="C1599" s="624"/>
      <c r="D1599" s="355">
        <v>3.227E-2</v>
      </c>
      <c r="AV1599" s="624"/>
      <c r="AX1599" s="624">
        <v>40498</v>
      </c>
      <c r="AY1599" s="355">
        <v>3.2000000000000001E-2</v>
      </c>
      <c r="AZ1599" s="624">
        <v>40562</v>
      </c>
      <c r="BA1599" s="355">
        <v>1.29E-2</v>
      </c>
      <c r="BB1599" s="624">
        <v>40493</v>
      </c>
      <c r="BC1599" s="355">
        <v>0.3478</v>
      </c>
      <c r="BD1599" s="624">
        <v>40493</v>
      </c>
      <c r="BE1599" s="355">
        <v>8.9990000000000001E-2</v>
      </c>
      <c r="BF1599" s="624">
        <v>40569</v>
      </c>
      <c r="BG1599" s="355">
        <v>2.1932E-2</v>
      </c>
      <c r="BH1599" s="624">
        <v>40493</v>
      </c>
      <c r="BI1599" s="355">
        <v>0.112014</v>
      </c>
      <c r="BJ1599" s="624">
        <v>40492</v>
      </c>
      <c r="BK1599" s="355">
        <v>3.3790000000000001E-2</v>
      </c>
    </row>
    <row r="1600" spans="3:63" x14ac:dyDescent="0.15">
      <c r="C1600" s="624"/>
      <c r="D1600" s="355">
        <v>3.2000000000000001E-2</v>
      </c>
      <c r="AV1600" s="624"/>
      <c r="AX1600" s="624">
        <v>40499</v>
      </c>
      <c r="AY1600" s="355">
        <v>3.193E-2</v>
      </c>
      <c r="AZ1600" s="624">
        <v>40563</v>
      </c>
      <c r="BA1600" s="355">
        <v>1.2800000000000001E-2</v>
      </c>
      <c r="BB1600" s="624">
        <v>40494</v>
      </c>
      <c r="BC1600" s="355">
        <v>0.34720000000000001</v>
      </c>
      <c r="BD1600" s="624">
        <v>40494</v>
      </c>
      <c r="BE1600" s="355">
        <v>8.8650000000000007E-2</v>
      </c>
      <c r="BF1600" s="624">
        <v>40570</v>
      </c>
      <c r="BG1600" s="355">
        <v>2.1891000000000001E-2</v>
      </c>
      <c r="BH1600" s="624">
        <v>40494</v>
      </c>
      <c r="BI1600" s="355">
        <v>0.11129699999999999</v>
      </c>
      <c r="BJ1600" s="624">
        <v>40493</v>
      </c>
      <c r="BK1600" s="355">
        <v>3.3591000000000003E-2</v>
      </c>
    </row>
    <row r="1601" spans="3:63" x14ac:dyDescent="0.15">
      <c r="C1601" s="624"/>
      <c r="D1601" s="355">
        <v>3.193E-2</v>
      </c>
      <c r="AV1601" s="624"/>
      <c r="AX1601" s="624">
        <v>40500</v>
      </c>
      <c r="AY1601" s="355">
        <v>3.2219999999999999E-2</v>
      </c>
      <c r="AZ1601" s="624">
        <v>40564</v>
      </c>
      <c r="BA1601" s="355">
        <v>1.29E-2</v>
      </c>
      <c r="BB1601" s="624">
        <v>40497</v>
      </c>
      <c r="BC1601" s="355">
        <v>0.34599999999999997</v>
      </c>
      <c r="BD1601" s="624">
        <v>40497</v>
      </c>
      <c r="BE1601" s="355">
        <v>8.7859999999999994E-2</v>
      </c>
      <c r="BF1601" s="624">
        <v>40571</v>
      </c>
      <c r="BG1601" s="355">
        <v>2.1853999999999998E-2</v>
      </c>
      <c r="BH1601" s="624">
        <v>40497</v>
      </c>
      <c r="BI1601" s="355">
        <v>0.111328</v>
      </c>
      <c r="BJ1601" s="624">
        <v>40494</v>
      </c>
      <c r="BK1601" s="355">
        <v>3.3501000000000003E-2</v>
      </c>
    </row>
    <row r="1602" spans="3:63" x14ac:dyDescent="0.15">
      <c r="C1602" s="624"/>
      <c r="D1602" s="355">
        <v>3.2219999999999999E-2</v>
      </c>
      <c r="AV1602" s="624"/>
      <c r="AX1602" s="624">
        <v>40501</v>
      </c>
      <c r="AY1602" s="355">
        <v>3.2169999999999997E-2</v>
      </c>
      <c r="AZ1602" s="624">
        <v>40567</v>
      </c>
      <c r="BA1602" s="355">
        <v>1.2999999999999999E-2</v>
      </c>
      <c r="BB1602" s="624">
        <v>40498</v>
      </c>
      <c r="BC1602" s="355">
        <v>0.34010000000000001</v>
      </c>
      <c r="BD1602" s="624">
        <v>40498</v>
      </c>
      <c r="BE1602" s="355">
        <v>8.8279999999999997E-2</v>
      </c>
      <c r="BF1602" s="624">
        <v>40574</v>
      </c>
      <c r="BG1602" s="355">
        <v>2.1781999999999999E-2</v>
      </c>
      <c r="BH1602" s="624">
        <v>40498</v>
      </c>
      <c r="BI1602" s="355">
        <v>0.11117299999999999</v>
      </c>
      <c r="BJ1602" s="624">
        <v>40497</v>
      </c>
      <c r="BK1602" s="355">
        <v>3.3501000000000003E-2</v>
      </c>
    </row>
    <row r="1603" spans="3:63" x14ac:dyDescent="0.15">
      <c r="C1603" s="624"/>
      <c r="D1603" s="355">
        <v>3.2169999999999997E-2</v>
      </c>
      <c r="AV1603" s="624"/>
      <c r="AX1603" s="624">
        <v>40504</v>
      </c>
      <c r="AY1603" s="355">
        <v>3.2120000000000003E-2</v>
      </c>
      <c r="AZ1603" s="624">
        <v>40568</v>
      </c>
      <c r="BA1603" s="355">
        <v>1.3100000000000001E-2</v>
      </c>
      <c r="BB1603" s="624">
        <v>40499</v>
      </c>
      <c r="BC1603" s="355">
        <v>0.3422</v>
      </c>
      <c r="BD1603" s="624">
        <v>40499</v>
      </c>
      <c r="BE1603" s="355">
        <v>8.7169999999999997E-2</v>
      </c>
      <c r="BF1603" s="624">
        <v>40575</v>
      </c>
      <c r="BG1603" s="355">
        <v>2.1989999999999999E-2</v>
      </c>
      <c r="BH1603" s="624">
        <v>40499</v>
      </c>
      <c r="BI1603" s="355">
        <v>0.111204</v>
      </c>
      <c r="BJ1603" s="624">
        <v>40498</v>
      </c>
      <c r="BK1603" s="355">
        <v>3.3377999999999998E-2</v>
      </c>
    </row>
    <row r="1604" spans="3:63" x14ac:dyDescent="0.15">
      <c r="C1604" s="624"/>
      <c r="D1604" s="355">
        <v>3.2120000000000003E-2</v>
      </c>
      <c r="AV1604" s="624"/>
      <c r="AX1604" s="624">
        <v>40505</v>
      </c>
      <c r="AY1604" s="355">
        <v>3.1809999999999998E-2</v>
      </c>
      <c r="AZ1604" s="624">
        <v>40569</v>
      </c>
      <c r="BA1604" s="355">
        <v>1.3100000000000001E-2</v>
      </c>
      <c r="BB1604" s="624">
        <v>40500</v>
      </c>
      <c r="BC1604" s="355">
        <v>0.3468</v>
      </c>
      <c r="BD1604" s="624">
        <v>40500</v>
      </c>
      <c r="BE1604" s="355">
        <v>8.8599999999999998E-2</v>
      </c>
      <c r="BF1604" s="624">
        <v>40576</v>
      </c>
      <c r="BG1604" s="355">
        <v>2.1954000000000001E-2</v>
      </c>
      <c r="BH1604" s="624">
        <v>40500</v>
      </c>
      <c r="BI1604" s="355">
        <v>0.111638</v>
      </c>
      <c r="BJ1604" s="624">
        <v>40499</v>
      </c>
      <c r="BK1604" s="355">
        <v>3.3377999999999998E-2</v>
      </c>
    </row>
    <row r="1605" spans="3:63" x14ac:dyDescent="0.15">
      <c r="C1605" s="624"/>
      <c r="D1605" s="355">
        <v>3.1809999999999998E-2</v>
      </c>
      <c r="AV1605" s="624"/>
      <c r="AX1605" s="624">
        <v>40506</v>
      </c>
      <c r="AY1605" s="355">
        <v>3.1899999999999998E-2</v>
      </c>
      <c r="AZ1605" s="624">
        <v>40570</v>
      </c>
      <c r="BA1605" s="355">
        <v>1.3100000000000001E-2</v>
      </c>
      <c r="BB1605" s="624">
        <v>40501</v>
      </c>
      <c r="BC1605" s="355">
        <v>0.34739999999999999</v>
      </c>
      <c r="BD1605" s="624">
        <v>40501</v>
      </c>
      <c r="BE1605" s="355">
        <v>8.8459999999999997E-2</v>
      </c>
      <c r="BF1605" s="624">
        <v>40577</v>
      </c>
      <c r="BG1605" s="355">
        <v>2.1939E-2</v>
      </c>
      <c r="BH1605" s="624">
        <v>40501</v>
      </c>
      <c r="BI1605" s="355">
        <v>0.111704</v>
      </c>
      <c r="BJ1605" s="624">
        <v>40500</v>
      </c>
      <c r="BK1605" s="355">
        <v>3.3427999999999999E-2</v>
      </c>
    </row>
    <row r="1606" spans="3:63" x14ac:dyDescent="0.15">
      <c r="C1606" s="624"/>
      <c r="D1606" s="355">
        <v>3.1899999999999998E-2</v>
      </c>
      <c r="AV1606" s="624"/>
      <c r="AX1606" s="624">
        <v>40507</v>
      </c>
      <c r="AY1606" s="355">
        <v>3.2079999999999997E-2</v>
      </c>
      <c r="AZ1606" s="624">
        <v>40571</v>
      </c>
      <c r="BA1606" s="355">
        <v>1.2999999999999999E-2</v>
      </c>
      <c r="BB1606" s="624">
        <v>40504</v>
      </c>
      <c r="BC1606" s="355">
        <v>0.34539999999999998</v>
      </c>
      <c r="BD1606" s="624">
        <v>40504</v>
      </c>
      <c r="BE1606" s="355">
        <v>8.8700000000000001E-2</v>
      </c>
      <c r="BF1606" s="624">
        <v>40578</v>
      </c>
      <c r="BG1606" s="355">
        <v>2.1935E-2</v>
      </c>
      <c r="BH1606" s="624">
        <v>40504</v>
      </c>
      <c r="BI1606" s="355">
        <v>0.11195099999999999</v>
      </c>
      <c r="BJ1606" s="624">
        <v>40501</v>
      </c>
      <c r="BK1606" s="355">
        <v>3.3383000000000003E-2</v>
      </c>
    </row>
    <row r="1607" spans="3:63" x14ac:dyDescent="0.15">
      <c r="C1607" s="624"/>
      <c r="D1607" s="355">
        <v>3.2079999999999997E-2</v>
      </c>
      <c r="AV1607" s="624"/>
      <c r="AX1607" s="624">
        <v>40508</v>
      </c>
      <c r="AY1607" s="355">
        <v>3.1850000000000003E-2</v>
      </c>
      <c r="AZ1607" s="624">
        <v>40574</v>
      </c>
      <c r="BA1607" s="355">
        <v>1.3100000000000001E-2</v>
      </c>
      <c r="BB1607" s="624">
        <v>40505</v>
      </c>
      <c r="BC1607" s="355">
        <v>0.33579999999999999</v>
      </c>
      <c r="BD1607" s="624">
        <v>40505</v>
      </c>
      <c r="BE1607" s="355">
        <v>8.5349999999999995E-2</v>
      </c>
      <c r="BF1607" s="624">
        <v>40581</v>
      </c>
      <c r="BG1607" s="355">
        <v>2.2055999999999999E-2</v>
      </c>
      <c r="BH1607" s="624">
        <v>40505</v>
      </c>
      <c r="BI1607" s="355">
        <v>0.111266</v>
      </c>
      <c r="BJ1607" s="624">
        <v>40504</v>
      </c>
      <c r="BK1607" s="355">
        <v>3.3343999999999999E-2</v>
      </c>
    </row>
    <row r="1608" spans="3:63" x14ac:dyDescent="0.15">
      <c r="C1608" s="624"/>
      <c r="D1608" s="355">
        <v>3.1850000000000003E-2</v>
      </c>
      <c r="AV1608" s="624"/>
      <c r="AX1608" s="624">
        <v>40511</v>
      </c>
      <c r="AY1608" s="355">
        <v>3.184E-2</v>
      </c>
      <c r="AZ1608" s="624">
        <v>40575</v>
      </c>
      <c r="BA1608" s="355">
        <v>1.3299999999999999E-2</v>
      </c>
      <c r="BB1608" s="624">
        <v>40506</v>
      </c>
      <c r="BC1608" s="355">
        <v>0.3367</v>
      </c>
      <c r="BD1608" s="624">
        <v>40506</v>
      </c>
      <c r="BE1608" s="355">
        <v>8.7160000000000001E-2</v>
      </c>
      <c r="BF1608" s="624">
        <v>40582</v>
      </c>
      <c r="BG1608" s="355">
        <v>2.2076999999999999E-2</v>
      </c>
      <c r="BH1608" s="624">
        <v>40506</v>
      </c>
      <c r="BI1608" s="355">
        <v>0.111514</v>
      </c>
      <c r="BJ1608" s="624">
        <v>40505</v>
      </c>
      <c r="BK1608" s="355">
        <v>3.3244999999999997E-2</v>
      </c>
    </row>
    <row r="1609" spans="3:63" x14ac:dyDescent="0.15">
      <c r="C1609" s="624"/>
      <c r="D1609" s="355">
        <v>3.184E-2</v>
      </c>
      <c r="AV1609" s="624"/>
      <c r="AX1609" s="624">
        <v>40512</v>
      </c>
      <c r="AY1609" s="355">
        <v>3.1699999999999999E-2</v>
      </c>
      <c r="AZ1609" s="624">
        <v>40576</v>
      </c>
      <c r="BA1609" s="355">
        <v>1.3299999999999999E-2</v>
      </c>
      <c r="BB1609" s="624">
        <v>40507</v>
      </c>
      <c r="BC1609" s="355">
        <v>0.33579999999999999</v>
      </c>
      <c r="BD1609" s="624">
        <v>40507</v>
      </c>
      <c r="BE1609" s="355">
        <v>8.745E-2</v>
      </c>
      <c r="BF1609" s="624">
        <v>40583</v>
      </c>
      <c r="BG1609" s="355">
        <v>2.1984E-2</v>
      </c>
      <c r="BH1609" s="624">
        <v>40507</v>
      </c>
      <c r="BI1609" s="355">
        <v>0.111514</v>
      </c>
      <c r="BJ1609" s="624">
        <v>40506</v>
      </c>
      <c r="BK1609" s="355">
        <v>3.3293000000000003E-2</v>
      </c>
    </row>
    <row r="1610" spans="3:63" x14ac:dyDescent="0.15">
      <c r="C1610" s="624"/>
      <c r="D1610" s="355">
        <v>3.1699999999999999E-2</v>
      </c>
      <c r="AV1610" s="624"/>
      <c r="AX1610" s="624">
        <v>40513</v>
      </c>
      <c r="AY1610" s="355">
        <v>3.1879999999999999E-2</v>
      </c>
      <c r="AZ1610" s="624">
        <v>40577</v>
      </c>
      <c r="BA1610" s="355">
        <v>1.3100000000000001E-2</v>
      </c>
      <c r="BB1610" s="624">
        <v>40508</v>
      </c>
      <c r="BC1610" s="355">
        <v>0.32800000000000001</v>
      </c>
      <c r="BD1610" s="624">
        <v>40508</v>
      </c>
      <c r="BE1610" s="355">
        <v>8.6230000000000001E-2</v>
      </c>
      <c r="BF1610" s="624">
        <v>40584</v>
      </c>
      <c r="BG1610" s="355">
        <v>2.1869E-2</v>
      </c>
      <c r="BH1610" s="624">
        <v>40508</v>
      </c>
      <c r="BI1610" s="355">
        <v>0.11089499999999999</v>
      </c>
      <c r="BJ1610" s="624">
        <v>40507</v>
      </c>
      <c r="BK1610" s="355">
        <v>3.3311E-2</v>
      </c>
    </row>
    <row r="1611" spans="3:63" x14ac:dyDescent="0.15">
      <c r="C1611" s="624"/>
      <c r="D1611" s="355">
        <v>3.1879999999999999E-2</v>
      </c>
      <c r="AV1611" s="624"/>
      <c r="AX1611" s="624">
        <v>40514</v>
      </c>
      <c r="AY1611" s="355">
        <v>3.2009999999999997E-2</v>
      </c>
      <c r="AZ1611" s="624">
        <v>40578</v>
      </c>
      <c r="BA1611" s="355">
        <v>1.3100000000000001E-2</v>
      </c>
      <c r="BB1611" s="624">
        <v>40511</v>
      </c>
      <c r="BC1611" s="355">
        <v>0.3211</v>
      </c>
      <c r="BD1611" s="624">
        <v>40511</v>
      </c>
      <c r="BE1611" s="355">
        <v>8.609E-2</v>
      </c>
      <c r="BF1611" s="624">
        <v>40585</v>
      </c>
      <c r="BG1611" s="355">
        <v>2.1888999999999999E-2</v>
      </c>
      <c r="BH1611" s="624">
        <v>40511</v>
      </c>
      <c r="BI1611" s="355">
        <v>0.110558</v>
      </c>
      <c r="BJ1611" s="624">
        <v>40508</v>
      </c>
      <c r="BK1611" s="355">
        <v>3.3036000000000003E-2</v>
      </c>
    </row>
    <row r="1612" spans="3:63" x14ac:dyDescent="0.15">
      <c r="C1612" s="624"/>
      <c r="D1612" s="355">
        <v>3.2009999999999997E-2</v>
      </c>
      <c r="AV1612" s="624"/>
      <c r="AX1612" s="624">
        <v>40515</v>
      </c>
      <c r="AY1612" s="355">
        <v>3.2129999999999999E-2</v>
      </c>
      <c r="AZ1612" s="624">
        <v>40581</v>
      </c>
      <c r="BA1612" s="355">
        <v>1.3100000000000001E-2</v>
      </c>
      <c r="BB1612" s="624">
        <v>40512</v>
      </c>
      <c r="BC1612" s="355">
        <v>0.32269999999999999</v>
      </c>
      <c r="BD1612" s="624">
        <v>40512</v>
      </c>
      <c r="BE1612" s="355">
        <v>8.6290000000000006E-2</v>
      </c>
      <c r="BF1612" s="624">
        <v>40588</v>
      </c>
      <c r="BG1612" s="355">
        <v>2.198E-2</v>
      </c>
      <c r="BH1612" s="624">
        <v>40512</v>
      </c>
      <c r="BI1612" s="355">
        <v>0.1104</v>
      </c>
      <c r="BJ1612" s="624">
        <v>40511</v>
      </c>
      <c r="BK1612" s="355">
        <v>3.3085000000000003E-2</v>
      </c>
    </row>
    <row r="1613" spans="3:63" x14ac:dyDescent="0.15">
      <c r="C1613" s="624"/>
      <c r="D1613" s="355">
        <v>3.2129999999999999E-2</v>
      </c>
      <c r="AV1613" s="624"/>
      <c r="AX1613" s="624">
        <v>40518</v>
      </c>
      <c r="AY1613" s="355">
        <v>3.2050000000000002E-2</v>
      </c>
      <c r="AZ1613" s="624">
        <v>40582</v>
      </c>
      <c r="BA1613" s="355">
        <v>1.32E-2</v>
      </c>
      <c r="BB1613" s="624">
        <v>40513</v>
      </c>
      <c r="BC1613" s="355">
        <v>0.32840000000000003</v>
      </c>
      <c r="BD1613" s="624">
        <v>40513</v>
      </c>
      <c r="BE1613" s="355">
        <v>8.7359999999999993E-2</v>
      </c>
      <c r="BF1613" s="624">
        <v>40589</v>
      </c>
      <c r="BG1613" s="355">
        <v>2.1965999999999999E-2</v>
      </c>
      <c r="BH1613" s="624">
        <v>40513</v>
      </c>
      <c r="BI1613" s="355">
        <v>0.11089499999999999</v>
      </c>
      <c r="BJ1613" s="624">
        <v>40512</v>
      </c>
      <c r="BK1613" s="355">
        <v>3.3106999999999998E-2</v>
      </c>
    </row>
    <row r="1614" spans="3:63" x14ac:dyDescent="0.15">
      <c r="C1614" s="624"/>
      <c r="D1614" s="355">
        <v>3.2050000000000002E-2</v>
      </c>
      <c r="AV1614" s="624"/>
      <c r="AX1614" s="624">
        <v>40519</v>
      </c>
      <c r="AY1614" s="355">
        <v>3.2070000000000001E-2</v>
      </c>
      <c r="AZ1614" s="624">
        <v>40583</v>
      </c>
      <c r="BA1614" s="355">
        <v>1.3299999999999999E-2</v>
      </c>
      <c r="BB1614" s="624">
        <v>40514</v>
      </c>
      <c r="BC1614" s="355">
        <v>0.33150000000000002</v>
      </c>
      <c r="BD1614" s="624">
        <v>40514</v>
      </c>
      <c r="BE1614" s="355">
        <v>8.7370000000000003E-2</v>
      </c>
      <c r="BF1614" s="624">
        <v>40591</v>
      </c>
      <c r="BG1614" s="355">
        <v>2.2053E-2</v>
      </c>
      <c r="BH1614" s="624">
        <v>40514</v>
      </c>
      <c r="BI1614" s="355">
        <v>0.11124100000000001</v>
      </c>
      <c r="BJ1614" s="624">
        <v>40513</v>
      </c>
      <c r="BK1614" s="355">
        <v>3.3272000000000003E-2</v>
      </c>
    </row>
    <row r="1615" spans="3:63" x14ac:dyDescent="0.15">
      <c r="C1615" s="624"/>
      <c r="D1615" s="355">
        <v>3.2070000000000001E-2</v>
      </c>
      <c r="AV1615" s="624"/>
      <c r="AX1615" s="624">
        <v>40520</v>
      </c>
      <c r="AY1615" s="355">
        <v>3.2169999999999997E-2</v>
      </c>
      <c r="AZ1615" s="624">
        <v>40584</v>
      </c>
      <c r="BA1615" s="355">
        <v>1.32E-2</v>
      </c>
      <c r="BB1615" s="624">
        <v>40515</v>
      </c>
      <c r="BC1615" s="355">
        <v>0.3372</v>
      </c>
      <c r="BD1615" s="624">
        <v>40515</v>
      </c>
      <c r="BE1615" s="355">
        <v>8.8340000000000002E-2</v>
      </c>
      <c r="BF1615" s="624">
        <v>40592</v>
      </c>
      <c r="BG1615" s="355">
        <v>2.2126E-2</v>
      </c>
      <c r="BH1615" s="624">
        <v>40515</v>
      </c>
      <c r="BI1615" s="355">
        <v>0.11121399999999999</v>
      </c>
      <c r="BJ1615" s="624">
        <v>40514</v>
      </c>
      <c r="BK1615" s="355">
        <v>3.3321999999999997E-2</v>
      </c>
    </row>
    <row r="1616" spans="3:63" x14ac:dyDescent="0.15">
      <c r="C1616" s="624"/>
      <c r="D1616" s="355">
        <v>3.2169999999999997E-2</v>
      </c>
      <c r="AV1616" s="624"/>
      <c r="AX1616" s="624">
        <v>40521</v>
      </c>
      <c r="AY1616" s="355">
        <v>3.2329999999999998E-2</v>
      </c>
      <c r="AZ1616" s="624">
        <v>40585</v>
      </c>
      <c r="BA1616" s="355">
        <v>1.3100000000000001E-2</v>
      </c>
      <c r="BB1616" s="624">
        <v>40518</v>
      </c>
      <c r="BC1616" s="355">
        <v>0.33210000000000001</v>
      </c>
      <c r="BD1616" s="624">
        <v>40518</v>
      </c>
      <c r="BE1616" s="355">
        <v>8.7999999999999995E-2</v>
      </c>
      <c r="BF1616" s="624">
        <v>40595</v>
      </c>
      <c r="BG1616" s="355">
        <v>2.223E-2</v>
      </c>
      <c r="BH1616" s="624">
        <v>40518</v>
      </c>
      <c r="BI1616" s="355">
        <v>0.110988</v>
      </c>
      <c r="BJ1616" s="624">
        <v>40515</v>
      </c>
      <c r="BK1616" s="355">
        <v>3.3311E-2</v>
      </c>
    </row>
    <row r="1617" spans="3:63" x14ac:dyDescent="0.15">
      <c r="C1617" s="624"/>
      <c r="D1617" s="355">
        <v>3.2329999999999998E-2</v>
      </c>
      <c r="AV1617" s="624"/>
      <c r="AX1617" s="624">
        <v>40522</v>
      </c>
      <c r="AY1617" s="355">
        <v>3.2340000000000001E-2</v>
      </c>
      <c r="AZ1617" s="624">
        <v>40588</v>
      </c>
      <c r="BA1617" s="355">
        <v>1.2999999999999999E-2</v>
      </c>
      <c r="BB1617" s="624">
        <v>40519</v>
      </c>
      <c r="BC1617" s="355">
        <v>0.32950000000000002</v>
      </c>
      <c r="BD1617" s="624">
        <v>40519</v>
      </c>
      <c r="BE1617" s="355">
        <v>8.7929999999999994E-2</v>
      </c>
      <c r="BF1617" s="624">
        <v>40596</v>
      </c>
      <c r="BG1617" s="355">
        <v>2.2089999999999999E-2</v>
      </c>
      <c r="BH1617" s="624">
        <v>40519</v>
      </c>
      <c r="BI1617" s="355">
        <v>0.11108</v>
      </c>
      <c r="BJ1617" s="624">
        <v>40518</v>
      </c>
      <c r="BK1617" s="355">
        <v>3.3302999999999999E-2</v>
      </c>
    </row>
    <row r="1618" spans="3:63" x14ac:dyDescent="0.15">
      <c r="C1618" s="624"/>
      <c r="D1618" s="355">
        <v>3.2340000000000001E-2</v>
      </c>
      <c r="AV1618" s="624"/>
      <c r="AX1618" s="624">
        <v>40525</v>
      </c>
      <c r="AY1618" s="355">
        <v>3.2539999999999999E-2</v>
      </c>
      <c r="AZ1618" s="624">
        <v>40589</v>
      </c>
      <c r="BA1618" s="355">
        <v>1.2999999999999999E-2</v>
      </c>
      <c r="BB1618" s="624">
        <v>40520</v>
      </c>
      <c r="BC1618" s="355">
        <v>0.32919999999999999</v>
      </c>
      <c r="BD1618" s="624">
        <v>40520</v>
      </c>
      <c r="BE1618" s="355">
        <v>8.7559999999999999E-2</v>
      </c>
      <c r="BF1618" s="624">
        <v>40597</v>
      </c>
      <c r="BG1618" s="355">
        <v>2.2155999999999999E-2</v>
      </c>
      <c r="BH1618" s="624">
        <v>40520</v>
      </c>
      <c r="BI1618" s="355">
        <v>0.11086500000000001</v>
      </c>
      <c r="BJ1618" s="624">
        <v>40519</v>
      </c>
      <c r="BK1618" s="355">
        <v>3.3300000000000003E-2</v>
      </c>
    </row>
    <row r="1619" spans="3:63" x14ac:dyDescent="0.15">
      <c r="C1619" s="624"/>
      <c r="D1619" s="355">
        <v>3.2539999999999999E-2</v>
      </c>
      <c r="AV1619" s="624"/>
      <c r="AX1619" s="624">
        <v>40526</v>
      </c>
      <c r="AY1619" s="355">
        <v>3.261E-2</v>
      </c>
      <c r="AZ1619" s="624">
        <v>40590</v>
      </c>
      <c r="BA1619" s="355">
        <v>1.3100000000000001E-2</v>
      </c>
      <c r="BB1619" s="624">
        <v>40521</v>
      </c>
      <c r="BC1619" s="355">
        <v>0.32819999999999999</v>
      </c>
      <c r="BD1619" s="624">
        <v>40521</v>
      </c>
      <c r="BE1619" s="355">
        <v>8.8039999999999993E-2</v>
      </c>
      <c r="BF1619" s="624">
        <v>40598</v>
      </c>
      <c r="BG1619" s="355">
        <v>2.1991E-2</v>
      </c>
      <c r="BH1619" s="624">
        <v>40521</v>
      </c>
      <c r="BI1619" s="355">
        <v>0.110954</v>
      </c>
      <c r="BJ1619" s="624">
        <v>40520</v>
      </c>
      <c r="BK1619" s="355">
        <v>3.3191999999999999E-2</v>
      </c>
    </row>
    <row r="1620" spans="3:63" x14ac:dyDescent="0.15">
      <c r="C1620" s="624"/>
      <c r="D1620" s="355">
        <v>3.261E-2</v>
      </c>
      <c r="AV1620" s="624"/>
      <c r="AX1620" s="624">
        <v>40527</v>
      </c>
      <c r="AY1620" s="355">
        <v>3.2469999999999999E-2</v>
      </c>
      <c r="AZ1620" s="624">
        <v>40591</v>
      </c>
      <c r="BA1620" s="355">
        <v>1.32E-2</v>
      </c>
      <c r="BB1620" s="624">
        <v>40522</v>
      </c>
      <c r="BC1620" s="355">
        <v>0.32829999999999998</v>
      </c>
      <c r="BD1620" s="624">
        <v>40522</v>
      </c>
      <c r="BE1620" s="355">
        <v>8.7690000000000004E-2</v>
      </c>
      <c r="BF1620" s="624">
        <v>40599</v>
      </c>
      <c r="BG1620" s="355">
        <v>2.2065000000000001E-2</v>
      </c>
      <c r="BH1620" s="624">
        <v>40522</v>
      </c>
      <c r="BI1620" s="355">
        <v>0.11097600000000001</v>
      </c>
      <c r="BJ1620" s="624">
        <v>40521</v>
      </c>
      <c r="BK1620" s="355">
        <v>3.3238999999999998E-2</v>
      </c>
    </row>
    <row r="1621" spans="3:63" x14ac:dyDescent="0.15">
      <c r="C1621" s="624"/>
      <c r="D1621" s="355">
        <v>3.2469999999999999E-2</v>
      </c>
      <c r="AV1621" s="624"/>
      <c r="AX1621" s="624">
        <v>40528</v>
      </c>
      <c r="AY1621" s="355">
        <v>3.2539999999999999E-2</v>
      </c>
      <c r="AZ1621" s="624">
        <v>40592</v>
      </c>
      <c r="BA1621" s="355">
        <v>1.3299999999999999E-2</v>
      </c>
      <c r="BB1621" s="624">
        <v>40525</v>
      </c>
      <c r="BC1621" s="355">
        <v>0.3352</v>
      </c>
      <c r="BD1621" s="624">
        <v>40525</v>
      </c>
      <c r="BE1621" s="355">
        <v>8.7779999999999997E-2</v>
      </c>
      <c r="BF1621" s="624">
        <v>40602</v>
      </c>
      <c r="BG1621" s="355">
        <v>2.2089000000000001E-2</v>
      </c>
      <c r="BH1621" s="624">
        <v>40525</v>
      </c>
      <c r="BI1621" s="355">
        <v>0.11106199999999999</v>
      </c>
      <c r="BJ1621" s="624">
        <v>40522</v>
      </c>
      <c r="BK1621" s="355">
        <v>3.3244999999999997E-2</v>
      </c>
    </row>
    <row r="1622" spans="3:63" x14ac:dyDescent="0.15">
      <c r="C1622" s="624"/>
      <c r="D1622" s="355">
        <v>3.2539999999999999E-2</v>
      </c>
      <c r="AV1622" s="624"/>
      <c r="AX1622" s="624">
        <v>40529</v>
      </c>
      <c r="AY1622" s="355">
        <v>3.2500000000000001E-2</v>
      </c>
      <c r="AZ1622" s="624">
        <v>40595</v>
      </c>
      <c r="BA1622" s="355">
        <v>1.3299999999999999E-2</v>
      </c>
      <c r="BB1622" s="624">
        <v>40526</v>
      </c>
      <c r="BC1622" s="355">
        <v>0.33539999999999998</v>
      </c>
      <c r="BD1622" s="624">
        <v>40526</v>
      </c>
      <c r="BE1622" s="355">
        <v>8.7550000000000003E-2</v>
      </c>
      <c r="BF1622" s="624">
        <v>40603</v>
      </c>
      <c r="BG1622" s="355">
        <v>2.2246999999999999E-2</v>
      </c>
      <c r="BH1622" s="624">
        <v>40526</v>
      </c>
      <c r="BI1622" s="355">
        <v>0.111003</v>
      </c>
      <c r="BJ1622" s="624">
        <v>40525</v>
      </c>
      <c r="BK1622" s="355">
        <v>3.3300000000000003E-2</v>
      </c>
    </row>
    <row r="1623" spans="3:63" x14ac:dyDescent="0.15">
      <c r="C1623" s="624"/>
      <c r="D1623" s="355">
        <v>3.2500000000000001E-2</v>
      </c>
      <c r="AV1623" s="624"/>
      <c r="AX1623" s="624">
        <v>40532</v>
      </c>
      <c r="AY1623" s="355">
        <v>3.2460000000000003E-2</v>
      </c>
      <c r="AZ1623" s="624">
        <v>40596</v>
      </c>
      <c r="BA1623" s="355">
        <v>1.3299999999999999E-2</v>
      </c>
      <c r="BB1623" s="624">
        <v>40527</v>
      </c>
      <c r="BC1623" s="355">
        <v>0.33090000000000003</v>
      </c>
      <c r="BD1623" s="624">
        <v>40527</v>
      </c>
      <c r="BE1623" s="355">
        <v>8.6040000000000005E-2</v>
      </c>
      <c r="BF1623" s="624">
        <v>40605</v>
      </c>
      <c r="BG1623" s="355">
        <v>2.2199E-2</v>
      </c>
      <c r="BH1623" s="624">
        <v>40527</v>
      </c>
      <c r="BI1623" s="355">
        <v>0.110834</v>
      </c>
      <c r="BJ1623" s="624">
        <v>40526</v>
      </c>
      <c r="BK1623" s="355">
        <v>3.3288999999999999E-2</v>
      </c>
    </row>
    <row r="1624" spans="3:63" x14ac:dyDescent="0.15">
      <c r="C1624" s="624"/>
      <c r="D1624" s="355">
        <v>3.2460000000000003E-2</v>
      </c>
      <c r="AV1624" s="624"/>
      <c r="AX1624" s="624">
        <v>40533</v>
      </c>
      <c r="AY1624" s="355">
        <v>3.2480000000000002E-2</v>
      </c>
      <c r="AZ1624" s="624">
        <v>40597</v>
      </c>
      <c r="BA1624" s="355">
        <v>1.3299999999999999E-2</v>
      </c>
      <c r="BB1624" s="624">
        <v>40528</v>
      </c>
      <c r="BC1624" s="355">
        <v>0.3322</v>
      </c>
      <c r="BD1624" s="624">
        <v>40528</v>
      </c>
      <c r="BE1624" s="355">
        <v>8.6529999999999996E-2</v>
      </c>
      <c r="BF1624" s="624">
        <v>40606</v>
      </c>
      <c r="BG1624" s="355">
        <v>2.2227E-2</v>
      </c>
      <c r="BH1624" s="624">
        <v>40528</v>
      </c>
      <c r="BI1624" s="355">
        <v>0.11068699999999999</v>
      </c>
      <c r="BJ1624" s="624">
        <v>40527</v>
      </c>
      <c r="BK1624" s="355">
        <v>3.3228000000000001E-2</v>
      </c>
    </row>
    <row r="1625" spans="3:63" x14ac:dyDescent="0.15">
      <c r="C1625" s="624"/>
      <c r="D1625" s="355">
        <v>3.2480000000000002E-2</v>
      </c>
      <c r="AV1625" s="624"/>
      <c r="AX1625" s="624">
        <v>40534</v>
      </c>
      <c r="AY1625" s="355">
        <v>3.2599999999999997E-2</v>
      </c>
      <c r="AZ1625" s="624">
        <v>40598</v>
      </c>
      <c r="BA1625" s="355">
        <v>1.34E-2</v>
      </c>
      <c r="BB1625" s="624">
        <v>40529</v>
      </c>
      <c r="BC1625" s="355">
        <v>0.33100000000000002</v>
      </c>
      <c r="BD1625" s="624">
        <v>40529</v>
      </c>
      <c r="BE1625" s="355">
        <v>8.6069999999999994E-2</v>
      </c>
      <c r="BF1625" s="624">
        <v>40609</v>
      </c>
      <c r="BG1625" s="355">
        <v>2.2196E-2</v>
      </c>
      <c r="BH1625" s="624">
        <v>40529</v>
      </c>
      <c r="BI1625" s="355">
        <v>0.11068699999999999</v>
      </c>
      <c r="BJ1625" s="624">
        <v>40528</v>
      </c>
      <c r="BK1625" s="355">
        <v>3.3179E-2</v>
      </c>
    </row>
    <row r="1626" spans="3:63" x14ac:dyDescent="0.15">
      <c r="C1626" s="624"/>
      <c r="D1626" s="355">
        <v>3.2599999999999997E-2</v>
      </c>
      <c r="AV1626" s="624"/>
      <c r="AX1626" s="624">
        <v>40535</v>
      </c>
      <c r="AY1626" s="355">
        <v>3.2719999999999999E-2</v>
      </c>
      <c r="AZ1626" s="624">
        <v>40599</v>
      </c>
      <c r="BA1626" s="355">
        <v>1.3299999999999999E-2</v>
      </c>
      <c r="BB1626" s="624">
        <v>40532</v>
      </c>
      <c r="BC1626" s="355">
        <v>0.32790000000000002</v>
      </c>
      <c r="BD1626" s="624">
        <v>40532</v>
      </c>
      <c r="BE1626" s="355">
        <v>8.6440000000000003E-2</v>
      </c>
      <c r="BF1626" s="624">
        <v>40610</v>
      </c>
      <c r="BG1626" s="355">
        <v>2.2176999999999999E-2</v>
      </c>
      <c r="BH1626" s="624">
        <v>40532</v>
      </c>
      <c r="BI1626" s="355">
        <v>0.110607</v>
      </c>
      <c r="BJ1626" s="624">
        <v>40529</v>
      </c>
      <c r="BK1626" s="355">
        <v>3.3189999999999997E-2</v>
      </c>
    </row>
    <row r="1627" spans="3:63" x14ac:dyDescent="0.15">
      <c r="C1627" s="624"/>
      <c r="D1627" s="355">
        <v>3.2719999999999999E-2</v>
      </c>
      <c r="AV1627" s="624"/>
      <c r="AX1627" s="624">
        <v>40536</v>
      </c>
      <c r="AY1627" s="355">
        <v>3.2820000000000002E-2</v>
      </c>
      <c r="AZ1627" s="624">
        <v>40602</v>
      </c>
      <c r="BA1627" s="355">
        <v>1.3299999999999999E-2</v>
      </c>
      <c r="BB1627" s="624">
        <v>40533</v>
      </c>
      <c r="BC1627" s="355">
        <v>0.32719999999999999</v>
      </c>
      <c r="BD1627" s="624">
        <v>40533</v>
      </c>
      <c r="BE1627" s="355">
        <v>8.6269999999999999E-2</v>
      </c>
      <c r="BF1627" s="624">
        <v>40611</v>
      </c>
      <c r="BG1627" s="355">
        <v>2.2217000000000001E-2</v>
      </c>
      <c r="BH1627" s="624">
        <v>40533</v>
      </c>
      <c r="BI1627" s="355">
        <v>0.11058900000000001</v>
      </c>
      <c r="BJ1627" s="624">
        <v>40532</v>
      </c>
      <c r="BK1627" s="355">
        <v>3.3134999999999998E-2</v>
      </c>
    </row>
    <row r="1628" spans="3:63" x14ac:dyDescent="0.15">
      <c r="C1628" s="624"/>
      <c r="D1628" s="355">
        <v>3.2820000000000002E-2</v>
      </c>
      <c r="AV1628" s="624"/>
      <c r="AX1628" s="624">
        <v>40539</v>
      </c>
      <c r="AY1628" s="355">
        <v>3.2910000000000002E-2</v>
      </c>
      <c r="AZ1628" s="624">
        <v>40603</v>
      </c>
      <c r="BA1628" s="355">
        <v>1.32E-2</v>
      </c>
      <c r="BB1628" s="624">
        <v>40534</v>
      </c>
      <c r="BC1628" s="355">
        <v>0.32840000000000003</v>
      </c>
      <c r="BD1628" s="624">
        <v>40534</v>
      </c>
      <c r="BE1628" s="355">
        <v>8.6900000000000005E-2</v>
      </c>
      <c r="BF1628" s="624">
        <v>40612</v>
      </c>
      <c r="BG1628" s="355">
        <v>2.2131999999999999E-2</v>
      </c>
      <c r="BH1628" s="624">
        <v>40534</v>
      </c>
      <c r="BI1628" s="355">
        <v>0.110626</v>
      </c>
      <c r="BJ1628" s="624">
        <v>40533</v>
      </c>
      <c r="BK1628" s="355">
        <v>3.3151E-2</v>
      </c>
    </row>
    <row r="1629" spans="3:63" x14ac:dyDescent="0.15">
      <c r="C1629" s="624"/>
      <c r="D1629" s="355">
        <v>3.2910000000000002E-2</v>
      </c>
      <c r="AV1629" s="624"/>
      <c r="AX1629" s="624">
        <v>40540</v>
      </c>
      <c r="AY1629" s="355">
        <v>3.2980000000000002E-2</v>
      </c>
      <c r="AZ1629" s="624">
        <v>40604</v>
      </c>
      <c r="BA1629" s="355">
        <v>1.3299999999999999E-2</v>
      </c>
      <c r="BB1629" s="624">
        <v>40535</v>
      </c>
      <c r="BC1629" s="355">
        <v>0.33079999999999998</v>
      </c>
      <c r="BD1629" s="624">
        <v>40535</v>
      </c>
      <c r="BE1629" s="355">
        <v>8.6669999999999997E-2</v>
      </c>
      <c r="BF1629" s="624">
        <v>40613</v>
      </c>
      <c r="BG1629" s="355">
        <v>2.2106000000000001E-2</v>
      </c>
      <c r="BH1629" s="624">
        <v>40535</v>
      </c>
      <c r="BI1629" s="355">
        <v>0.110669</v>
      </c>
      <c r="BJ1629" s="624">
        <v>40534</v>
      </c>
      <c r="BK1629" s="355">
        <v>3.3156999999999999E-2</v>
      </c>
    </row>
    <row r="1630" spans="3:63" x14ac:dyDescent="0.15">
      <c r="C1630" s="624"/>
      <c r="D1630" s="355">
        <v>3.2980000000000002E-2</v>
      </c>
      <c r="AV1630" s="624"/>
      <c r="AX1630" s="624">
        <v>40541</v>
      </c>
      <c r="AY1630" s="355">
        <v>3.2899999999999999E-2</v>
      </c>
      <c r="AZ1630" s="624">
        <v>40605</v>
      </c>
      <c r="BA1630" s="355">
        <v>1.35E-2</v>
      </c>
      <c r="BB1630" s="624">
        <v>40536</v>
      </c>
      <c r="BC1630" s="355">
        <v>0.33069999999999999</v>
      </c>
      <c r="BD1630" s="624">
        <v>40536</v>
      </c>
      <c r="BE1630" s="355">
        <v>8.6900000000000005E-2</v>
      </c>
      <c r="BF1630" s="624">
        <v>40616</v>
      </c>
      <c r="BG1630" s="355">
        <v>2.2168E-2</v>
      </c>
      <c r="BH1630" s="624">
        <v>40536</v>
      </c>
      <c r="BI1630" s="355">
        <v>0.110656</v>
      </c>
      <c r="BJ1630" s="624">
        <v>40535</v>
      </c>
      <c r="BK1630" s="355">
        <v>3.3151E-2</v>
      </c>
    </row>
    <row r="1631" spans="3:63" x14ac:dyDescent="0.15">
      <c r="C1631" s="624"/>
      <c r="D1631" s="355">
        <v>3.2899999999999999E-2</v>
      </c>
      <c r="AV1631" s="624"/>
      <c r="AX1631" s="624">
        <v>40542</v>
      </c>
      <c r="AY1631" s="355">
        <v>3.2739999999999998E-2</v>
      </c>
      <c r="AZ1631" s="624">
        <v>40606</v>
      </c>
      <c r="BA1631" s="355">
        <v>1.35E-2</v>
      </c>
      <c r="BB1631" s="624">
        <v>40539</v>
      </c>
      <c r="BC1631" s="355">
        <v>0.33069999999999999</v>
      </c>
      <c r="BD1631" s="624">
        <v>40539</v>
      </c>
      <c r="BE1631" s="355">
        <v>8.6929999999999993E-2</v>
      </c>
      <c r="BF1631" s="624">
        <v>40617</v>
      </c>
      <c r="BG1631" s="355">
        <v>2.2098E-2</v>
      </c>
      <c r="BH1631" s="624">
        <v>40539</v>
      </c>
      <c r="BI1631" s="355">
        <v>0.110662</v>
      </c>
      <c r="BJ1631" s="624">
        <v>40536</v>
      </c>
      <c r="BK1631" s="355">
        <v>3.3124000000000001E-2</v>
      </c>
    </row>
    <row r="1632" spans="3:63" x14ac:dyDescent="0.15">
      <c r="C1632" s="624"/>
      <c r="D1632" s="355">
        <v>3.2739999999999998E-2</v>
      </c>
      <c r="AV1632" s="624"/>
      <c r="AX1632" s="624">
        <v>40543</v>
      </c>
      <c r="AY1632" s="355">
        <v>3.2770000000000001E-2</v>
      </c>
      <c r="AZ1632" s="624">
        <v>40609</v>
      </c>
      <c r="BA1632" s="355">
        <v>1.35E-2</v>
      </c>
      <c r="BB1632" s="624">
        <v>40540</v>
      </c>
      <c r="BC1632" s="355">
        <v>0.32850000000000001</v>
      </c>
      <c r="BD1632" s="624">
        <v>40540</v>
      </c>
      <c r="BE1632" s="355">
        <v>8.7279999999999996E-2</v>
      </c>
      <c r="BF1632" s="624">
        <v>40618</v>
      </c>
      <c r="BG1632" s="355">
        <v>2.2162999999999999E-2</v>
      </c>
      <c r="BH1632" s="624">
        <v>40540</v>
      </c>
      <c r="BI1632" s="355">
        <v>0.110903</v>
      </c>
      <c r="BJ1632" s="624">
        <v>40539</v>
      </c>
      <c r="BK1632" s="355">
        <v>3.3128999999999999E-2</v>
      </c>
    </row>
    <row r="1633" spans="3:63" x14ac:dyDescent="0.15">
      <c r="C1633" s="624"/>
      <c r="D1633" s="355">
        <v>3.2770000000000001E-2</v>
      </c>
      <c r="AV1633" s="624"/>
      <c r="AX1633" s="624">
        <v>40546</v>
      </c>
      <c r="AY1633" s="355">
        <v>3.2739999999999998E-2</v>
      </c>
      <c r="AZ1633" s="624">
        <v>40610</v>
      </c>
      <c r="BA1633" s="355">
        <v>1.34E-2</v>
      </c>
      <c r="BB1633" s="624">
        <v>40541</v>
      </c>
      <c r="BC1633" s="355">
        <v>0.33329999999999999</v>
      </c>
      <c r="BD1633" s="624">
        <v>40541</v>
      </c>
      <c r="BE1633" s="355">
        <v>8.7499999999999994E-2</v>
      </c>
      <c r="BF1633" s="624">
        <v>40619</v>
      </c>
      <c r="BG1633" s="355">
        <v>2.2128999999999999E-2</v>
      </c>
      <c r="BH1633" s="624">
        <v>40541</v>
      </c>
      <c r="BI1633" s="355">
        <v>0.111281</v>
      </c>
      <c r="BJ1633" s="624">
        <v>40540</v>
      </c>
      <c r="BK1633" s="355">
        <v>3.3134999999999998E-2</v>
      </c>
    </row>
    <row r="1634" spans="3:63" x14ac:dyDescent="0.15">
      <c r="C1634" s="624"/>
      <c r="D1634" s="355">
        <v>3.2739999999999998E-2</v>
      </c>
      <c r="AV1634" s="624"/>
      <c r="AX1634" s="624">
        <v>40547</v>
      </c>
      <c r="AY1634" s="355">
        <v>3.2669999999999998E-2</v>
      </c>
      <c r="AZ1634" s="624">
        <v>40611</v>
      </c>
      <c r="BA1634" s="355">
        <v>1.34E-2</v>
      </c>
      <c r="BB1634" s="624">
        <v>40542</v>
      </c>
      <c r="BC1634" s="355">
        <v>0.33550000000000002</v>
      </c>
      <c r="BD1634" s="624">
        <v>40542</v>
      </c>
      <c r="BE1634" s="355">
        <v>8.8520000000000001E-2</v>
      </c>
      <c r="BF1634" s="624">
        <v>40620</v>
      </c>
      <c r="BG1634" s="355">
        <v>2.2158000000000001E-2</v>
      </c>
      <c r="BH1634" s="624">
        <v>40542</v>
      </c>
      <c r="BI1634" s="355">
        <v>0.11129699999999999</v>
      </c>
      <c r="BJ1634" s="624">
        <v>40541</v>
      </c>
      <c r="BK1634" s="355">
        <v>3.3168000000000003E-2</v>
      </c>
    </row>
    <row r="1635" spans="3:63" x14ac:dyDescent="0.15">
      <c r="C1635" s="624"/>
      <c r="D1635" s="355">
        <v>3.2669999999999998E-2</v>
      </c>
      <c r="AV1635" s="624"/>
      <c r="AX1635" s="624">
        <v>40548</v>
      </c>
      <c r="AY1635" s="355">
        <v>3.2469999999999999E-2</v>
      </c>
      <c r="AZ1635" s="624">
        <v>40612</v>
      </c>
      <c r="BA1635" s="355">
        <v>1.34E-2</v>
      </c>
      <c r="BB1635" s="624">
        <v>40543</v>
      </c>
      <c r="BC1635" s="355">
        <v>0.33760000000000001</v>
      </c>
      <c r="BD1635" s="624">
        <v>40543</v>
      </c>
      <c r="BE1635" s="355">
        <v>8.9010000000000006E-2</v>
      </c>
      <c r="BF1635" s="624">
        <v>40623</v>
      </c>
      <c r="BG1635" s="355">
        <v>2.2218999999999999E-2</v>
      </c>
      <c r="BH1635" s="624">
        <v>40543</v>
      </c>
      <c r="BI1635" s="355">
        <v>0.11101800000000001</v>
      </c>
      <c r="BJ1635" s="624">
        <v>40542</v>
      </c>
      <c r="BK1635" s="355">
        <v>3.3189999999999997E-2</v>
      </c>
    </row>
    <row r="1636" spans="3:63" x14ac:dyDescent="0.15">
      <c r="C1636" s="624"/>
      <c r="D1636" s="355">
        <v>3.2469999999999999E-2</v>
      </c>
      <c r="AV1636" s="624"/>
      <c r="AX1636" s="624">
        <v>40549</v>
      </c>
      <c r="AY1636" s="355">
        <v>3.2669999999999998E-2</v>
      </c>
      <c r="AZ1636" s="624">
        <v>40613</v>
      </c>
      <c r="BA1636" s="355">
        <v>1.35E-2</v>
      </c>
      <c r="BB1636" s="624">
        <v>40546</v>
      </c>
      <c r="BC1636" s="355">
        <v>0.3382</v>
      </c>
      <c r="BD1636" s="624">
        <v>40546</v>
      </c>
      <c r="BE1636" s="355">
        <v>8.8999999999999996E-2</v>
      </c>
      <c r="BF1636" s="624">
        <v>40624</v>
      </c>
      <c r="BG1636" s="355">
        <v>2.2249000000000001E-2</v>
      </c>
      <c r="BH1636" s="624">
        <v>40546</v>
      </c>
      <c r="BI1636" s="355">
        <v>0.11167000000000001</v>
      </c>
      <c r="BJ1636" s="624">
        <v>40543</v>
      </c>
      <c r="BK1636" s="355">
        <v>3.3300000000000003E-2</v>
      </c>
    </row>
    <row r="1637" spans="3:63" x14ac:dyDescent="0.15">
      <c r="C1637" s="624"/>
      <c r="D1637" s="355">
        <v>3.2669999999999998E-2</v>
      </c>
      <c r="AV1637" s="624"/>
      <c r="AX1637" s="624">
        <v>40550</v>
      </c>
      <c r="AY1637" s="355">
        <v>3.2550000000000003E-2</v>
      </c>
      <c r="AZ1637" s="624">
        <v>40616</v>
      </c>
      <c r="BA1637" s="355">
        <v>1.3599999999999999E-2</v>
      </c>
      <c r="BB1637" s="624">
        <v>40547</v>
      </c>
      <c r="BC1637" s="355">
        <v>0.34229999999999999</v>
      </c>
      <c r="BD1637" s="624">
        <v>40547</v>
      </c>
      <c r="BE1637" s="355">
        <v>8.8840000000000002E-2</v>
      </c>
      <c r="BF1637" s="624">
        <v>40625</v>
      </c>
      <c r="BG1637" s="355">
        <v>2.2304000000000001E-2</v>
      </c>
      <c r="BH1637" s="624">
        <v>40547</v>
      </c>
      <c r="BI1637" s="355">
        <v>0.11133999999999999</v>
      </c>
      <c r="BJ1637" s="624">
        <v>40546</v>
      </c>
      <c r="BK1637" s="355">
        <v>3.3244999999999997E-2</v>
      </c>
    </row>
    <row r="1638" spans="3:63" x14ac:dyDescent="0.15">
      <c r="C1638" s="624"/>
      <c r="D1638" s="355">
        <v>3.2550000000000003E-2</v>
      </c>
      <c r="AV1638" s="624"/>
      <c r="AX1638" s="624">
        <v>40553</v>
      </c>
      <c r="AY1638" s="355">
        <v>3.2599999999999997E-2</v>
      </c>
      <c r="AZ1638" s="624">
        <v>40617</v>
      </c>
      <c r="BA1638" s="355">
        <v>1.3599999999999999E-2</v>
      </c>
      <c r="BB1638" s="624">
        <v>40548</v>
      </c>
      <c r="BC1638" s="355">
        <v>0.33979999999999999</v>
      </c>
      <c r="BD1638" s="624">
        <v>40548</v>
      </c>
      <c r="BE1638" s="355">
        <v>8.8950000000000001E-2</v>
      </c>
      <c r="BF1638" s="624">
        <v>40626</v>
      </c>
      <c r="BG1638" s="355">
        <v>2.2348E-2</v>
      </c>
      <c r="BH1638" s="624">
        <v>40548</v>
      </c>
      <c r="BI1638" s="355">
        <v>0.11130900000000001</v>
      </c>
      <c r="BJ1638" s="624">
        <v>40547</v>
      </c>
      <c r="BK1638" s="355">
        <v>3.3228000000000001E-2</v>
      </c>
    </row>
    <row r="1639" spans="3:63" x14ac:dyDescent="0.15">
      <c r="C1639" s="624"/>
      <c r="D1639" s="355">
        <v>3.2599999999999997E-2</v>
      </c>
      <c r="AV1639" s="624"/>
      <c r="AX1639" s="624">
        <v>40554</v>
      </c>
      <c r="AY1639" s="355">
        <v>3.2759999999999997E-2</v>
      </c>
      <c r="AZ1639" s="624">
        <v>40618</v>
      </c>
      <c r="BA1639" s="355">
        <v>1.35E-2</v>
      </c>
      <c r="BB1639" s="624">
        <v>40549</v>
      </c>
      <c r="BC1639" s="355">
        <v>0.33579999999999999</v>
      </c>
      <c r="BD1639" s="624">
        <v>40549</v>
      </c>
      <c r="BE1639" s="355">
        <v>8.8999999999999996E-2</v>
      </c>
      <c r="BF1639" s="624">
        <v>40627</v>
      </c>
      <c r="BG1639" s="355">
        <v>2.2384000000000001E-2</v>
      </c>
      <c r="BH1639" s="624">
        <v>40549</v>
      </c>
      <c r="BI1639" s="355">
        <v>0.11101900000000001</v>
      </c>
      <c r="BJ1639" s="624">
        <v>40548</v>
      </c>
      <c r="BK1639" s="355">
        <v>3.3069000000000001E-2</v>
      </c>
    </row>
    <row r="1640" spans="3:63" x14ac:dyDescent="0.15">
      <c r="C1640" s="624"/>
      <c r="D1640" s="355">
        <v>3.2759999999999997E-2</v>
      </c>
      <c r="AV1640" s="624"/>
      <c r="AX1640" s="624">
        <v>40555</v>
      </c>
      <c r="AY1640" s="355">
        <v>3.322E-2</v>
      </c>
      <c r="AZ1640" s="624">
        <v>40619</v>
      </c>
      <c r="BA1640" s="355">
        <v>1.3599999999999999E-2</v>
      </c>
      <c r="BB1640" s="624">
        <v>40550</v>
      </c>
      <c r="BC1640" s="355">
        <v>0.33210000000000001</v>
      </c>
      <c r="BD1640" s="624">
        <v>40550</v>
      </c>
      <c r="BE1640" s="355">
        <v>8.9109999999999995E-2</v>
      </c>
      <c r="BF1640" s="624">
        <v>40630</v>
      </c>
      <c r="BG1640" s="355">
        <v>2.2301999999999999E-2</v>
      </c>
      <c r="BH1640" s="624">
        <v>40550</v>
      </c>
      <c r="BI1640" s="355">
        <v>0.110849</v>
      </c>
      <c r="BJ1640" s="624">
        <v>40549</v>
      </c>
      <c r="BK1640" s="355">
        <v>3.3057999999999997E-2</v>
      </c>
    </row>
    <row r="1641" spans="3:63" x14ac:dyDescent="0.15">
      <c r="C1641" s="624"/>
      <c r="D1641" s="355">
        <v>3.322E-2</v>
      </c>
      <c r="AV1641" s="624"/>
      <c r="AX1641" s="624">
        <v>40556</v>
      </c>
      <c r="AY1641" s="355">
        <v>3.3399999999999999E-2</v>
      </c>
      <c r="AZ1641" s="624">
        <v>40620</v>
      </c>
      <c r="BA1641" s="355">
        <v>1.38E-2</v>
      </c>
      <c r="BB1641" s="624">
        <v>40553</v>
      </c>
      <c r="BC1641" s="355">
        <v>0.33160000000000001</v>
      </c>
      <c r="BD1641" s="624">
        <v>40553</v>
      </c>
      <c r="BE1641" s="355">
        <v>8.8760000000000006E-2</v>
      </c>
      <c r="BF1641" s="624">
        <v>40631</v>
      </c>
      <c r="BG1641" s="355">
        <v>2.2332999999999999E-2</v>
      </c>
      <c r="BH1641" s="624">
        <v>40553</v>
      </c>
      <c r="BI1641" s="355">
        <v>0.110461</v>
      </c>
      <c r="BJ1641" s="624">
        <v>40550</v>
      </c>
      <c r="BK1641" s="355">
        <v>3.2916000000000001E-2</v>
      </c>
    </row>
    <row r="1642" spans="3:63" x14ac:dyDescent="0.15">
      <c r="C1642" s="624"/>
      <c r="D1642" s="355">
        <v>3.3399999999999999E-2</v>
      </c>
      <c r="AV1642" s="624"/>
      <c r="AX1642" s="624">
        <v>40557</v>
      </c>
      <c r="AY1642" s="355">
        <v>3.3360000000000001E-2</v>
      </c>
      <c r="AZ1642" s="624">
        <v>40623</v>
      </c>
      <c r="BA1642" s="355">
        <v>1.38E-2</v>
      </c>
      <c r="BB1642" s="624">
        <v>40554</v>
      </c>
      <c r="BC1642" s="355">
        <v>0.33629999999999999</v>
      </c>
      <c r="BD1642" s="624">
        <v>40554</v>
      </c>
      <c r="BE1642" s="355">
        <v>8.9010000000000006E-2</v>
      </c>
      <c r="BF1642" s="624">
        <v>40632</v>
      </c>
      <c r="BG1642" s="355">
        <v>2.2345E-2</v>
      </c>
      <c r="BH1642" s="624">
        <v>40554</v>
      </c>
      <c r="BI1642" s="355">
        <v>0.110571</v>
      </c>
      <c r="BJ1642" s="624">
        <v>40553</v>
      </c>
      <c r="BK1642" s="355">
        <v>3.2605000000000002E-2</v>
      </c>
    </row>
    <row r="1643" spans="3:63" x14ac:dyDescent="0.15">
      <c r="C1643" s="624"/>
      <c r="D1643" s="355">
        <v>3.3360000000000001E-2</v>
      </c>
      <c r="AV1643" s="624"/>
      <c r="AX1643" s="624">
        <v>40560</v>
      </c>
      <c r="AY1643" s="355">
        <v>3.3360000000000001E-2</v>
      </c>
      <c r="AZ1643" s="624">
        <v>40624</v>
      </c>
      <c r="BA1643" s="355">
        <v>1.37E-2</v>
      </c>
      <c r="BB1643" s="624">
        <v>40555</v>
      </c>
      <c r="BC1643" s="355">
        <v>0.34200000000000003</v>
      </c>
      <c r="BD1643" s="624">
        <v>40555</v>
      </c>
      <c r="BE1643" s="355">
        <v>8.9849999999999999E-2</v>
      </c>
      <c r="BF1643" s="624">
        <v>40633</v>
      </c>
      <c r="BG1643" s="355">
        <v>2.2428E-2</v>
      </c>
      <c r="BH1643" s="624">
        <v>40555</v>
      </c>
      <c r="BI1643" s="355">
        <v>0.110681</v>
      </c>
      <c r="BJ1643" s="624">
        <v>40554</v>
      </c>
      <c r="BK1643" s="355">
        <v>3.2732999999999998E-2</v>
      </c>
    </row>
    <row r="1644" spans="3:63" x14ac:dyDescent="0.15">
      <c r="C1644" s="624"/>
      <c r="D1644" s="355">
        <v>3.3360000000000001E-2</v>
      </c>
      <c r="AV1644" s="624"/>
      <c r="AX1644" s="624">
        <v>40561</v>
      </c>
      <c r="AY1644" s="355">
        <v>3.3439999999999998E-2</v>
      </c>
      <c r="AZ1644" s="624">
        <v>40625</v>
      </c>
      <c r="BA1644" s="355">
        <v>1.3599999999999999E-2</v>
      </c>
      <c r="BB1644" s="624">
        <v>40556</v>
      </c>
      <c r="BC1644" s="355">
        <v>0.34520000000000001</v>
      </c>
      <c r="BD1644" s="624">
        <v>40556</v>
      </c>
      <c r="BE1644" s="355">
        <v>8.992E-2</v>
      </c>
      <c r="BF1644" s="624">
        <v>40638</v>
      </c>
      <c r="BG1644" s="355">
        <v>2.2512000000000001E-2</v>
      </c>
      <c r="BH1644" s="624">
        <v>40556</v>
      </c>
      <c r="BI1644" s="355">
        <v>0.110497</v>
      </c>
      <c r="BJ1644" s="624">
        <v>40555</v>
      </c>
      <c r="BK1644" s="355">
        <v>3.2987000000000002E-2</v>
      </c>
    </row>
    <row r="1645" spans="3:63" x14ac:dyDescent="0.15">
      <c r="C1645" s="624"/>
      <c r="D1645" s="355">
        <v>3.3439999999999998E-2</v>
      </c>
      <c r="AV1645" s="624"/>
      <c r="AX1645" s="624">
        <v>40562</v>
      </c>
      <c r="AY1645" s="355">
        <v>3.3520000000000001E-2</v>
      </c>
      <c r="AZ1645" s="624">
        <v>40626</v>
      </c>
      <c r="BA1645" s="355">
        <v>1.37E-2</v>
      </c>
      <c r="BB1645" s="624">
        <v>40557</v>
      </c>
      <c r="BC1645" s="355">
        <v>0.34539999999999998</v>
      </c>
      <c r="BD1645" s="624">
        <v>40557</v>
      </c>
      <c r="BE1645" s="355">
        <v>8.9730000000000004E-2</v>
      </c>
      <c r="BF1645" s="624">
        <v>40639</v>
      </c>
      <c r="BG1645" s="355">
        <v>2.2638999999999999E-2</v>
      </c>
      <c r="BH1645" s="624">
        <v>40557</v>
      </c>
      <c r="BI1645" s="355">
        <v>0.110314</v>
      </c>
      <c r="BJ1645" s="624">
        <v>40556</v>
      </c>
      <c r="BK1645" s="355">
        <v>3.2819000000000001E-2</v>
      </c>
    </row>
    <row r="1646" spans="3:63" x14ac:dyDescent="0.15">
      <c r="C1646" s="624"/>
      <c r="D1646" s="355">
        <v>3.3520000000000001E-2</v>
      </c>
      <c r="AV1646" s="624"/>
      <c r="AX1646" s="624">
        <v>40563</v>
      </c>
      <c r="AY1646" s="355">
        <v>3.3320000000000002E-2</v>
      </c>
      <c r="AZ1646" s="624">
        <v>40627</v>
      </c>
      <c r="BA1646" s="355">
        <v>1.3599999999999999E-2</v>
      </c>
      <c r="BB1646" s="624">
        <v>40560</v>
      </c>
      <c r="BC1646" s="355">
        <v>0.34350000000000003</v>
      </c>
      <c r="BD1646" s="624">
        <v>40560</v>
      </c>
      <c r="BE1646" s="355">
        <v>8.9639999999999997E-2</v>
      </c>
      <c r="BF1646" s="624">
        <v>40640</v>
      </c>
      <c r="BG1646" s="355">
        <v>2.2623999999999998E-2</v>
      </c>
      <c r="BH1646" s="624">
        <v>40560</v>
      </c>
      <c r="BI1646" s="355">
        <v>0.110375</v>
      </c>
      <c r="BJ1646" s="624">
        <v>40557</v>
      </c>
      <c r="BK1646" s="355">
        <v>3.2862000000000002E-2</v>
      </c>
    </row>
    <row r="1647" spans="3:63" x14ac:dyDescent="0.15">
      <c r="C1647" s="624"/>
      <c r="D1647" s="355">
        <v>3.3320000000000002E-2</v>
      </c>
      <c r="AV1647" s="624"/>
      <c r="AX1647" s="624">
        <v>40564</v>
      </c>
      <c r="AY1647" s="355">
        <v>3.3430000000000001E-2</v>
      </c>
      <c r="AZ1647" s="624">
        <v>40630</v>
      </c>
      <c r="BA1647" s="355">
        <v>1.3599999999999999E-2</v>
      </c>
      <c r="BB1647" s="624">
        <v>40561</v>
      </c>
      <c r="BC1647" s="355">
        <v>0.3458</v>
      </c>
      <c r="BD1647" s="624">
        <v>40561</v>
      </c>
      <c r="BE1647" s="355">
        <v>8.9940000000000006E-2</v>
      </c>
      <c r="BF1647" s="624">
        <v>40641</v>
      </c>
      <c r="BG1647" s="355">
        <v>2.2689999999999998E-2</v>
      </c>
      <c r="BH1647" s="624">
        <v>40561</v>
      </c>
      <c r="BI1647" s="355">
        <v>0.11058900000000001</v>
      </c>
      <c r="BJ1647" s="624">
        <v>40560</v>
      </c>
      <c r="BK1647" s="355">
        <v>3.2711999999999998E-2</v>
      </c>
    </row>
    <row r="1648" spans="3:63" x14ac:dyDescent="0.15">
      <c r="C1648" s="624"/>
      <c r="D1648" s="355">
        <v>3.3430000000000001E-2</v>
      </c>
      <c r="AV1648" s="624"/>
      <c r="AX1648" s="624">
        <v>40567</v>
      </c>
      <c r="AY1648" s="355">
        <v>3.3550000000000003E-2</v>
      </c>
      <c r="AZ1648" s="624">
        <v>40631</v>
      </c>
      <c r="BA1648" s="355">
        <v>1.3599999999999999E-2</v>
      </c>
      <c r="BB1648" s="624">
        <v>40562</v>
      </c>
      <c r="BC1648" s="355">
        <v>0.34799999999999998</v>
      </c>
      <c r="BD1648" s="624">
        <v>40562</v>
      </c>
      <c r="BE1648" s="355">
        <v>8.9599999999999999E-2</v>
      </c>
      <c r="BF1648" s="624">
        <v>40644</v>
      </c>
      <c r="BG1648" s="355">
        <v>2.2530000000000001E-2</v>
      </c>
      <c r="BH1648" s="624">
        <v>40562</v>
      </c>
      <c r="BI1648" s="355">
        <v>0.110497</v>
      </c>
      <c r="BJ1648" s="624">
        <v>40561</v>
      </c>
      <c r="BK1648" s="355">
        <v>3.2835999999999997E-2</v>
      </c>
    </row>
    <row r="1649" spans="3:63" x14ac:dyDescent="0.15">
      <c r="C1649" s="624"/>
      <c r="D1649" s="355">
        <v>3.3550000000000003E-2</v>
      </c>
      <c r="AV1649" s="624"/>
      <c r="AX1649" s="624">
        <v>40568</v>
      </c>
      <c r="AY1649" s="355">
        <v>3.3649999999999999E-2</v>
      </c>
      <c r="AZ1649" s="624">
        <v>40632</v>
      </c>
      <c r="BA1649" s="355">
        <v>1.3599999999999999E-2</v>
      </c>
      <c r="BB1649" s="624">
        <v>40563</v>
      </c>
      <c r="BC1649" s="355">
        <v>0.34599999999999997</v>
      </c>
      <c r="BD1649" s="624">
        <v>40563</v>
      </c>
      <c r="BE1649" s="355">
        <v>8.9130000000000001E-2</v>
      </c>
      <c r="BF1649" s="624">
        <v>40646</v>
      </c>
      <c r="BG1649" s="355">
        <v>2.2468999999999999E-2</v>
      </c>
      <c r="BH1649" s="624">
        <v>40563</v>
      </c>
      <c r="BI1649" s="355">
        <v>0.110206</v>
      </c>
      <c r="BJ1649" s="624">
        <v>40562</v>
      </c>
      <c r="BK1649" s="355">
        <v>3.2792000000000002E-2</v>
      </c>
    </row>
    <row r="1650" spans="3:63" x14ac:dyDescent="0.15">
      <c r="C1650" s="624"/>
      <c r="D1650" s="355">
        <v>3.3649999999999999E-2</v>
      </c>
      <c r="AV1650" s="624"/>
      <c r="AX1650" s="624">
        <v>40569</v>
      </c>
      <c r="AY1650" s="355">
        <v>3.3689999999999998E-2</v>
      </c>
      <c r="AZ1650" s="624">
        <v>40633</v>
      </c>
      <c r="BA1650" s="355">
        <v>1.37E-2</v>
      </c>
      <c r="BB1650" s="624">
        <v>40564</v>
      </c>
      <c r="BC1650" s="355">
        <v>0.35120000000000001</v>
      </c>
      <c r="BD1650" s="624">
        <v>40564</v>
      </c>
      <c r="BE1650" s="355">
        <v>8.9249999999999996E-2</v>
      </c>
      <c r="BF1650" s="624">
        <v>40648</v>
      </c>
      <c r="BG1650" s="355">
        <v>2.2554999999999999E-2</v>
      </c>
      <c r="BH1650" s="624">
        <v>40564</v>
      </c>
      <c r="BI1650" s="355">
        <v>0.11038100000000001</v>
      </c>
      <c r="BJ1650" s="624">
        <v>40563</v>
      </c>
      <c r="BK1650" s="355">
        <v>3.2668999999999997E-2</v>
      </c>
    </row>
    <row r="1651" spans="3:63" x14ac:dyDescent="0.15">
      <c r="C1651" s="624"/>
      <c r="D1651" s="355">
        <v>3.3689999999999998E-2</v>
      </c>
      <c r="AV1651" s="624"/>
      <c r="AX1651" s="624">
        <v>40570</v>
      </c>
      <c r="AY1651" s="355">
        <v>3.3849999999999998E-2</v>
      </c>
      <c r="AZ1651" s="624">
        <v>40634</v>
      </c>
      <c r="BA1651" s="355">
        <v>1.3899999999999999E-2</v>
      </c>
      <c r="BB1651" s="624">
        <v>40567</v>
      </c>
      <c r="BC1651" s="355">
        <v>0.3518</v>
      </c>
      <c r="BD1651" s="624">
        <v>40567</v>
      </c>
      <c r="BE1651" s="355">
        <v>8.9450000000000002E-2</v>
      </c>
      <c r="BF1651" s="624">
        <v>40651</v>
      </c>
      <c r="BG1651" s="355">
        <v>2.2495000000000001E-2</v>
      </c>
      <c r="BH1651" s="624">
        <v>40567</v>
      </c>
      <c r="BI1651" s="355">
        <v>0.11043600000000001</v>
      </c>
      <c r="BJ1651" s="624">
        <v>40564</v>
      </c>
      <c r="BK1651" s="355">
        <v>3.2622999999999999E-2</v>
      </c>
    </row>
    <row r="1652" spans="3:63" x14ac:dyDescent="0.15">
      <c r="C1652" s="624"/>
      <c r="D1652" s="355">
        <v>3.3849999999999998E-2</v>
      </c>
      <c r="AV1652" s="624"/>
      <c r="AX1652" s="624">
        <v>40571</v>
      </c>
      <c r="AY1652" s="355">
        <v>3.356E-2</v>
      </c>
      <c r="AZ1652" s="624">
        <v>40637</v>
      </c>
      <c r="BA1652" s="355">
        <v>1.38E-2</v>
      </c>
      <c r="BB1652" s="624">
        <v>40568</v>
      </c>
      <c r="BC1652" s="355">
        <v>0.35260000000000002</v>
      </c>
      <c r="BD1652" s="624">
        <v>40568</v>
      </c>
      <c r="BE1652" s="355">
        <v>8.9270000000000002E-2</v>
      </c>
      <c r="BF1652" s="624">
        <v>40652</v>
      </c>
      <c r="BG1652" s="355">
        <v>2.2478999999999999E-2</v>
      </c>
      <c r="BH1652" s="624">
        <v>40568</v>
      </c>
      <c r="BI1652" s="355">
        <v>0.110662</v>
      </c>
      <c r="BJ1652" s="624">
        <v>40567</v>
      </c>
      <c r="BK1652" s="355">
        <v>3.2326000000000001E-2</v>
      </c>
    </row>
    <row r="1653" spans="3:63" x14ac:dyDescent="0.15">
      <c r="C1653" s="624"/>
      <c r="D1653" s="355">
        <v>3.356E-2</v>
      </c>
      <c r="AV1653" s="624"/>
      <c r="AX1653" s="624">
        <v>40574</v>
      </c>
      <c r="AY1653" s="355">
        <v>3.3570000000000003E-2</v>
      </c>
      <c r="AZ1653" s="624">
        <v>40638</v>
      </c>
      <c r="BA1653" s="355">
        <v>1.3899999999999999E-2</v>
      </c>
      <c r="BB1653" s="624">
        <v>40569</v>
      </c>
      <c r="BC1653" s="355">
        <v>0.35320000000000001</v>
      </c>
      <c r="BD1653" s="624">
        <v>40569</v>
      </c>
      <c r="BE1653" s="355">
        <v>8.9649999999999994E-2</v>
      </c>
      <c r="BF1653" s="624">
        <v>40653</v>
      </c>
      <c r="BG1653" s="355">
        <v>2.2558000000000002E-2</v>
      </c>
      <c r="BH1653" s="624">
        <v>40569</v>
      </c>
      <c r="BI1653" s="355">
        <v>0.11078499999999999</v>
      </c>
      <c r="BJ1653" s="624">
        <v>40568</v>
      </c>
      <c r="BK1653" s="355">
        <v>3.2300000000000002E-2</v>
      </c>
    </row>
    <row r="1654" spans="3:63" x14ac:dyDescent="0.15">
      <c r="C1654" s="624"/>
      <c r="D1654" s="355">
        <v>3.3570000000000003E-2</v>
      </c>
      <c r="AV1654" s="624"/>
      <c r="AX1654" s="624">
        <v>40575</v>
      </c>
      <c r="AY1654" s="355">
        <v>3.39E-2</v>
      </c>
      <c r="AZ1654" s="624">
        <v>40639</v>
      </c>
      <c r="BA1654" s="355">
        <v>1.4E-2</v>
      </c>
      <c r="BB1654" s="624">
        <v>40570</v>
      </c>
      <c r="BC1654" s="355">
        <v>0.35149999999999998</v>
      </c>
      <c r="BD1654" s="624">
        <v>40570</v>
      </c>
      <c r="BE1654" s="355">
        <v>8.9880000000000002E-2</v>
      </c>
      <c r="BF1654" s="624">
        <v>40654</v>
      </c>
      <c r="BG1654" s="355">
        <v>2.2540000000000001E-2</v>
      </c>
      <c r="BH1654" s="624">
        <v>40570</v>
      </c>
      <c r="BI1654" s="355">
        <v>0.110822</v>
      </c>
      <c r="BJ1654" s="624">
        <v>40569</v>
      </c>
      <c r="BK1654" s="355">
        <v>3.2499E-2</v>
      </c>
    </row>
    <row r="1655" spans="3:63" x14ac:dyDescent="0.15">
      <c r="C1655" s="624"/>
      <c r="D1655" s="355">
        <v>3.39E-2</v>
      </c>
      <c r="AV1655" s="624"/>
      <c r="AX1655" s="624">
        <v>40576</v>
      </c>
      <c r="AY1655" s="355">
        <v>3.397E-2</v>
      </c>
      <c r="AZ1655" s="624">
        <v>40640</v>
      </c>
      <c r="BA1655" s="355">
        <v>1.4E-2</v>
      </c>
      <c r="BB1655" s="624">
        <v>40571</v>
      </c>
      <c r="BC1655" s="355">
        <v>0.34460000000000002</v>
      </c>
      <c r="BD1655" s="624">
        <v>40571</v>
      </c>
      <c r="BE1655" s="355">
        <v>8.9130000000000001E-2</v>
      </c>
      <c r="BF1655" s="624">
        <v>40658</v>
      </c>
      <c r="BG1655" s="355">
        <v>2.2478000000000001E-2</v>
      </c>
      <c r="BH1655" s="624">
        <v>40571</v>
      </c>
      <c r="BI1655" s="355">
        <v>0.110988</v>
      </c>
      <c r="BJ1655" s="624">
        <v>40570</v>
      </c>
      <c r="BK1655" s="355">
        <v>3.2431000000000001E-2</v>
      </c>
    </row>
    <row r="1656" spans="3:63" x14ac:dyDescent="0.15">
      <c r="C1656" s="624"/>
      <c r="D1656" s="355">
        <v>3.397E-2</v>
      </c>
      <c r="AV1656" s="624"/>
      <c r="AX1656" s="624">
        <v>40577</v>
      </c>
      <c r="AY1656" s="355">
        <v>3.3980000000000003E-2</v>
      </c>
      <c r="AZ1656" s="624">
        <v>40641</v>
      </c>
      <c r="BA1656" s="355">
        <v>1.43E-2</v>
      </c>
      <c r="BB1656" s="624">
        <v>40574</v>
      </c>
      <c r="BC1656" s="355">
        <v>0.34839999999999999</v>
      </c>
      <c r="BD1656" s="624">
        <v>40574</v>
      </c>
      <c r="BE1656" s="355">
        <v>8.9289999999999994E-2</v>
      </c>
      <c r="BF1656" s="624">
        <v>40659</v>
      </c>
      <c r="BG1656" s="355">
        <v>2.2463E-2</v>
      </c>
      <c r="BH1656" s="624">
        <v>40574</v>
      </c>
      <c r="BI1656" s="355">
        <v>0.110522</v>
      </c>
      <c r="BJ1656" s="624">
        <v>40571</v>
      </c>
      <c r="BK1656" s="355">
        <v>3.2231999999999997E-2</v>
      </c>
    </row>
    <row r="1657" spans="3:63" x14ac:dyDescent="0.15">
      <c r="C1657" s="624"/>
      <c r="D1657" s="355">
        <v>3.3980000000000003E-2</v>
      </c>
      <c r="AV1657" s="624"/>
      <c r="AX1657" s="624">
        <v>40578</v>
      </c>
      <c r="AY1657" s="355">
        <v>3.4020000000000002E-2</v>
      </c>
      <c r="AZ1657" s="624">
        <v>40644</v>
      </c>
      <c r="BA1657" s="355">
        <v>1.43E-2</v>
      </c>
      <c r="BB1657" s="624">
        <v>40575</v>
      </c>
      <c r="BC1657" s="355">
        <v>0.35470000000000002</v>
      </c>
      <c r="BD1657" s="624">
        <v>40575</v>
      </c>
      <c r="BE1657" s="355">
        <v>9.0550000000000005E-2</v>
      </c>
      <c r="BF1657" s="624">
        <v>40660</v>
      </c>
      <c r="BG1657" s="355">
        <v>2.2505000000000001E-2</v>
      </c>
      <c r="BH1657" s="624">
        <v>40575</v>
      </c>
      <c r="BI1657" s="355">
        <v>0.11088099999999999</v>
      </c>
      <c r="BJ1657" s="624">
        <v>40574</v>
      </c>
      <c r="BK1657" s="355">
        <v>3.2351999999999999E-2</v>
      </c>
    </row>
    <row r="1658" spans="3:63" x14ac:dyDescent="0.15">
      <c r="C1658" s="624"/>
      <c r="D1658" s="355">
        <v>3.4020000000000002E-2</v>
      </c>
      <c r="AV1658" s="624"/>
      <c r="AX1658" s="624">
        <v>40581</v>
      </c>
      <c r="AY1658" s="355">
        <v>3.4160000000000003E-2</v>
      </c>
      <c r="AZ1658" s="624">
        <v>40645</v>
      </c>
      <c r="BA1658" s="355">
        <v>1.43E-2</v>
      </c>
      <c r="BB1658" s="624">
        <v>40576</v>
      </c>
      <c r="BC1658" s="355">
        <v>0.35360000000000003</v>
      </c>
      <c r="BD1658" s="624">
        <v>40576</v>
      </c>
      <c r="BE1658" s="355">
        <v>9.0630000000000002E-2</v>
      </c>
      <c r="BF1658" s="624">
        <v>40661</v>
      </c>
      <c r="BG1658" s="355">
        <v>2.2506000000000002E-2</v>
      </c>
      <c r="BH1658" s="624">
        <v>40576</v>
      </c>
      <c r="BI1658" s="355">
        <v>0.110859</v>
      </c>
      <c r="BJ1658" s="624">
        <v>40575</v>
      </c>
      <c r="BK1658" s="355">
        <v>3.2414999999999999E-2</v>
      </c>
    </row>
    <row r="1659" spans="3:63" x14ac:dyDescent="0.15">
      <c r="C1659" s="624"/>
      <c r="D1659" s="355">
        <v>3.4160000000000003E-2</v>
      </c>
      <c r="AV1659" s="624"/>
      <c r="AX1659" s="624">
        <v>40582</v>
      </c>
      <c r="AY1659" s="355">
        <v>3.4160000000000003E-2</v>
      </c>
      <c r="AZ1659" s="624">
        <v>40646</v>
      </c>
      <c r="BA1659" s="355">
        <v>1.4200000000000001E-2</v>
      </c>
      <c r="BB1659" s="624">
        <v>40577</v>
      </c>
      <c r="BC1659" s="355">
        <v>0.3493</v>
      </c>
      <c r="BD1659" s="624">
        <v>40577</v>
      </c>
      <c r="BE1659" s="355">
        <v>9.0499999999999997E-2</v>
      </c>
      <c r="BF1659" s="624">
        <v>40662</v>
      </c>
      <c r="BG1659" s="355">
        <v>2.2617000000000002E-2</v>
      </c>
      <c r="BH1659" s="624">
        <v>40577</v>
      </c>
      <c r="BI1659" s="355">
        <v>0.11074199999999999</v>
      </c>
      <c r="BJ1659" s="624">
        <v>40576</v>
      </c>
      <c r="BK1659" s="355">
        <v>3.2414999999999999E-2</v>
      </c>
    </row>
    <row r="1660" spans="3:63" x14ac:dyDescent="0.15">
      <c r="C1660" s="624"/>
      <c r="D1660" s="355">
        <v>3.4160000000000003E-2</v>
      </c>
      <c r="AV1660" s="624"/>
      <c r="AX1660" s="624">
        <v>40583</v>
      </c>
      <c r="AY1660" s="355">
        <v>3.4160000000000003E-2</v>
      </c>
      <c r="AZ1660" s="624">
        <v>40647</v>
      </c>
      <c r="BA1660" s="355">
        <v>1.43E-2</v>
      </c>
      <c r="BB1660" s="624">
        <v>40578</v>
      </c>
      <c r="BC1660" s="355">
        <v>0.34910000000000002</v>
      </c>
      <c r="BD1660" s="624">
        <v>40578</v>
      </c>
      <c r="BE1660" s="355">
        <v>9.0340000000000004E-2</v>
      </c>
      <c r="BF1660" s="624">
        <v>40665</v>
      </c>
      <c r="BG1660" s="355">
        <v>2.2556E-2</v>
      </c>
      <c r="BH1660" s="624">
        <v>40578</v>
      </c>
      <c r="BI1660" s="355">
        <v>0.111607</v>
      </c>
      <c r="BJ1660" s="624">
        <v>40577</v>
      </c>
      <c r="BK1660" s="355">
        <v>3.2367E-2</v>
      </c>
    </row>
    <row r="1661" spans="3:63" x14ac:dyDescent="0.15">
      <c r="C1661" s="624"/>
      <c r="D1661" s="355">
        <v>3.4160000000000003E-2</v>
      </c>
      <c r="AV1661" s="624"/>
      <c r="AX1661" s="624">
        <v>40584</v>
      </c>
      <c r="AY1661" s="355">
        <v>3.4070000000000003E-2</v>
      </c>
      <c r="AZ1661" s="624">
        <v>40648</v>
      </c>
      <c r="BA1661" s="355">
        <v>1.4200000000000001E-2</v>
      </c>
      <c r="BB1661" s="624">
        <v>40581</v>
      </c>
      <c r="BC1661" s="355">
        <v>0.3503</v>
      </c>
      <c r="BD1661" s="624">
        <v>40581</v>
      </c>
      <c r="BE1661" s="355">
        <v>9.0639999999999998E-2</v>
      </c>
      <c r="BF1661" s="624">
        <v>40666</v>
      </c>
      <c r="BG1661" s="355">
        <v>2.2464000000000001E-2</v>
      </c>
      <c r="BH1661" s="624">
        <v>40581</v>
      </c>
      <c r="BI1661" s="355">
        <v>0.11217299999999999</v>
      </c>
      <c r="BJ1661" s="624">
        <v>40578</v>
      </c>
      <c r="BK1661" s="355">
        <v>3.2467999999999997E-2</v>
      </c>
    </row>
    <row r="1662" spans="3:63" x14ac:dyDescent="0.15">
      <c r="C1662" s="624"/>
      <c r="D1662" s="355">
        <v>3.4070000000000003E-2</v>
      </c>
      <c r="AV1662" s="624"/>
      <c r="AX1662" s="624">
        <v>40585</v>
      </c>
      <c r="AY1662" s="355">
        <v>3.4139999999999997E-2</v>
      </c>
      <c r="AZ1662" s="624">
        <v>40651</v>
      </c>
      <c r="BA1662" s="355">
        <v>1.4E-2</v>
      </c>
      <c r="BB1662" s="624">
        <v>40582</v>
      </c>
      <c r="BC1662" s="355">
        <v>0.35020000000000001</v>
      </c>
      <c r="BD1662" s="624">
        <v>40582</v>
      </c>
      <c r="BE1662" s="355">
        <v>9.0789999999999996E-2</v>
      </c>
      <c r="BF1662" s="624">
        <v>40667</v>
      </c>
      <c r="BG1662" s="355">
        <v>2.2487E-2</v>
      </c>
      <c r="BH1662" s="624">
        <v>40582</v>
      </c>
      <c r="BI1662" s="355">
        <v>0.11236</v>
      </c>
      <c r="BJ1662" s="624">
        <v>40581</v>
      </c>
      <c r="BK1662" s="355">
        <v>3.2572999999999998E-2</v>
      </c>
    </row>
    <row r="1663" spans="3:63" x14ac:dyDescent="0.15">
      <c r="C1663" s="624"/>
      <c r="D1663" s="355">
        <v>3.4139999999999997E-2</v>
      </c>
      <c r="AV1663" s="624"/>
      <c r="AX1663" s="624">
        <v>40588</v>
      </c>
      <c r="AY1663" s="355">
        <v>3.4139999999999997E-2</v>
      </c>
      <c r="AZ1663" s="624">
        <v>40652</v>
      </c>
      <c r="BA1663" s="355">
        <v>1.4200000000000001E-2</v>
      </c>
      <c r="BB1663" s="624">
        <v>40583</v>
      </c>
      <c r="BC1663" s="355">
        <v>0.35160000000000002</v>
      </c>
      <c r="BD1663" s="624">
        <v>40583</v>
      </c>
      <c r="BE1663" s="355">
        <v>9.0200000000000002E-2</v>
      </c>
      <c r="BF1663" s="624">
        <v>40668</v>
      </c>
      <c r="BG1663" s="355">
        <v>2.2339000000000001E-2</v>
      </c>
      <c r="BH1663" s="624">
        <v>40583</v>
      </c>
      <c r="BI1663" s="355">
        <v>0.112076</v>
      </c>
      <c r="BJ1663" s="624">
        <v>40582</v>
      </c>
      <c r="BK1663" s="355">
        <v>3.2457E-2</v>
      </c>
    </row>
    <row r="1664" spans="3:63" x14ac:dyDescent="0.15">
      <c r="C1664" s="624"/>
      <c r="D1664" s="355">
        <v>3.4139999999999997E-2</v>
      </c>
      <c r="AV1664" s="624"/>
      <c r="AX1664" s="624">
        <v>40589</v>
      </c>
      <c r="AY1664" s="355">
        <v>3.4090000000000002E-2</v>
      </c>
      <c r="AZ1664" s="624">
        <v>40653</v>
      </c>
      <c r="BA1664" s="355">
        <v>1.43E-2</v>
      </c>
      <c r="BB1664" s="624">
        <v>40584</v>
      </c>
      <c r="BC1664" s="355">
        <v>0.34689999999999999</v>
      </c>
      <c r="BD1664" s="624">
        <v>40584</v>
      </c>
      <c r="BE1664" s="355">
        <v>8.9450000000000002E-2</v>
      </c>
      <c r="BF1664" s="624">
        <v>40669</v>
      </c>
      <c r="BG1664" s="355">
        <v>2.2325000000000001E-2</v>
      </c>
      <c r="BH1664" s="624">
        <v>40584</v>
      </c>
      <c r="BI1664" s="355">
        <v>0.112013</v>
      </c>
      <c r="BJ1664" s="624">
        <v>40583</v>
      </c>
      <c r="BK1664" s="355">
        <v>3.2525999999999999E-2</v>
      </c>
    </row>
    <row r="1665" spans="3:63" x14ac:dyDescent="0.15">
      <c r="C1665" s="624"/>
      <c r="D1665" s="355">
        <v>3.4090000000000002E-2</v>
      </c>
      <c r="AV1665" s="624"/>
      <c r="AX1665" s="624">
        <v>40590</v>
      </c>
      <c r="AY1665" s="355">
        <v>3.4229999999999997E-2</v>
      </c>
      <c r="AZ1665" s="624">
        <v>40654</v>
      </c>
      <c r="BA1665" s="355">
        <v>1.44E-2</v>
      </c>
      <c r="BB1665" s="624">
        <v>40585</v>
      </c>
      <c r="BC1665" s="355">
        <v>0.34589999999999999</v>
      </c>
      <c r="BD1665" s="624">
        <v>40585</v>
      </c>
      <c r="BE1665" s="355">
        <v>8.9349999999999999E-2</v>
      </c>
      <c r="BF1665" s="624">
        <v>40672</v>
      </c>
      <c r="BG1665" s="355">
        <v>2.2363000000000001E-2</v>
      </c>
      <c r="BH1665" s="624">
        <v>40585</v>
      </c>
      <c r="BI1665" s="355">
        <v>0.112023</v>
      </c>
      <c r="BJ1665" s="624">
        <v>40584</v>
      </c>
      <c r="BK1665" s="355">
        <v>3.2446000000000003E-2</v>
      </c>
    </row>
    <row r="1666" spans="3:63" x14ac:dyDescent="0.15">
      <c r="C1666" s="624"/>
      <c r="D1666" s="355">
        <v>3.4229999999999997E-2</v>
      </c>
      <c r="AV1666" s="624"/>
      <c r="AX1666" s="624">
        <v>40591</v>
      </c>
      <c r="AY1666" s="355">
        <v>3.4200000000000001E-2</v>
      </c>
      <c r="AZ1666" s="624">
        <v>40655</v>
      </c>
      <c r="BA1666" s="355">
        <v>1.4500000000000001E-2</v>
      </c>
      <c r="BB1666" s="624">
        <v>40588</v>
      </c>
      <c r="BC1666" s="355">
        <v>0.3417</v>
      </c>
      <c r="BD1666" s="624">
        <v>40588</v>
      </c>
      <c r="BE1666" s="355">
        <v>8.8969999999999994E-2</v>
      </c>
      <c r="BF1666" s="624">
        <v>40673</v>
      </c>
      <c r="BG1666" s="355">
        <v>2.2343999999999999E-2</v>
      </c>
      <c r="BH1666" s="624">
        <v>40588</v>
      </c>
      <c r="BI1666" s="355">
        <v>0.11231099999999999</v>
      </c>
      <c r="BJ1666" s="624">
        <v>40585</v>
      </c>
      <c r="BK1666" s="355">
        <v>3.2530999999999997E-2</v>
      </c>
    </row>
    <row r="1667" spans="3:63" x14ac:dyDescent="0.15">
      <c r="C1667" s="624"/>
      <c r="D1667" s="355">
        <v>3.4200000000000001E-2</v>
      </c>
      <c r="AV1667" s="624"/>
      <c r="AX1667" s="624">
        <v>40592</v>
      </c>
      <c r="AY1667" s="355">
        <v>3.4329999999999999E-2</v>
      </c>
      <c r="AZ1667" s="624">
        <v>40658</v>
      </c>
      <c r="BA1667" s="355">
        <v>1.4500000000000001E-2</v>
      </c>
      <c r="BB1667" s="624">
        <v>40589</v>
      </c>
      <c r="BC1667" s="355">
        <v>0.34329999999999999</v>
      </c>
      <c r="BD1667" s="624">
        <v>40589</v>
      </c>
      <c r="BE1667" s="355">
        <v>8.8950000000000001E-2</v>
      </c>
      <c r="BF1667" s="624">
        <v>40674</v>
      </c>
      <c r="BG1667" s="355">
        <v>2.2373000000000001E-2</v>
      </c>
      <c r="BH1667" s="624">
        <v>40589</v>
      </c>
      <c r="BI1667" s="355">
        <v>0.11217100000000001</v>
      </c>
      <c r="BJ1667" s="624">
        <v>40588</v>
      </c>
      <c r="BK1667" s="355">
        <v>3.2530999999999997E-2</v>
      </c>
    </row>
    <row r="1668" spans="3:63" x14ac:dyDescent="0.15">
      <c r="C1668" s="624"/>
      <c r="D1668" s="355">
        <v>3.4329999999999999E-2</v>
      </c>
      <c r="AV1668" s="624"/>
      <c r="AX1668" s="624">
        <v>40595</v>
      </c>
      <c r="AY1668" s="355">
        <v>3.4299999999999997E-2</v>
      </c>
      <c r="AZ1668" s="624">
        <v>40659</v>
      </c>
      <c r="BA1668" s="355">
        <v>1.4500000000000001E-2</v>
      </c>
      <c r="BB1668" s="624">
        <v>40590</v>
      </c>
      <c r="BC1668" s="355">
        <v>0.34739999999999999</v>
      </c>
      <c r="BD1668" s="624">
        <v>40590</v>
      </c>
      <c r="BE1668" s="355">
        <v>8.9620000000000005E-2</v>
      </c>
      <c r="BF1668" s="624">
        <v>40675</v>
      </c>
      <c r="BG1668" s="355">
        <v>2.2223E-2</v>
      </c>
      <c r="BH1668" s="624">
        <v>40590</v>
      </c>
      <c r="BI1668" s="355">
        <v>0.112568</v>
      </c>
      <c r="BJ1668" s="624">
        <v>40589</v>
      </c>
      <c r="BK1668" s="355">
        <v>3.2551999999999998E-2</v>
      </c>
    </row>
    <row r="1669" spans="3:63" x14ac:dyDescent="0.15">
      <c r="C1669" s="624"/>
      <c r="D1669" s="355">
        <v>3.4299999999999997E-2</v>
      </c>
      <c r="AV1669" s="624"/>
      <c r="AX1669" s="624">
        <v>40596</v>
      </c>
      <c r="AY1669" s="355">
        <v>3.4139999999999997E-2</v>
      </c>
      <c r="AZ1669" s="624">
        <v>40660</v>
      </c>
      <c r="BA1669" s="355">
        <v>1.47E-2</v>
      </c>
      <c r="BB1669" s="624">
        <v>40591</v>
      </c>
      <c r="BC1669" s="355">
        <v>0.34870000000000001</v>
      </c>
      <c r="BD1669" s="624">
        <v>40591</v>
      </c>
      <c r="BE1669" s="355">
        <v>8.9899999999999994E-2</v>
      </c>
      <c r="BF1669" s="624">
        <v>40676</v>
      </c>
      <c r="BG1669" s="355">
        <v>2.2287000000000001E-2</v>
      </c>
      <c r="BH1669" s="624">
        <v>40591</v>
      </c>
      <c r="BI1669" s="355">
        <v>0.11269899999999999</v>
      </c>
      <c r="BJ1669" s="624">
        <v>40590</v>
      </c>
      <c r="BK1669" s="355">
        <v>3.2668999999999997E-2</v>
      </c>
    </row>
    <row r="1670" spans="3:63" x14ac:dyDescent="0.15">
      <c r="C1670" s="624"/>
      <c r="D1670" s="355">
        <v>3.4139999999999997E-2</v>
      </c>
      <c r="AV1670" s="624"/>
      <c r="AX1670" s="624">
        <v>40597</v>
      </c>
      <c r="AY1670" s="355">
        <v>3.4270000000000002E-2</v>
      </c>
      <c r="AZ1670" s="624">
        <v>40661</v>
      </c>
      <c r="BA1670" s="355">
        <v>1.49E-2</v>
      </c>
      <c r="BB1670" s="624">
        <v>40592</v>
      </c>
      <c r="BC1670" s="355">
        <v>0.34939999999999999</v>
      </c>
      <c r="BD1670" s="624">
        <v>40592</v>
      </c>
      <c r="BE1670" s="355">
        <v>8.9859999999999995E-2</v>
      </c>
      <c r="BF1670" s="624">
        <v>40679</v>
      </c>
      <c r="BG1670" s="355">
        <v>2.2145000000000001E-2</v>
      </c>
      <c r="BH1670" s="624">
        <v>40592</v>
      </c>
      <c r="BI1670" s="355">
        <v>0.11294700000000001</v>
      </c>
      <c r="BJ1670" s="624">
        <v>40591</v>
      </c>
      <c r="BK1670" s="355">
        <v>3.2663999999999999E-2</v>
      </c>
    </row>
    <row r="1671" spans="3:63" x14ac:dyDescent="0.15">
      <c r="C1671" s="624"/>
      <c r="D1671" s="355">
        <v>3.4270000000000002E-2</v>
      </c>
      <c r="AV1671" s="624"/>
      <c r="AX1671" s="624">
        <v>40598</v>
      </c>
      <c r="AY1671" s="355">
        <v>3.456E-2</v>
      </c>
      <c r="AZ1671" s="624">
        <v>40662</v>
      </c>
      <c r="BA1671" s="355">
        <v>1.4999999999999999E-2</v>
      </c>
      <c r="BB1671" s="624">
        <v>40595</v>
      </c>
      <c r="BC1671" s="355">
        <v>0.34689999999999999</v>
      </c>
      <c r="BD1671" s="624">
        <v>40595</v>
      </c>
      <c r="BE1671" s="355">
        <v>8.9319999999999997E-2</v>
      </c>
      <c r="BF1671" s="624">
        <v>40681</v>
      </c>
      <c r="BG1671" s="355">
        <v>2.2194999999999999E-2</v>
      </c>
      <c r="BH1671" s="624">
        <v>40595</v>
      </c>
      <c r="BI1671" s="355">
        <v>0.113068</v>
      </c>
      <c r="BJ1671" s="624">
        <v>40592</v>
      </c>
      <c r="BK1671" s="355">
        <v>3.2744000000000002E-2</v>
      </c>
    </row>
    <row r="1672" spans="3:63" x14ac:dyDescent="0.15">
      <c r="C1672" s="624"/>
      <c r="D1672" s="355">
        <v>3.456E-2</v>
      </c>
      <c r="AV1672" s="624"/>
      <c r="AX1672" s="624">
        <v>40599</v>
      </c>
      <c r="AY1672" s="355">
        <v>3.4599999999999999E-2</v>
      </c>
      <c r="AZ1672" s="624">
        <v>40665</v>
      </c>
      <c r="BA1672" s="355">
        <v>1.49E-2</v>
      </c>
      <c r="BB1672" s="624">
        <v>40596</v>
      </c>
      <c r="BC1672" s="355">
        <v>0.34339999999999998</v>
      </c>
      <c r="BD1672" s="624">
        <v>40596</v>
      </c>
      <c r="BE1672" s="355">
        <v>8.8389999999999996E-2</v>
      </c>
      <c r="BF1672" s="624">
        <v>40682</v>
      </c>
      <c r="BG1672" s="355">
        <v>2.2231999999999998E-2</v>
      </c>
      <c r="BH1672" s="624">
        <v>40596</v>
      </c>
      <c r="BI1672" s="355">
        <v>0.112765</v>
      </c>
      <c r="BJ1672" s="624">
        <v>40595</v>
      </c>
      <c r="BK1672" s="355">
        <v>3.2754999999999999E-2</v>
      </c>
    </row>
    <row r="1673" spans="3:63" x14ac:dyDescent="0.15">
      <c r="C1673" s="624"/>
      <c r="D1673" s="355">
        <v>3.4599999999999999E-2</v>
      </c>
      <c r="AV1673" s="624"/>
      <c r="AX1673" s="624">
        <v>40602</v>
      </c>
      <c r="AY1673" s="355">
        <v>3.4639999999999997E-2</v>
      </c>
      <c r="AZ1673" s="624">
        <v>40666</v>
      </c>
      <c r="BA1673" s="355">
        <v>1.49E-2</v>
      </c>
      <c r="BB1673" s="624">
        <v>40597</v>
      </c>
      <c r="BC1673" s="355">
        <v>0.34570000000000001</v>
      </c>
      <c r="BD1673" s="624">
        <v>40597</v>
      </c>
      <c r="BE1673" s="355">
        <v>8.8459999999999997E-2</v>
      </c>
      <c r="BF1673" s="624">
        <v>40683</v>
      </c>
      <c r="BG1673" s="355">
        <v>2.2217000000000001E-2</v>
      </c>
      <c r="BH1673" s="624">
        <v>40597</v>
      </c>
      <c r="BI1673" s="355">
        <v>0.112803</v>
      </c>
      <c r="BJ1673" s="624">
        <v>40596</v>
      </c>
      <c r="BK1673" s="355">
        <v>3.2658E-2</v>
      </c>
    </row>
    <row r="1674" spans="3:63" x14ac:dyDescent="0.15">
      <c r="C1674" s="624"/>
      <c r="D1674" s="355">
        <v>3.4639999999999997E-2</v>
      </c>
      <c r="AV1674" s="624"/>
      <c r="AX1674" s="624">
        <v>40603</v>
      </c>
      <c r="AY1674" s="355">
        <v>3.4790000000000001E-2</v>
      </c>
      <c r="AZ1674" s="624">
        <v>40667</v>
      </c>
      <c r="BA1674" s="355">
        <v>1.4999999999999999E-2</v>
      </c>
      <c r="BB1674" s="624">
        <v>40598</v>
      </c>
      <c r="BC1674" s="355">
        <v>0.34670000000000001</v>
      </c>
      <c r="BD1674" s="624">
        <v>40598</v>
      </c>
      <c r="BE1674" s="355">
        <v>8.8590000000000002E-2</v>
      </c>
      <c r="BF1674" s="624">
        <v>40686</v>
      </c>
      <c r="BG1674" s="355">
        <v>2.2103000000000001E-2</v>
      </c>
      <c r="BH1674" s="624">
        <v>40598</v>
      </c>
      <c r="BI1674" s="355">
        <v>0.11305800000000001</v>
      </c>
      <c r="BJ1674" s="624">
        <v>40597</v>
      </c>
      <c r="BK1674" s="355">
        <v>3.2653000000000001E-2</v>
      </c>
    </row>
    <row r="1675" spans="3:63" x14ac:dyDescent="0.15">
      <c r="C1675" s="624"/>
      <c r="D1675" s="355">
        <v>3.4790000000000001E-2</v>
      </c>
      <c r="AV1675" s="624"/>
      <c r="AX1675" s="624">
        <v>40604</v>
      </c>
      <c r="AY1675" s="355">
        <v>3.5220000000000001E-2</v>
      </c>
      <c r="AZ1675" s="624">
        <v>40668</v>
      </c>
      <c r="BA1675" s="355">
        <v>1.46E-2</v>
      </c>
      <c r="BB1675" s="624">
        <v>40599</v>
      </c>
      <c r="BC1675" s="355">
        <v>0.34539999999999998</v>
      </c>
      <c r="BD1675" s="624">
        <v>40599</v>
      </c>
      <c r="BE1675" s="355">
        <v>8.8959999999999997E-2</v>
      </c>
      <c r="BF1675" s="624">
        <v>40687</v>
      </c>
      <c r="BG1675" s="355">
        <v>2.2119E-2</v>
      </c>
      <c r="BH1675" s="624">
        <v>40599</v>
      </c>
      <c r="BI1675" s="355">
        <v>0.11333699999999999</v>
      </c>
      <c r="BJ1675" s="624">
        <v>40598</v>
      </c>
      <c r="BK1675" s="355">
        <v>3.2668999999999997E-2</v>
      </c>
    </row>
    <row r="1676" spans="3:63" x14ac:dyDescent="0.15">
      <c r="C1676" s="624"/>
      <c r="D1676" s="355">
        <v>3.5220000000000001E-2</v>
      </c>
      <c r="AV1676" s="624"/>
      <c r="AX1676" s="624">
        <v>40605</v>
      </c>
      <c r="AY1676" s="355">
        <v>3.5499999999999997E-2</v>
      </c>
      <c r="AZ1676" s="624">
        <v>40669</v>
      </c>
      <c r="BA1676" s="355">
        <v>1.44E-2</v>
      </c>
      <c r="BB1676" s="624">
        <v>40602</v>
      </c>
      <c r="BC1676" s="355">
        <v>0.34889999999999999</v>
      </c>
      <c r="BD1676" s="624">
        <v>40602</v>
      </c>
      <c r="BE1676" s="355">
        <v>8.8859999999999995E-2</v>
      </c>
      <c r="BF1676" s="624">
        <v>40688</v>
      </c>
      <c r="BG1676" s="355">
        <v>2.2058999999999999E-2</v>
      </c>
      <c r="BH1676" s="624">
        <v>40602</v>
      </c>
      <c r="BI1676" s="355">
        <v>0.113401</v>
      </c>
      <c r="BJ1676" s="624">
        <v>40599</v>
      </c>
      <c r="BK1676" s="355">
        <v>3.2658E-2</v>
      </c>
    </row>
    <row r="1677" spans="3:63" x14ac:dyDescent="0.15">
      <c r="C1677" s="624"/>
      <c r="D1677" s="355">
        <v>3.5499999999999997E-2</v>
      </c>
      <c r="AV1677" s="624"/>
      <c r="AX1677" s="624">
        <v>40606</v>
      </c>
      <c r="AY1677" s="355">
        <v>3.5499999999999997E-2</v>
      </c>
      <c r="AZ1677" s="624">
        <v>40672</v>
      </c>
      <c r="BA1677" s="355">
        <v>1.4500000000000001E-2</v>
      </c>
      <c r="BB1677" s="624">
        <v>40603</v>
      </c>
      <c r="BC1677" s="355">
        <v>0.3453</v>
      </c>
      <c r="BD1677" s="624">
        <v>40603</v>
      </c>
      <c r="BE1677" s="355">
        <v>8.8660000000000003E-2</v>
      </c>
      <c r="BF1677" s="624">
        <v>40689</v>
      </c>
      <c r="BG1677" s="355">
        <v>2.2072999999999999E-2</v>
      </c>
      <c r="BH1677" s="624">
        <v>40603</v>
      </c>
      <c r="BI1677" s="355">
        <v>0.113508</v>
      </c>
      <c r="BJ1677" s="624">
        <v>40602</v>
      </c>
      <c r="BK1677" s="355">
        <v>3.2636999999999999E-2</v>
      </c>
    </row>
    <row r="1678" spans="3:63" x14ac:dyDescent="0.15">
      <c r="C1678" s="624"/>
      <c r="D1678" s="355">
        <v>3.5499999999999997E-2</v>
      </c>
      <c r="AV1678" s="624"/>
      <c r="AX1678" s="624">
        <v>40609</v>
      </c>
      <c r="AY1678" s="355">
        <v>3.5409999999999997E-2</v>
      </c>
      <c r="AZ1678" s="624">
        <v>40673</v>
      </c>
      <c r="BA1678" s="355">
        <v>1.4500000000000001E-2</v>
      </c>
      <c r="BB1678" s="624">
        <v>40604</v>
      </c>
      <c r="BC1678" s="355">
        <v>0.3488</v>
      </c>
      <c r="BD1678" s="624">
        <v>40604</v>
      </c>
      <c r="BE1678" s="355">
        <v>8.8980000000000004E-2</v>
      </c>
      <c r="BF1678" s="624">
        <v>40690</v>
      </c>
      <c r="BG1678" s="355">
        <v>2.2141000000000001E-2</v>
      </c>
      <c r="BH1678" s="624">
        <v>40604</v>
      </c>
      <c r="BI1678" s="355">
        <v>0.113508</v>
      </c>
      <c r="BJ1678" s="624">
        <v>40603</v>
      </c>
      <c r="BK1678" s="355">
        <v>3.2723000000000002E-2</v>
      </c>
    </row>
    <row r="1679" spans="3:63" x14ac:dyDescent="0.15">
      <c r="C1679" s="624"/>
      <c r="D1679" s="355">
        <v>3.5409999999999997E-2</v>
      </c>
      <c r="AV1679" s="624"/>
      <c r="AX1679" s="624">
        <v>40610</v>
      </c>
      <c r="AY1679" s="355">
        <v>3.5360000000000003E-2</v>
      </c>
      <c r="AZ1679" s="624">
        <v>40674</v>
      </c>
      <c r="BA1679" s="355">
        <v>1.43E-2</v>
      </c>
      <c r="BB1679" s="624">
        <v>40605</v>
      </c>
      <c r="BC1679" s="355">
        <v>0.35039999999999999</v>
      </c>
      <c r="BD1679" s="624">
        <v>40605</v>
      </c>
      <c r="BE1679" s="355">
        <v>8.9599999999999999E-2</v>
      </c>
      <c r="BF1679" s="624">
        <v>40693</v>
      </c>
      <c r="BG1679" s="355">
        <v>2.2183000000000001E-2</v>
      </c>
      <c r="BH1679" s="624">
        <v>40605</v>
      </c>
      <c r="BI1679" s="355">
        <v>0.11360099999999999</v>
      </c>
      <c r="BJ1679" s="624">
        <v>40604</v>
      </c>
      <c r="BK1679" s="355">
        <v>3.2744000000000002E-2</v>
      </c>
    </row>
    <row r="1680" spans="3:63" x14ac:dyDescent="0.15">
      <c r="C1680" s="624"/>
      <c r="D1680" s="355">
        <v>3.5360000000000003E-2</v>
      </c>
      <c r="AV1680" s="624"/>
      <c r="AX1680" s="624">
        <v>40611</v>
      </c>
      <c r="AY1680" s="355">
        <v>3.526E-2</v>
      </c>
      <c r="AZ1680" s="624">
        <v>40675</v>
      </c>
      <c r="BA1680" s="355">
        <v>1.4200000000000001E-2</v>
      </c>
      <c r="BB1680" s="624">
        <v>40606</v>
      </c>
      <c r="BC1680" s="355">
        <v>0.35139999999999999</v>
      </c>
      <c r="BD1680" s="624">
        <v>40606</v>
      </c>
      <c r="BE1680" s="355">
        <v>8.9510000000000006E-2</v>
      </c>
      <c r="BF1680" s="624">
        <v>40694</v>
      </c>
      <c r="BG1680" s="355">
        <v>2.2194999999999999E-2</v>
      </c>
      <c r="BH1680" s="624">
        <v>40606</v>
      </c>
      <c r="BI1680" s="355">
        <v>0.113856</v>
      </c>
      <c r="BJ1680" s="624">
        <v>40605</v>
      </c>
      <c r="BK1680" s="355">
        <v>3.2825E-2</v>
      </c>
    </row>
    <row r="1681" spans="3:63" x14ac:dyDescent="0.15">
      <c r="C1681" s="624"/>
      <c r="D1681" s="355">
        <v>3.526E-2</v>
      </c>
      <c r="AV1681" s="624"/>
      <c r="AX1681" s="624">
        <v>40612</v>
      </c>
      <c r="AY1681" s="355">
        <v>3.4959999999999998E-2</v>
      </c>
      <c r="AZ1681" s="624">
        <v>40676</v>
      </c>
      <c r="BA1681" s="355">
        <v>1.4200000000000001E-2</v>
      </c>
      <c r="BB1681" s="624">
        <v>40609</v>
      </c>
      <c r="BC1681" s="355">
        <v>0.3518</v>
      </c>
      <c r="BD1681" s="624">
        <v>40609</v>
      </c>
      <c r="BE1681" s="355">
        <v>8.9370000000000005E-2</v>
      </c>
      <c r="BF1681" s="624">
        <v>40695</v>
      </c>
      <c r="BG1681" s="355">
        <v>2.2298999999999999E-2</v>
      </c>
      <c r="BH1681" s="624">
        <v>40609</v>
      </c>
      <c r="BI1681" s="355">
        <v>0.11383</v>
      </c>
      <c r="BJ1681" s="624">
        <v>40606</v>
      </c>
      <c r="BK1681" s="355">
        <v>3.2841000000000002E-2</v>
      </c>
    </row>
    <row r="1682" spans="3:63" x14ac:dyDescent="0.15">
      <c r="C1682" s="624"/>
      <c r="D1682" s="355">
        <v>3.4959999999999998E-2</v>
      </c>
      <c r="AV1682" s="624"/>
      <c r="AX1682" s="624">
        <v>40613</v>
      </c>
      <c r="AY1682" s="355">
        <v>3.4930000000000003E-2</v>
      </c>
      <c r="AZ1682" s="624">
        <v>40679</v>
      </c>
      <c r="BA1682" s="355">
        <v>1.43E-2</v>
      </c>
      <c r="BB1682" s="624">
        <v>40610</v>
      </c>
      <c r="BC1682" s="355">
        <v>0.35020000000000001</v>
      </c>
      <c r="BD1682" s="624">
        <v>40610</v>
      </c>
      <c r="BE1682" s="355">
        <v>8.9609999999999995E-2</v>
      </c>
      <c r="BF1682" s="624">
        <v>40696</v>
      </c>
      <c r="BG1682" s="355">
        <v>2.2304000000000001E-2</v>
      </c>
      <c r="BH1682" s="624">
        <v>40610</v>
      </c>
      <c r="BI1682" s="355">
        <v>0.113843</v>
      </c>
      <c r="BJ1682" s="624">
        <v>40609</v>
      </c>
      <c r="BK1682" s="355">
        <v>3.2883999999999997E-2</v>
      </c>
    </row>
    <row r="1683" spans="3:63" x14ac:dyDescent="0.15">
      <c r="C1683" s="624"/>
      <c r="D1683" s="355">
        <v>3.4930000000000003E-2</v>
      </c>
      <c r="AV1683" s="624"/>
      <c r="AX1683" s="624">
        <v>40616</v>
      </c>
      <c r="AY1683" s="355">
        <v>3.508E-2</v>
      </c>
      <c r="AZ1683" s="624">
        <v>40680</v>
      </c>
      <c r="BA1683" s="355">
        <v>1.4500000000000001E-2</v>
      </c>
      <c r="BB1683" s="624">
        <v>40611</v>
      </c>
      <c r="BC1683" s="355">
        <v>0.3493</v>
      </c>
      <c r="BD1683" s="624">
        <v>40611</v>
      </c>
      <c r="BE1683" s="355">
        <v>8.9590000000000003E-2</v>
      </c>
      <c r="BF1683" s="624">
        <v>40697</v>
      </c>
      <c r="BG1683" s="355">
        <v>2.2315999999999999E-2</v>
      </c>
      <c r="BH1683" s="624">
        <v>40611</v>
      </c>
      <c r="BI1683" s="355">
        <v>0.11396000000000001</v>
      </c>
      <c r="BJ1683" s="624">
        <v>40610</v>
      </c>
      <c r="BK1683" s="355">
        <v>3.2946000000000003E-2</v>
      </c>
    </row>
    <row r="1684" spans="3:63" x14ac:dyDescent="0.15">
      <c r="C1684" s="624"/>
      <c r="D1684" s="355">
        <v>3.508E-2</v>
      </c>
      <c r="AV1684" s="624"/>
      <c r="AX1684" s="624">
        <v>40617</v>
      </c>
      <c r="AY1684" s="355">
        <v>3.4779999999999998E-2</v>
      </c>
      <c r="AZ1684" s="624">
        <v>40681</v>
      </c>
      <c r="BA1684" s="355">
        <v>1.46E-2</v>
      </c>
      <c r="BB1684" s="624">
        <v>40612</v>
      </c>
      <c r="BC1684" s="355">
        <v>0.34360000000000002</v>
      </c>
      <c r="BD1684" s="624">
        <v>40612</v>
      </c>
      <c r="BE1684" s="355">
        <v>8.8789999999999994E-2</v>
      </c>
      <c r="BF1684" s="624">
        <v>40700</v>
      </c>
      <c r="BG1684" s="355">
        <v>2.2341E-2</v>
      </c>
      <c r="BH1684" s="624">
        <v>40612</v>
      </c>
      <c r="BI1684" s="355">
        <v>0.11385199999999999</v>
      </c>
      <c r="BJ1684" s="624">
        <v>40611</v>
      </c>
      <c r="BK1684" s="355">
        <v>3.3002999999999998E-2</v>
      </c>
    </row>
    <row r="1685" spans="3:63" x14ac:dyDescent="0.15">
      <c r="C1685" s="624"/>
      <c r="D1685" s="355">
        <v>3.4779999999999998E-2</v>
      </c>
      <c r="AV1685" s="624"/>
      <c r="AX1685" s="624">
        <v>40618</v>
      </c>
      <c r="AY1685" s="355">
        <v>3.4849999999999999E-2</v>
      </c>
      <c r="AZ1685" s="624">
        <v>40682</v>
      </c>
      <c r="BA1685" s="355">
        <v>1.4800000000000001E-2</v>
      </c>
      <c r="BB1685" s="624">
        <v>40613</v>
      </c>
      <c r="BC1685" s="355">
        <v>0.34739999999999999</v>
      </c>
      <c r="BD1685" s="624">
        <v>40613</v>
      </c>
      <c r="BE1685" s="355">
        <v>8.9020000000000002E-2</v>
      </c>
      <c r="BF1685" s="624">
        <v>40701</v>
      </c>
      <c r="BG1685" s="355">
        <v>2.2381000000000002E-2</v>
      </c>
      <c r="BH1685" s="624">
        <v>40613</v>
      </c>
      <c r="BI1685" s="355">
        <v>0.11398</v>
      </c>
      <c r="BJ1685" s="624">
        <v>40612</v>
      </c>
      <c r="BK1685" s="355">
        <v>3.2878999999999999E-2</v>
      </c>
    </row>
    <row r="1686" spans="3:63" x14ac:dyDescent="0.15">
      <c r="C1686" s="624"/>
      <c r="D1686" s="355">
        <v>3.4849999999999999E-2</v>
      </c>
      <c r="AV1686" s="624"/>
      <c r="AX1686" s="624">
        <v>40619</v>
      </c>
      <c r="AY1686" s="355">
        <v>3.4959999999999998E-2</v>
      </c>
      <c r="AZ1686" s="624">
        <v>40683</v>
      </c>
      <c r="BA1686" s="355">
        <v>1.46E-2</v>
      </c>
      <c r="BB1686" s="624">
        <v>40616</v>
      </c>
      <c r="BC1686" s="355">
        <v>0.34739999999999999</v>
      </c>
      <c r="BD1686" s="624">
        <v>40616</v>
      </c>
      <c r="BE1686" s="355">
        <v>8.8719999999999993E-2</v>
      </c>
      <c r="BF1686" s="624">
        <v>40702</v>
      </c>
      <c r="BG1686" s="355">
        <v>2.2369E-2</v>
      </c>
      <c r="BH1686" s="624">
        <v>40616</v>
      </c>
      <c r="BI1686" s="355">
        <v>0.114286</v>
      </c>
      <c r="BJ1686" s="624">
        <v>40613</v>
      </c>
      <c r="BK1686" s="355">
        <v>3.2899999999999999E-2</v>
      </c>
    </row>
    <row r="1687" spans="3:63" x14ac:dyDescent="0.15">
      <c r="C1687" s="624"/>
      <c r="D1687" s="355">
        <v>3.4959999999999998E-2</v>
      </c>
      <c r="AV1687" s="624"/>
      <c r="AX1687" s="624">
        <v>40620</v>
      </c>
      <c r="AY1687" s="355">
        <v>3.5180000000000003E-2</v>
      </c>
      <c r="AZ1687" s="624">
        <v>40686</v>
      </c>
      <c r="BA1687" s="355">
        <v>1.4500000000000001E-2</v>
      </c>
      <c r="BB1687" s="624">
        <v>40617</v>
      </c>
      <c r="BC1687" s="355">
        <v>0.3463</v>
      </c>
      <c r="BD1687" s="624">
        <v>40617</v>
      </c>
      <c r="BE1687" s="355">
        <v>8.7929999999999994E-2</v>
      </c>
      <c r="BF1687" s="624">
        <v>40703</v>
      </c>
      <c r="BG1687" s="355">
        <v>2.2356000000000001E-2</v>
      </c>
      <c r="BH1687" s="624">
        <v>40617</v>
      </c>
      <c r="BI1687" s="355">
        <v>0.11394700000000001</v>
      </c>
      <c r="BJ1687" s="624">
        <v>40616</v>
      </c>
      <c r="BK1687" s="355">
        <v>3.2981999999999997E-2</v>
      </c>
    </row>
    <row r="1688" spans="3:63" x14ac:dyDescent="0.15">
      <c r="C1688" s="624"/>
      <c r="D1688" s="355">
        <v>3.5180000000000003E-2</v>
      </c>
      <c r="AV1688" s="624"/>
      <c r="AX1688" s="624">
        <v>40623</v>
      </c>
      <c r="AY1688" s="355">
        <v>3.5389999999999998E-2</v>
      </c>
      <c r="AZ1688" s="624">
        <v>40687</v>
      </c>
      <c r="BA1688" s="355">
        <v>1.4500000000000001E-2</v>
      </c>
      <c r="BB1688" s="624">
        <v>40618</v>
      </c>
      <c r="BC1688" s="355">
        <v>0.33910000000000001</v>
      </c>
      <c r="BD1688" s="624">
        <v>40618</v>
      </c>
      <c r="BE1688" s="355">
        <v>8.7809999999999999E-2</v>
      </c>
      <c r="BF1688" s="624">
        <v>40704</v>
      </c>
      <c r="BG1688" s="355">
        <v>2.2363999999999998E-2</v>
      </c>
      <c r="BH1688" s="624">
        <v>40618</v>
      </c>
      <c r="BI1688" s="355">
        <v>0.113959</v>
      </c>
      <c r="BJ1688" s="624">
        <v>40617</v>
      </c>
      <c r="BK1688" s="355">
        <v>3.2895000000000001E-2</v>
      </c>
    </row>
    <row r="1689" spans="3:63" x14ac:dyDescent="0.15">
      <c r="C1689" s="624"/>
      <c r="D1689" s="355">
        <v>3.5389999999999998E-2</v>
      </c>
      <c r="AV1689" s="624"/>
      <c r="AX1689" s="624">
        <v>40624</v>
      </c>
      <c r="AY1689" s="355">
        <v>3.5430000000000003E-2</v>
      </c>
      <c r="AZ1689" s="624">
        <v>40688</v>
      </c>
      <c r="BA1689" s="355">
        <v>1.44E-2</v>
      </c>
      <c r="BB1689" s="624">
        <v>40619</v>
      </c>
      <c r="BC1689" s="355">
        <v>0.3448</v>
      </c>
      <c r="BD1689" s="624">
        <v>40619</v>
      </c>
      <c r="BE1689" s="355">
        <v>8.8230000000000003E-2</v>
      </c>
      <c r="BF1689" s="624">
        <v>40707</v>
      </c>
      <c r="BG1689" s="355">
        <v>2.2291999999999999E-2</v>
      </c>
      <c r="BH1689" s="624">
        <v>40619</v>
      </c>
      <c r="BI1689" s="355">
        <v>0.113895</v>
      </c>
      <c r="BJ1689" s="624">
        <v>40618</v>
      </c>
      <c r="BK1689" s="355">
        <v>3.2944000000000001E-2</v>
      </c>
    </row>
    <row r="1690" spans="3:63" x14ac:dyDescent="0.15">
      <c r="C1690" s="624"/>
      <c r="D1690" s="355">
        <v>3.5430000000000003E-2</v>
      </c>
      <c r="AV1690" s="624"/>
      <c r="AX1690" s="624">
        <v>40625</v>
      </c>
      <c r="AY1690" s="355">
        <v>3.5249999999999997E-2</v>
      </c>
      <c r="AZ1690" s="624">
        <v>40689</v>
      </c>
      <c r="BA1690" s="355">
        <v>1.46E-2</v>
      </c>
      <c r="BB1690" s="624">
        <v>40620</v>
      </c>
      <c r="BC1690" s="355">
        <v>0.3488</v>
      </c>
      <c r="BD1690" s="624">
        <v>40620</v>
      </c>
      <c r="BE1690" s="355">
        <v>8.8919999999999999E-2</v>
      </c>
      <c r="BF1690" s="624">
        <v>40708</v>
      </c>
      <c r="BG1690" s="355">
        <v>2.2352E-2</v>
      </c>
      <c r="BH1690" s="624">
        <v>40620</v>
      </c>
      <c r="BI1690" s="355">
        <v>0.11405800000000001</v>
      </c>
      <c r="BJ1690" s="624">
        <v>40619</v>
      </c>
      <c r="BK1690" s="355">
        <v>3.2992E-2</v>
      </c>
    </row>
    <row r="1691" spans="3:63" x14ac:dyDescent="0.15">
      <c r="C1691" s="624"/>
      <c r="D1691" s="355">
        <v>3.5249999999999997E-2</v>
      </c>
      <c r="AV1691" s="624"/>
      <c r="AX1691" s="624">
        <v>40626</v>
      </c>
      <c r="AY1691" s="355">
        <v>3.5369999999999999E-2</v>
      </c>
      <c r="AZ1691" s="624">
        <v>40690</v>
      </c>
      <c r="BA1691" s="355">
        <v>1.47E-2</v>
      </c>
      <c r="BB1691" s="624">
        <v>40623</v>
      </c>
      <c r="BC1691" s="355">
        <v>0.35320000000000001</v>
      </c>
      <c r="BD1691" s="624">
        <v>40623</v>
      </c>
      <c r="BE1691" s="355">
        <v>8.9419999999999999E-2</v>
      </c>
      <c r="BF1691" s="624">
        <v>40709</v>
      </c>
      <c r="BG1691" s="355">
        <v>2.2341E-2</v>
      </c>
      <c r="BH1691" s="624">
        <v>40623</v>
      </c>
      <c r="BI1691" s="355">
        <v>0.11483400000000001</v>
      </c>
      <c r="BJ1691" s="624">
        <v>40620</v>
      </c>
      <c r="BK1691" s="355">
        <v>3.3020000000000001E-2</v>
      </c>
    </row>
    <row r="1692" spans="3:63" x14ac:dyDescent="0.15">
      <c r="C1692" s="624"/>
      <c r="D1692" s="355">
        <v>3.5369999999999999E-2</v>
      </c>
      <c r="AV1692" s="624"/>
      <c r="AX1692" s="624">
        <v>40627</v>
      </c>
      <c r="AY1692" s="355">
        <v>3.5270000000000003E-2</v>
      </c>
      <c r="AZ1692" s="624">
        <v>40693</v>
      </c>
      <c r="BA1692" s="355">
        <v>1.4800000000000001E-2</v>
      </c>
      <c r="BB1692" s="624">
        <v>40624</v>
      </c>
      <c r="BC1692" s="355">
        <v>0.35210000000000002</v>
      </c>
      <c r="BD1692" s="624">
        <v>40624</v>
      </c>
      <c r="BE1692" s="355">
        <v>8.9099999999999999E-2</v>
      </c>
      <c r="BF1692" s="624">
        <v>40710</v>
      </c>
      <c r="BG1692" s="355">
        <v>2.2266999999999999E-2</v>
      </c>
      <c r="BH1692" s="624">
        <v>40624</v>
      </c>
      <c r="BI1692" s="355">
        <v>0.11491</v>
      </c>
      <c r="BJ1692" s="624">
        <v>40623</v>
      </c>
      <c r="BK1692" s="355">
        <v>3.3047E-2</v>
      </c>
    </row>
    <row r="1693" spans="3:63" x14ac:dyDescent="0.15">
      <c r="C1693" s="624"/>
      <c r="D1693" s="355">
        <v>3.5270000000000003E-2</v>
      </c>
      <c r="AV1693" s="624"/>
      <c r="AX1693" s="624">
        <v>40630</v>
      </c>
      <c r="AY1693" s="355">
        <v>3.5290000000000002E-2</v>
      </c>
      <c r="AZ1693" s="624">
        <v>40694</v>
      </c>
      <c r="BA1693" s="355">
        <v>1.49E-2</v>
      </c>
      <c r="BB1693" s="624">
        <v>40625</v>
      </c>
      <c r="BC1693" s="355">
        <v>0.34939999999999999</v>
      </c>
      <c r="BD1693" s="624">
        <v>40625</v>
      </c>
      <c r="BE1693" s="355">
        <v>8.8709999999999997E-2</v>
      </c>
      <c r="BF1693" s="624">
        <v>40711</v>
      </c>
      <c r="BG1693" s="355">
        <v>2.2284999999999999E-2</v>
      </c>
      <c r="BH1693" s="624">
        <v>40625</v>
      </c>
      <c r="BI1693" s="355">
        <v>0.114768</v>
      </c>
      <c r="BJ1693" s="624">
        <v>40624</v>
      </c>
      <c r="BK1693" s="355">
        <v>3.3101999999999999E-2</v>
      </c>
    </row>
    <row r="1694" spans="3:63" x14ac:dyDescent="0.15">
      <c r="C1694" s="624"/>
      <c r="D1694" s="355">
        <v>3.5290000000000002E-2</v>
      </c>
      <c r="AV1694" s="624"/>
      <c r="AX1694" s="624">
        <v>40631</v>
      </c>
      <c r="AY1694" s="355">
        <v>3.526E-2</v>
      </c>
      <c r="AZ1694" s="624">
        <v>40695</v>
      </c>
      <c r="BA1694" s="355">
        <v>1.47E-2</v>
      </c>
      <c r="BB1694" s="624">
        <v>40626</v>
      </c>
      <c r="BC1694" s="355">
        <v>0.35320000000000001</v>
      </c>
      <c r="BD1694" s="624">
        <v>40626</v>
      </c>
      <c r="BE1694" s="355">
        <v>8.931E-2</v>
      </c>
      <c r="BF1694" s="624">
        <v>40714</v>
      </c>
      <c r="BG1694" s="355">
        <v>2.2217000000000001E-2</v>
      </c>
      <c r="BH1694" s="624">
        <v>40626</v>
      </c>
      <c r="BI1694" s="355">
        <v>0.11487700000000001</v>
      </c>
      <c r="BJ1694" s="624">
        <v>40625</v>
      </c>
      <c r="BK1694" s="355">
        <v>3.3047E-2</v>
      </c>
    </row>
    <row r="1695" spans="3:63" x14ac:dyDescent="0.15">
      <c r="C1695" s="624"/>
      <c r="D1695" s="355">
        <v>3.526E-2</v>
      </c>
      <c r="AV1695" s="624"/>
      <c r="AX1695" s="624">
        <v>40632</v>
      </c>
      <c r="AY1695" s="355">
        <v>3.508E-2</v>
      </c>
      <c r="AZ1695" s="624">
        <v>40696</v>
      </c>
      <c r="BA1695" s="355">
        <v>1.49E-2</v>
      </c>
      <c r="BB1695" s="624">
        <v>40627</v>
      </c>
      <c r="BC1695" s="355">
        <v>0.35060000000000002</v>
      </c>
      <c r="BD1695" s="624">
        <v>40627</v>
      </c>
      <c r="BE1695" s="355">
        <v>9.0130000000000002E-2</v>
      </c>
      <c r="BF1695" s="624">
        <v>40715</v>
      </c>
      <c r="BG1695" s="355">
        <v>2.2297999999999998E-2</v>
      </c>
      <c r="BH1695" s="624">
        <v>40627</v>
      </c>
      <c r="BI1695" s="355">
        <v>0.114787</v>
      </c>
      <c r="BJ1695" s="624">
        <v>40626</v>
      </c>
      <c r="BK1695" s="355">
        <v>3.3047E-2</v>
      </c>
    </row>
    <row r="1696" spans="3:63" x14ac:dyDescent="0.15">
      <c r="C1696" s="624"/>
      <c r="D1696" s="355">
        <v>3.508E-2</v>
      </c>
      <c r="AV1696" s="624"/>
      <c r="AX1696" s="624">
        <v>40633</v>
      </c>
      <c r="AY1696" s="355">
        <v>3.5229999999999997E-2</v>
      </c>
      <c r="AZ1696" s="624">
        <v>40697</v>
      </c>
      <c r="BA1696" s="355">
        <v>1.49E-2</v>
      </c>
      <c r="BB1696" s="624">
        <v>40630</v>
      </c>
      <c r="BC1696" s="355">
        <v>0.3523</v>
      </c>
      <c r="BD1696" s="624">
        <v>40630</v>
      </c>
      <c r="BE1696" s="355">
        <v>8.9819999999999997E-2</v>
      </c>
      <c r="BF1696" s="624">
        <v>40716</v>
      </c>
      <c r="BG1696" s="355">
        <v>2.2275E-2</v>
      </c>
      <c r="BH1696" s="624">
        <v>40630</v>
      </c>
      <c r="BI1696" s="355">
        <v>0.114814</v>
      </c>
      <c r="BJ1696" s="624">
        <v>40627</v>
      </c>
      <c r="BK1696" s="355">
        <v>3.3069000000000001E-2</v>
      </c>
    </row>
    <row r="1697" spans="3:63" x14ac:dyDescent="0.15">
      <c r="C1697" s="624"/>
      <c r="D1697" s="355">
        <v>3.5229999999999997E-2</v>
      </c>
      <c r="AV1697" s="624"/>
      <c r="AX1697" s="624">
        <v>40634</v>
      </c>
      <c r="AY1697" s="355">
        <v>3.542E-2</v>
      </c>
      <c r="AZ1697" s="624">
        <v>40700</v>
      </c>
      <c r="BA1697" s="355">
        <v>1.47E-2</v>
      </c>
      <c r="BB1697" s="624">
        <v>40631</v>
      </c>
      <c r="BC1697" s="355">
        <v>0.35320000000000001</v>
      </c>
      <c r="BD1697" s="624">
        <v>40631</v>
      </c>
      <c r="BE1697" s="355">
        <v>9.0050000000000005E-2</v>
      </c>
      <c r="BF1697" s="624">
        <v>40717</v>
      </c>
      <c r="BG1697" s="355">
        <v>2.2245999999999998E-2</v>
      </c>
      <c r="BH1697" s="624">
        <v>40631</v>
      </c>
      <c r="BI1697" s="355">
        <v>0.11483699999999999</v>
      </c>
      <c r="BJ1697" s="624">
        <v>40630</v>
      </c>
      <c r="BK1697" s="355">
        <v>3.2981999999999997E-2</v>
      </c>
    </row>
    <row r="1698" spans="3:63" x14ac:dyDescent="0.15">
      <c r="C1698" s="624"/>
      <c r="D1698" s="355">
        <v>3.542E-2</v>
      </c>
      <c r="AV1698" s="624"/>
      <c r="AX1698" s="624">
        <v>40637</v>
      </c>
      <c r="AY1698" s="355">
        <v>3.5319999999999997E-2</v>
      </c>
      <c r="AZ1698" s="624">
        <v>40701</v>
      </c>
      <c r="BA1698" s="355">
        <v>1.4800000000000001E-2</v>
      </c>
      <c r="BB1698" s="624">
        <v>40632</v>
      </c>
      <c r="BC1698" s="355">
        <v>0.3518</v>
      </c>
      <c r="BD1698" s="624">
        <v>40632</v>
      </c>
      <c r="BE1698" s="355">
        <v>9.0999999999999998E-2</v>
      </c>
      <c r="BF1698" s="624">
        <v>40718</v>
      </c>
      <c r="BG1698" s="355">
        <v>2.2225999999999999E-2</v>
      </c>
      <c r="BH1698" s="624">
        <v>40632</v>
      </c>
      <c r="BI1698" s="355">
        <v>0.114718</v>
      </c>
      <c r="BJ1698" s="624">
        <v>40631</v>
      </c>
      <c r="BK1698" s="355">
        <v>3.2987000000000002E-2</v>
      </c>
    </row>
    <row r="1699" spans="3:63" x14ac:dyDescent="0.15">
      <c r="C1699" s="624"/>
      <c r="D1699" s="355">
        <v>3.5319999999999997E-2</v>
      </c>
      <c r="AV1699" s="624"/>
      <c r="AX1699" s="624">
        <v>40638</v>
      </c>
      <c r="AY1699" s="355">
        <v>3.5389999999999998E-2</v>
      </c>
      <c r="AZ1699" s="624">
        <v>40702</v>
      </c>
      <c r="BA1699" s="355">
        <v>1.4800000000000001E-2</v>
      </c>
      <c r="BB1699" s="624">
        <v>40633</v>
      </c>
      <c r="BC1699" s="355">
        <v>0.35170000000000001</v>
      </c>
      <c r="BD1699" s="624">
        <v>40633</v>
      </c>
      <c r="BE1699" s="355">
        <v>9.0870000000000006E-2</v>
      </c>
      <c r="BF1699" s="624">
        <v>40721</v>
      </c>
      <c r="BG1699" s="355">
        <v>2.2202E-2</v>
      </c>
      <c r="BH1699" s="624">
        <v>40633</v>
      </c>
      <c r="BI1699" s="355">
        <v>0.114844</v>
      </c>
      <c r="BJ1699" s="624">
        <v>40632</v>
      </c>
      <c r="BK1699" s="355">
        <v>3.2981999999999997E-2</v>
      </c>
    </row>
    <row r="1700" spans="3:63" x14ac:dyDescent="0.15">
      <c r="C1700" s="624"/>
      <c r="D1700" s="355">
        <v>3.5389999999999998E-2</v>
      </c>
      <c r="AV1700" s="624"/>
      <c r="AX1700" s="624">
        <v>40639</v>
      </c>
      <c r="AY1700" s="355">
        <v>3.5560000000000001E-2</v>
      </c>
      <c r="AZ1700" s="624">
        <v>40703</v>
      </c>
      <c r="BA1700" s="355">
        <v>1.4800000000000001E-2</v>
      </c>
      <c r="BB1700" s="624">
        <v>40634</v>
      </c>
      <c r="BC1700" s="355">
        <v>0.3543</v>
      </c>
      <c r="BD1700" s="624">
        <v>40634</v>
      </c>
      <c r="BE1700" s="355">
        <v>9.2119999999999994E-2</v>
      </c>
      <c r="BF1700" s="624">
        <v>40722</v>
      </c>
      <c r="BG1700" s="355">
        <v>2.2204000000000002E-2</v>
      </c>
      <c r="BH1700" s="624">
        <v>40634</v>
      </c>
      <c r="BI1700" s="355">
        <v>0.115078</v>
      </c>
      <c r="BJ1700" s="624">
        <v>40633</v>
      </c>
      <c r="BK1700" s="355">
        <v>3.3024999999999999E-2</v>
      </c>
    </row>
    <row r="1701" spans="3:63" x14ac:dyDescent="0.15">
      <c r="C1701" s="624"/>
      <c r="D1701" s="355">
        <v>3.5560000000000001E-2</v>
      </c>
      <c r="AV1701" s="624"/>
      <c r="AX1701" s="624">
        <v>40640</v>
      </c>
      <c r="AY1701" s="355">
        <v>3.5430000000000003E-2</v>
      </c>
      <c r="AZ1701" s="624">
        <v>40704</v>
      </c>
      <c r="BA1701" s="355">
        <v>1.47E-2</v>
      </c>
      <c r="BB1701" s="624">
        <v>40637</v>
      </c>
      <c r="BC1701" s="355">
        <v>0.35310000000000002</v>
      </c>
      <c r="BD1701" s="624">
        <v>40637</v>
      </c>
      <c r="BE1701" s="355">
        <v>9.196E-2</v>
      </c>
      <c r="BF1701" s="624">
        <v>40723</v>
      </c>
      <c r="BG1701" s="355">
        <v>2.2289E-2</v>
      </c>
      <c r="BH1701" s="624">
        <v>40637</v>
      </c>
      <c r="BI1701" s="355">
        <v>0.11541999999999999</v>
      </c>
      <c r="BJ1701" s="624">
        <v>40634</v>
      </c>
      <c r="BK1701" s="355">
        <v>3.3036000000000003E-2</v>
      </c>
    </row>
    <row r="1702" spans="3:63" x14ac:dyDescent="0.15">
      <c r="C1702" s="624"/>
      <c r="D1702" s="355">
        <v>3.5430000000000003E-2</v>
      </c>
      <c r="AV1702" s="624"/>
      <c r="AX1702" s="624">
        <v>40641</v>
      </c>
      <c r="AY1702" s="355">
        <v>3.5720000000000002E-2</v>
      </c>
      <c r="AZ1702" s="624">
        <v>40707</v>
      </c>
      <c r="BA1702" s="355">
        <v>1.44E-2</v>
      </c>
      <c r="BB1702" s="624">
        <v>40638</v>
      </c>
      <c r="BC1702" s="355">
        <v>0.35620000000000002</v>
      </c>
      <c r="BD1702" s="624">
        <v>40638</v>
      </c>
      <c r="BE1702" s="355">
        <v>9.1910000000000006E-2</v>
      </c>
      <c r="BF1702" s="624">
        <v>40724</v>
      </c>
      <c r="BG1702" s="355">
        <v>2.2411E-2</v>
      </c>
      <c r="BH1702" s="624">
        <v>40638</v>
      </c>
      <c r="BI1702" s="355">
        <v>0.11557000000000001</v>
      </c>
      <c r="BJ1702" s="624">
        <v>40637</v>
      </c>
      <c r="BK1702" s="355">
        <v>3.3091000000000002E-2</v>
      </c>
    </row>
    <row r="1703" spans="3:63" x14ac:dyDescent="0.15">
      <c r="C1703" s="624"/>
      <c r="D1703" s="355">
        <v>3.5720000000000002E-2</v>
      </c>
      <c r="AV1703" s="624"/>
      <c r="AX1703" s="624">
        <v>40644</v>
      </c>
      <c r="AY1703" s="355">
        <v>3.5659999999999997E-2</v>
      </c>
      <c r="AZ1703" s="624">
        <v>40708</v>
      </c>
      <c r="BA1703" s="355">
        <v>1.44E-2</v>
      </c>
      <c r="BB1703" s="624">
        <v>40639</v>
      </c>
      <c r="BC1703" s="355">
        <v>0.36080000000000001</v>
      </c>
      <c r="BD1703" s="624">
        <v>40639</v>
      </c>
      <c r="BE1703" s="355">
        <v>9.2170000000000002E-2</v>
      </c>
      <c r="BF1703" s="624">
        <v>40725</v>
      </c>
      <c r="BG1703" s="355">
        <v>2.2411E-2</v>
      </c>
      <c r="BH1703" s="624">
        <v>40639</v>
      </c>
      <c r="BI1703" s="355">
        <v>0.115604</v>
      </c>
      <c r="BJ1703" s="624">
        <v>40638</v>
      </c>
      <c r="BK1703" s="355">
        <v>3.3134999999999998E-2</v>
      </c>
    </row>
    <row r="1704" spans="3:63" x14ac:dyDescent="0.15">
      <c r="C1704" s="624"/>
      <c r="D1704" s="355">
        <v>3.5659999999999997E-2</v>
      </c>
      <c r="AV1704" s="624"/>
      <c r="AX1704" s="624">
        <v>40645</v>
      </c>
      <c r="AY1704" s="355">
        <v>3.5529999999999999E-2</v>
      </c>
      <c r="AZ1704" s="624">
        <v>40709</v>
      </c>
      <c r="BA1704" s="355">
        <v>1.4E-2</v>
      </c>
      <c r="BB1704" s="624">
        <v>40640</v>
      </c>
      <c r="BC1704" s="355">
        <v>0.36070000000000002</v>
      </c>
      <c r="BD1704" s="624">
        <v>40640</v>
      </c>
      <c r="BE1704" s="355">
        <v>9.1899999999999996E-2</v>
      </c>
      <c r="BF1704" s="624">
        <v>40728</v>
      </c>
      <c r="BG1704" s="355">
        <v>2.2506999999999999E-2</v>
      </c>
      <c r="BH1704" s="624">
        <v>40640</v>
      </c>
      <c r="BI1704" s="355">
        <v>0.115374</v>
      </c>
      <c r="BJ1704" s="624">
        <v>40639</v>
      </c>
      <c r="BK1704" s="355">
        <v>3.3161999999999997E-2</v>
      </c>
    </row>
    <row r="1705" spans="3:63" x14ac:dyDescent="0.15">
      <c r="C1705" s="624"/>
      <c r="D1705" s="355">
        <v>3.5529999999999999E-2</v>
      </c>
      <c r="AV1705" s="624"/>
      <c r="AX1705" s="624">
        <v>40646</v>
      </c>
      <c r="AY1705" s="355">
        <v>3.5450000000000002E-2</v>
      </c>
      <c r="AZ1705" s="624">
        <v>40710</v>
      </c>
      <c r="BA1705" s="355">
        <v>1.4E-2</v>
      </c>
      <c r="BB1705" s="624">
        <v>40641</v>
      </c>
      <c r="BC1705" s="355">
        <v>0.36570000000000003</v>
      </c>
      <c r="BD1705" s="624">
        <v>40641</v>
      </c>
      <c r="BE1705" s="355">
        <v>9.2689999999999995E-2</v>
      </c>
      <c r="BF1705" s="624">
        <v>40729</v>
      </c>
      <c r="BG1705" s="355">
        <v>2.2544999999999999E-2</v>
      </c>
      <c r="BH1705" s="624">
        <v>40641</v>
      </c>
      <c r="BI1705" s="355">
        <v>0.11561399999999999</v>
      </c>
      <c r="BJ1705" s="624">
        <v>40640</v>
      </c>
      <c r="BK1705" s="355">
        <v>3.3256000000000001E-2</v>
      </c>
    </row>
    <row r="1706" spans="3:63" x14ac:dyDescent="0.15">
      <c r="C1706" s="624"/>
      <c r="D1706" s="355">
        <v>3.5450000000000002E-2</v>
      </c>
      <c r="AV1706" s="624"/>
      <c r="AX1706" s="624">
        <v>40647</v>
      </c>
      <c r="AY1706" s="355">
        <v>3.5459999999999998E-2</v>
      </c>
      <c r="AZ1706" s="624">
        <v>40711</v>
      </c>
      <c r="BA1706" s="355">
        <v>1.4200000000000001E-2</v>
      </c>
      <c r="BB1706" s="624">
        <v>40644</v>
      </c>
      <c r="BC1706" s="355">
        <v>0.36370000000000002</v>
      </c>
      <c r="BD1706" s="624">
        <v>40644</v>
      </c>
      <c r="BE1706" s="355">
        <v>9.1920000000000002E-2</v>
      </c>
      <c r="BF1706" s="624">
        <v>40730</v>
      </c>
      <c r="BG1706" s="355">
        <v>2.2478000000000001E-2</v>
      </c>
      <c r="BH1706" s="624">
        <v>40644</v>
      </c>
      <c r="BI1706" s="355">
        <v>0.11554</v>
      </c>
      <c r="BJ1706" s="624">
        <v>40641</v>
      </c>
      <c r="BK1706" s="355">
        <v>3.3355999999999997E-2</v>
      </c>
    </row>
    <row r="1707" spans="3:63" x14ac:dyDescent="0.15">
      <c r="C1707" s="624"/>
      <c r="D1707" s="355">
        <v>3.5459999999999998E-2</v>
      </c>
      <c r="AV1707" s="624"/>
      <c r="AX1707" s="624">
        <v>40648</v>
      </c>
      <c r="AY1707" s="355">
        <v>3.5540000000000002E-2</v>
      </c>
      <c r="AZ1707" s="624">
        <v>40714</v>
      </c>
      <c r="BA1707" s="355">
        <v>1.43E-2</v>
      </c>
      <c r="BB1707" s="624">
        <v>40645</v>
      </c>
      <c r="BC1707" s="355">
        <v>0.3629</v>
      </c>
      <c r="BD1707" s="624">
        <v>40645</v>
      </c>
      <c r="BE1707" s="355">
        <v>9.1660000000000005E-2</v>
      </c>
      <c r="BF1707" s="624">
        <v>40731</v>
      </c>
      <c r="BG1707" s="355">
        <v>2.2506000000000002E-2</v>
      </c>
      <c r="BH1707" s="624">
        <v>40645</v>
      </c>
      <c r="BI1707" s="355">
        <v>0.11554399999999999</v>
      </c>
      <c r="BJ1707" s="624">
        <v>40644</v>
      </c>
      <c r="BK1707" s="355">
        <v>3.3211999999999998E-2</v>
      </c>
    </row>
    <row r="1708" spans="3:63" x14ac:dyDescent="0.15">
      <c r="C1708" s="624"/>
      <c r="D1708" s="355">
        <v>3.5540000000000002E-2</v>
      </c>
      <c r="AV1708" s="624"/>
      <c r="AX1708" s="624">
        <v>40651</v>
      </c>
      <c r="AY1708" s="355">
        <v>3.5299999999999998E-2</v>
      </c>
      <c r="AZ1708" s="624">
        <v>40715</v>
      </c>
      <c r="BA1708" s="355">
        <v>1.44E-2</v>
      </c>
      <c r="BB1708" s="624">
        <v>40646</v>
      </c>
      <c r="BC1708" s="355">
        <v>0.36449999999999999</v>
      </c>
      <c r="BD1708" s="624">
        <v>40646</v>
      </c>
      <c r="BE1708" s="355">
        <v>9.1810000000000003E-2</v>
      </c>
      <c r="BF1708" s="624">
        <v>40732</v>
      </c>
      <c r="BG1708" s="355">
        <v>2.2561000000000001E-2</v>
      </c>
      <c r="BH1708" s="624">
        <v>40646</v>
      </c>
      <c r="BI1708" s="355">
        <v>0.11551400000000001</v>
      </c>
      <c r="BJ1708" s="624">
        <v>40645</v>
      </c>
      <c r="BK1708" s="355">
        <v>3.3189999999999997E-2</v>
      </c>
    </row>
    <row r="1709" spans="3:63" x14ac:dyDescent="0.15">
      <c r="C1709" s="624"/>
      <c r="D1709" s="355">
        <v>3.5299999999999998E-2</v>
      </c>
      <c r="AV1709" s="624"/>
      <c r="AX1709" s="624">
        <v>40652</v>
      </c>
      <c r="AY1709" s="355">
        <v>3.5319999999999997E-2</v>
      </c>
      <c r="AZ1709" s="624">
        <v>40716</v>
      </c>
      <c r="BA1709" s="355">
        <v>1.4200000000000001E-2</v>
      </c>
      <c r="BB1709" s="624">
        <v>40647</v>
      </c>
      <c r="BC1709" s="355">
        <v>0.36709999999999998</v>
      </c>
      <c r="BD1709" s="624">
        <v>40647</v>
      </c>
      <c r="BE1709" s="355">
        <v>9.2109999999999997E-2</v>
      </c>
      <c r="BF1709" s="624">
        <v>40735</v>
      </c>
      <c r="BG1709" s="355">
        <v>2.2481000000000001E-2</v>
      </c>
      <c r="BH1709" s="624">
        <v>40647</v>
      </c>
      <c r="BI1709" s="355">
        <v>0.115453</v>
      </c>
      <c r="BJ1709" s="624">
        <v>40646</v>
      </c>
      <c r="BK1709" s="355">
        <v>3.3173000000000001E-2</v>
      </c>
    </row>
    <row r="1710" spans="3:63" x14ac:dyDescent="0.15">
      <c r="C1710" s="624"/>
      <c r="D1710" s="355">
        <v>3.5319999999999997E-2</v>
      </c>
      <c r="AV1710" s="624"/>
      <c r="AX1710" s="624">
        <v>40653</v>
      </c>
      <c r="AY1710" s="355">
        <v>3.5619999999999999E-2</v>
      </c>
      <c r="AZ1710" s="624">
        <v>40717</v>
      </c>
      <c r="BA1710" s="355">
        <v>1.4200000000000001E-2</v>
      </c>
      <c r="BB1710" s="624">
        <v>40648</v>
      </c>
      <c r="BC1710" s="355">
        <v>0.36549999999999999</v>
      </c>
      <c r="BD1710" s="624">
        <v>40648</v>
      </c>
      <c r="BE1710" s="355">
        <v>9.1829999999999995E-2</v>
      </c>
      <c r="BF1710" s="624">
        <v>40736</v>
      </c>
      <c r="BG1710" s="355">
        <v>2.2366E-2</v>
      </c>
      <c r="BH1710" s="624">
        <v>40648</v>
      </c>
      <c r="BI1710" s="355">
        <v>0.11546099999999999</v>
      </c>
      <c r="BJ1710" s="624">
        <v>40647</v>
      </c>
      <c r="BK1710" s="355">
        <v>3.3205999999999999E-2</v>
      </c>
    </row>
    <row r="1711" spans="3:63" x14ac:dyDescent="0.15">
      <c r="C1711" s="624"/>
      <c r="D1711" s="355">
        <v>3.5619999999999999E-2</v>
      </c>
      <c r="AV1711" s="624"/>
      <c r="AX1711" s="624">
        <v>40654</v>
      </c>
      <c r="AY1711" s="355">
        <v>3.5720000000000002E-2</v>
      </c>
      <c r="AZ1711" s="624">
        <v>40718</v>
      </c>
      <c r="BA1711" s="355">
        <v>1.4E-2</v>
      </c>
      <c r="BB1711" s="624">
        <v>40651</v>
      </c>
      <c r="BC1711" s="355">
        <v>0.35659999999999997</v>
      </c>
      <c r="BD1711" s="624">
        <v>40651</v>
      </c>
      <c r="BE1711" s="355">
        <v>9.171E-2</v>
      </c>
      <c r="BF1711" s="624">
        <v>40737</v>
      </c>
      <c r="BG1711" s="355">
        <v>2.2461999999999999E-2</v>
      </c>
      <c r="BH1711" s="624">
        <v>40651</v>
      </c>
      <c r="BI1711" s="355">
        <v>0.11504200000000001</v>
      </c>
      <c r="BJ1711" s="624">
        <v>40648</v>
      </c>
      <c r="BK1711" s="355">
        <v>3.3189999999999997E-2</v>
      </c>
    </row>
    <row r="1712" spans="3:63" x14ac:dyDescent="0.15">
      <c r="C1712" s="624"/>
      <c r="D1712" s="355">
        <v>3.5720000000000002E-2</v>
      </c>
      <c r="AV1712" s="624"/>
      <c r="AX1712" s="624">
        <v>40655</v>
      </c>
      <c r="AY1712" s="355">
        <v>3.5709999999999999E-2</v>
      </c>
      <c r="AZ1712" s="624">
        <v>40721</v>
      </c>
      <c r="BA1712" s="355">
        <v>1.41E-2</v>
      </c>
      <c r="BB1712" s="624">
        <v>40652</v>
      </c>
      <c r="BC1712" s="355">
        <v>0.36130000000000001</v>
      </c>
      <c r="BD1712" s="624">
        <v>40652</v>
      </c>
      <c r="BE1712" s="355">
        <v>9.2109999999999997E-2</v>
      </c>
      <c r="BF1712" s="624">
        <v>40738</v>
      </c>
      <c r="BG1712" s="355">
        <v>2.2467999999999998E-2</v>
      </c>
      <c r="BH1712" s="624">
        <v>40652</v>
      </c>
      <c r="BI1712" s="355">
        <v>0.115247</v>
      </c>
      <c r="BJ1712" s="624">
        <v>40651</v>
      </c>
      <c r="BK1712" s="355">
        <v>3.3201000000000001E-2</v>
      </c>
    </row>
    <row r="1713" spans="3:63" x14ac:dyDescent="0.15">
      <c r="C1713" s="624"/>
      <c r="D1713" s="355">
        <v>3.5709999999999999E-2</v>
      </c>
      <c r="AV1713" s="624"/>
      <c r="AX1713" s="624">
        <v>40658</v>
      </c>
      <c r="AY1713" s="355">
        <v>3.5889999999999998E-2</v>
      </c>
      <c r="AZ1713" s="624">
        <v>40722</v>
      </c>
      <c r="BA1713" s="355">
        <v>1.41E-2</v>
      </c>
      <c r="BB1713" s="624">
        <v>40653</v>
      </c>
      <c r="BC1713" s="355">
        <v>0.36580000000000001</v>
      </c>
      <c r="BD1713" s="624">
        <v>40653</v>
      </c>
      <c r="BE1713" s="355">
        <v>9.2869999999999994E-2</v>
      </c>
      <c r="BF1713" s="624">
        <v>40739</v>
      </c>
      <c r="BG1713" s="355">
        <v>2.2463E-2</v>
      </c>
      <c r="BH1713" s="624">
        <v>40653</v>
      </c>
      <c r="BI1713" s="355">
        <v>0.115768</v>
      </c>
      <c r="BJ1713" s="624">
        <v>40652</v>
      </c>
      <c r="BK1713" s="355">
        <v>3.3293999999999997E-2</v>
      </c>
    </row>
    <row r="1714" spans="3:63" x14ac:dyDescent="0.15">
      <c r="C1714" s="624"/>
      <c r="D1714" s="355">
        <v>3.5889999999999998E-2</v>
      </c>
      <c r="AV1714" s="624"/>
      <c r="AX1714" s="624">
        <v>40659</v>
      </c>
      <c r="AY1714" s="355">
        <v>3.601E-2</v>
      </c>
      <c r="AZ1714" s="624">
        <v>40723</v>
      </c>
      <c r="BA1714" s="355">
        <v>1.41E-2</v>
      </c>
      <c r="BB1714" s="624">
        <v>40654</v>
      </c>
      <c r="BC1714" s="355">
        <v>0.36899999999999999</v>
      </c>
      <c r="BD1714" s="624">
        <v>40654</v>
      </c>
      <c r="BE1714" s="355">
        <v>9.2460000000000001E-2</v>
      </c>
      <c r="BF1714" s="624">
        <v>40742</v>
      </c>
      <c r="BG1714" s="355">
        <v>2.2433999999999999E-2</v>
      </c>
      <c r="BH1714" s="624">
        <v>40654</v>
      </c>
      <c r="BI1714" s="355">
        <v>0.116077</v>
      </c>
      <c r="BJ1714" s="624">
        <v>40653</v>
      </c>
      <c r="BK1714" s="355">
        <v>3.3411000000000003E-2</v>
      </c>
    </row>
    <row r="1715" spans="3:63" x14ac:dyDescent="0.15">
      <c r="C1715" s="624"/>
      <c r="D1715" s="355">
        <v>3.601E-2</v>
      </c>
      <c r="AV1715" s="624"/>
      <c r="AX1715" s="624">
        <v>40660</v>
      </c>
      <c r="AY1715" s="355">
        <v>3.6200000000000003E-2</v>
      </c>
      <c r="AZ1715" s="624">
        <v>40724</v>
      </c>
      <c r="BA1715" s="355">
        <v>1.44E-2</v>
      </c>
      <c r="BB1715" s="624">
        <v>40655</v>
      </c>
      <c r="BC1715" s="355">
        <v>0.36859999999999998</v>
      </c>
      <c r="BD1715" s="624">
        <v>40655</v>
      </c>
      <c r="BE1715" s="355">
        <v>9.2480000000000007E-2</v>
      </c>
      <c r="BF1715" s="624">
        <v>40743</v>
      </c>
      <c r="BG1715" s="355">
        <v>2.2474000000000001E-2</v>
      </c>
      <c r="BH1715" s="624">
        <v>40655</v>
      </c>
      <c r="BI1715" s="355">
        <v>0.116009</v>
      </c>
      <c r="BJ1715" s="624">
        <v>40654</v>
      </c>
      <c r="BK1715" s="355">
        <v>3.3411000000000003E-2</v>
      </c>
    </row>
    <row r="1716" spans="3:63" x14ac:dyDescent="0.15">
      <c r="C1716" s="624"/>
      <c r="D1716" s="355">
        <v>3.6200000000000003E-2</v>
      </c>
      <c r="AV1716" s="624"/>
      <c r="AX1716" s="624">
        <v>40661</v>
      </c>
      <c r="AY1716" s="355">
        <v>3.6360000000000003E-2</v>
      </c>
      <c r="AZ1716" s="624">
        <v>40725</v>
      </c>
      <c r="BA1716" s="355">
        <v>1.4500000000000001E-2</v>
      </c>
      <c r="BB1716" s="624">
        <v>40658</v>
      </c>
      <c r="BC1716" s="355">
        <v>0.36959999999999998</v>
      </c>
      <c r="BD1716" s="624">
        <v>40658</v>
      </c>
      <c r="BE1716" s="355">
        <v>9.2600000000000002E-2</v>
      </c>
      <c r="BF1716" s="624">
        <v>40744</v>
      </c>
      <c r="BG1716" s="355">
        <v>2.2487E-2</v>
      </c>
      <c r="BH1716" s="624">
        <v>40658</v>
      </c>
      <c r="BI1716" s="355">
        <v>0.116171</v>
      </c>
      <c r="BJ1716" s="624">
        <v>40655</v>
      </c>
      <c r="BK1716" s="355">
        <v>3.3405999999999998E-2</v>
      </c>
    </row>
    <row r="1717" spans="3:63" x14ac:dyDescent="0.15">
      <c r="C1717" s="624"/>
      <c r="D1717" s="355">
        <v>3.6360000000000003E-2</v>
      </c>
      <c r="AV1717" s="624"/>
      <c r="AX1717" s="624">
        <v>40662</v>
      </c>
      <c r="AY1717" s="355">
        <v>3.6490000000000002E-2</v>
      </c>
      <c r="AZ1717" s="624">
        <v>40728</v>
      </c>
      <c r="BA1717" s="355">
        <v>1.4500000000000001E-2</v>
      </c>
      <c r="BB1717" s="624">
        <v>40659</v>
      </c>
      <c r="BC1717" s="355">
        <v>0.3715</v>
      </c>
      <c r="BD1717" s="624">
        <v>40659</v>
      </c>
      <c r="BE1717" s="355">
        <v>9.2399999999999996E-2</v>
      </c>
      <c r="BF1717" s="624">
        <v>40745</v>
      </c>
      <c r="BG1717" s="355">
        <v>2.2468999999999999E-2</v>
      </c>
      <c r="BH1717" s="624">
        <v>40659</v>
      </c>
      <c r="BI1717" s="355">
        <v>0.11564000000000001</v>
      </c>
      <c r="BJ1717" s="624">
        <v>40658</v>
      </c>
      <c r="BK1717" s="355">
        <v>3.3433999999999998E-2</v>
      </c>
    </row>
    <row r="1718" spans="3:63" x14ac:dyDescent="0.15">
      <c r="C1718" s="624"/>
      <c r="D1718" s="355">
        <v>3.6490000000000002E-2</v>
      </c>
      <c r="AV1718" s="624"/>
      <c r="AX1718" s="624">
        <v>40665</v>
      </c>
      <c r="AY1718" s="355">
        <v>3.6560000000000002E-2</v>
      </c>
      <c r="AZ1718" s="624">
        <v>40729</v>
      </c>
      <c r="BA1718" s="355">
        <v>1.43E-2</v>
      </c>
      <c r="BB1718" s="624">
        <v>40660</v>
      </c>
      <c r="BC1718" s="355">
        <v>0.37680000000000002</v>
      </c>
      <c r="BD1718" s="624">
        <v>40660</v>
      </c>
      <c r="BE1718" s="355">
        <v>9.3420000000000003E-2</v>
      </c>
      <c r="BF1718" s="624">
        <v>40746</v>
      </c>
      <c r="BG1718" s="355">
        <v>2.2546E-2</v>
      </c>
      <c r="BH1718" s="624">
        <v>40660</v>
      </c>
      <c r="BI1718" s="355">
        <v>0.115942</v>
      </c>
      <c r="BJ1718" s="624">
        <v>40659</v>
      </c>
      <c r="BK1718" s="355">
        <v>3.3389000000000002E-2</v>
      </c>
    </row>
    <row r="1719" spans="3:63" x14ac:dyDescent="0.15">
      <c r="C1719" s="624"/>
      <c r="D1719" s="355">
        <v>3.6560000000000002E-2</v>
      </c>
      <c r="AV1719" s="624"/>
      <c r="AX1719" s="624">
        <v>40666</v>
      </c>
      <c r="AY1719" s="355">
        <v>3.6560000000000002E-2</v>
      </c>
      <c r="AZ1719" s="624">
        <v>40730</v>
      </c>
      <c r="BA1719" s="355">
        <v>1.4200000000000001E-2</v>
      </c>
      <c r="BB1719" s="624">
        <v>40661</v>
      </c>
      <c r="BC1719" s="355">
        <v>0.37640000000000001</v>
      </c>
      <c r="BD1719" s="624">
        <v>40661</v>
      </c>
      <c r="BE1719" s="355">
        <v>9.3259999999999996E-2</v>
      </c>
      <c r="BF1719" s="624">
        <v>40749</v>
      </c>
      <c r="BG1719" s="355">
        <v>2.2523000000000001E-2</v>
      </c>
      <c r="BH1719" s="624">
        <v>40661</v>
      </c>
      <c r="BI1719" s="355">
        <v>0.116442</v>
      </c>
      <c r="BJ1719" s="624">
        <v>40660</v>
      </c>
      <c r="BK1719" s="355">
        <v>3.3405999999999998E-2</v>
      </c>
    </row>
    <row r="1720" spans="3:63" x14ac:dyDescent="0.15">
      <c r="C1720" s="624"/>
      <c r="D1720" s="355">
        <v>3.6560000000000002E-2</v>
      </c>
      <c r="AV1720" s="624"/>
      <c r="AX1720" s="624">
        <v>40667</v>
      </c>
      <c r="AY1720" s="355">
        <v>3.6560000000000002E-2</v>
      </c>
      <c r="AZ1720" s="624">
        <v>40731</v>
      </c>
      <c r="BA1720" s="355">
        <v>1.43E-2</v>
      </c>
      <c r="BB1720" s="624">
        <v>40662</v>
      </c>
      <c r="BC1720" s="355">
        <v>0.37680000000000002</v>
      </c>
      <c r="BD1720" s="624">
        <v>40662</v>
      </c>
      <c r="BE1720" s="355">
        <v>9.3549999999999994E-2</v>
      </c>
      <c r="BF1720" s="624">
        <v>40750</v>
      </c>
      <c r="BG1720" s="355">
        <v>2.2634999999999999E-2</v>
      </c>
      <c r="BH1720" s="624">
        <v>40662</v>
      </c>
      <c r="BI1720" s="355">
        <v>0.116816</v>
      </c>
      <c r="BJ1720" s="624">
        <v>40661</v>
      </c>
      <c r="BK1720" s="355">
        <v>3.3456E-2</v>
      </c>
    </row>
    <row r="1721" spans="3:63" x14ac:dyDescent="0.15">
      <c r="C1721" s="624"/>
      <c r="D1721" s="355">
        <v>3.6560000000000002E-2</v>
      </c>
      <c r="AV1721" s="624"/>
      <c r="AX1721" s="624">
        <v>40668</v>
      </c>
      <c r="AY1721" s="355">
        <v>3.5990000000000001E-2</v>
      </c>
      <c r="AZ1721" s="624">
        <v>40732</v>
      </c>
      <c r="BA1721" s="355">
        <v>1.41E-2</v>
      </c>
      <c r="BB1721" s="624">
        <v>40665</v>
      </c>
      <c r="BC1721" s="355">
        <v>0.37759999999999999</v>
      </c>
      <c r="BD1721" s="624">
        <v>40665</v>
      </c>
      <c r="BE1721" s="355">
        <v>9.3700000000000006E-2</v>
      </c>
      <c r="BF1721" s="624">
        <v>40751</v>
      </c>
      <c r="BG1721" s="355">
        <v>2.2682000000000001E-2</v>
      </c>
      <c r="BH1721" s="624">
        <v>40665</v>
      </c>
      <c r="BI1721" s="355">
        <v>0.117062</v>
      </c>
      <c r="BJ1721" s="624">
        <v>40662</v>
      </c>
      <c r="BK1721" s="355">
        <v>3.3466999999999997E-2</v>
      </c>
    </row>
    <row r="1722" spans="3:63" x14ac:dyDescent="0.15">
      <c r="C1722" s="624"/>
      <c r="D1722" s="355">
        <v>3.5990000000000001E-2</v>
      </c>
      <c r="AV1722" s="624"/>
      <c r="AX1722" s="624">
        <v>40669</v>
      </c>
      <c r="AY1722" s="355">
        <v>3.6080000000000001E-2</v>
      </c>
      <c r="AZ1722" s="624">
        <v>40735</v>
      </c>
      <c r="BA1722" s="355">
        <v>1.3899999999999999E-2</v>
      </c>
      <c r="BB1722" s="624">
        <v>40666</v>
      </c>
      <c r="BC1722" s="355">
        <v>0.37609999999999999</v>
      </c>
      <c r="BD1722" s="624">
        <v>40666</v>
      </c>
      <c r="BE1722" s="355">
        <v>9.3179999999999999E-2</v>
      </c>
      <c r="BF1722" s="624">
        <v>40752</v>
      </c>
      <c r="BG1722" s="355">
        <v>2.2686000000000001E-2</v>
      </c>
      <c r="BH1722" s="624">
        <v>40666</v>
      </c>
      <c r="BI1722" s="355">
        <v>0.11702799999999999</v>
      </c>
      <c r="BJ1722" s="624">
        <v>40665</v>
      </c>
      <c r="BK1722" s="355">
        <v>3.3466999999999997E-2</v>
      </c>
    </row>
    <row r="1723" spans="3:63" x14ac:dyDescent="0.15">
      <c r="C1723" s="624"/>
      <c r="D1723" s="355">
        <v>3.6080000000000001E-2</v>
      </c>
      <c r="AV1723" s="624"/>
      <c r="AX1723" s="624">
        <v>40672</v>
      </c>
      <c r="AY1723" s="355">
        <v>3.5839999999999997E-2</v>
      </c>
      <c r="AZ1723" s="624">
        <v>40736</v>
      </c>
      <c r="BA1723" s="355">
        <v>1.37E-2</v>
      </c>
      <c r="BB1723" s="624">
        <v>40667</v>
      </c>
      <c r="BC1723" s="355">
        <v>0.37519999999999998</v>
      </c>
      <c r="BD1723" s="624">
        <v>40667</v>
      </c>
      <c r="BE1723" s="355">
        <v>9.2789999999999997E-2</v>
      </c>
      <c r="BF1723" s="624">
        <v>40753</v>
      </c>
      <c r="BG1723" s="355">
        <v>2.2633E-2</v>
      </c>
      <c r="BH1723" s="624">
        <v>40667</v>
      </c>
      <c r="BI1723" s="355">
        <v>0.11695899999999999</v>
      </c>
      <c r="BJ1723" s="624">
        <v>40666</v>
      </c>
      <c r="BK1723" s="355">
        <v>3.3321999999999997E-2</v>
      </c>
    </row>
    <row r="1724" spans="3:63" x14ac:dyDescent="0.15">
      <c r="C1724" s="624"/>
      <c r="D1724" s="355">
        <v>3.5839999999999997E-2</v>
      </c>
      <c r="AV1724" s="624"/>
      <c r="AX1724" s="624">
        <v>40673</v>
      </c>
      <c r="AY1724" s="355">
        <v>3.6089999999999997E-2</v>
      </c>
      <c r="AZ1724" s="624">
        <v>40737</v>
      </c>
      <c r="BA1724" s="355">
        <v>1.37E-2</v>
      </c>
      <c r="BB1724" s="624">
        <v>40668</v>
      </c>
      <c r="BC1724" s="355">
        <v>0.3664</v>
      </c>
      <c r="BD1724" s="624">
        <v>40668</v>
      </c>
      <c r="BE1724" s="355">
        <v>9.2329999999999995E-2</v>
      </c>
      <c r="BF1724" s="624">
        <v>40756</v>
      </c>
      <c r="BG1724" s="355">
        <v>2.2700999999999999E-2</v>
      </c>
      <c r="BH1724" s="624">
        <v>40668</v>
      </c>
      <c r="BI1724" s="355">
        <v>0.116077</v>
      </c>
      <c r="BJ1724" s="624">
        <v>40667</v>
      </c>
      <c r="BK1724" s="355">
        <v>3.3256000000000001E-2</v>
      </c>
    </row>
    <row r="1725" spans="3:63" x14ac:dyDescent="0.15">
      <c r="C1725" s="624"/>
      <c r="D1725" s="355">
        <v>3.6089999999999997E-2</v>
      </c>
      <c r="AV1725" s="624"/>
      <c r="AX1725" s="624">
        <v>40674</v>
      </c>
      <c r="AY1725" s="355">
        <v>3.5830000000000001E-2</v>
      </c>
      <c r="AZ1725" s="624">
        <v>40738</v>
      </c>
      <c r="BA1725" s="355">
        <v>1.37E-2</v>
      </c>
      <c r="BB1725" s="624">
        <v>40669</v>
      </c>
      <c r="BC1725" s="355">
        <v>0.3629</v>
      </c>
      <c r="BD1725" s="624">
        <v>40669</v>
      </c>
      <c r="BE1725" s="355">
        <v>9.2200000000000004E-2</v>
      </c>
      <c r="BF1725" s="624">
        <v>40757</v>
      </c>
      <c r="BG1725" s="355">
        <v>2.2585000000000001E-2</v>
      </c>
      <c r="BH1725" s="624">
        <v>40669</v>
      </c>
      <c r="BI1725" s="355">
        <v>0.11658399999999999</v>
      </c>
      <c r="BJ1725" s="624">
        <v>40668</v>
      </c>
      <c r="BK1725" s="355">
        <v>3.3041000000000001E-2</v>
      </c>
    </row>
    <row r="1726" spans="3:63" x14ac:dyDescent="0.15">
      <c r="C1726" s="624"/>
      <c r="D1726" s="355">
        <v>3.5830000000000001E-2</v>
      </c>
      <c r="AV1726" s="624"/>
      <c r="AX1726" s="624">
        <v>40675</v>
      </c>
      <c r="AY1726" s="355">
        <v>3.5810000000000002E-2</v>
      </c>
      <c r="AZ1726" s="624">
        <v>40739</v>
      </c>
      <c r="BA1726" s="355">
        <v>1.38E-2</v>
      </c>
      <c r="BB1726" s="624">
        <v>40672</v>
      </c>
      <c r="BC1726" s="355">
        <v>0.36549999999999999</v>
      </c>
      <c r="BD1726" s="624">
        <v>40672</v>
      </c>
      <c r="BE1726" s="355">
        <v>9.2609999999999998E-2</v>
      </c>
      <c r="BF1726" s="624">
        <v>40758</v>
      </c>
      <c r="BG1726" s="355">
        <v>2.2568000000000001E-2</v>
      </c>
      <c r="BH1726" s="624">
        <v>40672</v>
      </c>
      <c r="BI1726" s="355">
        <v>0.11690399999999999</v>
      </c>
      <c r="BJ1726" s="624">
        <v>40669</v>
      </c>
      <c r="BK1726" s="355">
        <v>3.3106999999999998E-2</v>
      </c>
    </row>
    <row r="1727" spans="3:63" x14ac:dyDescent="0.15">
      <c r="C1727" s="624"/>
      <c r="D1727" s="355">
        <v>3.5810000000000002E-2</v>
      </c>
      <c r="AV1727" s="624"/>
      <c r="AX1727" s="624">
        <v>40676</v>
      </c>
      <c r="AY1727" s="355">
        <v>3.5520000000000003E-2</v>
      </c>
      <c r="AZ1727" s="624">
        <v>40742</v>
      </c>
      <c r="BA1727" s="355">
        <v>1.3599999999999999E-2</v>
      </c>
      <c r="BB1727" s="624">
        <v>40673</v>
      </c>
      <c r="BC1727" s="355">
        <v>0.36709999999999998</v>
      </c>
      <c r="BD1727" s="624">
        <v>40673</v>
      </c>
      <c r="BE1727" s="355">
        <v>9.264E-2</v>
      </c>
      <c r="BF1727" s="624">
        <v>40759</v>
      </c>
      <c r="BG1727" s="355">
        <v>2.2445E-2</v>
      </c>
      <c r="BH1727" s="624">
        <v>40673</v>
      </c>
      <c r="BI1727" s="355">
        <v>0.116894</v>
      </c>
      <c r="BJ1727" s="624">
        <v>40672</v>
      </c>
      <c r="BK1727" s="355">
        <v>3.3168000000000003E-2</v>
      </c>
    </row>
    <row r="1728" spans="3:63" x14ac:dyDescent="0.15">
      <c r="C1728" s="624"/>
      <c r="D1728" s="355">
        <v>3.5520000000000003E-2</v>
      </c>
      <c r="AV1728" s="624"/>
      <c r="AX1728" s="624">
        <v>40679</v>
      </c>
      <c r="AY1728" s="355">
        <v>3.5520000000000003E-2</v>
      </c>
      <c r="AZ1728" s="624">
        <v>40743</v>
      </c>
      <c r="BA1728" s="355">
        <v>1.3599999999999999E-2</v>
      </c>
      <c r="BB1728" s="624">
        <v>40674</v>
      </c>
      <c r="BC1728" s="355">
        <v>0.36270000000000002</v>
      </c>
      <c r="BD1728" s="624">
        <v>40674</v>
      </c>
      <c r="BE1728" s="355">
        <v>9.2380000000000004E-2</v>
      </c>
      <c r="BF1728" s="624">
        <v>40760</v>
      </c>
      <c r="BG1728" s="355">
        <v>2.2349999999999998E-2</v>
      </c>
      <c r="BH1728" s="624">
        <v>40674</v>
      </c>
      <c r="BI1728" s="355">
        <v>0.11698600000000001</v>
      </c>
      <c r="BJ1728" s="624">
        <v>40673</v>
      </c>
      <c r="BK1728" s="355">
        <v>3.3201000000000001E-2</v>
      </c>
    </row>
    <row r="1729" spans="3:63" x14ac:dyDescent="0.15">
      <c r="C1729" s="624"/>
      <c r="D1729" s="355">
        <v>3.5520000000000003E-2</v>
      </c>
      <c r="AV1729" s="624"/>
      <c r="AX1729" s="624">
        <v>40680</v>
      </c>
      <c r="AY1729" s="355">
        <v>3.551E-2</v>
      </c>
      <c r="AZ1729" s="624">
        <v>40744</v>
      </c>
      <c r="BA1729" s="355">
        <v>1.3599999999999999E-2</v>
      </c>
      <c r="BB1729" s="624">
        <v>40675</v>
      </c>
      <c r="BC1729" s="355">
        <v>0.36420000000000002</v>
      </c>
      <c r="BD1729" s="624">
        <v>40675</v>
      </c>
      <c r="BE1729" s="355">
        <v>9.1910000000000006E-2</v>
      </c>
      <c r="BF1729" s="624">
        <v>40763</v>
      </c>
      <c r="BG1729" s="355">
        <v>2.2235000000000001E-2</v>
      </c>
      <c r="BH1729" s="624">
        <v>40675</v>
      </c>
      <c r="BI1729" s="355">
        <v>0.11702799999999999</v>
      </c>
      <c r="BJ1729" s="624">
        <v>40674</v>
      </c>
      <c r="BK1729" s="355">
        <v>3.3124000000000001E-2</v>
      </c>
    </row>
    <row r="1730" spans="3:63" x14ac:dyDescent="0.15">
      <c r="C1730" s="624"/>
      <c r="D1730" s="355">
        <v>3.551E-2</v>
      </c>
      <c r="AV1730" s="624"/>
      <c r="AX1730" s="624">
        <v>40681</v>
      </c>
      <c r="AY1730" s="355">
        <v>3.5749999999999997E-2</v>
      </c>
      <c r="AZ1730" s="624">
        <v>40745</v>
      </c>
      <c r="BA1730" s="355">
        <v>1.37E-2</v>
      </c>
      <c r="BB1730" s="624">
        <v>40676</v>
      </c>
      <c r="BC1730" s="355">
        <v>0.35830000000000001</v>
      </c>
      <c r="BD1730" s="624">
        <v>40676</v>
      </c>
      <c r="BE1730" s="355">
        <v>9.1810000000000003E-2</v>
      </c>
      <c r="BF1730" s="624">
        <v>40764</v>
      </c>
      <c r="BG1730" s="355">
        <v>2.2117000000000001E-2</v>
      </c>
      <c r="BH1730" s="624">
        <v>40676</v>
      </c>
      <c r="BI1730" s="355">
        <v>0.116857</v>
      </c>
      <c r="BJ1730" s="624">
        <v>40675</v>
      </c>
      <c r="BK1730" s="355">
        <v>3.3047E-2</v>
      </c>
    </row>
    <row r="1731" spans="3:63" x14ac:dyDescent="0.15">
      <c r="C1731" s="624"/>
      <c r="D1731" s="355">
        <v>3.5749999999999997E-2</v>
      </c>
      <c r="AV1731" s="624"/>
      <c r="AX1731" s="624">
        <v>40682</v>
      </c>
      <c r="AY1731" s="355">
        <v>3.5790000000000002E-2</v>
      </c>
      <c r="AZ1731" s="624">
        <v>40746</v>
      </c>
      <c r="BA1731" s="355">
        <v>1.37E-2</v>
      </c>
      <c r="BB1731" s="624">
        <v>40679</v>
      </c>
      <c r="BC1731" s="355">
        <v>0.35980000000000001</v>
      </c>
      <c r="BD1731" s="624">
        <v>40679</v>
      </c>
      <c r="BE1731" s="355">
        <v>9.1189999999999993E-2</v>
      </c>
      <c r="BF1731" s="624">
        <v>40765</v>
      </c>
      <c r="BG1731" s="355">
        <v>2.2093000000000002E-2</v>
      </c>
      <c r="BH1731" s="624">
        <v>40679</v>
      </c>
      <c r="BI1731" s="355">
        <v>0.116645</v>
      </c>
      <c r="BJ1731" s="624">
        <v>40676</v>
      </c>
      <c r="BK1731" s="355">
        <v>3.3014000000000002E-2</v>
      </c>
    </row>
    <row r="1732" spans="3:63" x14ac:dyDescent="0.15">
      <c r="C1732" s="624"/>
      <c r="D1732" s="355">
        <v>3.5790000000000002E-2</v>
      </c>
      <c r="AV1732" s="624"/>
      <c r="AX1732" s="624">
        <v>40683</v>
      </c>
      <c r="AY1732" s="355">
        <v>3.5490000000000001E-2</v>
      </c>
      <c r="AZ1732" s="624">
        <v>40749</v>
      </c>
      <c r="BA1732" s="355">
        <v>1.38E-2</v>
      </c>
      <c r="BB1732" s="624">
        <v>40680</v>
      </c>
      <c r="BC1732" s="355">
        <v>0.3624</v>
      </c>
      <c r="BD1732" s="624">
        <v>40680</v>
      </c>
      <c r="BE1732" s="355">
        <v>9.1649999999999995E-2</v>
      </c>
      <c r="BF1732" s="624">
        <v>40766</v>
      </c>
      <c r="BG1732" s="355">
        <v>2.2026E-2</v>
      </c>
      <c r="BH1732" s="624">
        <v>40680</v>
      </c>
      <c r="BI1732" s="355">
        <v>0.116517</v>
      </c>
      <c r="BJ1732" s="624">
        <v>40679</v>
      </c>
      <c r="BK1732" s="355">
        <v>3.2948999999999999E-2</v>
      </c>
    </row>
    <row r="1733" spans="3:63" x14ac:dyDescent="0.15">
      <c r="C1733" s="624"/>
      <c r="D1733" s="355">
        <v>3.5490000000000001E-2</v>
      </c>
      <c r="AV1733" s="624"/>
      <c r="AX1733" s="624">
        <v>40686</v>
      </c>
      <c r="AY1733" s="355">
        <v>3.5090000000000003E-2</v>
      </c>
      <c r="AZ1733" s="624">
        <v>40750</v>
      </c>
      <c r="BA1733" s="355">
        <v>1.4E-2</v>
      </c>
      <c r="BB1733" s="624">
        <v>40681</v>
      </c>
      <c r="BC1733" s="355">
        <v>0.36399999999999999</v>
      </c>
      <c r="BD1733" s="624">
        <v>40681</v>
      </c>
      <c r="BE1733" s="355">
        <v>9.1880000000000003E-2</v>
      </c>
      <c r="BF1733" s="624">
        <v>40767</v>
      </c>
      <c r="BG1733" s="355">
        <v>2.2053E-2</v>
      </c>
      <c r="BH1733" s="624">
        <v>40681</v>
      </c>
      <c r="BI1733" s="355">
        <v>0.116823</v>
      </c>
      <c r="BJ1733" s="624">
        <v>40680</v>
      </c>
      <c r="BK1733" s="355">
        <v>3.2992E-2</v>
      </c>
    </row>
    <row r="1734" spans="3:63" x14ac:dyDescent="0.15">
      <c r="C1734" s="624"/>
      <c r="D1734" s="355">
        <v>3.5090000000000003E-2</v>
      </c>
      <c r="AV1734" s="624"/>
      <c r="AX1734" s="624">
        <v>40687</v>
      </c>
      <c r="AY1734" s="355">
        <v>3.526E-2</v>
      </c>
      <c r="AZ1734" s="624">
        <v>40751</v>
      </c>
      <c r="BA1734" s="355">
        <v>1.4E-2</v>
      </c>
      <c r="BB1734" s="624">
        <v>40682</v>
      </c>
      <c r="BC1734" s="355">
        <v>0.36509999999999998</v>
      </c>
      <c r="BD1734" s="624">
        <v>40682</v>
      </c>
      <c r="BE1734" s="355">
        <v>9.2240000000000003E-2</v>
      </c>
      <c r="BF1734" s="624">
        <v>40771</v>
      </c>
      <c r="BG1734" s="355">
        <v>2.2034999999999999E-2</v>
      </c>
      <c r="BH1734" s="624">
        <v>40682</v>
      </c>
      <c r="BI1734" s="355">
        <v>0.116857</v>
      </c>
      <c r="BJ1734" s="624">
        <v>40681</v>
      </c>
      <c r="BK1734" s="355">
        <v>3.3024999999999999E-2</v>
      </c>
    </row>
    <row r="1735" spans="3:63" x14ac:dyDescent="0.15">
      <c r="C1735" s="624"/>
      <c r="D1735" s="355">
        <v>3.526E-2</v>
      </c>
      <c r="AV1735" s="624"/>
      <c r="AX1735" s="624">
        <v>40688</v>
      </c>
      <c r="AY1735" s="355">
        <v>3.5189999999999999E-2</v>
      </c>
      <c r="AZ1735" s="624">
        <v>40752</v>
      </c>
      <c r="BA1735" s="355">
        <v>1.4E-2</v>
      </c>
      <c r="BB1735" s="624">
        <v>40683</v>
      </c>
      <c r="BC1735" s="355">
        <v>0.36099999999999999</v>
      </c>
      <c r="BD1735" s="624">
        <v>40683</v>
      </c>
      <c r="BE1735" s="355">
        <v>9.2299999999999993E-2</v>
      </c>
      <c r="BF1735" s="624">
        <v>40772</v>
      </c>
      <c r="BG1735" s="355">
        <v>2.2022E-2</v>
      </c>
      <c r="BH1735" s="624">
        <v>40683</v>
      </c>
      <c r="BI1735" s="355">
        <v>0.11695899999999999</v>
      </c>
      <c r="BJ1735" s="624">
        <v>40682</v>
      </c>
      <c r="BK1735" s="355">
        <v>3.3057999999999997E-2</v>
      </c>
    </row>
    <row r="1736" spans="3:63" x14ac:dyDescent="0.15">
      <c r="C1736" s="624"/>
      <c r="D1736" s="355">
        <v>3.5189999999999999E-2</v>
      </c>
      <c r="AV1736" s="624"/>
      <c r="AX1736" s="624">
        <v>40689</v>
      </c>
      <c r="AY1736" s="355">
        <v>3.5389999999999998E-2</v>
      </c>
      <c r="AZ1736" s="624">
        <v>40753</v>
      </c>
      <c r="BA1736" s="355">
        <v>1.4E-2</v>
      </c>
      <c r="BB1736" s="624">
        <v>40686</v>
      </c>
      <c r="BC1736" s="355">
        <v>0.35580000000000001</v>
      </c>
      <c r="BD1736" s="624">
        <v>40686</v>
      </c>
      <c r="BE1736" s="355">
        <v>9.1289999999999996E-2</v>
      </c>
      <c r="BF1736" s="624">
        <v>40773</v>
      </c>
      <c r="BG1736" s="355">
        <v>2.1859E-2</v>
      </c>
      <c r="BH1736" s="624">
        <v>40686</v>
      </c>
      <c r="BI1736" s="355">
        <v>0.116448</v>
      </c>
      <c r="BJ1736" s="624">
        <v>40683</v>
      </c>
      <c r="BK1736" s="355">
        <v>3.3019E-2</v>
      </c>
    </row>
    <row r="1737" spans="3:63" x14ac:dyDescent="0.15">
      <c r="C1737" s="624"/>
      <c r="D1737" s="355">
        <v>3.5389999999999998E-2</v>
      </c>
      <c r="AV1737" s="624"/>
      <c r="AX1737" s="624">
        <v>40690</v>
      </c>
      <c r="AY1737" s="355">
        <v>3.569E-2</v>
      </c>
      <c r="AZ1737" s="624">
        <v>40756</v>
      </c>
      <c r="BA1737" s="355">
        <v>1.4E-2</v>
      </c>
      <c r="BB1737" s="624">
        <v>40687</v>
      </c>
      <c r="BC1737" s="355">
        <v>0.35699999999999998</v>
      </c>
      <c r="BD1737" s="624">
        <v>40687</v>
      </c>
      <c r="BE1737" s="355">
        <v>9.1439999999999994E-2</v>
      </c>
      <c r="BF1737" s="624">
        <v>40777</v>
      </c>
      <c r="BG1737" s="355">
        <v>2.1897E-2</v>
      </c>
      <c r="BH1737" s="624">
        <v>40687</v>
      </c>
      <c r="BI1737" s="355">
        <v>0.11672</v>
      </c>
      <c r="BJ1737" s="624">
        <v>40686</v>
      </c>
      <c r="BK1737" s="355">
        <v>3.2926999999999998E-2</v>
      </c>
    </row>
    <row r="1738" spans="3:63" x14ac:dyDescent="0.15">
      <c r="C1738" s="624"/>
      <c r="D1738" s="355">
        <v>3.569E-2</v>
      </c>
      <c r="AV1738" s="624"/>
      <c r="AX1738" s="624">
        <v>40693</v>
      </c>
      <c r="AY1738" s="355">
        <v>3.5610000000000003E-2</v>
      </c>
      <c r="AZ1738" s="624">
        <v>40757</v>
      </c>
      <c r="BA1738" s="355">
        <v>1.4E-2</v>
      </c>
      <c r="BB1738" s="624">
        <v>40688</v>
      </c>
      <c r="BC1738" s="355">
        <v>0.35520000000000002</v>
      </c>
      <c r="BD1738" s="624">
        <v>40688</v>
      </c>
      <c r="BE1738" s="355">
        <v>9.0660000000000004E-2</v>
      </c>
      <c r="BF1738" s="624">
        <v>40778</v>
      </c>
      <c r="BG1738" s="355">
        <v>2.1918E-2</v>
      </c>
      <c r="BH1738" s="624">
        <v>40688</v>
      </c>
      <c r="BI1738" s="355">
        <v>0.116414</v>
      </c>
      <c r="BJ1738" s="624">
        <v>40687</v>
      </c>
      <c r="BK1738" s="355">
        <v>3.2911000000000003E-2</v>
      </c>
    </row>
    <row r="1739" spans="3:63" x14ac:dyDescent="0.15">
      <c r="C1739" s="624"/>
      <c r="D1739" s="355">
        <v>3.5610000000000003E-2</v>
      </c>
      <c r="AV1739" s="624"/>
      <c r="AX1739" s="624">
        <v>40694</v>
      </c>
      <c r="AY1739" s="355">
        <v>3.5749999999999997E-2</v>
      </c>
      <c r="AZ1739" s="624">
        <v>40758</v>
      </c>
      <c r="BA1739" s="355">
        <v>1.4E-2</v>
      </c>
      <c r="BB1739" s="624">
        <v>40689</v>
      </c>
      <c r="BC1739" s="355">
        <v>0.35499999999999998</v>
      </c>
      <c r="BD1739" s="624">
        <v>40689</v>
      </c>
      <c r="BE1739" s="355">
        <v>9.2020000000000005E-2</v>
      </c>
      <c r="BF1739" s="624">
        <v>40779</v>
      </c>
      <c r="BG1739" s="355">
        <v>2.1743999999999999E-2</v>
      </c>
      <c r="BH1739" s="624">
        <v>40689</v>
      </c>
      <c r="BI1739" s="355">
        <v>0.11651599999999999</v>
      </c>
      <c r="BJ1739" s="624">
        <v>40688</v>
      </c>
      <c r="BK1739" s="355">
        <v>3.2862000000000002E-2</v>
      </c>
    </row>
    <row r="1740" spans="3:63" x14ac:dyDescent="0.15">
      <c r="C1740" s="624"/>
      <c r="D1740" s="355">
        <v>3.5749999999999997E-2</v>
      </c>
      <c r="AV1740" s="624"/>
      <c r="AX1740" s="624">
        <v>40695</v>
      </c>
      <c r="AY1740" s="355">
        <v>3.569E-2</v>
      </c>
      <c r="AZ1740" s="624">
        <v>40759</v>
      </c>
      <c r="BA1740" s="355">
        <v>1.38E-2</v>
      </c>
      <c r="BB1740" s="624">
        <v>40690</v>
      </c>
      <c r="BC1740" s="355">
        <v>0.36080000000000001</v>
      </c>
      <c r="BD1740" s="624">
        <v>40690</v>
      </c>
      <c r="BE1740" s="355">
        <v>9.2490000000000003E-2</v>
      </c>
      <c r="BF1740" s="624">
        <v>40780</v>
      </c>
      <c r="BG1740" s="355">
        <v>2.1715999999999999E-2</v>
      </c>
      <c r="BH1740" s="624">
        <v>40690</v>
      </c>
      <c r="BI1740" s="355">
        <v>0.11665200000000001</v>
      </c>
      <c r="BJ1740" s="624">
        <v>40689</v>
      </c>
      <c r="BK1740" s="355">
        <v>3.2883999999999997E-2</v>
      </c>
    </row>
    <row r="1741" spans="3:63" x14ac:dyDescent="0.15">
      <c r="C1741" s="624"/>
      <c r="D1741" s="355">
        <v>3.569E-2</v>
      </c>
      <c r="AV1741" s="624"/>
      <c r="AX1741" s="624">
        <v>40696</v>
      </c>
      <c r="AY1741" s="355">
        <v>3.5880000000000002E-2</v>
      </c>
      <c r="AZ1741" s="624">
        <v>40760</v>
      </c>
      <c r="BA1741" s="355">
        <v>1.4E-2</v>
      </c>
      <c r="BB1741" s="624">
        <v>40693</v>
      </c>
      <c r="BC1741" s="355">
        <v>0.35899999999999999</v>
      </c>
      <c r="BD1741" s="624">
        <v>40693</v>
      </c>
      <c r="BE1741" s="355">
        <v>9.2609999999999998E-2</v>
      </c>
      <c r="BF1741" s="624">
        <v>40781</v>
      </c>
      <c r="BG1741" s="355">
        <v>2.1666000000000001E-2</v>
      </c>
      <c r="BH1741" s="624">
        <v>40693</v>
      </c>
      <c r="BI1741" s="355">
        <v>0.11702799999999999</v>
      </c>
      <c r="BJ1741" s="624">
        <v>40690</v>
      </c>
      <c r="BK1741" s="355">
        <v>3.2992E-2</v>
      </c>
    </row>
    <row r="1742" spans="3:63" x14ac:dyDescent="0.15">
      <c r="C1742" s="624"/>
      <c r="D1742" s="355">
        <v>3.5880000000000002E-2</v>
      </c>
      <c r="AV1742" s="624"/>
      <c r="AX1742" s="624">
        <v>40697</v>
      </c>
      <c r="AY1742" s="355">
        <v>3.5970000000000002E-2</v>
      </c>
      <c r="AZ1742" s="624">
        <v>40763</v>
      </c>
      <c r="BA1742" s="355">
        <v>1.38E-2</v>
      </c>
      <c r="BB1742" s="624">
        <v>40694</v>
      </c>
      <c r="BC1742" s="355">
        <v>0.36459999999999998</v>
      </c>
      <c r="BD1742" s="624">
        <v>40694</v>
      </c>
      <c r="BE1742" s="355">
        <v>9.2799999999999994E-2</v>
      </c>
      <c r="BF1742" s="624">
        <v>40784</v>
      </c>
      <c r="BG1742" s="355">
        <v>2.1711000000000001E-2</v>
      </c>
      <c r="BH1742" s="624">
        <v>40694</v>
      </c>
      <c r="BI1742" s="355">
        <v>0.117062</v>
      </c>
      <c r="BJ1742" s="624">
        <v>40693</v>
      </c>
      <c r="BK1742" s="355">
        <v>3.2975999999999998E-2</v>
      </c>
    </row>
    <row r="1743" spans="3:63" x14ac:dyDescent="0.15">
      <c r="C1743" s="624"/>
      <c r="D1743" s="355">
        <v>3.5970000000000002E-2</v>
      </c>
      <c r="AV1743" s="624"/>
      <c r="AX1743" s="624">
        <v>40700</v>
      </c>
      <c r="AY1743" s="355">
        <v>3.5900000000000001E-2</v>
      </c>
      <c r="AZ1743" s="624">
        <v>40764</v>
      </c>
      <c r="BA1743" s="355">
        <v>1.37E-2</v>
      </c>
      <c r="BB1743" s="624">
        <v>40695</v>
      </c>
      <c r="BC1743" s="355">
        <v>0.36109999999999998</v>
      </c>
      <c r="BD1743" s="624">
        <v>40695</v>
      </c>
      <c r="BE1743" s="355">
        <v>9.2460000000000001E-2</v>
      </c>
      <c r="BF1743" s="624">
        <v>40785</v>
      </c>
      <c r="BG1743" s="355">
        <v>2.1694000000000001E-2</v>
      </c>
      <c r="BH1743" s="624">
        <v>40695</v>
      </c>
      <c r="BI1743" s="355">
        <v>0.11704100000000001</v>
      </c>
      <c r="BJ1743" s="624">
        <v>40694</v>
      </c>
      <c r="BK1743" s="355">
        <v>3.2998E-2</v>
      </c>
    </row>
    <row r="1744" spans="3:63" x14ac:dyDescent="0.15">
      <c r="C1744" s="624"/>
      <c r="D1744" s="355">
        <v>3.5900000000000001E-2</v>
      </c>
      <c r="AV1744" s="624"/>
      <c r="AX1744" s="624">
        <v>40701</v>
      </c>
      <c r="AY1744" s="355">
        <v>3.61E-2</v>
      </c>
      <c r="AZ1744" s="624">
        <v>40765</v>
      </c>
      <c r="BA1744" s="355">
        <v>1.38E-2</v>
      </c>
      <c r="BB1744" s="624">
        <v>40696</v>
      </c>
      <c r="BC1744" s="355">
        <v>0.36720000000000003</v>
      </c>
      <c r="BD1744" s="624">
        <v>40696</v>
      </c>
      <c r="BE1744" s="355">
        <v>9.2850000000000002E-2</v>
      </c>
      <c r="BF1744" s="624">
        <v>40788</v>
      </c>
      <c r="BG1744" s="355">
        <v>2.1835E-2</v>
      </c>
      <c r="BH1744" s="624">
        <v>40696</v>
      </c>
      <c r="BI1744" s="355">
        <v>0.117076</v>
      </c>
      <c r="BJ1744" s="624">
        <v>40695</v>
      </c>
      <c r="BK1744" s="355">
        <v>3.3041000000000001E-2</v>
      </c>
    </row>
    <row r="1745" spans="3:63" x14ac:dyDescent="0.15">
      <c r="C1745" s="624"/>
      <c r="D1745" s="355">
        <v>3.61E-2</v>
      </c>
      <c r="AV1745" s="624"/>
      <c r="AX1745" s="624">
        <v>40702</v>
      </c>
      <c r="AY1745" s="355">
        <v>3.6040000000000003E-2</v>
      </c>
      <c r="AZ1745" s="624">
        <v>40766</v>
      </c>
      <c r="BA1745" s="355">
        <v>1.3899999999999999E-2</v>
      </c>
      <c r="BB1745" s="624">
        <v>40697</v>
      </c>
      <c r="BC1745" s="355">
        <v>0.36980000000000002</v>
      </c>
      <c r="BD1745" s="624">
        <v>40697</v>
      </c>
      <c r="BE1745" s="355">
        <v>9.2859999999999998E-2</v>
      </c>
      <c r="BF1745" s="624">
        <v>40791</v>
      </c>
      <c r="BG1745" s="355">
        <v>2.1741E-2</v>
      </c>
      <c r="BH1745" s="624">
        <v>40697</v>
      </c>
      <c r="BI1745" s="355">
        <v>0.11735</v>
      </c>
      <c r="BJ1745" s="624">
        <v>40696</v>
      </c>
      <c r="BK1745" s="355">
        <v>3.3014000000000002E-2</v>
      </c>
    </row>
    <row r="1746" spans="3:63" x14ac:dyDescent="0.15">
      <c r="C1746" s="624"/>
      <c r="D1746" s="355">
        <v>3.6040000000000003E-2</v>
      </c>
      <c r="AV1746" s="624"/>
      <c r="AX1746" s="624">
        <v>40703</v>
      </c>
      <c r="AY1746" s="355">
        <v>3.601E-2</v>
      </c>
      <c r="AZ1746" s="624">
        <v>40767</v>
      </c>
      <c r="BA1746" s="355">
        <v>1.4E-2</v>
      </c>
      <c r="BB1746" s="624">
        <v>40700</v>
      </c>
      <c r="BC1746" s="355">
        <v>0.36820000000000003</v>
      </c>
      <c r="BD1746" s="624">
        <v>40700</v>
      </c>
      <c r="BE1746" s="355">
        <v>9.2490000000000003E-2</v>
      </c>
      <c r="BF1746" s="624">
        <v>40792</v>
      </c>
      <c r="BG1746" s="355">
        <v>2.1683999999999998E-2</v>
      </c>
      <c r="BH1746" s="624">
        <v>40700</v>
      </c>
      <c r="BI1746" s="355">
        <v>0.117405</v>
      </c>
      <c r="BJ1746" s="624">
        <v>40697</v>
      </c>
      <c r="BK1746" s="355">
        <v>3.3041000000000001E-2</v>
      </c>
    </row>
    <row r="1747" spans="3:63" x14ac:dyDescent="0.15">
      <c r="C1747" s="624"/>
      <c r="D1747" s="355">
        <v>3.601E-2</v>
      </c>
      <c r="AV1747" s="624"/>
      <c r="AX1747" s="624">
        <v>40704</v>
      </c>
      <c r="AY1747" s="355">
        <v>3.5720000000000002E-2</v>
      </c>
      <c r="AZ1747" s="624">
        <v>40770</v>
      </c>
      <c r="BA1747" s="355">
        <v>1.41E-2</v>
      </c>
      <c r="BB1747" s="624">
        <v>40701</v>
      </c>
      <c r="BC1747" s="355">
        <v>0.373</v>
      </c>
      <c r="BD1747" s="624">
        <v>40701</v>
      </c>
      <c r="BE1747" s="355">
        <v>9.2509999999999995E-2</v>
      </c>
      <c r="BF1747" s="624">
        <v>40793</v>
      </c>
      <c r="BG1747" s="355">
        <v>2.1659999999999999E-2</v>
      </c>
      <c r="BH1747" s="624">
        <v>40701</v>
      </c>
      <c r="BI1747" s="355">
        <v>0.117606</v>
      </c>
      <c r="BJ1747" s="624">
        <v>40700</v>
      </c>
      <c r="BK1747" s="355">
        <v>3.2987000000000002E-2</v>
      </c>
    </row>
    <row r="1748" spans="3:63" x14ac:dyDescent="0.15">
      <c r="C1748" s="624"/>
      <c r="D1748" s="355">
        <v>3.5720000000000002E-2</v>
      </c>
      <c r="AV1748" s="624"/>
      <c r="AX1748" s="624">
        <v>40707</v>
      </c>
      <c r="AY1748" s="355">
        <v>3.5790000000000002E-2</v>
      </c>
      <c r="AZ1748" s="624">
        <v>40771</v>
      </c>
      <c r="BA1748" s="355">
        <v>1.41E-2</v>
      </c>
      <c r="BB1748" s="624">
        <v>40702</v>
      </c>
      <c r="BC1748" s="355">
        <v>0.36909999999999998</v>
      </c>
      <c r="BD1748" s="624">
        <v>40702</v>
      </c>
      <c r="BE1748" s="355">
        <v>9.2469999999999997E-2</v>
      </c>
      <c r="BF1748" s="624">
        <v>40794</v>
      </c>
      <c r="BG1748" s="355">
        <v>2.1645999999999999E-2</v>
      </c>
      <c r="BH1748" s="624">
        <v>40702</v>
      </c>
      <c r="BI1748" s="355">
        <v>0.117474</v>
      </c>
      <c r="BJ1748" s="624">
        <v>40701</v>
      </c>
      <c r="BK1748" s="355">
        <v>3.3047E-2</v>
      </c>
    </row>
    <row r="1749" spans="3:63" x14ac:dyDescent="0.15">
      <c r="C1749" s="624"/>
      <c r="D1749" s="355">
        <v>3.5790000000000002E-2</v>
      </c>
      <c r="AV1749" s="624"/>
      <c r="AX1749" s="624">
        <v>40708</v>
      </c>
      <c r="AY1749" s="355">
        <v>3.5860000000000003E-2</v>
      </c>
      <c r="AZ1749" s="624">
        <v>40772</v>
      </c>
      <c r="BA1749" s="355">
        <v>1.41E-2</v>
      </c>
      <c r="BB1749" s="624">
        <v>40703</v>
      </c>
      <c r="BC1749" s="355">
        <v>0.36799999999999999</v>
      </c>
      <c r="BD1749" s="624">
        <v>40703</v>
      </c>
      <c r="BE1749" s="355">
        <v>9.2319999999999999E-2</v>
      </c>
      <c r="BF1749" s="624">
        <v>40795</v>
      </c>
      <c r="BG1749" s="355">
        <v>2.1474E-2</v>
      </c>
      <c r="BH1749" s="624">
        <v>40703</v>
      </c>
      <c r="BI1749" s="355">
        <v>0.117323</v>
      </c>
      <c r="BJ1749" s="624">
        <v>40702</v>
      </c>
      <c r="BK1749" s="355">
        <v>3.2905999999999998E-2</v>
      </c>
    </row>
    <row r="1750" spans="3:63" x14ac:dyDescent="0.15">
      <c r="C1750" s="624"/>
      <c r="D1750" s="355">
        <v>3.5860000000000003E-2</v>
      </c>
      <c r="AV1750" s="624"/>
      <c r="AX1750" s="624">
        <v>40709</v>
      </c>
      <c r="AY1750" s="355">
        <v>3.5529999999999999E-2</v>
      </c>
      <c r="AZ1750" s="624">
        <v>40773</v>
      </c>
      <c r="BA1750" s="355">
        <v>1.4E-2</v>
      </c>
      <c r="BB1750" s="624">
        <v>40704</v>
      </c>
      <c r="BC1750" s="355">
        <v>0.36420000000000002</v>
      </c>
      <c r="BD1750" s="624">
        <v>40704</v>
      </c>
      <c r="BE1750" s="355">
        <v>9.1999999999999998E-2</v>
      </c>
      <c r="BF1750" s="624">
        <v>40798</v>
      </c>
      <c r="BG1750" s="355">
        <v>2.1173999999999998E-2</v>
      </c>
      <c r="BH1750" s="624">
        <v>40704</v>
      </c>
      <c r="BI1750" s="355">
        <v>0.117233</v>
      </c>
      <c r="BJ1750" s="624">
        <v>40703</v>
      </c>
      <c r="BK1750" s="355">
        <v>3.2872999999999999E-2</v>
      </c>
    </row>
    <row r="1751" spans="3:63" x14ac:dyDescent="0.15">
      <c r="C1751" s="624"/>
      <c r="D1751" s="355">
        <v>3.5529999999999999E-2</v>
      </c>
      <c r="AV1751" s="624"/>
      <c r="AX1751" s="624">
        <v>40710</v>
      </c>
      <c r="AY1751" s="355">
        <v>3.5549999999999998E-2</v>
      </c>
      <c r="AZ1751" s="624">
        <v>40774</v>
      </c>
      <c r="BA1751" s="355">
        <v>1.4E-2</v>
      </c>
      <c r="BB1751" s="624">
        <v>40707</v>
      </c>
      <c r="BC1751" s="355">
        <v>0.36649999999999999</v>
      </c>
      <c r="BD1751" s="624">
        <v>40707</v>
      </c>
      <c r="BE1751" s="355">
        <v>9.2179999999999998E-2</v>
      </c>
      <c r="BF1751" s="624">
        <v>40799</v>
      </c>
      <c r="BG1751" s="355">
        <v>2.1013E-2</v>
      </c>
      <c r="BH1751" s="624">
        <v>40707</v>
      </c>
      <c r="BI1751" s="355">
        <v>0.11698</v>
      </c>
      <c r="BJ1751" s="624">
        <v>40704</v>
      </c>
      <c r="BK1751" s="355">
        <v>3.2851999999999999E-2</v>
      </c>
    </row>
    <row r="1752" spans="3:63" x14ac:dyDescent="0.15">
      <c r="C1752" s="624"/>
      <c r="D1752" s="355">
        <v>3.5549999999999998E-2</v>
      </c>
      <c r="AV1752" s="624"/>
      <c r="AX1752" s="624">
        <v>40711</v>
      </c>
      <c r="AY1752" s="355">
        <v>3.5680000000000003E-2</v>
      </c>
      <c r="AZ1752" s="624">
        <v>40777</v>
      </c>
      <c r="BA1752" s="355">
        <v>1.4200000000000001E-2</v>
      </c>
      <c r="BB1752" s="624">
        <v>40708</v>
      </c>
      <c r="BC1752" s="355">
        <v>0.36709999999999998</v>
      </c>
      <c r="BD1752" s="624">
        <v>40708</v>
      </c>
      <c r="BE1752" s="355">
        <v>9.2319999999999999E-2</v>
      </c>
      <c r="BF1752" s="624">
        <v>40800</v>
      </c>
      <c r="BG1752" s="355">
        <v>2.0986000000000001E-2</v>
      </c>
      <c r="BH1752" s="624">
        <v>40708</v>
      </c>
      <c r="BI1752" s="355">
        <v>0.117233</v>
      </c>
      <c r="BJ1752" s="624">
        <v>40707</v>
      </c>
      <c r="BK1752" s="355">
        <v>3.2819000000000001E-2</v>
      </c>
    </row>
    <row r="1753" spans="3:63" x14ac:dyDescent="0.15">
      <c r="C1753" s="624"/>
      <c r="D1753" s="355">
        <v>3.5680000000000003E-2</v>
      </c>
      <c r="AV1753" s="624"/>
      <c r="AX1753" s="624">
        <v>40714</v>
      </c>
      <c r="AY1753" s="355">
        <v>3.56E-2</v>
      </c>
      <c r="AZ1753" s="624">
        <v>40778</v>
      </c>
      <c r="BA1753" s="355">
        <v>1.41E-2</v>
      </c>
      <c r="BB1753" s="624">
        <v>40709</v>
      </c>
      <c r="BC1753" s="355">
        <v>0.3594</v>
      </c>
      <c r="BD1753" s="624">
        <v>40709</v>
      </c>
      <c r="BE1753" s="355">
        <v>9.1999999999999998E-2</v>
      </c>
      <c r="BF1753" s="624">
        <v>40801</v>
      </c>
      <c r="BG1753" s="355">
        <v>2.1028000000000002E-2</v>
      </c>
      <c r="BH1753" s="624">
        <v>40709</v>
      </c>
      <c r="BI1753" s="355">
        <v>0.116993</v>
      </c>
      <c r="BJ1753" s="624">
        <v>40708</v>
      </c>
      <c r="BK1753" s="355">
        <v>3.2837999999999999E-2</v>
      </c>
    </row>
    <row r="1754" spans="3:63" x14ac:dyDescent="0.15">
      <c r="C1754" s="624"/>
      <c r="D1754" s="355">
        <v>3.56E-2</v>
      </c>
      <c r="AV1754" s="624"/>
      <c r="AX1754" s="624">
        <v>40715</v>
      </c>
      <c r="AY1754" s="355">
        <v>3.585E-2</v>
      </c>
      <c r="AZ1754" s="624">
        <v>40779</v>
      </c>
      <c r="BA1754" s="355">
        <v>1.41E-2</v>
      </c>
      <c r="BB1754" s="624">
        <v>40710</v>
      </c>
      <c r="BC1754" s="355">
        <v>0.35670000000000002</v>
      </c>
      <c r="BD1754" s="624">
        <v>40710</v>
      </c>
      <c r="BE1754" s="355">
        <v>9.1770000000000004E-2</v>
      </c>
      <c r="BF1754" s="624">
        <v>40802</v>
      </c>
      <c r="BG1754" s="355">
        <v>2.1158E-2</v>
      </c>
      <c r="BH1754" s="624">
        <v>40710</v>
      </c>
      <c r="BI1754" s="355">
        <v>0.116178</v>
      </c>
      <c r="BJ1754" s="624">
        <v>40709</v>
      </c>
      <c r="BK1754" s="355">
        <v>3.2742E-2</v>
      </c>
    </row>
    <row r="1755" spans="3:63" x14ac:dyDescent="0.15">
      <c r="C1755" s="624"/>
      <c r="D1755" s="355">
        <v>3.585E-2</v>
      </c>
      <c r="AV1755" s="624"/>
      <c r="AX1755" s="624">
        <v>40716</v>
      </c>
      <c r="AY1755" s="355">
        <v>3.5770000000000003E-2</v>
      </c>
      <c r="AZ1755" s="624">
        <v>40780</v>
      </c>
      <c r="BA1755" s="355">
        <v>1.41E-2</v>
      </c>
      <c r="BB1755" s="624">
        <v>40711</v>
      </c>
      <c r="BC1755" s="355">
        <v>0.36020000000000002</v>
      </c>
      <c r="BD1755" s="624">
        <v>40711</v>
      </c>
      <c r="BE1755" s="355">
        <v>9.1999999999999998E-2</v>
      </c>
      <c r="BF1755" s="624">
        <v>40805</v>
      </c>
      <c r="BG1755" s="355">
        <v>2.0915E-2</v>
      </c>
      <c r="BH1755" s="624">
        <v>40711</v>
      </c>
      <c r="BI1755" s="355">
        <v>0.116428</v>
      </c>
      <c r="BJ1755" s="624">
        <v>40710</v>
      </c>
      <c r="BK1755" s="355">
        <v>3.2627000000000003E-2</v>
      </c>
    </row>
    <row r="1756" spans="3:63" x14ac:dyDescent="0.15">
      <c r="C1756" s="624"/>
      <c r="D1756" s="355">
        <v>3.5770000000000003E-2</v>
      </c>
      <c r="AV1756" s="624"/>
      <c r="AX1756" s="624">
        <v>40717</v>
      </c>
      <c r="AY1756" s="355">
        <v>3.5409999999999997E-2</v>
      </c>
      <c r="AZ1756" s="624">
        <v>40781</v>
      </c>
      <c r="BA1756" s="355">
        <v>1.4200000000000001E-2</v>
      </c>
      <c r="BB1756" s="624">
        <v>40714</v>
      </c>
      <c r="BC1756" s="355">
        <v>0.35859999999999997</v>
      </c>
      <c r="BD1756" s="624">
        <v>40714</v>
      </c>
      <c r="BE1756" s="355">
        <v>9.2219999999999996E-2</v>
      </c>
      <c r="BF1756" s="624">
        <v>40806</v>
      </c>
      <c r="BG1756" s="355">
        <v>2.0809000000000001E-2</v>
      </c>
      <c r="BH1756" s="624">
        <v>40714</v>
      </c>
      <c r="BI1756" s="355">
        <v>0.11604299999999999</v>
      </c>
      <c r="BJ1756" s="624">
        <v>40711</v>
      </c>
      <c r="BK1756" s="355">
        <v>3.2754999999999999E-2</v>
      </c>
    </row>
    <row r="1757" spans="3:63" x14ac:dyDescent="0.15">
      <c r="C1757" s="624"/>
      <c r="D1757" s="355">
        <v>3.5409999999999997E-2</v>
      </c>
      <c r="AV1757" s="624"/>
      <c r="AX1757" s="624">
        <v>40718</v>
      </c>
      <c r="AY1757" s="355">
        <v>3.5400000000000001E-2</v>
      </c>
      <c r="AZ1757" s="624">
        <v>40784</v>
      </c>
      <c r="BA1757" s="355">
        <v>1.43E-2</v>
      </c>
      <c r="BB1757" s="624">
        <v>40715</v>
      </c>
      <c r="BC1757" s="355">
        <v>0.36209999999999998</v>
      </c>
      <c r="BD1757" s="624">
        <v>40715</v>
      </c>
      <c r="BE1757" s="355">
        <v>9.2869999999999994E-2</v>
      </c>
      <c r="BF1757" s="624">
        <v>40807</v>
      </c>
      <c r="BG1757" s="355">
        <v>2.0691000000000001E-2</v>
      </c>
      <c r="BH1757" s="624">
        <v>40715</v>
      </c>
      <c r="BI1757" s="355">
        <v>0.116245</v>
      </c>
      <c r="BJ1757" s="624">
        <v>40714</v>
      </c>
      <c r="BK1757" s="355">
        <v>3.2723000000000002E-2</v>
      </c>
    </row>
    <row r="1758" spans="3:63" x14ac:dyDescent="0.15">
      <c r="C1758" s="624"/>
      <c r="D1758" s="355">
        <v>3.5400000000000001E-2</v>
      </c>
      <c r="AV1758" s="624"/>
      <c r="AX1758" s="624">
        <v>40721</v>
      </c>
      <c r="AY1758" s="355">
        <v>3.5479999999999998E-2</v>
      </c>
      <c r="AZ1758" s="624">
        <v>40785</v>
      </c>
      <c r="BA1758" s="355">
        <v>1.4200000000000001E-2</v>
      </c>
      <c r="BB1758" s="624">
        <v>40716</v>
      </c>
      <c r="BC1758" s="355">
        <v>0.3604</v>
      </c>
      <c r="BD1758" s="624">
        <v>40716</v>
      </c>
      <c r="BE1758" s="355">
        <v>9.2740000000000003E-2</v>
      </c>
      <c r="BF1758" s="624">
        <v>40808</v>
      </c>
      <c r="BG1758" s="355">
        <v>2.0168999999999999E-2</v>
      </c>
      <c r="BH1758" s="624">
        <v>40716</v>
      </c>
      <c r="BI1758" s="355">
        <v>0.11655</v>
      </c>
      <c r="BJ1758" s="624">
        <v>40715</v>
      </c>
      <c r="BK1758" s="355">
        <v>3.2771000000000002E-2</v>
      </c>
    </row>
    <row r="1759" spans="3:63" x14ac:dyDescent="0.15">
      <c r="C1759" s="624"/>
      <c r="D1759" s="355">
        <v>3.5479999999999998E-2</v>
      </c>
      <c r="AV1759" s="624"/>
      <c r="AX1759" s="624">
        <v>40722</v>
      </c>
      <c r="AY1759" s="355">
        <v>3.5569999999999997E-2</v>
      </c>
      <c r="AZ1759" s="624">
        <v>40786</v>
      </c>
      <c r="BA1759" s="355">
        <v>1.4200000000000001E-2</v>
      </c>
      <c r="BB1759" s="624">
        <v>40717</v>
      </c>
      <c r="BC1759" s="355">
        <v>0.35709999999999997</v>
      </c>
      <c r="BD1759" s="624">
        <v>40717</v>
      </c>
      <c r="BE1759" s="355">
        <v>9.2859999999999998E-2</v>
      </c>
      <c r="BF1759" s="624">
        <v>40809</v>
      </c>
      <c r="BG1759" s="355">
        <v>2.0227999999999999E-2</v>
      </c>
      <c r="BH1759" s="624">
        <v>40717</v>
      </c>
      <c r="BI1759" s="355">
        <v>0.116245</v>
      </c>
      <c r="BJ1759" s="624">
        <v>40716</v>
      </c>
      <c r="BK1759" s="355">
        <v>3.2835000000000003E-2</v>
      </c>
    </row>
    <row r="1760" spans="3:63" x14ac:dyDescent="0.15">
      <c r="C1760" s="624"/>
      <c r="D1760" s="355">
        <v>3.5569999999999997E-2</v>
      </c>
      <c r="AV1760" s="624"/>
      <c r="AX1760" s="624">
        <v>40723</v>
      </c>
      <c r="AY1760" s="355">
        <v>3.5790000000000002E-2</v>
      </c>
      <c r="AZ1760" s="624">
        <v>40787</v>
      </c>
      <c r="BA1760" s="355">
        <v>1.4200000000000001E-2</v>
      </c>
      <c r="BB1760" s="624">
        <v>40718</v>
      </c>
      <c r="BC1760" s="355">
        <v>0.35580000000000001</v>
      </c>
      <c r="BD1760" s="624">
        <v>40718</v>
      </c>
      <c r="BE1760" s="355">
        <v>9.2649999999999996E-2</v>
      </c>
      <c r="BF1760" s="624">
        <v>40812</v>
      </c>
      <c r="BG1760" s="355">
        <v>2.0219000000000001E-2</v>
      </c>
      <c r="BH1760" s="624">
        <v>40718</v>
      </c>
      <c r="BI1760" s="355">
        <v>0.116198</v>
      </c>
      <c r="BJ1760" s="624">
        <v>40717</v>
      </c>
      <c r="BK1760" s="355">
        <v>3.2680000000000001E-2</v>
      </c>
    </row>
    <row r="1761" spans="3:63" x14ac:dyDescent="0.15">
      <c r="C1761" s="624"/>
      <c r="D1761" s="355">
        <v>3.5790000000000002E-2</v>
      </c>
      <c r="AV1761" s="624"/>
      <c r="AX1761" s="624">
        <v>40724</v>
      </c>
      <c r="AY1761" s="355">
        <v>3.5869999999999999E-2</v>
      </c>
      <c r="AZ1761" s="624">
        <v>40788</v>
      </c>
      <c r="BA1761" s="355">
        <v>1.41E-2</v>
      </c>
      <c r="BB1761" s="624">
        <v>40721</v>
      </c>
      <c r="BC1761" s="355">
        <v>0.35730000000000001</v>
      </c>
      <c r="BD1761" s="624">
        <v>40721</v>
      </c>
      <c r="BE1761" s="355">
        <v>9.214E-2</v>
      </c>
      <c r="BF1761" s="624">
        <v>40813</v>
      </c>
      <c r="BG1761" s="355">
        <v>2.0382000000000001E-2</v>
      </c>
      <c r="BH1761" s="624">
        <v>40721</v>
      </c>
      <c r="BI1761" s="355">
        <v>0.115969</v>
      </c>
      <c r="BJ1761" s="624">
        <v>40718</v>
      </c>
      <c r="BK1761" s="355">
        <v>3.2594999999999999E-2</v>
      </c>
    </row>
    <row r="1762" spans="3:63" x14ac:dyDescent="0.15">
      <c r="C1762" s="624"/>
      <c r="D1762" s="355">
        <v>3.5869999999999999E-2</v>
      </c>
      <c r="AV1762" s="624"/>
      <c r="AX1762" s="624">
        <v>40725</v>
      </c>
      <c r="AY1762" s="355">
        <v>3.5979999999999998E-2</v>
      </c>
      <c r="AZ1762" s="624">
        <v>40791</v>
      </c>
      <c r="BA1762" s="355">
        <v>1.3899999999999999E-2</v>
      </c>
      <c r="BB1762" s="624">
        <v>40722</v>
      </c>
      <c r="BC1762" s="355">
        <v>0.35830000000000001</v>
      </c>
      <c r="BD1762" s="624">
        <v>40722</v>
      </c>
      <c r="BE1762" s="355">
        <v>9.2549999999999993E-2</v>
      </c>
      <c r="BF1762" s="624">
        <v>40814</v>
      </c>
      <c r="BG1762" s="355">
        <v>2.051E-2</v>
      </c>
      <c r="BH1762" s="624">
        <v>40722</v>
      </c>
      <c r="BI1762" s="355">
        <v>0.116198</v>
      </c>
      <c r="BJ1762" s="624">
        <v>40721</v>
      </c>
      <c r="BK1762" s="355">
        <v>3.2405000000000003E-2</v>
      </c>
    </row>
    <row r="1763" spans="3:63" x14ac:dyDescent="0.15">
      <c r="C1763" s="624"/>
      <c r="D1763" s="355">
        <v>3.5979999999999998E-2</v>
      </c>
      <c r="AV1763" s="624"/>
      <c r="AX1763" s="624">
        <v>40728</v>
      </c>
      <c r="AY1763" s="355">
        <v>3.5959999999999999E-2</v>
      </c>
      <c r="AZ1763" s="624">
        <v>40792</v>
      </c>
      <c r="BA1763" s="355">
        <v>1.37E-2</v>
      </c>
      <c r="BB1763" s="624">
        <v>40723</v>
      </c>
      <c r="BC1763" s="355">
        <v>0.36209999999999998</v>
      </c>
      <c r="BD1763" s="624">
        <v>40723</v>
      </c>
      <c r="BE1763" s="355">
        <v>9.3189999999999995E-2</v>
      </c>
      <c r="BF1763" s="624">
        <v>40815</v>
      </c>
      <c r="BG1763" s="355">
        <v>2.0427000000000001E-2</v>
      </c>
      <c r="BH1763" s="624">
        <v>40723</v>
      </c>
      <c r="BI1763" s="355">
        <v>0.116245</v>
      </c>
      <c r="BJ1763" s="624">
        <v>40722</v>
      </c>
      <c r="BK1763" s="355">
        <v>3.2273999999999997E-2</v>
      </c>
    </row>
    <row r="1764" spans="3:63" x14ac:dyDescent="0.15">
      <c r="C1764" s="624"/>
      <c r="D1764" s="355">
        <v>3.5959999999999999E-2</v>
      </c>
      <c r="AV1764" s="624"/>
      <c r="AX1764" s="624">
        <v>40729</v>
      </c>
      <c r="AY1764" s="355">
        <v>3.585E-2</v>
      </c>
      <c r="AZ1764" s="624">
        <v>40793</v>
      </c>
      <c r="BA1764" s="355">
        <v>1.4E-2</v>
      </c>
      <c r="BB1764" s="624">
        <v>40724</v>
      </c>
      <c r="BC1764" s="355">
        <v>0.36459999999999998</v>
      </c>
      <c r="BD1764" s="624">
        <v>40724</v>
      </c>
      <c r="BE1764" s="355">
        <v>9.3590000000000007E-2</v>
      </c>
      <c r="BF1764" s="624">
        <v>40819</v>
      </c>
      <c r="BG1764" s="355">
        <v>2.0344000000000001E-2</v>
      </c>
      <c r="BH1764" s="624">
        <v>40724</v>
      </c>
      <c r="BI1764" s="355">
        <v>0.11659799999999999</v>
      </c>
      <c r="BJ1764" s="624">
        <v>40723</v>
      </c>
      <c r="BK1764" s="355">
        <v>3.2467999999999997E-2</v>
      </c>
    </row>
    <row r="1765" spans="3:63" x14ac:dyDescent="0.15">
      <c r="C1765" s="624"/>
      <c r="D1765" s="355">
        <v>3.585E-2</v>
      </c>
      <c r="AV1765" s="624"/>
      <c r="AX1765" s="624">
        <v>40730</v>
      </c>
      <c r="AY1765" s="355">
        <v>3.5729999999999998E-2</v>
      </c>
      <c r="AZ1765" s="624">
        <v>40794</v>
      </c>
      <c r="BA1765" s="355">
        <v>1.37E-2</v>
      </c>
      <c r="BB1765" s="624">
        <v>40725</v>
      </c>
      <c r="BC1765" s="355">
        <v>0.36840000000000001</v>
      </c>
      <c r="BD1765" s="624">
        <v>40725</v>
      </c>
      <c r="BE1765" s="355">
        <v>9.3859999999999999E-2</v>
      </c>
      <c r="BF1765" s="624">
        <v>40820</v>
      </c>
      <c r="BG1765" s="355">
        <v>2.0237000000000002E-2</v>
      </c>
      <c r="BH1765" s="624">
        <v>40725</v>
      </c>
      <c r="BI1765" s="355">
        <v>0.11711299999999999</v>
      </c>
      <c r="BJ1765" s="624">
        <v>40724</v>
      </c>
      <c r="BK1765" s="355">
        <v>3.2551999999999998E-2</v>
      </c>
    </row>
    <row r="1766" spans="3:63" x14ac:dyDescent="0.15">
      <c r="C1766" s="624"/>
      <c r="D1766" s="355">
        <v>3.5729999999999998E-2</v>
      </c>
      <c r="AV1766" s="624"/>
      <c r="AX1766" s="624">
        <v>40731</v>
      </c>
      <c r="AY1766" s="355">
        <v>3.5880000000000002E-2</v>
      </c>
      <c r="AZ1766" s="624">
        <v>40795</v>
      </c>
      <c r="BA1766" s="355">
        <v>1.35E-2</v>
      </c>
      <c r="BB1766" s="624">
        <v>40728</v>
      </c>
      <c r="BC1766" s="355">
        <v>0.36930000000000002</v>
      </c>
      <c r="BD1766" s="624">
        <v>40728</v>
      </c>
      <c r="BE1766" s="355">
        <v>9.4170000000000004E-2</v>
      </c>
      <c r="BF1766" s="624">
        <v>40821</v>
      </c>
      <c r="BG1766" s="355">
        <v>2.0264000000000001E-2</v>
      </c>
      <c r="BH1766" s="624">
        <v>40728</v>
      </c>
      <c r="BI1766" s="355">
        <v>0.117336</v>
      </c>
      <c r="BJ1766" s="624">
        <v>40725</v>
      </c>
      <c r="BK1766" s="355">
        <v>3.2547E-2</v>
      </c>
    </row>
    <row r="1767" spans="3:63" x14ac:dyDescent="0.15">
      <c r="C1767" s="624"/>
      <c r="D1767" s="355">
        <v>3.5880000000000002E-2</v>
      </c>
      <c r="AV1767" s="624"/>
      <c r="AX1767" s="624">
        <v>40732</v>
      </c>
      <c r="AY1767" s="355">
        <v>3.569E-2</v>
      </c>
      <c r="AZ1767" s="624">
        <v>40798</v>
      </c>
      <c r="BA1767" s="355">
        <v>1.3599999999999999E-2</v>
      </c>
      <c r="BB1767" s="624">
        <v>40729</v>
      </c>
      <c r="BC1767" s="355">
        <v>0.36520000000000002</v>
      </c>
      <c r="BD1767" s="624">
        <v>40729</v>
      </c>
      <c r="BE1767" s="355">
        <v>9.3679999999999999E-2</v>
      </c>
      <c r="BF1767" s="624">
        <v>40823</v>
      </c>
      <c r="BG1767" s="355">
        <v>2.0343E-2</v>
      </c>
      <c r="BH1767" s="624">
        <v>40729</v>
      </c>
      <c r="BI1767" s="355">
        <v>0.117199</v>
      </c>
      <c r="BJ1767" s="624">
        <v>40728</v>
      </c>
      <c r="BK1767" s="355">
        <v>3.2851999999999999E-2</v>
      </c>
    </row>
    <row r="1768" spans="3:63" x14ac:dyDescent="0.15">
      <c r="C1768" s="624"/>
      <c r="D1768" s="355">
        <v>3.569E-2</v>
      </c>
      <c r="AV1768" s="624"/>
      <c r="AX1768" s="624">
        <v>40735</v>
      </c>
      <c r="AY1768" s="355">
        <v>3.5360000000000003E-2</v>
      </c>
      <c r="AZ1768" s="624">
        <v>40799</v>
      </c>
      <c r="BA1768" s="355">
        <v>1.3599999999999999E-2</v>
      </c>
      <c r="BB1768" s="624">
        <v>40730</v>
      </c>
      <c r="BC1768" s="355">
        <v>0.36230000000000001</v>
      </c>
      <c r="BD1768" s="624">
        <v>40730</v>
      </c>
      <c r="BE1768" s="355">
        <v>9.3710000000000002E-2</v>
      </c>
      <c r="BF1768" s="624">
        <v>40826</v>
      </c>
      <c r="BG1768" s="355">
        <v>2.0419E-2</v>
      </c>
      <c r="BH1768" s="624">
        <v>40730</v>
      </c>
      <c r="BI1768" s="355">
        <v>0.116976</v>
      </c>
      <c r="BJ1768" s="624">
        <v>40729</v>
      </c>
      <c r="BK1768" s="355">
        <v>3.2798000000000001E-2</v>
      </c>
    </row>
    <row r="1769" spans="3:63" x14ac:dyDescent="0.15">
      <c r="C1769" s="624"/>
      <c r="D1769" s="355">
        <v>3.5360000000000003E-2</v>
      </c>
      <c r="AV1769" s="624"/>
      <c r="AX1769" s="624">
        <v>40736</v>
      </c>
      <c r="AY1769" s="355">
        <v>3.5299999999999998E-2</v>
      </c>
      <c r="AZ1769" s="624">
        <v>40800</v>
      </c>
      <c r="BA1769" s="355">
        <v>1.3599999999999999E-2</v>
      </c>
      <c r="BB1769" s="624">
        <v>40731</v>
      </c>
      <c r="BC1769" s="355">
        <v>0.3654</v>
      </c>
      <c r="BD1769" s="624">
        <v>40731</v>
      </c>
      <c r="BE1769" s="355">
        <v>9.4009999999999996E-2</v>
      </c>
      <c r="BF1769" s="624">
        <v>40827</v>
      </c>
      <c r="BG1769" s="355">
        <v>2.0271000000000001E-2</v>
      </c>
      <c r="BH1769" s="624">
        <v>40731</v>
      </c>
      <c r="BI1769" s="355">
        <v>0.117062</v>
      </c>
      <c r="BJ1769" s="624">
        <v>40730</v>
      </c>
      <c r="BK1769" s="355">
        <v>3.2829999999999998E-2</v>
      </c>
    </row>
    <row r="1770" spans="3:63" x14ac:dyDescent="0.15">
      <c r="C1770" s="624"/>
      <c r="D1770" s="355">
        <v>3.5299999999999998E-2</v>
      </c>
      <c r="AV1770" s="624"/>
      <c r="AX1770" s="624">
        <v>40737</v>
      </c>
      <c r="AY1770" s="355">
        <v>3.5700000000000003E-2</v>
      </c>
      <c r="AZ1770" s="624">
        <v>40801</v>
      </c>
      <c r="BA1770" s="355">
        <v>1.38E-2</v>
      </c>
      <c r="BB1770" s="624">
        <v>40732</v>
      </c>
      <c r="BC1770" s="355">
        <v>0.36130000000000001</v>
      </c>
      <c r="BD1770" s="624">
        <v>40732</v>
      </c>
      <c r="BE1770" s="355">
        <v>9.4649999999999998E-2</v>
      </c>
      <c r="BF1770" s="624">
        <v>40828</v>
      </c>
      <c r="BG1770" s="355">
        <v>2.0424000000000001E-2</v>
      </c>
      <c r="BH1770" s="624">
        <v>40732</v>
      </c>
      <c r="BI1770" s="355">
        <v>0.117405</v>
      </c>
      <c r="BJ1770" s="624">
        <v>40731</v>
      </c>
      <c r="BK1770" s="355">
        <v>3.2987000000000002E-2</v>
      </c>
    </row>
    <row r="1771" spans="3:63" x14ac:dyDescent="0.15">
      <c r="C1771" s="624"/>
      <c r="D1771" s="355">
        <v>3.5700000000000003E-2</v>
      </c>
      <c r="AV1771" s="624"/>
      <c r="AX1771" s="624">
        <v>40738</v>
      </c>
      <c r="AY1771" s="355">
        <v>3.5520000000000003E-2</v>
      </c>
      <c r="AZ1771" s="624">
        <v>40802</v>
      </c>
      <c r="BA1771" s="355">
        <v>1.37E-2</v>
      </c>
      <c r="BB1771" s="624">
        <v>40735</v>
      </c>
      <c r="BC1771" s="355">
        <v>0.35070000000000001</v>
      </c>
      <c r="BD1771" s="624">
        <v>40735</v>
      </c>
      <c r="BE1771" s="355">
        <v>9.4530000000000003E-2</v>
      </c>
      <c r="BF1771" s="624">
        <v>40829</v>
      </c>
      <c r="BG1771" s="355">
        <v>2.0354000000000001E-2</v>
      </c>
      <c r="BH1771" s="624">
        <v>40735</v>
      </c>
      <c r="BI1771" s="355">
        <v>0.117147</v>
      </c>
      <c r="BJ1771" s="624">
        <v>40732</v>
      </c>
      <c r="BK1771" s="355">
        <v>3.3091000000000002E-2</v>
      </c>
    </row>
    <row r="1772" spans="3:63" x14ac:dyDescent="0.15">
      <c r="C1772" s="624"/>
      <c r="D1772" s="355">
        <v>3.5520000000000003E-2</v>
      </c>
      <c r="AV1772" s="624"/>
      <c r="AX1772" s="624">
        <v>40739</v>
      </c>
      <c r="AY1772" s="355">
        <v>3.5659999999999997E-2</v>
      </c>
      <c r="AZ1772" s="624">
        <v>40805</v>
      </c>
      <c r="BA1772" s="355">
        <v>1.3599999999999999E-2</v>
      </c>
      <c r="BB1772" s="624">
        <v>40736</v>
      </c>
      <c r="BC1772" s="355">
        <v>0.34620000000000001</v>
      </c>
      <c r="BD1772" s="624">
        <v>40736</v>
      </c>
      <c r="BE1772" s="355">
        <v>9.3630000000000005E-2</v>
      </c>
      <c r="BF1772" s="624">
        <v>40830</v>
      </c>
      <c r="BG1772" s="355">
        <v>2.0399E-2</v>
      </c>
      <c r="BH1772" s="624">
        <v>40736</v>
      </c>
      <c r="BI1772" s="355">
        <v>0.11658399999999999</v>
      </c>
      <c r="BJ1772" s="624">
        <v>40735</v>
      </c>
      <c r="BK1772" s="355">
        <v>3.2975999999999998E-2</v>
      </c>
    </row>
    <row r="1773" spans="3:63" x14ac:dyDescent="0.15">
      <c r="C1773" s="624"/>
      <c r="D1773" s="355">
        <v>3.5659999999999997E-2</v>
      </c>
      <c r="AV1773" s="624"/>
      <c r="AX1773" s="624">
        <v>40742</v>
      </c>
      <c r="AY1773" s="355">
        <v>3.5529999999999999E-2</v>
      </c>
      <c r="AZ1773" s="624">
        <v>40806</v>
      </c>
      <c r="BA1773" s="355">
        <v>1.35E-2</v>
      </c>
      <c r="BB1773" s="624">
        <v>40737</v>
      </c>
      <c r="BC1773" s="355">
        <v>0.3528</v>
      </c>
      <c r="BD1773" s="624">
        <v>40737</v>
      </c>
      <c r="BE1773" s="355">
        <v>9.4640000000000002E-2</v>
      </c>
      <c r="BF1773" s="624">
        <v>40833</v>
      </c>
      <c r="BG1773" s="355">
        <v>2.0428000000000002E-2</v>
      </c>
      <c r="BH1773" s="624">
        <v>40737</v>
      </c>
      <c r="BI1773" s="355">
        <v>0.117123</v>
      </c>
      <c r="BJ1773" s="624">
        <v>40736</v>
      </c>
      <c r="BK1773" s="355">
        <v>3.2960000000000003E-2</v>
      </c>
    </row>
    <row r="1774" spans="3:63" x14ac:dyDescent="0.15">
      <c r="C1774" s="624"/>
      <c r="D1774" s="355">
        <v>3.5529999999999999E-2</v>
      </c>
      <c r="AV1774" s="624"/>
      <c r="AX1774" s="624">
        <v>40743</v>
      </c>
      <c r="AY1774" s="355">
        <v>3.5630000000000002E-2</v>
      </c>
      <c r="AZ1774" s="624">
        <v>40807</v>
      </c>
      <c r="BA1774" s="355">
        <v>1.34E-2</v>
      </c>
      <c r="BB1774" s="624">
        <v>40738</v>
      </c>
      <c r="BC1774" s="355">
        <v>0.35110000000000002</v>
      </c>
      <c r="BD1774" s="624">
        <v>40738</v>
      </c>
      <c r="BE1774" s="355">
        <v>9.4469999999999998E-2</v>
      </c>
      <c r="BF1774" s="624">
        <v>40834</v>
      </c>
      <c r="BG1774" s="355">
        <v>2.0286999999999999E-2</v>
      </c>
      <c r="BH1774" s="624">
        <v>40738</v>
      </c>
      <c r="BI1774" s="355">
        <v>0.11725099999999999</v>
      </c>
      <c r="BJ1774" s="624">
        <v>40737</v>
      </c>
      <c r="BK1774" s="355">
        <v>3.3217000000000003E-2</v>
      </c>
    </row>
    <row r="1775" spans="3:63" x14ac:dyDescent="0.15">
      <c r="C1775" s="624"/>
      <c r="D1775" s="355">
        <v>3.5630000000000002E-2</v>
      </c>
      <c r="AV1775" s="624"/>
      <c r="AX1775" s="624">
        <v>40744</v>
      </c>
      <c r="AY1775" s="355">
        <v>3.5740000000000001E-2</v>
      </c>
      <c r="AZ1775" s="624">
        <v>40808</v>
      </c>
      <c r="BA1775" s="355">
        <v>1.32E-2</v>
      </c>
      <c r="BB1775" s="624">
        <v>40739</v>
      </c>
      <c r="BC1775" s="355">
        <v>0.35270000000000001</v>
      </c>
      <c r="BD1775" s="624">
        <v>40739</v>
      </c>
      <c r="BE1775" s="355">
        <v>9.4539999999999999E-2</v>
      </c>
      <c r="BF1775" s="624">
        <v>40835</v>
      </c>
      <c r="BG1775" s="355">
        <v>2.0341999999999999E-2</v>
      </c>
      <c r="BH1775" s="624">
        <v>40739</v>
      </c>
      <c r="BI1775" s="355">
        <v>0.117062</v>
      </c>
      <c r="BJ1775" s="624">
        <v>40738</v>
      </c>
      <c r="BK1775" s="355">
        <v>3.3260999999999999E-2</v>
      </c>
    </row>
    <row r="1776" spans="3:63" x14ac:dyDescent="0.15">
      <c r="C1776" s="624"/>
      <c r="D1776" s="355">
        <v>3.5740000000000001E-2</v>
      </c>
      <c r="AV1776" s="624"/>
      <c r="AX1776" s="624">
        <v>40745</v>
      </c>
      <c r="AY1776" s="355">
        <v>3.6130000000000002E-2</v>
      </c>
      <c r="AZ1776" s="624">
        <v>40809</v>
      </c>
      <c r="BA1776" s="355">
        <v>1.32E-2</v>
      </c>
      <c r="BB1776" s="624">
        <v>40742</v>
      </c>
      <c r="BC1776" s="355">
        <v>0.35</v>
      </c>
      <c r="BD1776" s="624">
        <v>40742</v>
      </c>
      <c r="BE1776" s="355">
        <v>9.461E-2</v>
      </c>
      <c r="BF1776" s="624">
        <v>40836</v>
      </c>
      <c r="BG1776" s="355">
        <v>2.0077999999999999E-2</v>
      </c>
      <c r="BH1776" s="624">
        <v>40742</v>
      </c>
      <c r="BI1776" s="355">
        <v>0.116857</v>
      </c>
      <c r="BJ1776" s="624">
        <v>40739</v>
      </c>
      <c r="BK1776" s="355">
        <v>3.3272000000000003E-2</v>
      </c>
    </row>
    <row r="1777" spans="3:63" x14ac:dyDescent="0.15">
      <c r="C1777" s="624"/>
      <c r="D1777" s="355">
        <v>3.6130000000000002E-2</v>
      </c>
      <c r="AV1777" s="624"/>
      <c r="AX1777" s="624">
        <v>40746</v>
      </c>
      <c r="AY1777" s="355">
        <v>3.601E-2</v>
      </c>
      <c r="AZ1777" s="624">
        <v>40812</v>
      </c>
      <c r="BA1777" s="355">
        <v>1.3299999999999999E-2</v>
      </c>
      <c r="BB1777" s="624">
        <v>40743</v>
      </c>
      <c r="BC1777" s="355">
        <v>0.35260000000000002</v>
      </c>
      <c r="BD1777" s="624">
        <v>40743</v>
      </c>
      <c r="BE1777" s="355">
        <v>9.4829999999999998E-2</v>
      </c>
      <c r="BF1777" s="624">
        <v>40837</v>
      </c>
      <c r="BG1777" s="355">
        <v>1.9990000000000001E-2</v>
      </c>
      <c r="BH1777" s="624">
        <v>40743</v>
      </c>
      <c r="BI1777" s="355">
        <v>0.116993</v>
      </c>
      <c r="BJ1777" s="624">
        <v>40742</v>
      </c>
      <c r="BK1777" s="355">
        <v>3.3333000000000002E-2</v>
      </c>
    </row>
    <row r="1778" spans="3:63" x14ac:dyDescent="0.15">
      <c r="C1778" s="624"/>
      <c r="D1778" s="355">
        <v>3.601E-2</v>
      </c>
      <c r="AV1778" s="624"/>
      <c r="AX1778" s="624">
        <v>40749</v>
      </c>
      <c r="AY1778" s="355">
        <v>3.6110000000000003E-2</v>
      </c>
      <c r="AZ1778" s="624">
        <v>40813</v>
      </c>
      <c r="BA1778" s="355">
        <v>1.34E-2</v>
      </c>
      <c r="BB1778" s="624">
        <v>40744</v>
      </c>
      <c r="BC1778" s="355">
        <v>0.35589999999999999</v>
      </c>
      <c r="BD1778" s="624">
        <v>40744</v>
      </c>
      <c r="BE1778" s="355">
        <v>9.4899999999999998E-2</v>
      </c>
      <c r="BF1778" s="624">
        <v>40840</v>
      </c>
      <c r="BG1778" s="355">
        <v>2.0067999999999999E-2</v>
      </c>
      <c r="BH1778" s="624">
        <v>40744</v>
      </c>
      <c r="BI1778" s="355">
        <v>0.11711000000000001</v>
      </c>
      <c r="BJ1778" s="624">
        <v>40743</v>
      </c>
      <c r="BK1778" s="355">
        <v>3.3439000000000003E-2</v>
      </c>
    </row>
    <row r="1779" spans="3:63" x14ac:dyDescent="0.15">
      <c r="C1779" s="624"/>
      <c r="D1779" s="355">
        <v>3.6110000000000003E-2</v>
      </c>
      <c r="AV1779" s="624"/>
      <c r="AX1779" s="624">
        <v>40750</v>
      </c>
      <c r="AY1779" s="355">
        <v>3.6360000000000003E-2</v>
      </c>
      <c r="AZ1779" s="624">
        <v>40814</v>
      </c>
      <c r="BA1779" s="355">
        <v>1.3299999999999999E-2</v>
      </c>
      <c r="BB1779" s="624">
        <v>40745</v>
      </c>
      <c r="BC1779" s="355">
        <v>0.36259999999999998</v>
      </c>
      <c r="BD1779" s="624">
        <v>40745</v>
      </c>
      <c r="BE1779" s="355">
        <v>9.5149999999999998E-2</v>
      </c>
      <c r="BF1779" s="624">
        <v>40841</v>
      </c>
      <c r="BG1779" s="355">
        <v>2.0195999999999999E-2</v>
      </c>
      <c r="BH1779" s="624">
        <v>40745</v>
      </c>
      <c r="BI1779" s="355">
        <v>0.11709600000000001</v>
      </c>
      <c r="BJ1779" s="624">
        <v>40744</v>
      </c>
      <c r="BK1779" s="355">
        <v>3.3456E-2</v>
      </c>
    </row>
    <row r="1780" spans="3:63" x14ac:dyDescent="0.15">
      <c r="C1780" s="624"/>
      <c r="D1780" s="355">
        <v>3.6360000000000003E-2</v>
      </c>
      <c r="AV1780" s="624"/>
      <c r="AX1780" s="624">
        <v>40751</v>
      </c>
      <c r="AY1780" s="355">
        <v>3.6269999999999997E-2</v>
      </c>
      <c r="AZ1780" s="624">
        <v>40815</v>
      </c>
      <c r="BA1780" s="355">
        <v>1.34E-2</v>
      </c>
      <c r="BB1780" s="624">
        <v>40746</v>
      </c>
      <c r="BC1780" s="355">
        <v>0.36020000000000002</v>
      </c>
      <c r="BD1780" s="624">
        <v>40746</v>
      </c>
      <c r="BE1780" s="355">
        <v>9.5079999999999998E-2</v>
      </c>
      <c r="BF1780" s="624">
        <v>40844</v>
      </c>
      <c r="BG1780" s="355">
        <v>2.0507999999999998E-2</v>
      </c>
      <c r="BH1780" s="624">
        <v>40746</v>
      </c>
      <c r="BI1780" s="355">
        <v>0.117509</v>
      </c>
      <c r="BJ1780" s="624">
        <v>40745</v>
      </c>
      <c r="BK1780" s="355">
        <v>3.3529000000000003E-2</v>
      </c>
    </row>
    <row r="1781" spans="3:63" x14ac:dyDescent="0.15">
      <c r="C1781" s="624"/>
      <c r="D1781" s="355">
        <v>3.6269999999999997E-2</v>
      </c>
      <c r="AV1781" s="624"/>
      <c r="AX1781" s="624">
        <v>40752</v>
      </c>
      <c r="AY1781" s="355">
        <v>3.6269999999999997E-2</v>
      </c>
      <c r="AZ1781" s="624">
        <v>40816</v>
      </c>
      <c r="BA1781" s="355">
        <v>1.32E-2</v>
      </c>
      <c r="BB1781" s="624">
        <v>40749</v>
      </c>
      <c r="BC1781" s="355">
        <v>0.35849999999999999</v>
      </c>
      <c r="BD1781" s="624">
        <v>40749</v>
      </c>
      <c r="BE1781" s="355">
        <v>9.4829999999999998E-2</v>
      </c>
      <c r="BF1781" s="624">
        <v>40847</v>
      </c>
      <c r="BG1781" s="355">
        <v>2.0539999999999999E-2</v>
      </c>
      <c r="BH1781" s="624">
        <v>40749</v>
      </c>
      <c r="BI1781" s="355">
        <v>0.11726399999999999</v>
      </c>
      <c r="BJ1781" s="624">
        <v>40746</v>
      </c>
      <c r="BK1781" s="355">
        <v>3.3574E-2</v>
      </c>
    </row>
    <row r="1782" spans="3:63" x14ac:dyDescent="0.15">
      <c r="C1782" s="624"/>
      <c r="D1782" s="355">
        <v>3.6269999999999997E-2</v>
      </c>
      <c r="AV1782" s="624"/>
      <c r="AX1782" s="624">
        <v>40753</v>
      </c>
      <c r="AY1782" s="355">
        <v>3.6229999999999998E-2</v>
      </c>
      <c r="AZ1782" s="624">
        <v>40819</v>
      </c>
      <c r="BA1782" s="355">
        <v>1.2999999999999999E-2</v>
      </c>
      <c r="BB1782" s="624">
        <v>40750</v>
      </c>
      <c r="BC1782" s="355">
        <v>0.36280000000000001</v>
      </c>
      <c r="BD1782" s="624">
        <v>40750</v>
      </c>
      <c r="BE1782" s="355">
        <v>9.5329999999999998E-2</v>
      </c>
      <c r="BF1782" s="624">
        <v>40848</v>
      </c>
      <c r="BG1782" s="355">
        <v>2.0295000000000001E-2</v>
      </c>
      <c r="BH1782" s="624">
        <v>40750</v>
      </c>
      <c r="BI1782" s="355">
        <v>0.11754299999999999</v>
      </c>
      <c r="BJ1782" s="624">
        <v>40749</v>
      </c>
      <c r="BK1782" s="355">
        <v>3.363E-2</v>
      </c>
    </row>
    <row r="1783" spans="3:63" x14ac:dyDescent="0.15">
      <c r="C1783" s="624"/>
      <c r="D1783" s="355">
        <v>3.6229999999999998E-2</v>
      </c>
      <c r="AV1783" s="624"/>
      <c r="AX1783" s="624">
        <v>40756</v>
      </c>
      <c r="AY1783" s="355">
        <v>3.6020000000000003E-2</v>
      </c>
      <c r="AZ1783" s="624">
        <v>40820</v>
      </c>
      <c r="BA1783" s="355">
        <v>1.3100000000000001E-2</v>
      </c>
      <c r="BB1783" s="624">
        <v>40751</v>
      </c>
      <c r="BC1783" s="355">
        <v>0.35670000000000002</v>
      </c>
      <c r="BD1783" s="624">
        <v>40751</v>
      </c>
      <c r="BE1783" s="355">
        <v>9.4890000000000002E-2</v>
      </c>
      <c r="BF1783" s="624">
        <v>40849</v>
      </c>
      <c r="BG1783" s="355">
        <v>2.0330999999999998E-2</v>
      </c>
      <c r="BH1783" s="624">
        <v>40751</v>
      </c>
      <c r="BI1783" s="355">
        <v>0.11788999999999999</v>
      </c>
      <c r="BJ1783" s="624">
        <v>40750</v>
      </c>
      <c r="BK1783" s="355">
        <v>3.3693000000000001E-2</v>
      </c>
    </row>
    <row r="1784" spans="3:63" x14ac:dyDescent="0.15">
      <c r="C1784" s="624"/>
      <c r="D1784" s="355">
        <v>3.6020000000000003E-2</v>
      </c>
      <c r="AV1784" s="624"/>
      <c r="AX1784" s="624">
        <v>40757</v>
      </c>
      <c r="AY1784" s="355">
        <v>3.594E-2</v>
      </c>
      <c r="AZ1784" s="624">
        <v>40821</v>
      </c>
      <c r="BA1784" s="355">
        <v>1.3100000000000001E-2</v>
      </c>
      <c r="BB1784" s="624">
        <v>40752</v>
      </c>
      <c r="BC1784" s="355">
        <v>0.35730000000000001</v>
      </c>
      <c r="BD1784" s="624">
        <v>40752</v>
      </c>
      <c r="BE1784" s="355">
        <v>9.5219999999999999E-2</v>
      </c>
      <c r="BF1784" s="624">
        <v>40850</v>
      </c>
      <c r="BG1784" s="355">
        <v>2.0348999999999999E-2</v>
      </c>
      <c r="BH1784" s="624">
        <v>40752</v>
      </c>
      <c r="BI1784" s="355">
        <v>0.117585</v>
      </c>
      <c r="BJ1784" s="624">
        <v>40751</v>
      </c>
      <c r="BK1784" s="355">
        <v>3.3607999999999999E-2</v>
      </c>
    </row>
    <row r="1785" spans="3:63" x14ac:dyDescent="0.15">
      <c r="C1785" s="624"/>
      <c r="D1785" s="355">
        <v>3.594E-2</v>
      </c>
      <c r="AV1785" s="624"/>
      <c r="AX1785" s="624">
        <v>40758</v>
      </c>
      <c r="AY1785" s="355">
        <v>3.5900000000000001E-2</v>
      </c>
      <c r="AZ1785" s="624">
        <v>40822</v>
      </c>
      <c r="BA1785" s="355">
        <v>1.32E-2</v>
      </c>
      <c r="BB1785" s="624">
        <v>40753</v>
      </c>
      <c r="BC1785" s="355">
        <v>0.36020000000000002</v>
      </c>
      <c r="BD1785" s="624">
        <v>40753</v>
      </c>
      <c r="BE1785" s="355">
        <v>9.4920000000000004E-2</v>
      </c>
      <c r="BF1785" s="624">
        <v>40851</v>
      </c>
      <c r="BG1785" s="355">
        <v>2.0362000000000002E-2</v>
      </c>
      <c r="BH1785" s="624">
        <v>40753</v>
      </c>
      <c r="BI1785" s="355">
        <v>0.11757099999999999</v>
      </c>
      <c r="BJ1785" s="624">
        <v>40752</v>
      </c>
      <c r="BK1785" s="355">
        <v>3.3675999999999998E-2</v>
      </c>
    </row>
    <row r="1786" spans="3:63" x14ac:dyDescent="0.15">
      <c r="C1786" s="624"/>
      <c r="D1786" s="355">
        <v>3.5900000000000001E-2</v>
      </c>
      <c r="AV1786" s="624"/>
      <c r="AX1786" s="624">
        <v>40759</v>
      </c>
      <c r="AY1786" s="355">
        <v>3.551E-2</v>
      </c>
      <c r="AZ1786" s="624">
        <v>40823</v>
      </c>
      <c r="BA1786" s="355">
        <v>1.32E-2</v>
      </c>
      <c r="BB1786" s="624">
        <v>40756</v>
      </c>
      <c r="BC1786" s="355">
        <v>0.35670000000000002</v>
      </c>
      <c r="BD1786" s="624">
        <v>40756</v>
      </c>
      <c r="BE1786" s="355">
        <v>9.5369999999999996E-2</v>
      </c>
      <c r="BF1786" s="624">
        <v>40855</v>
      </c>
      <c r="BG1786" s="355">
        <v>2.0222E-2</v>
      </c>
      <c r="BH1786" s="624">
        <v>40756</v>
      </c>
      <c r="BI1786" s="355">
        <v>0.118154</v>
      </c>
      <c r="BJ1786" s="624">
        <v>40753</v>
      </c>
      <c r="BK1786" s="355">
        <v>3.3607999999999999E-2</v>
      </c>
    </row>
    <row r="1787" spans="3:63" x14ac:dyDescent="0.15">
      <c r="C1787" s="624"/>
      <c r="D1787" s="355">
        <v>3.551E-2</v>
      </c>
      <c r="AV1787" s="624"/>
      <c r="AX1787" s="624">
        <v>40760</v>
      </c>
      <c r="AY1787" s="355">
        <v>3.5499999999999997E-2</v>
      </c>
      <c r="AZ1787" s="624">
        <v>40826</v>
      </c>
      <c r="BA1787" s="355">
        <v>1.35E-2</v>
      </c>
      <c r="BB1787" s="624">
        <v>40757</v>
      </c>
      <c r="BC1787" s="355">
        <v>0.35270000000000001</v>
      </c>
      <c r="BD1787" s="624">
        <v>40757</v>
      </c>
      <c r="BE1787" s="355">
        <v>9.4880000000000006E-2</v>
      </c>
      <c r="BF1787" s="624">
        <v>40856</v>
      </c>
      <c r="BG1787" s="355">
        <v>1.9925999999999999E-2</v>
      </c>
      <c r="BH1787" s="624">
        <v>40757</v>
      </c>
      <c r="BI1787" s="355">
        <v>0.117803</v>
      </c>
      <c r="BJ1787" s="624">
        <v>40756</v>
      </c>
      <c r="BK1787" s="355">
        <v>3.3663999999999999E-2</v>
      </c>
    </row>
    <row r="1788" spans="3:63" x14ac:dyDescent="0.15">
      <c r="C1788" s="624"/>
      <c r="D1788" s="355">
        <v>3.5499999999999997E-2</v>
      </c>
      <c r="AV1788" s="624"/>
      <c r="AX1788" s="624">
        <v>40763</v>
      </c>
      <c r="AY1788" s="355">
        <v>3.449E-2</v>
      </c>
      <c r="AZ1788" s="624">
        <v>40827</v>
      </c>
      <c r="BA1788" s="355">
        <v>1.35E-2</v>
      </c>
      <c r="BB1788" s="624">
        <v>40758</v>
      </c>
      <c r="BC1788" s="355">
        <v>0.35580000000000001</v>
      </c>
      <c r="BD1788" s="624">
        <v>40758</v>
      </c>
      <c r="BE1788" s="355">
        <v>9.4409999999999994E-2</v>
      </c>
      <c r="BF1788" s="624">
        <v>40858</v>
      </c>
      <c r="BG1788" s="355">
        <v>1.9942999999999999E-2</v>
      </c>
      <c r="BH1788" s="624">
        <v>40758</v>
      </c>
      <c r="BI1788" s="355">
        <v>0.11794200000000001</v>
      </c>
      <c r="BJ1788" s="624">
        <v>40757</v>
      </c>
      <c r="BK1788" s="355">
        <v>3.3545999999999999E-2</v>
      </c>
    </row>
    <row r="1789" spans="3:63" x14ac:dyDescent="0.15">
      <c r="C1789" s="624"/>
      <c r="D1789" s="355">
        <v>3.449E-2</v>
      </c>
      <c r="AV1789" s="624"/>
      <c r="AX1789" s="624">
        <v>40764</v>
      </c>
      <c r="AY1789" s="355">
        <v>3.3840000000000002E-2</v>
      </c>
      <c r="AZ1789" s="624">
        <v>40828</v>
      </c>
      <c r="BA1789" s="355">
        <v>1.37E-2</v>
      </c>
      <c r="BB1789" s="624">
        <v>40759</v>
      </c>
      <c r="BC1789" s="355">
        <v>0.34849999999999998</v>
      </c>
      <c r="BD1789" s="624">
        <v>40759</v>
      </c>
      <c r="BE1789" s="355">
        <v>9.3479999999999994E-2</v>
      </c>
      <c r="BF1789" s="624">
        <v>40861</v>
      </c>
      <c r="BG1789" s="355">
        <v>1.9834999999999998E-2</v>
      </c>
      <c r="BH1789" s="624">
        <v>40759</v>
      </c>
      <c r="BI1789" s="355">
        <v>0.11752600000000001</v>
      </c>
      <c r="BJ1789" s="624">
        <v>40758</v>
      </c>
      <c r="BK1789" s="355">
        <v>3.3591000000000003E-2</v>
      </c>
    </row>
    <row r="1790" spans="3:63" x14ac:dyDescent="0.15">
      <c r="C1790" s="624"/>
      <c r="D1790" s="355">
        <v>3.3840000000000002E-2</v>
      </c>
      <c r="AV1790" s="624"/>
      <c r="AX1790" s="624">
        <v>40765</v>
      </c>
      <c r="AY1790" s="355">
        <v>3.3680000000000002E-2</v>
      </c>
      <c r="AZ1790" s="624">
        <v>40829</v>
      </c>
      <c r="BA1790" s="355">
        <v>1.38E-2</v>
      </c>
      <c r="BB1790" s="624">
        <v>40760</v>
      </c>
      <c r="BC1790" s="355">
        <v>0.35399999999999998</v>
      </c>
      <c r="BD1790" s="624">
        <v>40760</v>
      </c>
      <c r="BE1790" s="355">
        <v>9.4500000000000001E-2</v>
      </c>
      <c r="BF1790" s="624">
        <v>40862</v>
      </c>
      <c r="BG1790" s="355">
        <v>1.9732E-2</v>
      </c>
      <c r="BH1790" s="624">
        <v>40760</v>
      </c>
      <c r="BI1790" s="355">
        <v>0.11665200000000001</v>
      </c>
      <c r="BJ1790" s="624">
        <v>40759</v>
      </c>
      <c r="BK1790" s="355">
        <v>3.3383000000000003E-2</v>
      </c>
    </row>
    <row r="1791" spans="3:63" x14ac:dyDescent="0.15">
      <c r="C1791" s="624"/>
      <c r="D1791" s="355">
        <v>3.3680000000000002E-2</v>
      </c>
      <c r="AV1791" s="624"/>
      <c r="AX1791" s="624">
        <v>40766</v>
      </c>
      <c r="AY1791" s="355">
        <v>3.388E-2</v>
      </c>
      <c r="AZ1791" s="624">
        <v>40830</v>
      </c>
      <c r="BA1791" s="355">
        <v>1.38E-2</v>
      </c>
      <c r="BB1791" s="624">
        <v>40763</v>
      </c>
      <c r="BC1791" s="355">
        <v>0.34760000000000002</v>
      </c>
      <c r="BD1791" s="624">
        <v>40763</v>
      </c>
      <c r="BE1791" s="355">
        <v>9.2100000000000001E-2</v>
      </c>
      <c r="BF1791" s="624">
        <v>40863</v>
      </c>
      <c r="BG1791" s="355">
        <v>1.9706000000000001E-2</v>
      </c>
      <c r="BH1791" s="624">
        <v>40763</v>
      </c>
      <c r="BI1791" s="355">
        <v>0.116976</v>
      </c>
      <c r="BJ1791" s="624">
        <v>40760</v>
      </c>
      <c r="BK1791" s="355">
        <v>3.3635999999999999E-2</v>
      </c>
    </row>
    <row r="1792" spans="3:63" x14ac:dyDescent="0.15">
      <c r="C1792" s="624"/>
      <c r="D1792" s="355">
        <v>3.388E-2</v>
      </c>
      <c r="AV1792" s="624"/>
      <c r="AX1792" s="624">
        <v>40767</v>
      </c>
      <c r="AY1792" s="355">
        <v>3.4320000000000003E-2</v>
      </c>
      <c r="AZ1792" s="624">
        <v>40833</v>
      </c>
      <c r="BA1792" s="355">
        <v>1.37E-2</v>
      </c>
      <c r="BB1792" s="624">
        <v>40764</v>
      </c>
      <c r="BC1792" s="355">
        <v>0.35220000000000001</v>
      </c>
      <c r="BD1792" s="624">
        <v>40764</v>
      </c>
      <c r="BE1792" s="355">
        <v>9.2719999999999997E-2</v>
      </c>
      <c r="BF1792" s="624">
        <v>40864</v>
      </c>
      <c r="BG1792" s="355">
        <v>1.9619000000000001E-2</v>
      </c>
      <c r="BH1792" s="624">
        <v>40764</v>
      </c>
      <c r="BI1792" s="355">
        <v>0.11643100000000001</v>
      </c>
      <c r="BJ1792" s="624">
        <v>40763</v>
      </c>
      <c r="BK1792" s="355">
        <v>3.3389000000000002E-2</v>
      </c>
    </row>
    <row r="1793" spans="3:63" x14ac:dyDescent="0.15">
      <c r="C1793" s="624"/>
      <c r="D1793" s="355">
        <v>3.4320000000000003E-2</v>
      </c>
      <c r="AV1793" s="624"/>
      <c r="AX1793" s="624">
        <v>40770</v>
      </c>
      <c r="AY1793" s="355">
        <v>3.4950000000000002E-2</v>
      </c>
      <c r="AZ1793" s="624">
        <v>40834</v>
      </c>
      <c r="BA1793" s="355">
        <v>1.38E-2</v>
      </c>
      <c r="BB1793" s="624">
        <v>40765</v>
      </c>
      <c r="BC1793" s="355">
        <v>0.33600000000000002</v>
      </c>
      <c r="BD1793" s="624">
        <v>40765</v>
      </c>
      <c r="BE1793" s="355">
        <v>9.239E-2</v>
      </c>
      <c r="BF1793" s="624">
        <v>40865</v>
      </c>
      <c r="BG1793" s="355">
        <v>1.9514E-2</v>
      </c>
      <c r="BH1793" s="624">
        <v>40765</v>
      </c>
      <c r="BI1793" s="355">
        <v>0.117199</v>
      </c>
      <c r="BJ1793" s="624">
        <v>40764</v>
      </c>
      <c r="BK1793" s="355">
        <v>3.3501000000000003E-2</v>
      </c>
    </row>
    <row r="1794" spans="3:63" x14ac:dyDescent="0.15">
      <c r="C1794" s="624"/>
      <c r="D1794" s="355">
        <v>3.4950000000000002E-2</v>
      </c>
      <c r="AV1794" s="624"/>
      <c r="AX1794" s="624">
        <v>40771</v>
      </c>
      <c r="AY1794" s="355">
        <v>3.4849999999999999E-2</v>
      </c>
      <c r="AZ1794" s="624">
        <v>40835</v>
      </c>
      <c r="BA1794" s="355">
        <v>1.38E-2</v>
      </c>
      <c r="BB1794" s="624">
        <v>40766</v>
      </c>
      <c r="BC1794" s="355">
        <v>0.34339999999999998</v>
      </c>
      <c r="BD1794" s="624">
        <v>40766</v>
      </c>
      <c r="BE1794" s="355">
        <v>9.2799999999999994E-2</v>
      </c>
      <c r="BF1794" s="624">
        <v>40868</v>
      </c>
      <c r="BG1794" s="355">
        <v>1.9115E-2</v>
      </c>
      <c r="BH1794" s="624">
        <v>40766</v>
      </c>
      <c r="BI1794" s="355">
        <v>0.116857</v>
      </c>
      <c r="BJ1794" s="624">
        <v>40765</v>
      </c>
      <c r="BK1794" s="355">
        <v>3.3478000000000001E-2</v>
      </c>
    </row>
    <row r="1795" spans="3:63" x14ac:dyDescent="0.15">
      <c r="C1795" s="624"/>
      <c r="D1795" s="355">
        <v>3.4849999999999999E-2</v>
      </c>
      <c r="AV1795" s="624"/>
      <c r="AX1795" s="624">
        <v>40772</v>
      </c>
      <c r="AY1795" s="355">
        <v>3.4770000000000002E-2</v>
      </c>
      <c r="AZ1795" s="624">
        <v>40836</v>
      </c>
      <c r="BA1795" s="355">
        <v>1.38E-2</v>
      </c>
      <c r="BB1795" s="624">
        <v>40767</v>
      </c>
      <c r="BC1795" s="355">
        <v>0.34239999999999998</v>
      </c>
      <c r="BD1795" s="624">
        <v>40767</v>
      </c>
      <c r="BE1795" s="355">
        <v>9.2619999999999994E-2</v>
      </c>
      <c r="BF1795" s="624">
        <v>40869</v>
      </c>
      <c r="BG1795" s="355">
        <v>1.9068000000000002E-2</v>
      </c>
      <c r="BH1795" s="624">
        <v>40767</v>
      </c>
      <c r="BI1795" s="355">
        <v>0.11680500000000001</v>
      </c>
      <c r="BJ1795" s="624">
        <v>40766</v>
      </c>
      <c r="BK1795" s="355">
        <v>3.3377999999999998E-2</v>
      </c>
    </row>
    <row r="1796" spans="3:63" x14ac:dyDescent="0.15">
      <c r="C1796" s="624"/>
      <c r="D1796" s="355">
        <v>3.4770000000000002E-2</v>
      </c>
      <c r="AV1796" s="624"/>
      <c r="AX1796" s="624">
        <v>40773</v>
      </c>
      <c r="AY1796" s="355">
        <v>3.4380000000000001E-2</v>
      </c>
      <c r="AZ1796" s="624">
        <v>40837</v>
      </c>
      <c r="BA1796" s="355">
        <v>1.3899999999999999E-2</v>
      </c>
      <c r="BB1796" s="624">
        <v>40770</v>
      </c>
      <c r="BC1796" s="355">
        <v>0.34899999999999998</v>
      </c>
      <c r="BD1796" s="624">
        <v>40770</v>
      </c>
      <c r="BE1796" s="355">
        <v>9.2679999999999998E-2</v>
      </c>
      <c r="BF1796" s="624">
        <v>40870</v>
      </c>
      <c r="BG1796" s="355">
        <v>1.9060000000000001E-2</v>
      </c>
      <c r="BH1796" s="624">
        <v>40770</v>
      </c>
      <c r="BI1796" s="355">
        <v>0.11713</v>
      </c>
      <c r="BJ1796" s="624">
        <v>40767</v>
      </c>
      <c r="BK1796" s="355">
        <v>3.3405999999999998E-2</v>
      </c>
    </row>
    <row r="1797" spans="3:63" x14ac:dyDescent="0.15">
      <c r="C1797" s="624"/>
      <c r="D1797" s="355">
        <v>3.4380000000000001E-2</v>
      </c>
      <c r="AV1797" s="624"/>
      <c r="AX1797" s="624">
        <v>40774</v>
      </c>
      <c r="AY1797" s="355">
        <v>3.4340000000000002E-2</v>
      </c>
      <c r="AZ1797" s="624">
        <v>40840</v>
      </c>
      <c r="BA1797" s="355">
        <v>1.4E-2</v>
      </c>
      <c r="BB1797" s="624">
        <v>40771</v>
      </c>
      <c r="BC1797" s="355">
        <v>0.34760000000000002</v>
      </c>
      <c r="BD1797" s="624">
        <v>40771</v>
      </c>
      <c r="BE1797" s="355">
        <v>9.3509999999999996E-2</v>
      </c>
      <c r="BF1797" s="624">
        <v>40871</v>
      </c>
      <c r="BG1797" s="355">
        <v>1.9220000000000001E-2</v>
      </c>
      <c r="BH1797" s="624">
        <v>40771</v>
      </c>
      <c r="BI1797" s="355">
        <v>0.117268</v>
      </c>
      <c r="BJ1797" s="624">
        <v>40770</v>
      </c>
      <c r="BK1797" s="355">
        <v>3.3512E-2</v>
      </c>
    </row>
    <row r="1798" spans="3:63" x14ac:dyDescent="0.15">
      <c r="C1798" s="624"/>
      <c r="D1798" s="355">
        <v>3.4340000000000002E-2</v>
      </c>
      <c r="AV1798" s="624"/>
      <c r="AX1798" s="624">
        <v>40777</v>
      </c>
      <c r="AY1798" s="355">
        <v>3.4340000000000002E-2</v>
      </c>
      <c r="AZ1798" s="624">
        <v>40841</v>
      </c>
      <c r="BA1798" s="355">
        <v>1.3899999999999999E-2</v>
      </c>
      <c r="BB1798" s="624">
        <v>40772</v>
      </c>
      <c r="BC1798" s="355">
        <v>0.34870000000000001</v>
      </c>
      <c r="BD1798" s="624">
        <v>40772</v>
      </c>
      <c r="BE1798" s="355">
        <v>9.357E-2</v>
      </c>
      <c r="BF1798" s="624">
        <v>40872</v>
      </c>
      <c r="BG1798" s="355">
        <v>1.9137000000000001E-2</v>
      </c>
      <c r="BH1798" s="624">
        <v>40772</v>
      </c>
      <c r="BI1798" s="355">
        <v>0.117405</v>
      </c>
      <c r="BJ1798" s="624">
        <v>40771</v>
      </c>
      <c r="BK1798" s="355">
        <v>3.3501000000000003E-2</v>
      </c>
    </row>
    <row r="1799" spans="3:63" x14ac:dyDescent="0.15">
      <c r="C1799" s="624"/>
      <c r="D1799" s="355">
        <v>3.4340000000000002E-2</v>
      </c>
      <c r="AV1799" s="624"/>
      <c r="AX1799" s="624">
        <v>40778</v>
      </c>
      <c r="AY1799" s="355">
        <v>3.4540000000000001E-2</v>
      </c>
      <c r="AZ1799" s="624">
        <v>40842</v>
      </c>
      <c r="BA1799" s="355">
        <v>1.3899999999999999E-2</v>
      </c>
      <c r="BB1799" s="624">
        <v>40773</v>
      </c>
      <c r="BC1799" s="355">
        <v>0.34260000000000002</v>
      </c>
      <c r="BD1799" s="624">
        <v>40773</v>
      </c>
      <c r="BE1799" s="355">
        <v>9.2619999999999994E-2</v>
      </c>
      <c r="BF1799" s="624">
        <v>40875</v>
      </c>
      <c r="BG1799" s="355">
        <v>1.9222E-2</v>
      </c>
      <c r="BH1799" s="624">
        <v>40773</v>
      </c>
      <c r="BI1799" s="355">
        <v>0.116788</v>
      </c>
      <c r="BJ1799" s="624">
        <v>40772</v>
      </c>
      <c r="BK1799" s="355">
        <v>3.3489999999999999E-2</v>
      </c>
    </row>
    <row r="1800" spans="3:63" x14ac:dyDescent="0.15">
      <c r="C1800" s="624"/>
      <c r="D1800" s="355">
        <v>3.4540000000000001E-2</v>
      </c>
      <c r="AV1800" s="624"/>
      <c r="AX1800" s="624">
        <v>40779</v>
      </c>
      <c r="AY1800" s="355">
        <v>3.4590000000000003E-2</v>
      </c>
      <c r="AZ1800" s="624">
        <v>40843</v>
      </c>
      <c r="BA1800" s="355">
        <v>1.4200000000000001E-2</v>
      </c>
      <c r="BB1800" s="624">
        <v>40774</v>
      </c>
      <c r="BC1800" s="355">
        <v>0.34470000000000001</v>
      </c>
      <c r="BD1800" s="624">
        <v>40774</v>
      </c>
      <c r="BE1800" s="355">
        <v>9.1969999999999996E-2</v>
      </c>
      <c r="BF1800" s="624">
        <v>40876</v>
      </c>
      <c r="BG1800" s="355">
        <v>1.9213999999999998E-2</v>
      </c>
      <c r="BH1800" s="624">
        <v>40774</v>
      </c>
      <c r="BI1800" s="355">
        <v>0.11666899999999999</v>
      </c>
      <c r="BJ1800" s="624">
        <v>40773</v>
      </c>
      <c r="BK1800" s="355">
        <v>3.3450000000000001E-2</v>
      </c>
    </row>
    <row r="1801" spans="3:63" x14ac:dyDescent="0.15">
      <c r="C1801" s="624"/>
      <c r="D1801" s="355">
        <v>3.4590000000000003E-2</v>
      </c>
      <c r="AV1801" s="624"/>
      <c r="AX1801" s="624">
        <v>40780</v>
      </c>
      <c r="AY1801" s="355">
        <v>3.4599999999999999E-2</v>
      </c>
      <c r="AZ1801" s="624">
        <v>40844</v>
      </c>
      <c r="BA1801" s="355">
        <v>1.4E-2</v>
      </c>
      <c r="BB1801" s="624">
        <v>40777</v>
      </c>
      <c r="BC1801" s="355">
        <v>0.34429999999999999</v>
      </c>
      <c r="BD1801" s="624">
        <v>40777</v>
      </c>
      <c r="BE1801" s="355">
        <v>9.2200000000000004E-2</v>
      </c>
      <c r="BF1801" s="624">
        <v>40877</v>
      </c>
      <c r="BG1801" s="355">
        <v>1.9186999999999999E-2</v>
      </c>
      <c r="BH1801" s="624">
        <v>40777</v>
      </c>
      <c r="BI1801" s="355">
        <v>0.117062</v>
      </c>
      <c r="BJ1801" s="624">
        <v>40774</v>
      </c>
      <c r="BK1801" s="355">
        <v>3.354E-2</v>
      </c>
    </row>
    <row r="1802" spans="3:63" x14ac:dyDescent="0.15">
      <c r="C1802" s="624"/>
      <c r="D1802" s="355">
        <v>3.4599999999999999E-2</v>
      </c>
      <c r="AV1802" s="624"/>
      <c r="AX1802" s="624">
        <v>40781</v>
      </c>
      <c r="AY1802" s="355">
        <v>3.4720000000000001E-2</v>
      </c>
      <c r="AZ1802" s="624">
        <v>40847</v>
      </c>
      <c r="BA1802" s="355">
        <v>1.38E-2</v>
      </c>
      <c r="BB1802" s="624">
        <v>40778</v>
      </c>
      <c r="BC1802" s="355">
        <v>0.34860000000000002</v>
      </c>
      <c r="BD1802" s="624">
        <v>40778</v>
      </c>
      <c r="BE1802" s="355">
        <v>9.282E-2</v>
      </c>
      <c r="BF1802" s="624">
        <v>40878</v>
      </c>
      <c r="BG1802" s="355">
        <v>1.9460999999999999E-2</v>
      </c>
      <c r="BH1802" s="624">
        <v>40778</v>
      </c>
      <c r="BI1802" s="355">
        <v>0.117062</v>
      </c>
      <c r="BJ1802" s="624">
        <v>40777</v>
      </c>
      <c r="BK1802" s="355">
        <v>3.3512E-2</v>
      </c>
    </row>
    <row r="1803" spans="3:63" x14ac:dyDescent="0.15">
      <c r="C1803" s="624"/>
      <c r="D1803" s="355">
        <v>3.4720000000000001E-2</v>
      </c>
      <c r="AV1803" s="624"/>
      <c r="AX1803" s="624">
        <v>40784</v>
      </c>
      <c r="AY1803" s="355">
        <v>3.4700000000000002E-2</v>
      </c>
      <c r="AZ1803" s="624">
        <v>40848</v>
      </c>
      <c r="BA1803" s="355">
        <v>1.3599999999999999E-2</v>
      </c>
      <c r="BB1803" s="624">
        <v>40779</v>
      </c>
      <c r="BC1803" s="355">
        <v>0.34570000000000001</v>
      </c>
      <c r="BD1803" s="624">
        <v>40779</v>
      </c>
      <c r="BE1803" s="355">
        <v>9.2299999999999993E-2</v>
      </c>
      <c r="BF1803" s="624">
        <v>40879</v>
      </c>
      <c r="BG1803" s="355">
        <v>1.9564000000000002E-2</v>
      </c>
      <c r="BH1803" s="624">
        <v>40779</v>
      </c>
      <c r="BI1803" s="355">
        <v>0.11689099999999999</v>
      </c>
      <c r="BJ1803" s="624">
        <v>40778</v>
      </c>
      <c r="BK1803" s="355">
        <v>3.3512E-2</v>
      </c>
    </row>
    <row r="1804" spans="3:63" x14ac:dyDescent="0.15">
      <c r="C1804" s="624"/>
      <c r="D1804" s="355">
        <v>3.4700000000000002E-2</v>
      </c>
      <c r="AV1804" s="624"/>
      <c r="AX1804" s="624">
        <v>40785</v>
      </c>
      <c r="AY1804" s="355">
        <v>3.4610000000000002E-2</v>
      </c>
      <c r="AZ1804" s="624">
        <v>40849</v>
      </c>
      <c r="BA1804" s="355">
        <v>1.3599999999999999E-2</v>
      </c>
      <c r="BB1804" s="624">
        <v>40780</v>
      </c>
      <c r="BC1804" s="355">
        <v>0.3448</v>
      </c>
      <c r="BD1804" s="624">
        <v>40780</v>
      </c>
      <c r="BE1804" s="355">
        <v>9.1850000000000001E-2</v>
      </c>
      <c r="BF1804" s="624">
        <v>40882</v>
      </c>
      <c r="BG1804" s="355">
        <v>1.9469E-2</v>
      </c>
      <c r="BH1804" s="624">
        <v>40780</v>
      </c>
      <c r="BI1804" s="355">
        <v>0.11634</v>
      </c>
      <c r="BJ1804" s="624">
        <v>40779</v>
      </c>
      <c r="BK1804" s="355">
        <v>3.3411000000000003E-2</v>
      </c>
    </row>
    <row r="1805" spans="3:63" x14ac:dyDescent="0.15">
      <c r="C1805" s="624"/>
      <c r="D1805" s="355">
        <v>3.4610000000000002E-2</v>
      </c>
      <c r="AV1805" s="624"/>
      <c r="AX1805" s="624">
        <v>40786</v>
      </c>
      <c r="AY1805" s="355">
        <v>3.456E-2</v>
      </c>
      <c r="AZ1805" s="624">
        <v>40850</v>
      </c>
      <c r="BA1805" s="355">
        <v>1.3599999999999999E-2</v>
      </c>
      <c r="BB1805" s="624">
        <v>40781</v>
      </c>
      <c r="BC1805" s="355">
        <v>0.34910000000000002</v>
      </c>
      <c r="BD1805" s="624">
        <v>40781</v>
      </c>
      <c r="BE1805" s="355">
        <v>9.282E-2</v>
      </c>
      <c r="BF1805" s="624">
        <v>40884</v>
      </c>
      <c r="BG1805" s="355">
        <v>1.9366000000000001E-2</v>
      </c>
      <c r="BH1805" s="624">
        <v>40781</v>
      </c>
      <c r="BI1805" s="355">
        <v>0.11672</v>
      </c>
      <c r="BJ1805" s="624">
        <v>40780</v>
      </c>
      <c r="BK1805" s="355">
        <v>3.3321999999999997E-2</v>
      </c>
    </row>
    <row r="1806" spans="3:63" x14ac:dyDescent="0.15">
      <c r="C1806" s="624"/>
      <c r="D1806" s="355">
        <v>3.456E-2</v>
      </c>
      <c r="AV1806" s="624"/>
      <c r="AX1806" s="624">
        <v>40787</v>
      </c>
      <c r="AY1806" s="355">
        <v>3.4529999999999998E-2</v>
      </c>
      <c r="AZ1806" s="624">
        <v>40851</v>
      </c>
      <c r="BA1806" s="355">
        <v>1.34E-2</v>
      </c>
      <c r="BB1806" s="624">
        <v>40784</v>
      </c>
      <c r="BC1806" s="355">
        <v>0.3503</v>
      </c>
      <c r="BD1806" s="624">
        <v>40784</v>
      </c>
      <c r="BE1806" s="355">
        <v>9.3090000000000006E-2</v>
      </c>
      <c r="BF1806" s="624">
        <v>40885</v>
      </c>
      <c r="BG1806" s="355">
        <v>1.9335000000000001E-2</v>
      </c>
      <c r="BH1806" s="624">
        <v>40784</v>
      </c>
      <c r="BI1806" s="355">
        <v>0.11722</v>
      </c>
      <c r="BJ1806" s="624">
        <v>40781</v>
      </c>
      <c r="BK1806" s="355">
        <v>3.3376999999999997E-2</v>
      </c>
    </row>
    <row r="1807" spans="3:63" x14ac:dyDescent="0.15">
      <c r="C1807" s="624"/>
      <c r="D1807" s="355">
        <v>3.4529999999999998E-2</v>
      </c>
      <c r="AV1807" s="624"/>
      <c r="AX1807" s="624">
        <v>40788</v>
      </c>
      <c r="AY1807" s="355">
        <v>3.4279999999999998E-2</v>
      </c>
      <c r="AZ1807" s="624">
        <v>40854</v>
      </c>
      <c r="BA1807" s="355">
        <v>1.35E-2</v>
      </c>
      <c r="BB1807" s="624">
        <v>40785</v>
      </c>
      <c r="BC1807" s="355">
        <v>0.34760000000000002</v>
      </c>
      <c r="BD1807" s="624">
        <v>40785</v>
      </c>
      <c r="BE1807" s="355">
        <v>9.3119999999999994E-2</v>
      </c>
      <c r="BF1807" s="624">
        <v>40886</v>
      </c>
      <c r="BG1807" s="355">
        <v>1.9269999999999999E-2</v>
      </c>
      <c r="BH1807" s="624">
        <v>40785</v>
      </c>
      <c r="BI1807" s="355">
        <v>0.117058</v>
      </c>
      <c r="BJ1807" s="624">
        <v>40784</v>
      </c>
      <c r="BK1807" s="355">
        <v>3.3343999999999999E-2</v>
      </c>
    </row>
    <row r="1808" spans="3:63" x14ac:dyDescent="0.15">
      <c r="C1808" s="624"/>
      <c r="D1808" s="355">
        <v>3.4279999999999998E-2</v>
      </c>
      <c r="AV1808" s="624"/>
      <c r="AX1808" s="624">
        <v>40791</v>
      </c>
      <c r="AY1808" s="355">
        <v>3.3930000000000002E-2</v>
      </c>
      <c r="AZ1808" s="624">
        <v>40855</v>
      </c>
      <c r="BA1808" s="355">
        <v>1.35E-2</v>
      </c>
      <c r="BB1808" s="624">
        <v>40786</v>
      </c>
      <c r="BC1808" s="355">
        <v>0.3473</v>
      </c>
      <c r="BD1808" s="624">
        <v>40786</v>
      </c>
      <c r="BE1808" s="355">
        <v>9.3810000000000004E-2</v>
      </c>
      <c r="BF1808" s="624">
        <v>40889</v>
      </c>
      <c r="BG1808" s="355">
        <v>1.8967999999999999E-2</v>
      </c>
      <c r="BH1808" s="624">
        <v>40786</v>
      </c>
      <c r="BI1808" s="355">
        <v>0.117288</v>
      </c>
      <c r="BJ1808" s="624">
        <v>40785</v>
      </c>
      <c r="BK1808" s="355">
        <v>3.3333000000000002E-2</v>
      </c>
    </row>
    <row r="1809" spans="3:63" x14ac:dyDescent="0.15">
      <c r="C1809" s="624"/>
      <c r="D1809" s="355">
        <v>3.3930000000000002E-2</v>
      </c>
      <c r="AV1809" s="624"/>
      <c r="AX1809" s="624">
        <v>40792</v>
      </c>
      <c r="AY1809" s="355">
        <v>3.3779999999999998E-2</v>
      </c>
      <c r="AZ1809" s="624">
        <v>40856</v>
      </c>
      <c r="BA1809" s="355">
        <v>1.3299999999999999E-2</v>
      </c>
      <c r="BB1809" s="624">
        <v>40787</v>
      </c>
      <c r="BC1809" s="355">
        <v>0.34379999999999999</v>
      </c>
      <c r="BD1809" s="624">
        <v>40787</v>
      </c>
      <c r="BE1809" s="355">
        <v>9.3990000000000004E-2</v>
      </c>
      <c r="BF1809" s="624">
        <v>40890</v>
      </c>
      <c r="BG1809" s="355">
        <v>1.8827E-2</v>
      </c>
      <c r="BH1809" s="624">
        <v>40787</v>
      </c>
      <c r="BI1809" s="355">
        <v>0.117233</v>
      </c>
      <c r="BJ1809" s="624">
        <v>40786</v>
      </c>
      <c r="BK1809" s="355">
        <v>3.3395000000000001E-2</v>
      </c>
    </row>
    <row r="1810" spans="3:63" x14ac:dyDescent="0.15">
      <c r="C1810" s="624"/>
      <c r="D1810" s="355">
        <v>3.3779999999999998E-2</v>
      </c>
      <c r="AV1810" s="624"/>
      <c r="AX1810" s="624">
        <v>40793</v>
      </c>
      <c r="AY1810" s="355">
        <v>3.3950000000000001E-2</v>
      </c>
      <c r="AZ1810" s="624">
        <v>40857</v>
      </c>
      <c r="BA1810" s="355">
        <v>1.34E-2</v>
      </c>
      <c r="BB1810" s="624">
        <v>40788</v>
      </c>
      <c r="BC1810" s="355">
        <v>0.33910000000000001</v>
      </c>
      <c r="BD1810" s="624">
        <v>40788</v>
      </c>
      <c r="BE1810" s="355">
        <v>9.3869999999999995E-2</v>
      </c>
      <c r="BF1810" s="624">
        <v>40891</v>
      </c>
      <c r="BG1810" s="355">
        <v>1.8544000000000001E-2</v>
      </c>
      <c r="BH1810" s="624">
        <v>40788</v>
      </c>
      <c r="BI1810" s="355">
        <v>0.11722</v>
      </c>
      <c r="BJ1810" s="624">
        <v>40787</v>
      </c>
      <c r="BK1810" s="355">
        <v>3.3389000000000002E-2</v>
      </c>
    </row>
    <row r="1811" spans="3:63" x14ac:dyDescent="0.15">
      <c r="C1811" s="624"/>
      <c r="D1811" s="355">
        <v>3.3950000000000001E-2</v>
      </c>
      <c r="AV1811" s="624"/>
      <c r="AX1811" s="624">
        <v>40794</v>
      </c>
      <c r="AY1811" s="355">
        <v>3.3680000000000002E-2</v>
      </c>
      <c r="AZ1811" s="624">
        <v>40858</v>
      </c>
      <c r="BA1811" s="355">
        <v>1.34E-2</v>
      </c>
      <c r="BB1811" s="624">
        <v>40791</v>
      </c>
      <c r="BC1811" s="355">
        <v>0.3342</v>
      </c>
      <c r="BD1811" s="624">
        <v>40791</v>
      </c>
      <c r="BE1811" s="355">
        <v>9.3439999999999995E-2</v>
      </c>
      <c r="BF1811" s="624">
        <v>40892</v>
      </c>
      <c r="BG1811" s="355">
        <v>1.8773999999999999E-2</v>
      </c>
      <c r="BH1811" s="624">
        <v>40791</v>
      </c>
      <c r="BI1811" s="355">
        <v>0.11713</v>
      </c>
      <c r="BJ1811" s="624">
        <v>40788</v>
      </c>
      <c r="BK1811" s="355">
        <v>3.3433999999999998E-2</v>
      </c>
    </row>
    <row r="1812" spans="3:63" x14ac:dyDescent="0.15">
      <c r="C1812" s="624"/>
      <c r="D1812" s="355">
        <v>3.3680000000000002E-2</v>
      </c>
      <c r="AV1812" s="624"/>
      <c r="AX1812" s="624">
        <v>40795</v>
      </c>
      <c r="AY1812" s="355">
        <v>3.3309999999999999E-2</v>
      </c>
      <c r="AZ1812" s="624">
        <v>40861</v>
      </c>
      <c r="BA1812" s="355">
        <v>1.3299999999999999E-2</v>
      </c>
      <c r="BB1812" s="624">
        <v>40792</v>
      </c>
      <c r="BC1812" s="355">
        <v>0.33050000000000002</v>
      </c>
      <c r="BD1812" s="624">
        <v>40792</v>
      </c>
      <c r="BE1812" s="355">
        <v>9.282E-2</v>
      </c>
      <c r="BF1812" s="624">
        <v>40893</v>
      </c>
      <c r="BG1812" s="355">
        <v>1.9044999999999999E-2</v>
      </c>
      <c r="BH1812" s="624">
        <v>40792</v>
      </c>
      <c r="BI1812" s="355">
        <v>0.116857</v>
      </c>
      <c r="BJ1812" s="624">
        <v>40791</v>
      </c>
      <c r="BK1812" s="355">
        <v>3.3422E-2</v>
      </c>
    </row>
    <row r="1813" spans="3:63" x14ac:dyDescent="0.15">
      <c r="C1813" s="624"/>
      <c r="D1813" s="355">
        <v>3.3309999999999999E-2</v>
      </c>
      <c r="AV1813" s="624"/>
      <c r="AX1813" s="624">
        <v>40798</v>
      </c>
      <c r="AY1813" s="355">
        <v>3.3090000000000001E-2</v>
      </c>
      <c r="AZ1813" s="624">
        <v>40862</v>
      </c>
      <c r="BA1813" s="355">
        <v>1.32E-2</v>
      </c>
      <c r="BB1813" s="624">
        <v>40793</v>
      </c>
      <c r="BC1813" s="355">
        <v>0.33560000000000001</v>
      </c>
      <c r="BD1813" s="624">
        <v>40793</v>
      </c>
      <c r="BE1813" s="355">
        <v>9.3469999999999998E-2</v>
      </c>
      <c r="BF1813" s="624">
        <v>40896</v>
      </c>
      <c r="BG1813" s="355">
        <v>1.8977999999999998E-2</v>
      </c>
      <c r="BH1813" s="624">
        <v>40793</v>
      </c>
      <c r="BI1813" s="355">
        <v>0.117117</v>
      </c>
      <c r="BJ1813" s="624">
        <v>40792</v>
      </c>
      <c r="BK1813" s="355">
        <v>3.3383000000000003E-2</v>
      </c>
    </row>
    <row r="1814" spans="3:63" x14ac:dyDescent="0.15">
      <c r="C1814" s="624"/>
      <c r="D1814" s="355">
        <v>3.3090000000000001E-2</v>
      </c>
      <c r="AV1814" s="624"/>
      <c r="AX1814" s="624">
        <v>40799</v>
      </c>
      <c r="AY1814" s="355">
        <v>3.3059999999999999E-2</v>
      </c>
      <c r="AZ1814" s="624">
        <v>40863</v>
      </c>
      <c r="BA1814" s="355">
        <v>1.3100000000000001E-2</v>
      </c>
      <c r="BB1814" s="624">
        <v>40794</v>
      </c>
      <c r="BC1814" s="355">
        <v>0.32579999999999998</v>
      </c>
      <c r="BD1814" s="624">
        <v>40794</v>
      </c>
      <c r="BE1814" s="355">
        <v>9.2710000000000001E-2</v>
      </c>
      <c r="BF1814" s="624">
        <v>40897</v>
      </c>
      <c r="BG1814" s="355">
        <v>1.8880000000000001E-2</v>
      </c>
      <c r="BH1814" s="624">
        <v>40794</v>
      </c>
      <c r="BI1814" s="355">
        <v>0.11672</v>
      </c>
      <c r="BJ1814" s="624">
        <v>40793</v>
      </c>
      <c r="BK1814" s="355">
        <v>3.3349999999999998E-2</v>
      </c>
    </row>
    <row r="1815" spans="3:63" x14ac:dyDescent="0.15">
      <c r="C1815" s="624"/>
      <c r="D1815" s="355">
        <v>3.3059999999999999E-2</v>
      </c>
      <c r="AV1815" s="624"/>
      <c r="AX1815" s="624">
        <v>40800</v>
      </c>
      <c r="AY1815" s="355">
        <v>3.2849999999999997E-2</v>
      </c>
      <c r="AZ1815" s="624">
        <v>40864</v>
      </c>
      <c r="BA1815" s="355">
        <v>1.3100000000000001E-2</v>
      </c>
      <c r="BB1815" s="624">
        <v>40795</v>
      </c>
      <c r="BC1815" s="355">
        <v>0.31780000000000003</v>
      </c>
      <c r="BD1815" s="624">
        <v>40795</v>
      </c>
      <c r="BE1815" s="355">
        <v>9.2799999999999994E-2</v>
      </c>
      <c r="BF1815" s="624">
        <v>40898</v>
      </c>
      <c r="BG1815" s="355">
        <v>1.8963000000000001E-2</v>
      </c>
      <c r="BH1815" s="624">
        <v>40795</v>
      </c>
      <c r="BI1815" s="355">
        <v>0.116659</v>
      </c>
      <c r="BJ1815" s="624">
        <v>40794</v>
      </c>
      <c r="BK1815" s="355">
        <v>3.3321999999999997E-2</v>
      </c>
    </row>
    <row r="1816" spans="3:63" x14ac:dyDescent="0.15">
      <c r="C1816" s="624"/>
      <c r="D1816" s="355">
        <v>3.2849999999999997E-2</v>
      </c>
      <c r="AV1816" s="624"/>
      <c r="AX1816" s="624">
        <v>40801</v>
      </c>
      <c r="AY1816" s="355">
        <v>3.2890000000000003E-2</v>
      </c>
      <c r="AZ1816" s="624">
        <v>40865</v>
      </c>
      <c r="BA1816" s="355">
        <v>1.2999999999999999E-2</v>
      </c>
      <c r="BB1816" s="624">
        <v>40798</v>
      </c>
      <c r="BC1816" s="355">
        <v>0.316</v>
      </c>
      <c r="BD1816" s="624">
        <v>40798</v>
      </c>
      <c r="BE1816" s="355">
        <v>9.2999999999999999E-2</v>
      </c>
      <c r="BF1816" s="624">
        <v>40899</v>
      </c>
      <c r="BG1816" s="355">
        <v>1.9012999999999999E-2</v>
      </c>
      <c r="BH1816" s="624">
        <v>40798</v>
      </c>
      <c r="BI1816" s="355">
        <v>0.11604299999999999</v>
      </c>
      <c r="BJ1816" s="624">
        <v>40795</v>
      </c>
      <c r="BK1816" s="355">
        <v>3.3244999999999997E-2</v>
      </c>
    </row>
    <row r="1817" spans="3:63" x14ac:dyDescent="0.15">
      <c r="C1817" s="624"/>
      <c r="D1817" s="355">
        <v>3.2890000000000003E-2</v>
      </c>
      <c r="AV1817" s="624"/>
      <c r="AX1817" s="624">
        <v>40802</v>
      </c>
      <c r="AY1817" s="355">
        <v>3.2719999999999999E-2</v>
      </c>
      <c r="AZ1817" s="624">
        <v>40868</v>
      </c>
      <c r="BA1817" s="355">
        <v>1.2999999999999999E-2</v>
      </c>
      <c r="BB1817" s="624">
        <v>40799</v>
      </c>
      <c r="BC1817" s="355">
        <v>0.31590000000000001</v>
      </c>
      <c r="BD1817" s="624">
        <v>40799</v>
      </c>
      <c r="BE1817" s="355">
        <v>9.0700000000000003E-2</v>
      </c>
      <c r="BF1817" s="624">
        <v>40900</v>
      </c>
      <c r="BG1817" s="355">
        <v>1.8939000000000001E-2</v>
      </c>
      <c r="BH1817" s="624">
        <v>40799</v>
      </c>
      <c r="BI1817" s="355">
        <v>0.114811</v>
      </c>
      <c r="BJ1817" s="624">
        <v>40798</v>
      </c>
      <c r="BK1817" s="355">
        <v>3.3168000000000003E-2</v>
      </c>
    </row>
    <row r="1818" spans="3:63" x14ac:dyDescent="0.15">
      <c r="C1818" s="624"/>
      <c r="D1818" s="355">
        <v>3.2719999999999999E-2</v>
      </c>
      <c r="AV1818" s="624"/>
      <c r="AX1818" s="624">
        <v>40805</v>
      </c>
      <c r="AY1818" s="355">
        <v>3.1960000000000002E-2</v>
      </c>
      <c r="AZ1818" s="624">
        <v>40869</v>
      </c>
      <c r="BA1818" s="355">
        <v>1.2999999999999999E-2</v>
      </c>
      <c r="BB1818" s="624">
        <v>40800</v>
      </c>
      <c r="BC1818" s="355">
        <v>0.31369999999999998</v>
      </c>
      <c r="BD1818" s="624">
        <v>40800</v>
      </c>
      <c r="BE1818" s="355">
        <v>9.0429999999999996E-2</v>
      </c>
      <c r="BF1818" s="624">
        <v>40903</v>
      </c>
      <c r="BG1818" s="355">
        <v>1.8964999999999999E-2</v>
      </c>
      <c r="BH1818" s="624">
        <v>40800</v>
      </c>
      <c r="BI1818" s="355">
        <v>0.11383</v>
      </c>
      <c r="BJ1818" s="624">
        <v>40799</v>
      </c>
      <c r="BK1818" s="355">
        <v>3.3118000000000002E-2</v>
      </c>
    </row>
    <row r="1819" spans="3:63" x14ac:dyDescent="0.15">
      <c r="C1819" s="624"/>
      <c r="D1819" s="355">
        <v>3.1960000000000002E-2</v>
      </c>
      <c r="AV1819" s="624"/>
      <c r="AX1819" s="624">
        <v>40806</v>
      </c>
      <c r="AY1819" s="355">
        <v>3.1800000000000002E-2</v>
      </c>
      <c r="AZ1819" s="624">
        <v>40870</v>
      </c>
      <c r="BA1819" s="355">
        <v>1.29E-2</v>
      </c>
      <c r="BB1819" s="624">
        <v>40801</v>
      </c>
      <c r="BC1819" s="355">
        <v>0.3211</v>
      </c>
      <c r="BD1819" s="624">
        <v>40801</v>
      </c>
      <c r="BE1819" s="355">
        <v>8.9859999999999995E-2</v>
      </c>
      <c r="BF1819" s="624">
        <v>40904</v>
      </c>
      <c r="BG1819" s="355">
        <v>1.8859999999999998E-2</v>
      </c>
      <c r="BH1819" s="624">
        <v>40801</v>
      </c>
      <c r="BI1819" s="355">
        <v>0.113798</v>
      </c>
      <c r="BJ1819" s="624">
        <v>40800</v>
      </c>
      <c r="BK1819" s="355">
        <v>3.3024999999999999E-2</v>
      </c>
    </row>
    <row r="1820" spans="3:63" x14ac:dyDescent="0.15">
      <c r="C1820" s="624"/>
      <c r="D1820" s="355">
        <v>3.1800000000000002E-2</v>
      </c>
      <c r="AV1820" s="624"/>
      <c r="AX1820" s="624">
        <v>40807</v>
      </c>
      <c r="AY1820" s="355">
        <v>3.1640000000000001E-2</v>
      </c>
      <c r="AZ1820" s="624">
        <v>40871</v>
      </c>
      <c r="BA1820" s="355">
        <v>1.29E-2</v>
      </c>
      <c r="BB1820" s="624">
        <v>40802</v>
      </c>
      <c r="BC1820" s="355">
        <v>0.32090000000000002</v>
      </c>
      <c r="BD1820" s="624">
        <v>40802</v>
      </c>
      <c r="BE1820" s="355">
        <v>8.9980000000000004E-2</v>
      </c>
      <c r="BF1820" s="624">
        <v>40905</v>
      </c>
      <c r="BG1820" s="355">
        <v>1.8904000000000001E-2</v>
      </c>
      <c r="BH1820" s="624">
        <v>40802</v>
      </c>
      <c r="BI1820" s="355">
        <v>0.113876</v>
      </c>
      <c r="BJ1820" s="624">
        <v>40801</v>
      </c>
      <c r="BK1820" s="355">
        <v>3.2975999999999998E-2</v>
      </c>
    </row>
    <row r="1821" spans="3:63" x14ac:dyDescent="0.15">
      <c r="C1821" s="624"/>
      <c r="D1821" s="355">
        <v>3.1640000000000001E-2</v>
      </c>
      <c r="AV1821" s="624"/>
      <c r="AX1821" s="624">
        <v>40808</v>
      </c>
      <c r="AY1821" s="355">
        <v>3.1179999999999999E-2</v>
      </c>
      <c r="AZ1821" s="624">
        <v>40872</v>
      </c>
      <c r="BA1821" s="355">
        <v>1.2800000000000001E-2</v>
      </c>
      <c r="BB1821" s="624">
        <v>40805</v>
      </c>
      <c r="BC1821" s="355">
        <v>0.31319999999999998</v>
      </c>
      <c r="BD1821" s="624">
        <v>40805</v>
      </c>
      <c r="BE1821" s="355">
        <v>8.7770000000000001E-2</v>
      </c>
      <c r="BF1821" s="624">
        <v>40906</v>
      </c>
      <c r="BG1821" s="355">
        <v>1.8846999999999999E-2</v>
      </c>
      <c r="BH1821" s="624">
        <v>40805</v>
      </c>
      <c r="BI1821" s="355">
        <v>0.111638</v>
      </c>
      <c r="BJ1821" s="624">
        <v>40802</v>
      </c>
      <c r="BK1821" s="355">
        <v>3.2953999999999997E-2</v>
      </c>
    </row>
    <row r="1822" spans="3:63" x14ac:dyDescent="0.15">
      <c r="C1822" s="624"/>
      <c r="D1822" s="355">
        <v>3.1179999999999999E-2</v>
      </c>
      <c r="AV1822" s="624"/>
      <c r="AX1822" s="624">
        <v>40809</v>
      </c>
      <c r="AY1822" s="355">
        <v>3.1130000000000001E-2</v>
      </c>
      <c r="AZ1822" s="624">
        <v>40875</v>
      </c>
      <c r="BA1822" s="355">
        <v>1.29E-2</v>
      </c>
      <c r="BB1822" s="624">
        <v>40806</v>
      </c>
      <c r="BC1822" s="355">
        <v>0.31280000000000002</v>
      </c>
      <c r="BD1822" s="624">
        <v>40806</v>
      </c>
      <c r="BE1822" s="355">
        <v>8.7650000000000006E-2</v>
      </c>
      <c r="BF1822" s="624">
        <v>40907</v>
      </c>
      <c r="BG1822" s="355">
        <v>1.8821999999999998E-2</v>
      </c>
      <c r="BH1822" s="624">
        <v>40806</v>
      </c>
      <c r="BI1822" s="355">
        <v>0.112328</v>
      </c>
      <c r="BJ1822" s="624">
        <v>40805</v>
      </c>
      <c r="BK1822" s="355">
        <v>3.2723000000000002E-2</v>
      </c>
    </row>
    <row r="1823" spans="3:63" x14ac:dyDescent="0.15">
      <c r="C1823" s="624"/>
      <c r="D1823" s="355">
        <v>3.1130000000000001E-2</v>
      </c>
      <c r="AV1823" s="624"/>
      <c r="AX1823" s="624">
        <v>40812</v>
      </c>
      <c r="AY1823" s="355">
        <v>3.083E-2</v>
      </c>
      <c r="AZ1823" s="624">
        <v>40876</v>
      </c>
      <c r="BA1823" s="355">
        <v>1.29E-2</v>
      </c>
      <c r="BB1823" s="624">
        <v>40807</v>
      </c>
      <c r="BC1823" s="355">
        <v>0.3034</v>
      </c>
      <c r="BD1823" s="624">
        <v>40807</v>
      </c>
      <c r="BE1823" s="355">
        <v>8.6989999999999998E-2</v>
      </c>
      <c r="BF1823" s="624">
        <v>40910</v>
      </c>
      <c r="BG1823" s="355">
        <v>1.8759999999999999E-2</v>
      </c>
      <c r="BH1823" s="624">
        <v>40807</v>
      </c>
      <c r="BI1823" s="355">
        <v>0.110193</v>
      </c>
      <c r="BJ1823" s="624">
        <v>40806</v>
      </c>
      <c r="BK1823" s="355">
        <v>3.2883999999999997E-2</v>
      </c>
    </row>
    <row r="1824" spans="3:63" x14ac:dyDescent="0.15">
      <c r="C1824" s="624"/>
      <c r="D1824" s="355">
        <v>3.083E-2</v>
      </c>
      <c r="AV1824" s="624"/>
      <c r="AX1824" s="624">
        <v>40813</v>
      </c>
      <c r="AY1824" s="355">
        <v>3.15E-2</v>
      </c>
      <c r="AZ1824" s="624">
        <v>40877</v>
      </c>
      <c r="BA1824" s="355">
        <v>1.29E-2</v>
      </c>
      <c r="BB1824" s="624">
        <v>40808</v>
      </c>
      <c r="BC1824" s="355">
        <v>0.29809999999999998</v>
      </c>
      <c r="BD1824" s="624">
        <v>40808</v>
      </c>
      <c r="BE1824" s="355">
        <v>8.48E-2</v>
      </c>
      <c r="BF1824" s="624">
        <v>40911</v>
      </c>
      <c r="BG1824" s="355">
        <v>1.8793000000000001E-2</v>
      </c>
      <c r="BH1824" s="624">
        <v>40808</v>
      </c>
      <c r="BI1824" s="355">
        <v>0.10986</v>
      </c>
      <c r="BJ1824" s="624">
        <v>40807</v>
      </c>
      <c r="BK1824" s="355">
        <v>3.2658E-2</v>
      </c>
    </row>
    <row r="1825" spans="3:63" x14ac:dyDescent="0.15">
      <c r="C1825" s="624"/>
      <c r="D1825" s="355">
        <v>3.15E-2</v>
      </c>
      <c r="AV1825" s="624"/>
      <c r="AX1825" s="624">
        <v>40814</v>
      </c>
      <c r="AY1825" s="355">
        <v>3.1379999999999998E-2</v>
      </c>
      <c r="AZ1825" s="624">
        <v>40878</v>
      </c>
      <c r="BA1825" s="355">
        <v>1.2999999999999999E-2</v>
      </c>
      <c r="BB1825" s="624">
        <v>40809</v>
      </c>
      <c r="BC1825" s="355">
        <v>0.30819999999999997</v>
      </c>
      <c r="BD1825" s="624">
        <v>40809</v>
      </c>
      <c r="BE1825" s="355">
        <v>8.5769999999999999E-2</v>
      </c>
      <c r="BF1825" s="624">
        <v>40912</v>
      </c>
      <c r="BG1825" s="355">
        <v>1.8841E-2</v>
      </c>
      <c r="BH1825" s="624">
        <v>40809</v>
      </c>
      <c r="BI1825" s="355">
        <v>0.110683</v>
      </c>
      <c r="BJ1825" s="624">
        <v>40808</v>
      </c>
      <c r="BK1825" s="355">
        <v>3.2467999999999997E-2</v>
      </c>
    </row>
    <row r="1826" spans="3:63" x14ac:dyDescent="0.15">
      <c r="C1826" s="624"/>
      <c r="D1826" s="355">
        <v>3.1379999999999998E-2</v>
      </c>
      <c r="AV1826" s="624"/>
      <c r="AX1826" s="624">
        <v>40815</v>
      </c>
      <c r="AY1826" s="355">
        <v>3.1329999999999997E-2</v>
      </c>
      <c r="AZ1826" s="624">
        <v>40879</v>
      </c>
      <c r="BA1826" s="355">
        <v>1.29E-2</v>
      </c>
      <c r="BB1826" s="624">
        <v>40812</v>
      </c>
      <c r="BC1826" s="355">
        <v>0.30630000000000002</v>
      </c>
      <c r="BD1826" s="624">
        <v>40812</v>
      </c>
      <c r="BE1826" s="355">
        <v>8.4659999999999999E-2</v>
      </c>
      <c r="BF1826" s="624">
        <v>40913</v>
      </c>
      <c r="BG1826" s="355">
        <v>1.8896E-2</v>
      </c>
      <c r="BH1826" s="624">
        <v>40812</v>
      </c>
      <c r="BI1826" s="355">
        <v>0.110011</v>
      </c>
      <c r="BJ1826" s="624">
        <v>40809</v>
      </c>
      <c r="BK1826" s="355">
        <v>3.2326000000000001E-2</v>
      </c>
    </row>
    <row r="1827" spans="3:63" x14ac:dyDescent="0.15">
      <c r="C1827" s="624"/>
      <c r="D1827" s="355">
        <v>3.1329999999999997E-2</v>
      </c>
      <c r="AV1827" s="624"/>
      <c r="AX1827" s="624">
        <v>40816</v>
      </c>
      <c r="AY1827" s="355">
        <v>3.1E-2</v>
      </c>
      <c r="AZ1827" s="624">
        <v>40882</v>
      </c>
      <c r="BA1827" s="355">
        <v>1.2999999999999999E-2</v>
      </c>
      <c r="BB1827" s="624">
        <v>40813</v>
      </c>
      <c r="BC1827" s="355">
        <v>0.3095</v>
      </c>
      <c r="BD1827" s="624">
        <v>40813</v>
      </c>
      <c r="BE1827" s="355">
        <v>8.5589999999999999E-2</v>
      </c>
      <c r="BF1827" s="624">
        <v>40914</v>
      </c>
      <c r="BG1827" s="355">
        <v>1.8970000000000001E-2</v>
      </c>
      <c r="BH1827" s="624">
        <v>40813</v>
      </c>
      <c r="BI1827" s="355">
        <v>0.112582</v>
      </c>
      <c r="BJ1827" s="624">
        <v>40812</v>
      </c>
      <c r="BK1827" s="355">
        <v>3.2122999999999999E-2</v>
      </c>
    </row>
    <row r="1828" spans="3:63" x14ac:dyDescent="0.15">
      <c r="C1828" s="624"/>
      <c r="D1828" s="355">
        <v>3.1E-2</v>
      </c>
      <c r="AV1828" s="624"/>
      <c r="AX1828" s="624">
        <v>40819</v>
      </c>
      <c r="AY1828" s="355">
        <v>3.0519999999999999E-2</v>
      </c>
      <c r="AZ1828" s="624">
        <v>40883</v>
      </c>
      <c r="BA1828" s="355">
        <v>1.2999999999999999E-2</v>
      </c>
      <c r="BB1828" s="624">
        <v>40814</v>
      </c>
      <c r="BC1828" s="355">
        <v>0.30480000000000002</v>
      </c>
      <c r="BD1828" s="624">
        <v>40814</v>
      </c>
      <c r="BE1828" s="355">
        <v>8.4909999999999999E-2</v>
      </c>
      <c r="BF1828" s="624">
        <v>40917</v>
      </c>
      <c r="BG1828" s="355">
        <v>1.9078000000000001E-2</v>
      </c>
      <c r="BH1828" s="624">
        <v>40814</v>
      </c>
      <c r="BI1828" s="355">
        <v>0.10965</v>
      </c>
      <c r="BJ1828" s="624">
        <v>40813</v>
      </c>
      <c r="BK1828" s="355">
        <v>3.2393999999999999E-2</v>
      </c>
    </row>
    <row r="1829" spans="3:63" x14ac:dyDescent="0.15">
      <c r="C1829" s="624"/>
      <c r="D1829" s="355">
        <v>3.0519999999999999E-2</v>
      </c>
      <c r="AV1829" s="624"/>
      <c r="AX1829" s="624">
        <v>40820</v>
      </c>
      <c r="AY1829" s="355">
        <v>3.0609999999999998E-2</v>
      </c>
      <c r="AZ1829" s="624">
        <v>40884</v>
      </c>
      <c r="BA1829" s="355">
        <v>1.2999999999999999E-2</v>
      </c>
      <c r="BB1829" s="624">
        <v>40815</v>
      </c>
      <c r="BC1829" s="355">
        <v>0.30690000000000001</v>
      </c>
      <c r="BD1829" s="624">
        <v>40815</v>
      </c>
      <c r="BE1829" s="355">
        <v>8.5169999999999996E-2</v>
      </c>
      <c r="BF1829" s="624">
        <v>40918</v>
      </c>
      <c r="BG1829" s="355">
        <v>1.9310999999999998E-2</v>
      </c>
      <c r="BH1829" s="624">
        <v>40815</v>
      </c>
      <c r="BI1829" s="355">
        <v>0.110619</v>
      </c>
      <c r="BJ1829" s="624">
        <v>40814</v>
      </c>
      <c r="BK1829" s="355">
        <v>3.2184999999999998E-2</v>
      </c>
    </row>
    <row r="1830" spans="3:63" x14ac:dyDescent="0.15">
      <c r="C1830" s="624"/>
      <c r="D1830" s="355">
        <v>3.0609999999999998E-2</v>
      </c>
      <c r="AV1830" s="624"/>
      <c r="AX1830" s="624">
        <v>40821</v>
      </c>
      <c r="AY1830" s="355">
        <v>3.0759999999999999E-2</v>
      </c>
      <c r="AZ1830" s="624">
        <v>40885</v>
      </c>
      <c r="BA1830" s="355">
        <v>1.29E-2</v>
      </c>
      <c r="BB1830" s="624">
        <v>40816</v>
      </c>
      <c r="BC1830" s="355">
        <v>0.30299999999999999</v>
      </c>
      <c r="BD1830" s="624">
        <v>40816</v>
      </c>
      <c r="BE1830" s="355">
        <v>8.4489999999999996E-2</v>
      </c>
      <c r="BF1830" s="624">
        <v>40919</v>
      </c>
      <c r="BG1830" s="355">
        <v>1.9292E-2</v>
      </c>
      <c r="BH1830" s="624">
        <v>40816</v>
      </c>
      <c r="BI1830" s="355">
        <v>0.110073</v>
      </c>
      <c r="BJ1830" s="624">
        <v>40815</v>
      </c>
      <c r="BK1830" s="355">
        <v>3.2081999999999999E-2</v>
      </c>
    </row>
    <row r="1831" spans="3:63" x14ac:dyDescent="0.15">
      <c r="C1831" s="624"/>
      <c r="D1831" s="355">
        <v>3.0759999999999999E-2</v>
      </c>
      <c r="AV1831" s="624"/>
      <c r="AX1831" s="624">
        <v>40822</v>
      </c>
      <c r="AY1831" s="355">
        <v>3.0949999999999998E-2</v>
      </c>
      <c r="AZ1831" s="624">
        <v>40886</v>
      </c>
      <c r="BA1831" s="355">
        <v>1.2999999999999999E-2</v>
      </c>
      <c r="BB1831" s="624">
        <v>40819</v>
      </c>
      <c r="BC1831" s="355">
        <v>0.29830000000000001</v>
      </c>
      <c r="BD1831" s="624">
        <v>40819</v>
      </c>
      <c r="BE1831" s="355">
        <v>8.4409999999999999E-2</v>
      </c>
      <c r="BF1831" s="624">
        <v>40920</v>
      </c>
      <c r="BG1831" s="355">
        <v>1.9406E-2</v>
      </c>
      <c r="BH1831" s="624">
        <v>40819</v>
      </c>
      <c r="BI1831" s="355">
        <v>0.111882</v>
      </c>
      <c r="BJ1831" s="624">
        <v>40816</v>
      </c>
      <c r="BK1831" s="355">
        <v>3.2056000000000001E-2</v>
      </c>
    </row>
    <row r="1832" spans="3:63" x14ac:dyDescent="0.15">
      <c r="C1832" s="624"/>
      <c r="D1832" s="355">
        <v>3.0949999999999998E-2</v>
      </c>
      <c r="AV1832" s="624"/>
      <c r="AX1832" s="624">
        <v>40823</v>
      </c>
      <c r="AY1832" s="355">
        <v>3.0880000000000001E-2</v>
      </c>
      <c r="AZ1832" s="624">
        <v>40889</v>
      </c>
      <c r="BA1832" s="355">
        <v>1.29E-2</v>
      </c>
      <c r="BB1832" s="624">
        <v>40820</v>
      </c>
      <c r="BC1832" s="355">
        <v>0.30349999999999999</v>
      </c>
      <c r="BD1832" s="624">
        <v>40820</v>
      </c>
      <c r="BE1832" s="355">
        <v>8.3809999999999996E-2</v>
      </c>
      <c r="BF1832" s="624">
        <v>40921</v>
      </c>
      <c r="BG1832" s="355">
        <v>1.9413E-2</v>
      </c>
      <c r="BH1832" s="624">
        <v>40820</v>
      </c>
      <c r="BI1832" s="355">
        <v>0.110927</v>
      </c>
      <c r="BJ1832" s="624">
        <v>40819</v>
      </c>
      <c r="BK1832" s="355">
        <v>3.2032999999999999E-2</v>
      </c>
    </row>
    <row r="1833" spans="3:63" x14ac:dyDescent="0.15">
      <c r="C1833" s="624"/>
      <c r="D1833" s="355">
        <v>3.0880000000000001E-2</v>
      </c>
      <c r="AV1833" s="624"/>
      <c r="AX1833" s="624">
        <v>40826</v>
      </c>
      <c r="AY1833" s="355">
        <v>3.1710000000000002E-2</v>
      </c>
      <c r="AZ1833" s="624">
        <v>40890</v>
      </c>
      <c r="BA1833" s="355">
        <v>1.2800000000000001E-2</v>
      </c>
      <c r="BB1833" s="624">
        <v>40821</v>
      </c>
      <c r="BC1833" s="355">
        <v>0.30470000000000003</v>
      </c>
      <c r="BD1833" s="624">
        <v>40821</v>
      </c>
      <c r="BE1833" s="355">
        <v>8.4309999999999996E-2</v>
      </c>
      <c r="BF1833" s="624">
        <v>40924</v>
      </c>
      <c r="BG1833" s="355">
        <v>1.9446000000000001E-2</v>
      </c>
      <c r="BH1833" s="624">
        <v>40821</v>
      </c>
      <c r="BI1833" s="355">
        <v>0.111857</v>
      </c>
      <c r="BJ1833" s="624">
        <v>40820</v>
      </c>
      <c r="BK1833" s="355">
        <v>3.2072000000000003E-2</v>
      </c>
    </row>
    <row r="1834" spans="3:63" x14ac:dyDescent="0.15">
      <c r="C1834" s="624"/>
      <c r="D1834" s="355">
        <v>3.1710000000000002E-2</v>
      </c>
      <c r="AV1834" s="624"/>
      <c r="AX1834" s="624">
        <v>40827</v>
      </c>
      <c r="AY1834" s="355">
        <v>3.1690000000000003E-2</v>
      </c>
      <c r="AZ1834" s="624">
        <v>40891</v>
      </c>
      <c r="BA1834" s="355">
        <v>1.29E-2</v>
      </c>
      <c r="BB1834" s="624">
        <v>40822</v>
      </c>
      <c r="BC1834" s="355">
        <v>0.30730000000000002</v>
      </c>
      <c r="BD1834" s="624">
        <v>40822</v>
      </c>
      <c r="BE1834" s="355">
        <v>8.4599999999999995E-2</v>
      </c>
      <c r="BF1834" s="624">
        <v>40925</v>
      </c>
      <c r="BG1834" s="355">
        <v>1.9709999999999998E-2</v>
      </c>
      <c r="BH1834" s="624">
        <v>40822</v>
      </c>
      <c r="BI1834" s="355">
        <v>0.112899</v>
      </c>
      <c r="BJ1834" s="624">
        <v>40821</v>
      </c>
      <c r="BK1834" s="355">
        <v>3.2118000000000001E-2</v>
      </c>
    </row>
    <row r="1835" spans="3:63" x14ac:dyDescent="0.15">
      <c r="C1835" s="624"/>
      <c r="D1835" s="355">
        <v>3.1690000000000003E-2</v>
      </c>
      <c r="AV1835" s="624"/>
      <c r="AX1835" s="624">
        <v>40828</v>
      </c>
      <c r="AY1835" s="355">
        <v>3.2140000000000002E-2</v>
      </c>
      <c r="AZ1835" s="624">
        <v>40892</v>
      </c>
      <c r="BA1835" s="355">
        <v>1.2800000000000001E-2</v>
      </c>
      <c r="BB1835" s="624">
        <v>40823</v>
      </c>
      <c r="BC1835" s="355">
        <v>0.30559999999999998</v>
      </c>
      <c r="BD1835" s="624">
        <v>40823</v>
      </c>
      <c r="BE1835" s="355">
        <v>8.4570000000000006E-2</v>
      </c>
      <c r="BF1835" s="624">
        <v>40926</v>
      </c>
      <c r="BG1835" s="355">
        <v>1.984E-2</v>
      </c>
      <c r="BH1835" s="624">
        <v>40823</v>
      </c>
      <c r="BI1835" s="355">
        <v>0.111247</v>
      </c>
      <c r="BJ1835" s="624">
        <v>40822</v>
      </c>
      <c r="BK1835" s="355">
        <v>3.2247999999999999E-2</v>
      </c>
    </row>
    <row r="1836" spans="3:63" x14ac:dyDescent="0.15">
      <c r="C1836" s="624"/>
      <c r="D1836" s="355">
        <v>3.2140000000000002E-2</v>
      </c>
      <c r="AV1836" s="624"/>
      <c r="AX1836" s="624">
        <v>40829</v>
      </c>
      <c r="AY1836" s="355">
        <v>3.2050000000000002E-2</v>
      </c>
      <c r="AZ1836" s="624">
        <v>40893</v>
      </c>
      <c r="BA1836" s="355">
        <v>1.29E-2</v>
      </c>
      <c r="BB1836" s="624">
        <v>40826</v>
      </c>
      <c r="BC1836" s="355">
        <v>0.31690000000000002</v>
      </c>
      <c r="BD1836" s="624">
        <v>40826</v>
      </c>
      <c r="BE1836" s="355">
        <v>8.5489999999999997E-2</v>
      </c>
      <c r="BF1836" s="624">
        <v>40927</v>
      </c>
      <c r="BG1836" s="355">
        <v>1.9876000000000001E-2</v>
      </c>
      <c r="BH1836" s="624">
        <v>40826</v>
      </c>
      <c r="BI1836" s="355">
        <v>0.11257499999999999</v>
      </c>
      <c r="BJ1836" s="624">
        <v>40823</v>
      </c>
      <c r="BK1836" s="355">
        <v>3.2279000000000002E-2</v>
      </c>
    </row>
    <row r="1837" spans="3:63" x14ac:dyDescent="0.15">
      <c r="C1837" s="624"/>
      <c r="D1837" s="355">
        <v>3.2050000000000002E-2</v>
      </c>
      <c r="AV1837" s="624"/>
      <c r="AX1837" s="624">
        <v>40830</v>
      </c>
      <c r="AY1837" s="355">
        <v>3.2399999999999998E-2</v>
      </c>
      <c r="AZ1837" s="624">
        <v>40896</v>
      </c>
      <c r="BA1837" s="355">
        <v>1.2699999999999999E-2</v>
      </c>
      <c r="BB1837" s="624">
        <v>40827</v>
      </c>
      <c r="BC1837" s="355">
        <v>0.316</v>
      </c>
      <c r="BD1837" s="624">
        <v>40827</v>
      </c>
      <c r="BE1837" s="355">
        <v>8.5349999999999995E-2</v>
      </c>
      <c r="BF1837" s="624">
        <v>40928</v>
      </c>
      <c r="BG1837" s="355">
        <v>1.9882E-2</v>
      </c>
      <c r="BH1837" s="624">
        <v>40827</v>
      </c>
      <c r="BI1837" s="355">
        <v>0.11241</v>
      </c>
      <c r="BJ1837" s="624">
        <v>40826</v>
      </c>
      <c r="BK1837" s="355">
        <v>3.2409E-2</v>
      </c>
    </row>
    <row r="1838" spans="3:63" x14ac:dyDescent="0.15">
      <c r="C1838" s="624"/>
      <c r="D1838" s="355">
        <v>3.2399999999999998E-2</v>
      </c>
      <c r="AV1838" s="624"/>
      <c r="AX1838" s="624">
        <v>40833</v>
      </c>
      <c r="AY1838" s="355">
        <v>3.2300000000000002E-2</v>
      </c>
      <c r="AZ1838" s="624">
        <v>40897</v>
      </c>
      <c r="BA1838" s="355">
        <v>1.2699999999999999E-2</v>
      </c>
      <c r="BB1838" s="624">
        <v>40828</v>
      </c>
      <c r="BC1838" s="355">
        <v>0.32150000000000001</v>
      </c>
      <c r="BD1838" s="624">
        <v>40828</v>
      </c>
      <c r="BE1838" s="355">
        <v>8.5800000000000001E-2</v>
      </c>
      <c r="BF1838" s="624">
        <v>40931</v>
      </c>
      <c r="BG1838" s="355">
        <v>2.0005999999999999E-2</v>
      </c>
      <c r="BH1838" s="624">
        <v>40828</v>
      </c>
      <c r="BI1838" s="355">
        <v>0.11305800000000001</v>
      </c>
      <c r="BJ1838" s="624">
        <v>40827</v>
      </c>
      <c r="BK1838" s="355">
        <v>3.2321000000000003E-2</v>
      </c>
    </row>
    <row r="1839" spans="3:63" x14ac:dyDescent="0.15">
      <c r="C1839" s="624"/>
      <c r="D1839" s="355">
        <v>3.2300000000000002E-2</v>
      </c>
      <c r="AV1839" s="624"/>
      <c r="AX1839" s="624">
        <v>40834</v>
      </c>
      <c r="AY1839" s="355">
        <v>3.2059999999999998E-2</v>
      </c>
      <c r="AZ1839" s="624">
        <v>40898</v>
      </c>
      <c r="BA1839" s="355">
        <v>1.2699999999999999E-2</v>
      </c>
      <c r="BB1839" s="624">
        <v>40829</v>
      </c>
      <c r="BC1839" s="355">
        <v>0.32050000000000001</v>
      </c>
      <c r="BD1839" s="624">
        <v>40829</v>
      </c>
      <c r="BE1839" s="355">
        <v>8.6599999999999996E-2</v>
      </c>
      <c r="BF1839" s="624">
        <v>40932</v>
      </c>
      <c r="BG1839" s="355">
        <v>1.9990999999999998E-2</v>
      </c>
      <c r="BH1839" s="624">
        <v>40829</v>
      </c>
      <c r="BI1839" s="355">
        <v>0.11283799999999999</v>
      </c>
      <c r="BJ1839" s="624">
        <v>40828</v>
      </c>
      <c r="BK1839" s="355">
        <v>3.2461999999999998E-2</v>
      </c>
    </row>
    <row r="1840" spans="3:63" x14ac:dyDescent="0.15">
      <c r="C1840" s="624"/>
      <c r="D1840" s="355">
        <v>3.2059999999999998E-2</v>
      </c>
      <c r="AV1840" s="624"/>
      <c r="AX1840" s="624">
        <v>40835</v>
      </c>
      <c r="AY1840" s="355">
        <v>3.2239999999999998E-2</v>
      </c>
      <c r="AZ1840" s="624">
        <v>40899</v>
      </c>
      <c r="BA1840" s="355">
        <v>1.2699999999999999E-2</v>
      </c>
      <c r="BB1840" s="624">
        <v>40830</v>
      </c>
      <c r="BC1840" s="355">
        <v>0.3226</v>
      </c>
      <c r="BD1840" s="624">
        <v>40830</v>
      </c>
      <c r="BE1840" s="355">
        <v>8.6550000000000002E-2</v>
      </c>
      <c r="BF1840" s="624">
        <v>40933</v>
      </c>
      <c r="BG1840" s="355">
        <v>1.9906E-2</v>
      </c>
      <c r="BH1840" s="624">
        <v>40830</v>
      </c>
      <c r="BI1840" s="355">
        <v>0.113007</v>
      </c>
      <c r="BJ1840" s="624">
        <v>40829</v>
      </c>
      <c r="BK1840" s="355">
        <v>3.2393999999999999E-2</v>
      </c>
    </row>
    <row r="1841" spans="3:63" x14ac:dyDescent="0.15">
      <c r="C1841" s="624"/>
      <c r="D1841" s="355">
        <v>3.2239999999999998E-2</v>
      </c>
      <c r="AV1841" s="624"/>
      <c r="AX1841" s="624">
        <v>40836</v>
      </c>
      <c r="AY1841" s="355">
        <v>3.1899999999999998E-2</v>
      </c>
      <c r="AZ1841" s="624">
        <v>40900</v>
      </c>
      <c r="BA1841" s="355">
        <v>1.26E-2</v>
      </c>
      <c r="BB1841" s="624">
        <v>40833</v>
      </c>
      <c r="BC1841" s="355">
        <v>0.31540000000000001</v>
      </c>
      <c r="BD1841" s="624">
        <v>40833</v>
      </c>
      <c r="BE1841" s="355">
        <v>8.6929999999999993E-2</v>
      </c>
      <c r="BF1841" s="624">
        <v>40935</v>
      </c>
      <c r="BG1841" s="355">
        <v>2.0243000000000001E-2</v>
      </c>
      <c r="BH1841" s="624">
        <v>40833</v>
      </c>
      <c r="BI1841" s="355">
        <v>0.112486</v>
      </c>
      <c r="BJ1841" s="624">
        <v>40830</v>
      </c>
      <c r="BK1841" s="355">
        <v>3.2509999999999997E-2</v>
      </c>
    </row>
    <row r="1842" spans="3:63" x14ac:dyDescent="0.15">
      <c r="C1842" s="624"/>
      <c r="D1842" s="355">
        <v>3.1899999999999998E-2</v>
      </c>
      <c r="AV1842" s="624"/>
      <c r="AX1842" s="624">
        <v>40837</v>
      </c>
      <c r="AY1842" s="355">
        <v>3.2199999999999999E-2</v>
      </c>
      <c r="AZ1842" s="624">
        <v>40903</v>
      </c>
      <c r="BA1842" s="355">
        <v>1.2699999999999999E-2</v>
      </c>
      <c r="BB1842" s="624">
        <v>40834</v>
      </c>
      <c r="BC1842" s="355">
        <v>0.31590000000000001</v>
      </c>
      <c r="BD1842" s="624">
        <v>40834</v>
      </c>
      <c r="BE1842" s="355">
        <v>8.7080000000000005E-2</v>
      </c>
      <c r="BF1842" s="624">
        <v>40938</v>
      </c>
      <c r="BG1842" s="355">
        <v>2.0087000000000001E-2</v>
      </c>
      <c r="BH1842" s="624">
        <v>40834</v>
      </c>
      <c r="BI1842" s="355">
        <v>0.113026</v>
      </c>
      <c r="BJ1842" s="624">
        <v>40833</v>
      </c>
      <c r="BK1842" s="355">
        <v>3.2611000000000001E-2</v>
      </c>
    </row>
    <row r="1843" spans="3:63" x14ac:dyDescent="0.15">
      <c r="C1843" s="624"/>
      <c r="D1843" s="355">
        <v>3.2199999999999999E-2</v>
      </c>
      <c r="AV1843" s="624"/>
      <c r="AX1843" s="624">
        <v>40840</v>
      </c>
      <c r="AY1843" s="355">
        <v>3.2759999999999997E-2</v>
      </c>
      <c r="AZ1843" s="624">
        <v>40904</v>
      </c>
      <c r="BA1843" s="355">
        <v>1.2699999999999999E-2</v>
      </c>
      <c r="BB1843" s="624">
        <v>40835</v>
      </c>
      <c r="BC1843" s="355">
        <v>0.31680000000000003</v>
      </c>
      <c r="BD1843" s="624">
        <v>40835</v>
      </c>
      <c r="BE1843" s="355">
        <v>8.8099999999999998E-2</v>
      </c>
      <c r="BF1843" s="624">
        <v>40939</v>
      </c>
      <c r="BG1843" s="355">
        <v>2.0187E-2</v>
      </c>
      <c r="BH1843" s="624">
        <v>40835</v>
      </c>
      <c r="BI1843" s="355">
        <v>0.113701</v>
      </c>
      <c r="BJ1843" s="624">
        <v>40834</v>
      </c>
      <c r="BK1843" s="355">
        <v>3.2584000000000002E-2</v>
      </c>
    </row>
    <row r="1844" spans="3:63" x14ac:dyDescent="0.15">
      <c r="C1844" s="624"/>
      <c r="D1844" s="355">
        <v>3.2759999999999997E-2</v>
      </c>
      <c r="AV1844" s="624"/>
      <c r="AX1844" s="624">
        <v>40841</v>
      </c>
      <c r="AY1844" s="355">
        <v>3.279E-2</v>
      </c>
      <c r="AZ1844" s="624">
        <v>40905</v>
      </c>
      <c r="BA1844" s="355">
        <v>1.24E-2</v>
      </c>
      <c r="BB1844" s="624">
        <v>40836</v>
      </c>
      <c r="BC1844" s="355">
        <v>0.313</v>
      </c>
      <c r="BD1844" s="624">
        <v>40836</v>
      </c>
      <c r="BE1844" s="355">
        <v>8.7139999999999995E-2</v>
      </c>
      <c r="BF1844" s="624">
        <v>40940</v>
      </c>
      <c r="BG1844" s="355">
        <v>2.0369000000000002E-2</v>
      </c>
      <c r="BH1844" s="624">
        <v>40836</v>
      </c>
      <c r="BI1844" s="355">
        <v>0.11229699999999999</v>
      </c>
      <c r="BJ1844" s="624">
        <v>40835</v>
      </c>
      <c r="BK1844" s="355">
        <v>3.2467999999999997E-2</v>
      </c>
    </row>
    <row r="1845" spans="3:63" x14ac:dyDescent="0.15">
      <c r="C1845" s="624"/>
      <c r="D1845" s="355">
        <v>3.279E-2</v>
      </c>
      <c r="AV1845" s="624"/>
      <c r="AX1845" s="624">
        <v>40842</v>
      </c>
      <c r="AY1845" s="355">
        <v>3.2629999999999999E-2</v>
      </c>
      <c r="AZ1845" s="624">
        <v>40906</v>
      </c>
      <c r="BA1845" s="355">
        <v>1.24E-2</v>
      </c>
      <c r="BB1845" s="624">
        <v>40837</v>
      </c>
      <c r="BC1845" s="355">
        <v>0.31630000000000003</v>
      </c>
      <c r="BD1845" s="624">
        <v>40837</v>
      </c>
      <c r="BE1845" s="355">
        <v>8.7319999999999995E-2</v>
      </c>
      <c r="BF1845" s="624">
        <v>40941</v>
      </c>
      <c r="BG1845" s="355">
        <v>2.0396000000000001E-2</v>
      </c>
      <c r="BH1845" s="624">
        <v>40837</v>
      </c>
      <c r="BI1845" s="355">
        <v>0.112708</v>
      </c>
      <c r="BJ1845" s="624">
        <v>40836</v>
      </c>
      <c r="BK1845" s="355">
        <v>3.2226999999999999E-2</v>
      </c>
    </row>
    <row r="1846" spans="3:63" x14ac:dyDescent="0.15">
      <c r="C1846" s="624"/>
      <c r="D1846" s="355">
        <v>3.2629999999999999E-2</v>
      </c>
      <c r="AV1846" s="624"/>
      <c r="AX1846" s="624">
        <v>40843</v>
      </c>
      <c r="AY1846" s="355">
        <v>3.3450000000000001E-2</v>
      </c>
      <c r="AZ1846" s="624">
        <v>40907</v>
      </c>
      <c r="BA1846" s="355">
        <v>1.21E-2</v>
      </c>
      <c r="BB1846" s="624">
        <v>40840</v>
      </c>
      <c r="BC1846" s="355">
        <v>0.3196</v>
      </c>
      <c r="BD1846" s="624">
        <v>40840</v>
      </c>
      <c r="BE1846" s="355">
        <v>8.8270000000000001E-2</v>
      </c>
      <c r="BF1846" s="624">
        <v>40942</v>
      </c>
      <c r="BG1846" s="355">
        <v>2.0486000000000001E-2</v>
      </c>
      <c r="BH1846" s="624">
        <v>40840</v>
      </c>
      <c r="BI1846" s="355">
        <v>0.11318599999999999</v>
      </c>
      <c r="BJ1846" s="624">
        <v>40837</v>
      </c>
      <c r="BK1846" s="355">
        <v>3.2330999999999999E-2</v>
      </c>
    </row>
    <row r="1847" spans="3:63" x14ac:dyDescent="0.15">
      <c r="C1847" s="624"/>
      <c r="D1847" s="355">
        <v>3.3450000000000001E-2</v>
      </c>
      <c r="AV1847" s="624"/>
      <c r="AX1847" s="624">
        <v>40844</v>
      </c>
      <c r="AY1847" s="355">
        <v>3.3529999999999997E-2</v>
      </c>
      <c r="AZ1847" s="624">
        <v>40910</v>
      </c>
      <c r="BA1847" s="355">
        <v>1.21E-2</v>
      </c>
      <c r="BB1847" s="624">
        <v>40841</v>
      </c>
      <c r="BC1847" s="355">
        <v>0.31850000000000001</v>
      </c>
      <c r="BD1847" s="624">
        <v>40841</v>
      </c>
      <c r="BE1847" s="355">
        <v>8.838E-2</v>
      </c>
      <c r="BF1847" s="624">
        <v>40945</v>
      </c>
      <c r="BG1847" s="355">
        <v>2.0386000000000001E-2</v>
      </c>
      <c r="BH1847" s="624">
        <v>40841</v>
      </c>
      <c r="BI1847" s="355">
        <v>0.113026</v>
      </c>
      <c r="BJ1847" s="624">
        <v>40840</v>
      </c>
      <c r="BK1847" s="355">
        <v>3.2457E-2</v>
      </c>
    </row>
    <row r="1848" spans="3:63" x14ac:dyDescent="0.15">
      <c r="C1848" s="624"/>
      <c r="D1848" s="355">
        <v>3.3529999999999997E-2</v>
      </c>
      <c r="AV1848" s="624"/>
      <c r="AX1848" s="624">
        <v>40847</v>
      </c>
      <c r="AY1848" s="355">
        <v>3.295E-2</v>
      </c>
      <c r="AZ1848" s="624">
        <v>40911</v>
      </c>
      <c r="BA1848" s="355">
        <v>1.2200000000000001E-2</v>
      </c>
      <c r="BB1848" s="624">
        <v>40842</v>
      </c>
      <c r="BC1848" s="355">
        <v>0.31740000000000002</v>
      </c>
      <c r="BD1848" s="624">
        <v>40842</v>
      </c>
      <c r="BE1848" s="355">
        <v>8.8389999999999996E-2</v>
      </c>
      <c r="BF1848" s="624">
        <v>40946</v>
      </c>
      <c r="BG1848" s="355">
        <v>2.0338999999999999E-2</v>
      </c>
      <c r="BH1848" s="624">
        <v>40842</v>
      </c>
      <c r="BI1848" s="355">
        <v>0.11272699999999999</v>
      </c>
      <c r="BJ1848" s="624">
        <v>40841</v>
      </c>
      <c r="BK1848" s="355">
        <v>3.2457E-2</v>
      </c>
    </row>
    <row r="1849" spans="3:63" x14ac:dyDescent="0.15">
      <c r="C1849" s="624"/>
      <c r="D1849" s="355">
        <v>3.295E-2</v>
      </c>
      <c r="AV1849" s="624"/>
      <c r="AX1849" s="624">
        <v>40848</v>
      </c>
      <c r="AY1849" s="355">
        <v>3.2500000000000001E-2</v>
      </c>
      <c r="AZ1849" s="624">
        <v>40912</v>
      </c>
      <c r="BA1849" s="355">
        <v>1.2200000000000001E-2</v>
      </c>
      <c r="BB1849" s="624">
        <v>40843</v>
      </c>
      <c r="BC1849" s="355">
        <v>0.33019999999999999</v>
      </c>
      <c r="BD1849" s="624">
        <v>40843</v>
      </c>
      <c r="BE1849" s="355">
        <v>9.0209999999999999E-2</v>
      </c>
      <c r="BF1849" s="624">
        <v>40947</v>
      </c>
      <c r="BG1849" s="355">
        <v>2.0313999999999999E-2</v>
      </c>
      <c r="BH1849" s="624">
        <v>40843</v>
      </c>
      <c r="BI1849" s="355">
        <v>0.11386300000000001</v>
      </c>
      <c r="BJ1849" s="624">
        <v>40842</v>
      </c>
      <c r="BK1849" s="355">
        <v>3.2478E-2</v>
      </c>
    </row>
    <row r="1850" spans="3:63" x14ac:dyDescent="0.15">
      <c r="C1850" s="624"/>
      <c r="D1850" s="355">
        <v>3.2500000000000001E-2</v>
      </c>
      <c r="AV1850" s="624"/>
      <c r="AX1850" s="624">
        <v>40849</v>
      </c>
      <c r="AY1850" s="355">
        <v>3.2559999999999999E-2</v>
      </c>
      <c r="AZ1850" s="624">
        <v>40913</v>
      </c>
      <c r="BA1850" s="355">
        <v>1.2200000000000001E-2</v>
      </c>
      <c r="BB1850" s="624">
        <v>40844</v>
      </c>
      <c r="BC1850" s="355">
        <v>0.3266</v>
      </c>
      <c r="BD1850" s="624">
        <v>40844</v>
      </c>
      <c r="BE1850" s="355">
        <v>9.0630000000000002E-2</v>
      </c>
      <c r="BF1850" s="624">
        <v>40948</v>
      </c>
      <c r="BG1850" s="355">
        <v>2.0227999999999999E-2</v>
      </c>
      <c r="BH1850" s="624">
        <v>40844</v>
      </c>
      <c r="BI1850" s="355">
        <v>0.113508</v>
      </c>
      <c r="BJ1850" s="624">
        <v>40843</v>
      </c>
      <c r="BK1850" s="355">
        <v>3.2798000000000001E-2</v>
      </c>
    </row>
    <row r="1851" spans="3:63" x14ac:dyDescent="0.15">
      <c r="C1851" s="624"/>
      <c r="D1851" s="355">
        <v>3.2559999999999999E-2</v>
      </c>
      <c r="AV1851" s="624"/>
      <c r="AX1851" s="624">
        <v>40850</v>
      </c>
      <c r="AY1851" s="355">
        <v>3.2820000000000002E-2</v>
      </c>
      <c r="AZ1851" s="624">
        <v>40914</v>
      </c>
      <c r="BA1851" s="355">
        <v>1.21E-2</v>
      </c>
      <c r="BB1851" s="624">
        <v>40847</v>
      </c>
      <c r="BC1851" s="355">
        <v>0.315</v>
      </c>
      <c r="BD1851" s="624">
        <v>40847</v>
      </c>
      <c r="BE1851" s="355">
        <v>8.9679999999999996E-2</v>
      </c>
      <c r="BF1851" s="624">
        <v>40949</v>
      </c>
      <c r="BG1851" s="355">
        <v>2.0201E-2</v>
      </c>
      <c r="BH1851" s="624">
        <v>40847</v>
      </c>
      <c r="BI1851" s="355">
        <v>0.11274000000000001</v>
      </c>
      <c r="BJ1851" s="624">
        <v>40844</v>
      </c>
      <c r="BK1851" s="355">
        <v>3.2723000000000002E-2</v>
      </c>
    </row>
    <row r="1852" spans="3:63" x14ac:dyDescent="0.15">
      <c r="C1852" s="624"/>
      <c r="D1852" s="355">
        <v>3.2820000000000002E-2</v>
      </c>
      <c r="AV1852" s="624"/>
      <c r="AX1852" s="624">
        <v>40851</v>
      </c>
      <c r="AY1852" s="355">
        <v>3.2570000000000002E-2</v>
      </c>
      <c r="AZ1852" s="624">
        <v>40917</v>
      </c>
      <c r="BA1852" s="355">
        <v>1.23E-2</v>
      </c>
      <c r="BB1852" s="624">
        <v>40848</v>
      </c>
      <c r="BC1852" s="355">
        <v>0.309</v>
      </c>
      <c r="BD1852" s="624">
        <v>40848</v>
      </c>
      <c r="BE1852" s="355">
        <v>8.9149999999999993E-2</v>
      </c>
      <c r="BF1852" s="624">
        <v>40952</v>
      </c>
      <c r="BG1852" s="355">
        <v>2.0346E-2</v>
      </c>
      <c r="BH1852" s="624">
        <v>40848</v>
      </c>
      <c r="BI1852" s="355">
        <v>0.112454</v>
      </c>
      <c r="BJ1852" s="624">
        <v>40847</v>
      </c>
      <c r="BK1852" s="355">
        <v>3.2563000000000002E-2</v>
      </c>
    </row>
    <row r="1853" spans="3:63" x14ac:dyDescent="0.15">
      <c r="C1853" s="624"/>
      <c r="D1853" s="355">
        <v>3.2570000000000002E-2</v>
      </c>
      <c r="AV1853" s="624"/>
      <c r="AX1853" s="624">
        <v>40854</v>
      </c>
      <c r="AY1853" s="355">
        <v>3.2809999999999999E-2</v>
      </c>
      <c r="AZ1853" s="624">
        <v>40918</v>
      </c>
      <c r="BA1853" s="355">
        <v>1.23E-2</v>
      </c>
      <c r="BB1853" s="624">
        <v>40849</v>
      </c>
      <c r="BC1853" s="355">
        <v>0.31480000000000002</v>
      </c>
      <c r="BD1853" s="624">
        <v>40849</v>
      </c>
      <c r="BE1853" s="355">
        <v>8.9179999999999995E-2</v>
      </c>
      <c r="BF1853" s="624">
        <v>40953</v>
      </c>
      <c r="BG1853" s="355">
        <v>2.0209000000000001E-2</v>
      </c>
      <c r="BH1853" s="624">
        <v>40849</v>
      </c>
      <c r="BI1853" s="355">
        <v>0.111483</v>
      </c>
      <c r="BJ1853" s="624">
        <v>40848</v>
      </c>
      <c r="BK1853" s="355">
        <v>3.2362000000000002E-2</v>
      </c>
    </row>
    <row r="1854" spans="3:63" x14ac:dyDescent="0.15">
      <c r="C1854" s="624"/>
      <c r="D1854" s="355">
        <v>3.2809999999999999E-2</v>
      </c>
      <c r="AV1854" s="624"/>
      <c r="AX1854" s="624">
        <v>40855</v>
      </c>
      <c r="AY1854" s="355">
        <v>3.3090000000000001E-2</v>
      </c>
      <c r="AZ1854" s="624">
        <v>40919</v>
      </c>
      <c r="BA1854" s="355">
        <v>1.2200000000000001E-2</v>
      </c>
      <c r="BB1854" s="624">
        <v>40850</v>
      </c>
      <c r="BC1854" s="355">
        <v>0.31890000000000002</v>
      </c>
      <c r="BD1854" s="624">
        <v>40850</v>
      </c>
      <c r="BE1854" s="355">
        <v>8.8779999999999998E-2</v>
      </c>
      <c r="BF1854" s="624">
        <v>40954</v>
      </c>
      <c r="BG1854" s="355">
        <v>2.0247999999999999E-2</v>
      </c>
      <c r="BH1854" s="624">
        <v>40850</v>
      </c>
      <c r="BI1854" s="355">
        <v>0.111982</v>
      </c>
      <c r="BJ1854" s="624">
        <v>40849</v>
      </c>
      <c r="BK1854" s="355">
        <v>3.2488999999999997E-2</v>
      </c>
    </row>
    <row r="1855" spans="3:63" x14ac:dyDescent="0.15">
      <c r="C1855" s="624"/>
      <c r="D1855" s="355">
        <v>3.3090000000000001E-2</v>
      </c>
      <c r="AV1855" s="624"/>
      <c r="AX1855" s="624">
        <v>40856</v>
      </c>
      <c r="AY1855" s="355">
        <v>3.2649999999999998E-2</v>
      </c>
      <c r="AZ1855" s="624">
        <v>40920</v>
      </c>
      <c r="BA1855" s="355">
        <v>1.23E-2</v>
      </c>
      <c r="BB1855" s="624">
        <v>40851</v>
      </c>
      <c r="BC1855" s="355">
        <v>0.31559999999999999</v>
      </c>
      <c r="BD1855" s="624">
        <v>40851</v>
      </c>
      <c r="BE1855" s="355">
        <v>9.017E-2</v>
      </c>
      <c r="BF1855" s="624">
        <v>40956</v>
      </c>
      <c r="BG1855" s="355">
        <v>2.0277E-2</v>
      </c>
      <c r="BH1855" s="624">
        <v>40851</v>
      </c>
      <c r="BI1855" s="355">
        <v>0.111982</v>
      </c>
      <c r="BJ1855" s="624">
        <v>40850</v>
      </c>
      <c r="BK1855" s="355">
        <v>3.2626000000000002E-2</v>
      </c>
    </row>
    <row r="1856" spans="3:63" x14ac:dyDescent="0.15">
      <c r="C1856" s="624"/>
      <c r="D1856" s="355">
        <v>3.2649999999999998E-2</v>
      </c>
      <c r="AV1856" s="624"/>
      <c r="AX1856" s="624">
        <v>40857</v>
      </c>
      <c r="AY1856" s="355">
        <v>3.2739999999999998E-2</v>
      </c>
      <c r="AZ1856" s="624">
        <v>40921</v>
      </c>
      <c r="BA1856" s="355">
        <v>1.21E-2</v>
      </c>
      <c r="BB1856" s="624">
        <v>40854</v>
      </c>
      <c r="BC1856" s="355">
        <v>0.31530000000000002</v>
      </c>
      <c r="BD1856" s="624">
        <v>40854</v>
      </c>
      <c r="BE1856" s="355">
        <v>8.9590000000000003E-2</v>
      </c>
      <c r="BF1856" s="624">
        <v>40960</v>
      </c>
      <c r="BG1856" s="355">
        <v>2.0271999999999998E-2</v>
      </c>
      <c r="BH1856" s="624">
        <v>40854</v>
      </c>
      <c r="BI1856" s="355">
        <v>0.11167000000000001</v>
      </c>
      <c r="BJ1856" s="624">
        <v>40851</v>
      </c>
      <c r="BK1856" s="355">
        <v>3.2648000000000003E-2</v>
      </c>
    </row>
    <row r="1857" spans="3:63" x14ac:dyDescent="0.15">
      <c r="C1857" s="624"/>
      <c r="D1857" s="355">
        <v>3.2739999999999998E-2</v>
      </c>
      <c r="AV1857" s="624"/>
      <c r="AX1857" s="624">
        <v>40858</v>
      </c>
      <c r="AY1857" s="355">
        <v>3.2939999999999997E-2</v>
      </c>
      <c r="AZ1857" s="624">
        <v>40924</v>
      </c>
      <c r="BA1857" s="355">
        <v>1.21E-2</v>
      </c>
      <c r="BB1857" s="624">
        <v>40855</v>
      </c>
      <c r="BC1857" s="355">
        <v>0.31780000000000003</v>
      </c>
      <c r="BD1857" s="624">
        <v>40855</v>
      </c>
      <c r="BE1857" s="355">
        <v>8.9779999999999999E-2</v>
      </c>
      <c r="BF1857" s="624">
        <v>40961</v>
      </c>
      <c r="BG1857" s="355">
        <v>2.035E-2</v>
      </c>
      <c r="BH1857" s="624">
        <v>40855</v>
      </c>
      <c r="BI1857" s="355">
        <v>0.11217100000000001</v>
      </c>
      <c r="BJ1857" s="624">
        <v>40854</v>
      </c>
      <c r="BK1857" s="355">
        <v>3.2615999999999999E-2</v>
      </c>
    </row>
    <row r="1858" spans="3:63" x14ac:dyDescent="0.15">
      <c r="C1858" s="624"/>
      <c r="D1858" s="355">
        <v>3.2939999999999997E-2</v>
      </c>
      <c r="AV1858" s="624"/>
      <c r="AX1858" s="624">
        <v>40861</v>
      </c>
      <c r="AY1858" s="355">
        <v>3.27E-2</v>
      </c>
      <c r="AZ1858" s="624">
        <v>40925</v>
      </c>
      <c r="BA1858" s="355">
        <v>1.21E-2</v>
      </c>
      <c r="BB1858" s="624">
        <v>40856</v>
      </c>
      <c r="BC1858" s="355">
        <v>0.308</v>
      </c>
      <c r="BD1858" s="624">
        <v>40856</v>
      </c>
      <c r="BE1858" s="355">
        <v>8.9020000000000002E-2</v>
      </c>
      <c r="BF1858" s="624">
        <v>40962</v>
      </c>
      <c r="BG1858" s="355">
        <v>2.0330000000000001E-2</v>
      </c>
      <c r="BH1858" s="624">
        <v>40856</v>
      </c>
      <c r="BI1858" s="355">
        <v>0.112549</v>
      </c>
      <c r="BJ1858" s="624">
        <v>40855</v>
      </c>
      <c r="BK1858" s="355">
        <v>3.2626000000000002E-2</v>
      </c>
    </row>
    <row r="1859" spans="3:63" x14ac:dyDescent="0.15">
      <c r="C1859" s="624"/>
      <c r="D1859" s="355">
        <v>3.27E-2</v>
      </c>
      <c r="AV1859" s="624"/>
      <c r="AX1859" s="624">
        <v>40862</v>
      </c>
      <c r="AY1859" s="355">
        <v>3.2660000000000002E-2</v>
      </c>
      <c r="AZ1859" s="624">
        <v>40926</v>
      </c>
      <c r="BA1859" s="355">
        <v>1.2200000000000001E-2</v>
      </c>
      <c r="BB1859" s="624">
        <v>40857</v>
      </c>
      <c r="BC1859" s="355">
        <v>0.30780000000000002</v>
      </c>
      <c r="BD1859" s="624">
        <v>40857</v>
      </c>
      <c r="BE1859" s="355">
        <v>8.8370000000000004E-2</v>
      </c>
      <c r="BF1859" s="624">
        <v>40963</v>
      </c>
      <c r="BG1859" s="355">
        <v>2.0405E-2</v>
      </c>
      <c r="BH1859" s="624">
        <v>40857</v>
      </c>
      <c r="BI1859" s="355">
        <v>0.110926</v>
      </c>
      <c r="BJ1859" s="624">
        <v>40856</v>
      </c>
      <c r="BK1859" s="355">
        <v>3.2530999999999997E-2</v>
      </c>
    </row>
    <row r="1860" spans="3:63" x14ac:dyDescent="0.15">
      <c r="C1860" s="624"/>
      <c r="D1860" s="355">
        <v>3.2660000000000002E-2</v>
      </c>
      <c r="AV1860" s="624"/>
      <c r="AX1860" s="624">
        <v>40863</v>
      </c>
      <c r="AY1860" s="355">
        <v>3.2480000000000002E-2</v>
      </c>
      <c r="AZ1860" s="624">
        <v>40927</v>
      </c>
      <c r="BA1860" s="355">
        <v>1.23E-2</v>
      </c>
      <c r="BB1860" s="624">
        <v>40858</v>
      </c>
      <c r="BC1860" s="355">
        <v>0.31369999999999998</v>
      </c>
      <c r="BD1860" s="624">
        <v>40858</v>
      </c>
      <c r="BE1860" s="355">
        <v>8.856E-2</v>
      </c>
      <c r="BF1860" s="624">
        <v>40966</v>
      </c>
      <c r="BG1860" s="355">
        <v>2.0341000000000001E-2</v>
      </c>
      <c r="BH1860" s="624">
        <v>40858</v>
      </c>
      <c r="BI1860" s="355">
        <v>0.111794</v>
      </c>
      <c r="BJ1860" s="624">
        <v>40857</v>
      </c>
      <c r="BK1860" s="355">
        <v>3.2473000000000002E-2</v>
      </c>
    </row>
    <row r="1861" spans="3:63" x14ac:dyDescent="0.15">
      <c r="C1861" s="624"/>
      <c r="D1861" s="355">
        <v>3.2480000000000002E-2</v>
      </c>
      <c r="AV1861" s="624"/>
      <c r="AX1861" s="624">
        <v>40864</v>
      </c>
      <c r="AY1861" s="355">
        <v>3.2289999999999999E-2</v>
      </c>
      <c r="AZ1861" s="624">
        <v>40928</v>
      </c>
      <c r="BA1861" s="355">
        <v>1.23E-2</v>
      </c>
      <c r="BB1861" s="624">
        <v>40861</v>
      </c>
      <c r="BC1861" s="355">
        <v>0.30919999999999997</v>
      </c>
      <c r="BD1861" s="624">
        <v>40861</v>
      </c>
      <c r="BE1861" s="355">
        <v>8.8830000000000006E-2</v>
      </c>
      <c r="BF1861" s="624">
        <v>40967</v>
      </c>
      <c r="BG1861" s="355">
        <v>2.0423E-2</v>
      </c>
      <c r="BH1861" s="624">
        <v>40861</v>
      </c>
      <c r="BI1861" s="355">
        <v>0.11129699999999999</v>
      </c>
      <c r="BJ1861" s="624">
        <v>40858</v>
      </c>
      <c r="BK1861" s="355">
        <v>3.2478E-2</v>
      </c>
    </row>
    <row r="1862" spans="3:63" x14ac:dyDescent="0.15">
      <c r="C1862" s="624"/>
      <c r="D1862" s="355">
        <v>3.2289999999999999E-2</v>
      </c>
      <c r="AV1862" s="624"/>
      <c r="AX1862" s="624">
        <v>40865</v>
      </c>
      <c r="AY1862" s="355">
        <v>3.2410000000000001E-2</v>
      </c>
      <c r="AZ1862" s="624">
        <v>40931</v>
      </c>
      <c r="BA1862" s="355">
        <v>1.24E-2</v>
      </c>
      <c r="BB1862" s="624">
        <v>40862</v>
      </c>
      <c r="BC1862" s="355">
        <v>0.30499999999999999</v>
      </c>
      <c r="BD1862" s="624">
        <v>40862</v>
      </c>
      <c r="BE1862" s="355">
        <v>8.8639999999999997E-2</v>
      </c>
      <c r="BF1862" s="624">
        <v>40968</v>
      </c>
      <c r="BG1862" s="355">
        <v>2.0365000000000001E-2</v>
      </c>
      <c r="BH1862" s="624">
        <v>40862</v>
      </c>
      <c r="BI1862" s="355">
        <v>0.111174</v>
      </c>
      <c r="BJ1862" s="624">
        <v>40861</v>
      </c>
      <c r="BK1862" s="355">
        <v>3.2499E-2</v>
      </c>
    </row>
    <row r="1863" spans="3:63" x14ac:dyDescent="0.15">
      <c r="C1863" s="624"/>
      <c r="D1863" s="355">
        <v>3.2410000000000001E-2</v>
      </c>
      <c r="AV1863" s="624"/>
      <c r="AX1863" s="624">
        <v>40868</v>
      </c>
      <c r="AY1863" s="355">
        <v>3.2070000000000001E-2</v>
      </c>
      <c r="AZ1863" s="624">
        <v>40932</v>
      </c>
      <c r="BA1863" s="355">
        <v>1.24E-2</v>
      </c>
      <c r="BB1863" s="624">
        <v>40863</v>
      </c>
      <c r="BC1863" s="355">
        <v>0.3024</v>
      </c>
      <c r="BD1863" s="624">
        <v>40863</v>
      </c>
      <c r="BE1863" s="355">
        <v>8.8020000000000001E-2</v>
      </c>
      <c r="BF1863" s="624">
        <v>40969</v>
      </c>
      <c r="BG1863" s="355">
        <v>2.0333E-2</v>
      </c>
      <c r="BH1863" s="624">
        <v>40863</v>
      </c>
      <c r="BI1863" s="355">
        <v>0.111093</v>
      </c>
      <c r="BJ1863" s="624">
        <v>40862</v>
      </c>
      <c r="BK1863" s="355">
        <v>3.2446000000000003E-2</v>
      </c>
    </row>
    <row r="1864" spans="3:63" x14ac:dyDescent="0.15">
      <c r="C1864" s="624"/>
      <c r="D1864" s="355">
        <v>3.2070000000000001E-2</v>
      </c>
      <c r="AV1864" s="624"/>
      <c r="AX1864" s="624">
        <v>40869</v>
      </c>
      <c r="AY1864" s="355">
        <v>3.2140000000000002E-2</v>
      </c>
      <c r="AZ1864" s="624">
        <v>40933</v>
      </c>
      <c r="BA1864" s="355">
        <v>1.24E-2</v>
      </c>
      <c r="BB1864" s="624">
        <v>40864</v>
      </c>
      <c r="BC1864" s="355">
        <v>0.30259999999999998</v>
      </c>
      <c r="BD1864" s="624">
        <v>40864</v>
      </c>
      <c r="BE1864" s="355">
        <v>8.7889999999999996E-2</v>
      </c>
      <c r="BF1864" s="624">
        <v>40970</v>
      </c>
      <c r="BG1864" s="355">
        <v>2.0195000000000001E-2</v>
      </c>
      <c r="BH1864" s="624">
        <v>40864</v>
      </c>
      <c r="BI1864" s="355">
        <v>0.10995099999999999</v>
      </c>
      <c r="BJ1864" s="624">
        <v>40863</v>
      </c>
      <c r="BK1864" s="355">
        <v>3.2425000000000002E-2</v>
      </c>
    </row>
    <row r="1865" spans="3:63" x14ac:dyDescent="0.15">
      <c r="C1865" s="624"/>
      <c r="D1865" s="355">
        <v>3.2140000000000002E-2</v>
      </c>
      <c r="AV1865" s="624"/>
      <c r="AX1865" s="624">
        <v>40870</v>
      </c>
      <c r="AY1865" s="355">
        <v>3.1699999999999999E-2</v>
      </c>
      <c r="AZ1865" s="624">
        <v>40934</v>
      </c>
      <c r="BA1865" s="355">
        <v>1.24E-2</v>
      </c>
      <c r="BB1865" s="624">
        <v>40865</v>
      </c>
      <c r="BC1865" s="355">
        <v>0.30559999999999998</v>
      </c>
      <c r="BD1865" s="624">
        <v>40865</v>
      </c>
      <c r="BE1865" s="355">
        <v>8.7800000000000003E-2</v>
      </c>
      <c r="BF1865" s="624">
        <v>40973</v>
      </c>
      <c r="BG1865" s="355">
        <v>2.0070999999999999E-2</v>
      </c>
      <c r="BH1865" s="624">
        <v>40865</v>
      </c>
      <c r="BI1865" s="355">
        <v>0.11043600000000001</v>
      </c>
      <c r="BJ1865" s="624">
        <v>40864</v>
      </c>
      <c r="BK1865" s="355">
        <v>3.2336999999999998E-2</v>
      </c>
    </row>
    <row r="1866" spans="3:63" x14ac:dyDescent="0.15">
      <c r="C1866" s="624"/>
      <c r="D1866" s="355">
        <v>3.1699999999999999E-2</v>
      </c>
      <c r="AV1866" s="624"/>
      <c r="AX1866" s="624">
        <v>40871</v>
      </c>
      <c r="AY1866" s="355">
        <v>3.1719999999999998E-2</v>
      </c>
      <c r="AZ1866" s="624">
        <v>40935</v>
      </c>
      <c r="BA1866" s="355">
        <v>1.24E-2</v>
      </c>
      <c r="BB1866" s="624">
        <v>40868</v>
      </c>
      <c r="BC1866" s="355">
        <v>0.30209999999999998</v>
      </c>
      <c r="BD1866" s="624">
        <v>40868</v>
      </c>
      <c r="BE1866" s="355">
        <v>8.7129999999999999E-2</v>
      </c>
      <c r="BF1866" s="624">
        <v>40974</v>
      </c>
      <c r="BG1866" s="355">
        <v>1.9855000000000001E-2</v>
      </c>
      <c r="BH1866" s="624">
        <v>40868</v>
      </c>
      <c r="BI1866" s="355">
        <v>0.10978400000000001</v>
      </c>
      <c r="BJ1866" s="624">
        <v>40865</v>
      </c>
      <c r="BK1866" s="355">
        <v>3.2258000000000002E-2</v>
      </c>
    </row>
    <row r="1867" spans="3:63" x14ac:dyDescent="0.15">
      <c r="C1867" s="624"/>
      <c r="D1867" s="355">
        <v>3.1719999999999998E-2</v>
      </c>
      <c r="AV1867" s="624"/>
      <c r="AX1867" s="624">
        <v>40872</v>
      </c>
      <c r="AY1867" s="355">
        <v>3.1609999999999999E-2</v>
      </c>
      <c r="AZ1867" s="624">
        <v>40938</v>
      </c>
      <c r="BA1867" s="355">
        <v>1.24E-2</v>
      </c>
      <c r="BB1867" s="624">
        <v>40869</v>
      </c>
      <c r="BC1867" s="355">
        <v>0.3029</v>
      </c>
      <c r="BD1867" s="624">
        <v>40869</v>
      </c>
      <c r="BE1867" s="355">
        <v>8.7179999999999994E-2</v>
      </c>
      <c r="BF1867" s="624">
        <v>40975</v>
      </c>
      <c r="BG1867" s="355">
        <v>1.9843E-2</v>
      </c>
      <c r="BH1867" s="624">
        <v>40869</v>
      </c>
      <c r="BI1867" s="355">
        <v>0.10922999999999999</v>
      </c>
      <c r="BJ1867" s="624">
        <v>40868</v>
      </c>
      <c r="BK1867" s="355">
        <v>3.2016000000000003E-2</v>
      </c>
    </row>
    <row r="1868" spans="3:63" x14ac:dyDescent="0.15">
      <c r="C1868" s="624"/>
      <c r="D1868" s="355">
        <v>3.1609999999999999E-2</v>
      </c>
      <c r="AV1868" s="624"/>
      <c r="AX1868" s="624">
        <v>40875</v>
      </c>
      <c r="AY1868" s="355">
        <v>3.1870000000000002E-2</v>
      </c>
      <c r="AZ1868" s="624">
        <v>40939</v>
      </c>
      <c r="BA1868" s="355">
        <v>1.24E-2</v>
      </c>
      <c r="BB1868" s="624">
        <v>40870</v>
      </c>
      <c r="BC1868" s="355">
        <v>0.2969</v>
      </c>
      <c r="BD1868" s="624">
        <v>40870</v>
      </c>
      <c r="BE1868" s="355">
        <v>8.6110000000000006E-2</v>
      </c>
      <c r="BF1868" s="624">
        <v>40977</v>
      </c>
      <c r="BG1868" s="355">
        <v>2.0086E-2</v>
      </c>
      <c r="BH1868" s="624">
        <v>40870</v>
      </c>
      <c r="BI1868" s="355">
        <v>0.108696</v>
      </c>
      <c r="BJ1868" s="624">
        <v>40869</v>
      </c>
      <c r="BK1868" s="355">
        <v>3.2062E-2</v>
      </c>
    </row>
    <row r="1869" spans="3:63" x14ac:dyDescent="0.15">
      <c r="C1869" s="624"/>
      <c r="D1869" s="355">
        <v>3.1870000000000002E-2</v>
      </c>
      <c r="AV1869" s="624"/>
      <c r="AX1869" s="624">
        <v>40876</v>
      </c>
      <c r="AY1869" s="355">
        <v>3.1949999999999999E-2</v>
      </c>
      <c r="AZ1869" s="624">
        <v>40940</v>
      </c>
      <c r="BA1869" s="355">
        <v>1.2500000000000001E-2</v>
      </c>
      <c r="BB1869" s="624">
        <v>40871</v>
      </c>
      <c r="BC1869" s="355">
        <v>0.29699999999999999</v>
      </c>
      <c r="BD1869" s="624">
        <v>40871</v>
      </c>
      <c r="BE1869" s="355">
        <v>8.659E-2</v>
      </c>
      <c r="BF1869" s="624">
        <v>40980</v>
      </c>
      <c r="BG1869" s="355">
        <v>1.9994000000000001E-2</v>
      </c>
      <c r="BH1869" s="624">
        <v>40871</v>
      </c>
      <c r="BI1869" s="355">
        <v>0.10881399999999999</v>
      </c>
      <c r="BJ1869" s="624">
        <v>40870</v>
      </c>
      <c r="BK1869" s="355">
        <v>3.1857000000000003E-2</v>
      </c>
    </row>
    <row r="1870" spans="3:63" x14ac:dyDescent="0.15">
      <c r="C1870" s="624"/>
      <c r="D1870" s="355">
        <v>3.1949999999999999E-2</v>
      </c>
      <c r="AV1870" s="624"/>
      <c r="AX1870" s="624">
        <v>40877</v>
      </c>
      <c r="AY1870" s="355">
        <v>3.2539999999999999E-2</v>
      </c>
      <c r="AZ1870" s="624">
        <v>40941</v>
      </c>
      <c r="BA1870" s="355">
        <v>1.2500000000000001E-2</v>
      </c>
      <c r="BB1870" s="624">
        <v>40872</v>
      </c>
      <c r="BC1870" s="355">
        <v>0.2913</v>
      </c>
      <c r="BD1870" s="624">
        <v>40872</v>
      </c>
      <c r="BE1870" s="355">
        <v>8.5949999999999999E-2</v>
      </c>
      <c r="BF1870" s="624">
        <v>40981</v>
      </c>
      <c r="BG1870" s="355">
        <v>1.9982E-2</v>
      </c>
      <c r="BH1870" s="624">
        <v>40872</v>
      </c>
      <c r="BI1870" s="355">
        <v>0.108519</v>
      </c>
      <c r="BJ1870" s="624">
        <v>40871</v>
      </c>
      <c r="BK1870" s="355">
        <v>3.1965E-2</v>
      </c>
    </row>
    <row r="1871" spans="3:63" x14ac:dyDescent="0.15">
      <c r="C1871" s="624"/>
      <c r="D1871" s="355">
        <v>3.2539999999999999E-2</v>
      </c>
      <c r="AV1871" s="624"/>
      <c r="AX1871" s="624">
        <v>40878</v>
      </c>
      <c r="AY1871" s="355">
        <v>3.2509999999999997E-2</v>
      </c>
      <c r="AZ1871" s="624">
        <v>40942</v>
      </c>
      <c r="BA1871" s="355">
        <v>1.2500000000000001E-2</v>
      </c>
      <c r="BB1871" s="624">
        <v>40875</v>
      </c>
      <c r="BC1871" s="355">
        <v>0.29380000000000001</v>
      </c>
      <c r="BD1871" s="624">
        <v>40875</v>
      </c>
      <c r="BE1871" s="355">
        <v>8.6860000000000007E-2</v>
      </c>
      <c r="BF1871" s="624">
        <v>40982</v>
      </c>
      <c r="BG1871" s="355">
        <v>1.9994000000000001E-2</v>
      </c>
      <c r="BH1871" s="624">
        <v>40875</v>
      </c>
      <c r="BI1871" s="355">
        <v>0.10977000000000001</v>
      </c>
      <c r="BJ1871" s="624">
        <v>40872</v>
      </c>
      <c r="BK1871" s="355">
        <v>3.1847E-2</v>
      </c>
    </row>
    <row r="1872" spans="3:63" x14ac:dyDescent="0.15">
      <c r="C1872" s="624"/>
      <c r="D1872" s="355">
        <v>3.2509999999999997E-2</v>
      </c>
      <c r="AV1872" s="624"/>
      <c r="AX1872" s="624">
        <v>40879</v>
      </c>
      <c r="AY1872" s="355">
        <v>3.236E-2</v>
      </c>
      <c r="AZ1872" s="624">
        <v>40945</v>
      </c>
      <c r="BA1872" s="355">
        <v>1.23E-2</v>
      </c>
      <c r="BB1872" s="624">
        <v>40876</v>
      </c>
      <c r="BC1872" s="355">
        <v>0.29380000000000001</v>
      </c>
      <c r="BD1872" s="624">
        <v>40876</v>
      </c>
      <c r="BE1872" s="355">
        <v>8.7540000000000007E-2</v>
      </c>
      <c r="BF1872" s="624">
        <v>40983</v>
      </c>
      <c r="BG1872" s="355">
        <v>1.9862999999999999E-2</v>
      </c>
      <c r="BH1872" s="624">
        <v>40876</v>
      </c>
      <c r="BI1872" s="355">
        <v>0.10881399999999999</v>
      </c>
      <c r="BJ1872" s="624">
        <v>40875</v>
      </c>
      <c r="BK1872" s="355">
        <v>3.1912999999999997E-2</v>
      </c>
    </row>
    <row r="1873" spans="3:63" x14ac:dyDescent="0.15">
      <c r="C1873" s="624"/>
      <c r="D1873" s="355">
        <v>3.236E-2</v>
      </c>
      <c r="AV1873" s="624"/>
      <c r="AX1873" s="624">
        <v>40882</v>
      </c>
      <c r="AY1873" s="355">
        <v>3.2309999999999998E-2</v>
      </c>
      <c r="AZ1873" s="624">
        <v>40946</v>
      </c>
      <c r="BA1873" s="355">
        <v>1.23E-2</v>
      </c>
      <c r="BB1873" s="624">
        <v>40877</v>
      </c>
      <c r="BC1873" s="355">
        <v>0.29849999999999999</v>
      </c>
      <c r="BD1873" s="624">
        <v>40877</v>
      </c>
      <c r="BE1873" s="355">
        <v>8.763E-2</v>
      </c>
      <c r="BF1873" s="624">
        <v>40984</v>
      </c>
      <c r="BG1873" s="355">
        <v>1.9938000000000001E-2</v>
      </c>
      <c r="BH1873" s="624">
        <v>40877</v>
      </c>
      <c r="BI1873" s="355">
        <v>0.11013199999999999</v>
      </c>
      <c r="BJ1873" s="624">
        <v>40876</v>
      </c>
      <c r="BK1873" s="355">
        <v>3.1968999999999997E-2</v>
      </c>
    </row>
    <row r="1874" spans="3:63" x14ac:dyDescent="0.15">
      <c r="C1874" s="624"/>
      <c r="D1874" s="355">
        <v>3.2309999999999998E-2</v>
      </c>
      <c r="AV1874" s="624"/>
      <c r="AX1874" s="624">
        <v>40883</v>
      </c>
      <c r="AY1874" s="355">
        <v>3.1859999999999999E-2</v>
      </c>
      <c r="AZ1874" s="624">
        <v>40947</v>
      </c>
      <c r="BA1874" s="355">
        <v>1.2200000000000001E-2</v>
      </c>
      <c r="BB1874" s="624">
        <v>40878</v>
      </c>
      <c r="BC1874" s="355">
        <v>0.30020000000000002</v>
      </c>
      <c r="BD1874" s="624">
        <v>40878</v>
      </c>
      <c r="BE1874" s="355">
        <v>8.8639999999999997E-2</v>
      </c>
      <c r="BF1874" s="624">
        <v>40987</v>
      </c>
      <c r="BG1874" s="355">
        <v>1.9911999999999999E-2</v>
      </c>
      <c r="BH1874" s="624">
        <v>40878</v>
      </c>
      <c r="BI1874" s="355">
        <v>0.10989</v>
      </c>
      <c r="BJ1874" s="624">
        <v>40877</v>
      </c>
      <c r="BK1874" s="355">
        <v>3.2372999999999999E-2</v>
      </c>
    </row>
    <row r="1875" spans="3:63" x14ac:dyDescent="0.15">
      <c r="C1875" s="624"/>
      <c r="D1875" s="355">
        <v>3.1859999999999999E-2</v>
      </c>
      <c r="AV1875" s="624"/>
      <c r="AX1875" s="624">
        <v>40884</v>
      </c>
      <c r="AY1875" s="355">
        <v>3.2000000000000001E-2</v>
      </c>
      <c r="AZ1875" s="624">
        <v>40948</v>
      </c>
      <c r="BA1875" s="355">
        <v>1.2200000000000001E-2</v>
      </c>
      <c r="BB1875" s="624">
        <v>40879</v>
      </c>
      <c r="BC1875" s="355">
        <v>0.29809999999999998</v>
      </c>
      <c r="BD1875" s="624">
        <v>40879</v>
      </c>
      <c r="BE1875" s="355">
        <v>8.8679999999999995E-2</v>
      </c>
      <c r="BF1875" s="624">
        <v>40988</v>
      </c>
      <c r="BG1875" s="355">
        <v>1.9788E-2</v>
      </c>
      <c r="BH1875" s="624">
        <v>40879</v>
      </c>
      <c r="BI1875" s="355">
        <v>0.110803</v>
      </c>
      <c r="BJ1875" s="624">
        <v>40878</v>
      </c>
      <c r="BK1875" s="355">
        <v>3.2436E-2</v>
      </c>
    </row>
    <row r="1876" spans="3:63" x14ac:dyDescent="0.15">
      <c r="C1876" s="624"/>
      <c r="D1876" s="355">
        <v>3.2000000000000001E-2</v>
      </c>
      <c r="AV1876" s="624"/>
      <c r="AX1876" s="624">
        <v>40885</v>
      </c>
      <c r="AY1876" s="355">
        <v>3.1780000000000003E-2</v>
      </c>
      <c r="AZ1876" s="624">
        <v>40949</v>
      </c>
      <c r="BA1876" s="355">
        <v>1.21E-2</v>
      </c>
      <c r="BB1876" s="624">
        <v>40882</v>
      </c>
      <c r="BC1876" s="355">
        <v>0.2999</v>
      </c>
      <c r="BD1876" s="624">
        <v>40882</v>
      </c>
      <c r="BE1876" s="355">
        <v>8.8450000000000001E-2</v>
      </c>
      <c r="BF1876" s="624">
        <v>40989</v>
      </c>
      <c r="BG1876" s="355">
        <v>1.9739E-2</v>
      </c>
      <c r="BH1876" s="624">
        <v>40882</v>
      </c>
      <c r="BI1876" s="355">
        <v>0.110803</v>
      </c>
      <c r="BJ1876" s="624">
        <v>40879</v>
      </c>
      <c r="BK1876" s="355">
        <v>3.2440999999999998E-2</v>
      </c>
    </row>
    <row r="1877" spans="3:63" x14ac:dyDescent="0.15">
      <c r="C1877" s="624"/>
      <c r="D1877" s="355">
        <v>3.1780000000000003E-2</v>
      </c>
      <c r="AV1877" s="624"/>
      <c r="AX1877" s="624">
        <v>40886</v>
      </c>
      <c r="AY1877" s="355">
        <v>3.1789999999999999E-2</v>
      </c>
      <c r="AZ1877" s="624">
        <v>40952</v>
      </c>
      <c r="BA1877" s="355">
        <v>1.21E-2</v>
      </c>
      <c r="BB1877" s="624">
        <v>40883</v>
      </c>
      <c r="BC1877" s="355">
        <v>0.3</v>
      </c>
      <c r="BD1877" s="624">
        <v>40883</v>
      </c>
      <c r="BE1877" s="355">
        <v>8.8580000000000006E-2</v>
      </c>
      <c r="BF1877" s="624">
        <v>40990</v>
      </c>
      <c r="BG1877" s="355">
        <v>1.9505999999999999E-2</v>
      </c>
      <c r="BH1877" s="624">
        <v>40883</v>
      </c>
      <c r="BI1877" s="355">
        <v>0.110712</v>
      </c>
      <c r="BJ1877" s="624">
        <v>40882</v>
      </c>
      <c r="BK1877" s="355">
        <v>3.2499E-2</v>
      </c>
    </row>
    <row r="1878" spans="3:63" x14ac:dyDescent="0.15">
      <c r="C1878" s="624"/>
      <c r="D1878" s="355">
        <v>3.1789999999999999E-2</v>
      </c>
      <c r="AV1878" s="624"/>
      <c r="AX1878" s="624">
        <v>40889</v>
      </c>
      <c r="AY1878" s="355">
        <v>3.159E-2</v>
      </c>
      <c r="AZ1878" s="624">
        <v>40953</v>
      </c>
      <c r="BA1878" s="355">
        <v>1.21E-2</v>
      </c>
      <c r="BB1878" s="624">
        <v>40884</v>
      </c>
      <c r="BC1878" s="355">
        <v>0.30059999999999998</v>
      </c>
      <c r="BD1878" s="624">
        <v>40884</v>
      </c>
      <c r="BE1878" s="355">
        <v>8.8690000000000005E-2</v>
      </c>
      <c r="BF1878" s="624">
        <v>40994</v>
      </c>
      <c r="BG1878" s="355">
        <v>1.9574999999999999E-2</v>
      </c>
      <c r="BH1878" s="624">
        <v>40884</v>
      </c>
      <c r="BI1878" s="355">
        <v>0.110315</v>
      </c>
      <c r="BJ1878" s="624">
        <v>40883</v>
      </c>
      <c r="BK1878" s="355">
        <v>3.2419999999999997E-2</v>
      </c>
    </row>
    <row r="1879" spans="3:63" x14ac:dyDescent="0.15">
      <c r="C1879" s="624"/>
      <c r="D1879" s="355">
        <v>3.159E-2</v>
      </c>
      <c r="AV1879" s="624"/>
      <c r="AX1879" s="624">
        <v>40890</v>
      </c>
      <c r="AY1879" s="355">
        <v>3.1460000000000002E-2</v>
      </c>
      <c r="AZ1879" s="624">
        <v>40954</v>
      </c>
      <c r="BA1879" s="355">
        <v>1.21E-2</v>
      </c>
      <c r="BB1879" s="624">
        <v>40885</v>
      </c>
      <c r="BC1879" s="355">
        <v>0.2954</v>
      </c>
      <c r="BD1879" s="624">
        <v>40885</v>
      </c>
      <c r="BE1879" s="355">
        <v>8.831E-2</v>
      </c>
      <c r="BF1879" s="624">
        <v>40995</v>
      </c>
      <c r="BG1879" s="355">
        <v>1.9656E-2</v>
      </c>
      <c r="BH1879" s="624">
        <v>40885</v>
      </c>
      <c r="BI1879" s="355">
        <v>0.10983</v>
      </c>
      <c r="BJ1879" s="624">
        <v>40884</v>
      </c>
      <c r="BK1879" s="355">
        <v>3.2509999999999997E-2</v>
      </c>
    </row>
    <row r="1880" spans="3:63" x14ac:dyDescent="0.15">
      <c r="C1880" s="624"/>
      <c r="D1880" s="355">
        <v>3.1460000000000002E-2</v>
      </c>
      <c r="AV1880" s="624"/>
      <c r="AX1880" s="624">
        <v>40891</v>
      </c>
      <c r="AY1880" s="355">
        <v>3.134E-2</v>
      </c>
      <c r="AZ1880" s="624">
        <v>40955</v>
      </c>
      <c r="BA1880" s="355">
        <v>1.21E-2</v>
      </c>
      <c r="BB1880" s="624">
        <v>40886</v>
      </c>
      <c r="BC1880" s="355">
        <v>0.29659999999999997</v>
      </c>
      <c r="BD1880" s="624">
        <v>40886</v>
      </c>
      <c r="BE1880" s="355">
        <v>8.7309999999999999E-2</v>
      </c>
      <c r="BF1880" s="624">
        <v>40996</v>
      </c>
      <c r="BG1880" s="355">
        <v>1.9647999999999999E-2</v>
      </c>
      <c r="BH1880" s="624">
        <v>40886</v>
      </c>
      <c r="BI1880" s="355">
        <v>0.110254</v>
      </c>
      <c r="BJ1880" s="624">
        <v>40885</v>
      </c>
      <c r="BK1880" s="355">
        <v>3.2461999999999998E-2</v>
      </c>
    </row>
    <row r="1881" spans="3:63" x14ac:dyDescent="0.15">
      <c r="C1881" s="624"/>
      <c r="D1881" s="355">
        <v>3.134E-2</v>
      </c>
      <c r="AV1881" s="624"/>
      <c r="AX1881" s="624">
        <v>40892</v>
      </c>
      <c r="AY1881" s="355">
        <v>3.143E-2</v>
      </c>
      <c r="AZ1881" s="624">
        <v>40956</v>
      </c>
      <c r="BA1881" s="355">
        <v>1.21E-2</v>
      </c>
      <c r="BB1881" s="624">
        <v>40889</v>
      </c>
      <c r="BC1881" s="355">
        <v>0.2893</v>
      </c>
      <c r="BD1881" s="624">
        <v>40889</v>
      </c>
      <c r="BE1881" s="355">
        <v>8.6529999999999996E-2</v>
      </c>
      <c r="BF1881" s="624">
        <v>40997</v>
      </c>
      <c r="BG1881" s="355">
        <v>1.951E-2</v>
      </c>
      <c r="BH1881" s="624">
        <v>40889</v>
      </c>
      <c r="BI1881" s="355">
        <v>0.109499</v>
      </c>
      <c r="BJ1881" s="624">
        <v>40886</v>
      </c>
      <c r="BK1881" s="355">
        <v>3.2351999999999999E-2</v>
      </c>
    </row>
    <row r="1882" spans="3:63" x14ac:dyDescent="0.15">
      <c r="C1882" s="624"/>
      <c r="D1882" s="355">
        <v>3.143E-2</v>
      </c>
      <c r="AV1882" s="624"/>
      <c r="AX1882" s="624">
        <v>40893</v>
      </c>
      <c r="AY1882" s="355">
        <v>3.1329999999999997E-2</v>
      </c>
      <c r="AZ1882" s="624">
        <v>40959</v>
      </c>
      <c r="BA1882" s="355">
        <v>1.2200000000000001E-2</v>
      </c>
      <c r="BB1882" s="624">
        <v>40890</v>
      </c>
      <c r="BC1882" s="355">
        <v>0.28510000000000002</v>
      </c>
      <c r="BD1882" s="624">
        <v>40890</v>
      </c>
      <c r="BE1882" s="355">
        <v>8.5959999999999995E-2</v>
      </c>
      <c r="BF1882" s="624">
        <v>40998</v>
      </c>
      <c r="BG1882" s="355">
        <v>1.9626999999999999E-2</v>
      </c>
      <c r="BH1882" s="624">
        <v>40890</v>
      </c>
      <c r="BI1882" s="355">
        <v>0.10931399999999999</v>
      </c>
      <c r="BJ1882" s="624">
        <v>40889</v>
      </c>
      <c r="BK1882" s="355">
        <v>3.2062E-2</v>
      </c>
    </row>
    <row r="1883" spans="3:63" x14ac:dyDescent="0.15">
      <c r="C1883" s="624"/>
      <c r="D1883" s="355">
        <v>3.1329999999999997E-2</v>
      </c>
      <c r="AV1883" s="624"/>
      <c r="AX1883" s="624">
        <v>40896</v>
      </c>
      <c r="AY1883" s="355">
        <v>3.1130000000000001E-2</v>
      </c>
      <c r="AZ1883" s="624">
        <v>40960</v>
      </c>
      <c r="BA1883" s="355">
        <v>1.2200000000000001E-2</v>
      </c>
      <c r="BB1883" s="624">
        <v>40891</v>
      </c>
      <c r="BC1883" s="355">
        <v>0.28489999999999999</v>
      </c>
      <c r="BD1883" s="624">
        <v>40891</v>
      </c>
      <c r="BE1883" s="355">
        <v>8.6120000000000002E-2</v>
      </c>
      <c r="BF1883" s="624">
        <v>41002</v>
      </c>
      <c r="BG1883" s="355">
        <v>1.9702000000000001E-2</v>
      </c>
      <c r="BH1883" s="624">
        <v>40891</v>
      </c>
      <c r="BI1883" s="355">
        <v>0.11013199999999999</v>
      </c>
      <c r="BJ1883" s="624">
        <v>40890</v>
      </c>
      <c r="BK1883" s="355">
        <v>3.2017999999999998E-2</v>
      </c>
    </row>
    <row r="1884" spans="3:63" x14ac:dyDescent="0.15">
      <c r="C1884" s="624"/>
      <c r="D1884" s="355">
        <v>3.1130000000000001E-2</v>
      </c>
      <c r="AV1884" s="624"/>
      <c r="AX1884" s="624">
        <v>40897</v>
      </c>
      <c r="AY1884" s="355">
        <v>3.1289999999999998E-2</v>
      </c>
      <c r="AZ1884" s="624">
        <v>40961</v>
      </c>
      <c r="BA1884" s="355">
        <v>1.2200000000000001E-2</v>
      </c>
      <c r="BB1884" s="624">
        <v>40892</v>
      </c>
      <c r="BC1884" s="355">
        <v>0.28749999999999998</v>
      </c>
      <c r="BD1884" s="624">
        <v>40892</v>
      </c>
      <c r="BE1884" s="355">
        <v>8.6419999999999997E-2</v>
      </c>
      <c r="BF1884" s="624">
        <v>41003</v>
      </c>
      <c r="BG1884" s="355">
        <v>1.9545E-2</v>
      </c>
      <c r="BH1884" s="624">
        <v>40892</v>
      </c>
      <c r="BI1884" s="355">
        <v>0.109987</v>
      </c>
      <c r="BJ1884" s="624">
        <v>40891</v>
      </c>
      <c r="BK1884" s="355">
        <v>3.1892999999999998E-2</v>
      </c>
    </row>
    <row r="1885" spans="3:63" x14ac:dyDescent="0.15">
      <c r="C1885" s="624"/>
      <c r="D1885" s="355">
        <v>3.1289999999999998E-2</v>
      </c>
      <c r="AV1885" s="624"/>
      <c r="AX1885" s="624">
        <v>40898</v>
      </c>
      <c r="AY1885" s="355">
        <v>3.1489999999999997E-2</v>
      </c>
      <c r="AZ1885" s="624">
        <v>40962</v>
      </c>
      <c r="BA1885" s="355">
        <v>1.2200000000000001E-2</v>
      </c>
      <c r="BB1885" s="624">
        <v>40893</v>
      </c>
      <c r="BC1885" s="355">
        <v>0.28999999999999998</v>
      </c>
      <c r="BD1885" s="624">
        <v>40893</v>
      </c>
      <c r="BE1885" s="355">
        <v>8.6440000000000003E-2</v>
      </c>
      <c r="BF1885" s="624">
        <v>41008</v>
      </c>
      <c r="BG1885" s="355">
        <v>1.9512000000000002E-2</v>
      </c>
      <c r="BH1885" s="624">
        <v>40893</v>
      </c>
      <c r="BI1885" s="355">
        <v>0.11010200000000001</v>
      </c>
      <c r="BJ1885" s="624">
        <v>40892</v>
      </c>
      <c r="BK1885" s="355">
        <v>3.1807000000000002E-2</v>
      </c>
    </row>
    <row r="1886" spans="3:63" x14ac:dyDescent="0.15">
      <c r="C1886" s="624"/>
      <c r="D1886" s="355">
        <v>3.1489999999999997E-2</v>
      </c>
      <c r="AV1886" s="624"/>
      <c r="AX1886" s="624">
        <v>40899</v>
      </c>
      <c r="AY1886" s="355">
        <v>3.1850000000000003E-2</v>
      </c>
      <c r="AZ1886" s="624">
        <v>40963</v>
      </c>
      <c r="BA1886" s="355">
        <v>1.2200000000000001E-2</v>
      </c>
      <c r="BB1886" s="624">
        <v>40896</v>
      </c>
      <c r="BC1886" s="355">
        <v>0.28960000000000002</v>
      </c>
      <c r="BD1886" s="624">
        <v>40896</v>
      </c>
      <c r="BE1886" s="355">
        <v>8.4930000000000005E-2</v>
      </c>
      <c r="BF1886" s="624">
        <v>41009</v>
      </c>
      <c r="BG1886" s="355">
        <v>1.9377999999999999E-2</v>
      </c>
      <c r="BH1886" s="624">
        <v>40896</v>
      </c>
      <c r="BI1886" s="355">
        <v>0.10922999999999999</v>
      </c>
      <c r="BJ1886" s="624">
        <v>40893</v>
      </c>
      <c r="BK1886" s="355">
        <v>3.1968999999999997E-2</v>
      </c>
    </row>
    <row r="1887" spans="3:63" x14ac:dyDescent="0.15">
      <c r="C1887" s="624"/>
      <c r="D1887" s="355">
        <v>3.1850000000000003E-2</v>
      </c>
      <c r="AV1887" s="624"/>
      <c r="AX1887" s="624">
        <v>40900</v>
      </c>
      <c r="AY1887" s="355">
        <v>3.2099999999999997E-2</v>
      </c>
      <c r="AZ1887" s="624">
        <v>40966</v>
      </c>
      <c r="BA1887" s="355">
        <v>1.2200000000000001E-2</v>
      </c>
      <c r="BB1887" s="624">
        <v>40897</v>
      </c>
      <c r="BC1887" s="355">
        <v>0.29389999999999999</v>
      </c>
      <c r="BD1887" s="624">
        <v>40897</v>
      </c>
      <c r="BE1887" s="355">
        <v>8.6419999999999997E-2</v>
      </c>
      <c r="BF1887" s="624">
        <v>41010</v>
      </c>
      <c r="BG1887" s="355">
        <v>1.9417E-2</v>
      </c>
      <c r="BH1887" s="624">
        <v>40897</v>
      </c>
      <c r="BI1887" s="355">
        <v>0.10977000000000001</v>
      </c>
      <c r="BJ1887" s="624">
        <v>40896</v>
      </c>
      <c r="BK1887" s="355">
        <v>3.1918000000000002E-2</v>
      </c>
    </row>
    <row r="1888" spans="3:63" x14ac:dyDescent="0.15">
      <c r="C1888" s="624"/>
      <c r="D1888" s="355">
        <v>3.2099999999999997E-2</v>
      </c>
      <c r="AV1888" s="624"/>
      <c r="AX1888" s="624">
        <v>40903</v>
      </c>
      <c r="AY1888" s="355">
        <v>3.2129999999999999E-2</v>
      </c>
      <c r="AZ1888" s="624">
        <v>40967</v>
      </c>
      <c r="BA1888" s="355">
        <v>1.2200000000000001E-2</v>
      </c>
      <c r="BB1888" s="624">
        <v>40898</v>
      </c>
      <c r="BC1888" s="355">
        <v>0.29320000000000002</v>
      </c>
      <c r="BD1888" s="624">
        <v>40898</v>
      </c>
      <c r="BE1888" s="355">
        <v>8.6840000000000001E-2</v>
      </c>
      <c r="BF1888" s="624">
        <v>41011</v>
      </c>
      <c r="BG1888" s="355">
        <v>1.9463000000000001E-2</v>
      </c>
      <c r="BH1888" s="624">
        <v>40898</v>
      </c>
      <c r="BI1888" s="355">
        <v>0.10958900000000001</v>
      </c>
      <c r="BJ1888" s="624">
        <v>40897</v>
      </c>
      <c r="BK1888" s="355">
        <v>3.2000000000000001E-2</v>
      </c>
    </row>
    <row r="1889" spans="3:63" x14ac:dyDescent="0.15">
      <c r="C1889" s="624"/>
      <c r="D1889" s="355">
        <v>3.2129999999999999E-2</v>
      </c>
      <c r="AV1889" s="624"/>
      <c r="AX1889" s="624">
        <v>40904</v>
      </c>
      <c r="AY1889" s="355">
        <v>3.1859999999999999E-2</v>
      </c>
      <c r="AZ1889" s="624">
        <v>40968</v>
      </c>
      <c r="BA1889" s="355">
        <v>1.2E-2</v>
      </c>
      <c r="BB1889" s="624">
        <v>40899</v>
      </c>
      <c r="BC1889" s="355">
        <v>0.29399999999999998</v>
      </c>
      <c r="BD1889" s="624">
        <v>40899</v>
      </c>
      <c r="BE1889" s="355">
        <v>8.6800000000000002E-2</v>
      </c>
      <c r="BF1889" s="624">
        <v>41012</v>
      </c>
      <c r="BG1889" s="355">
        <v>1.9411999999999999E-2</v>
      </c>
      <c r="BH1889" s="624">
        <v>40899</v>
      </c>
      <c r="BI1889" s="355">
        <v>0.109135</v>
      </c>
      <c r="BJ1889" s="624">
        <v>40898</v>
      </c>
      <c r="BK1889" s="355">
        <v>3.1968999999999997E-2</v>
      </c>
    </row>
    <row r="1890" spans="3:63" x14ac:dyDescent="0.15">
      <c r="C1890" s="624"/>
      <c r="D1890" s="355">
        <v>3.1859999999999999E-2</v>
      </c>
      <c r="AV1890" s="624"/>
      <c r="AX1890" s="624">
        <v>40905</v>
      </c>
      <c r="AY1890" s="355">
        <v>3.1440000000000003E-2</v>
      </c>
      <c r="AZ1890" s="624">
        <v>40969</v>
      </c>
      <c r="BA1890" s="355">
        <v>1.2E-2</v>
      </c>
      <c r="BB1890" s="624">
        <v>40900</v>
      </c>
      <c r="BC1890" s="355">
        <v>0.29380000000000001</v>
      </c>
      <c r="BD1890" s="624">
        <v>40900</v>
      </c>
      <c r="BE1890" s="355">
        <v>8.7010000000000004E-2</v>
      </c>
      <c r="BF1890" s="624">
        <v>41015</v>
      </c>
      <c r="BG1890" s="355">
        <v>1.9369000000000001E-2</v>
      </c>
      <c r="BH1890" s="624">
        <v>40900</v>
      </c>
      <c r="BI1890" s="355">
        <v>0.109984</v>
      </c>
      <c r="BJ1890" s="624">
        <v>40899</v>
      </c>
      <c r="BK1890" s="355">
        <v>3.2007000000000001E-2</v>
      </c>
    </row>
    <row r="1891" spans="3:63" x14ac:dyDescent="0.15">
      <c r="C1891" s="624"/>
      <c r="D1891" s="355">
        <v>3.1440000000000003E-2</v>
      </c>
      <c r="AV1891" s="624"/>
      <c r="AX1891" s="624">
        <v>40906</v>
      </c>
      <c r="AY1891" s="355">
        <v>3.1189999999999999E-2</v>
      </c>
      <c r="AZ1891" s="624">
        <v>40970</v>
      </c>
      <c r="BA1891" s="355">
        <v>1.1900000000000001E-2</v>
      </c>
      <c r="BB1891" s="624">
        <v>40903</v>
      </c>
      <c r="BC1891" s="355">
        <v>0.2944</v>
      </c>
      <c r="BD1891" s="624">
        <v>40903</v>
      </c>
      <c r="BE1891" s="355">
        <v>8.6569999999999994E-2</v>
      </c>
      <c r="BF1891" s="624">
        <v>41016</v>
      </c>
      <c r="BG1891" s="355">
        <v>1.9472E-2</v>
      </c>
      <c r="BH1891" s="624">
        <v>40903</v>
      </c>
      <c r="BI1891" s="355">
        <v>0.10992300000000001</v>
      </c>
      <c r="BJ1891" s="624">
        <v>40900</v>
      </c>
      <c r="BK1891" s="355">
        <v>3.1948999999999998E-2</v>
      </c>
    </row>
    <row r="1892" spans="3:63" x14ac:dyDescent="0.15">
      <c r="C1892" s="624"/>
      <c r="D1892" s="355">
        <v>3.1189999999999999E-2</v>
      </c>
      <c r="AV1892" s="624"/>
      <c r="AX1892" s="624">
        <v>40907</v>
      </c>
      <c r="AY1892" s="355">
        <v>3.108E-2</v>
      </c>
      <c r="AZ1892" s="624">
        <v>40973</v>
      </c>
      <c r="BA1892" s="355">
        <v>1.2E-2</v>
      </c>
      <c r="BB1892" s="624">
        <v>40904</v>
      </c>
      <c r="BC1892" s="355">
        <v>0.29720000000000002</v>
      </c>
      <c r="BD1892" s="624">
        <v>40904</v>
      </c>
      <c r="BE1892" s="355">
        <v>8.6459999999999995E-2</v>
      </c>
      <c r="BF1892" s="624">
        <v>41017</v>
      </c>
      <c r="BG1892" s="355">
        <v>1.9297999999999999E-2</v>
      </c>
      <c r="BH1892" s="624">
        <v>40904</v>
      </c>
      <c r="BI1892" s="355">
        <v>0.110266</v>
      </c>
      <c r="BJ1892" s="624">
        <v>40903</v>
      </c>
      <c r="BK1892" s="355">
        <v>3.1968999999999997E-2</v>
      </c>
    </row>
    <row r="1893" spans="3:63" x14ac:dyDescent="0.15">
      <c r="C1893" s="624"/>
      <c r="D1893" s="355">
        <v>3.108E-2</v>
      </c>
      <c r="AV1893" s="624"/>
      <c r="AX1893" s="624">
        <v>40910</v>
      </c>
      <c r="AY1893" s="355">
        <v>3.1150000000000001E-2</v>
      </c>
      <c r="AZ1893" s="624">
        <v>40974</v>
      </c>
      <c r="BA1893" s="355">
        <v>1.1900000000000001E-2</v>
      </c>
      <c r="BB1893" s="624">
        <v>40905</v>
      </c>
      <c r="BC1893" s="355">
        <v>0.29399999999999998</v>
      </c>
      <c r="BD1893" s="624">
        <v>40905</v>
      </c>
      <c r="BE1893" s="355">
        <v>8.6529999999999996E-2</v>
      </c>
      <c r="BF1893" s="624">
        <v>41018</v>
      </c>
      <c r="BG1893" s="355">
        <v>1.9162999999999999E-2</v>
      </c>
      <c r="BH1893" s="624">
        <v>40905</v>
      </c>
      <c r="BI1893" s="355">
        <v>0.10917200000000001</v>
      </c>
      <c r="BJ1893" s="624">
        <v>40904</v>
      </c>
      <c r="BK1893" s="355">
        <v>3.1807000000000002E-2</v>
      </c>
    </row>
    <row r="1894" spans="3:63" x14ac:dyDescent="0.15">
      <c r="C1894" s="624"/>
      <c r="D1894" s="355">
        <v>3.1150000000000001E-2</v>
      </c>
      <c r="AV1894" s="624"/>
      <c r="AX1894" s="624">
        <v>40911</v>
      </c>
      <c r="AY1894" s="355">
        <v>3.159E-2</v>
      </c>
      <c r="AZ1894" s="624">
        <v>40975</v>
      </c>
      <c r="BA1894" s="355">
        <v>1.1900000000000001E-2</v>
      </c>
      <c r="BB1894" s="624">
        <v>40906</v>
      </c>
      <c r="BC1894" s="355">
        <v>0.29409999999999997</v>
      </c>
      <c r="BD1894" s="624">
        <v>40906</v>
      </c>
      <c r="BE1894" s="355">
        <v>8.6489999999999997E-2</v>
      </c>
      <c r="BF1894" s="624">
        <v>41019</v>
      </c>
      <c r="BG1894" s="355">
        <v>1.9203000000000001E-2</v>
      </c>
      <c r="BH1894" s="624">
        <v>40906</v>
      </c>
      <c r="BI1894" s="355">
        <v>0.108873</v>
      </c>
      <c r="BJ1894" s="624">
        <v>40905</v>
      </c>
      <c r="BK1894" s="355">
        <v>3.1670999999999998E-2</v>
      </c>
    </row>
    <row r="1895" spans="3:63" x14ac:dyDescent="0.15">
      <c r="C1895" s="624"/>
      <c r="D1895" s="355">
        <v>3.159E-2</v>
      </c>
      <c r="AV1895" s="624"/>
      <c r="AX1895" s="624">
        <v>40912</v>
      </c>
      <c r="AY1895" s="355">
        <v>3.1419999999999997E-2</v>
      </c>
      <c r="AZ1895" s="624">
        <v>40976</v>
      </c>
      <c r="BA1895" s="355">
        <v>1.2E-2</v>
      </c>
      <c r="BB1895" s="624">
        <v>40907</v>
      </c>
      <c r="BC1895" s="355">
        <v>0.2903</v>
      </c>
      <c r="BD1895" s="624">
        <v>40907</v>
      </c>
      <c r="BE1895" s="355">
        <v>8.6199999999999999E-2</v>
      </c>
      <c r="BF1895" s="624">
        <v>41022</v>
      </c>
      <c r="BG1895" s="355">
        <v>1.8981000000000001E-2</v>
      </c>
      <c r="BH1895" s="624">
        <v>40907</v>
      </c>
      <c r="BI1895" s="355">
        <v>0.109904</v>
      </c>
      <c r="BJ1895" s="624">
        <v>40906</v>
      </c>
      <c r="BK1895" s="355">
        <v>3.1503999999999997E-2</v>
      </c>
    </row>
    <row r="1896" spans="3:63" x14ac:dyDescent="0.15">
      <c r="C1896" s="624"/>
      <c r="D1896" s="355">
        <v>3.1419999999999997E-2</v>
      </c>
      <c r="AV1896" s="624"/>
      <c r="AX1896" s="624">
        <v>40913</v>
      </c>
      <c r="AY1896" s="355">
        <v>3.1230000000000001E-2</v>
      </c>
      <c r="AZ1896" s="624">
        <v>40977</v>
      </c>
      <c r="BA1896" s="355">
        <v>1.1900000000000001E-2</v>
      </c>
      <c r="BB1896" s="624">
        <v>40910</v>
      </c>
      <c r="BC1896" s="355">
        <v>0.28949999999999998</v>
      </c>
      <c r="BD1896" s="624">
        <v>40910</v>
      </c>
      <c r="BE1896" s="355">
        <v>8.6639999999999995E-2</v>
      </c>
      <c r="BF1896" s="624">
        <v>41023</v>
      </c>
      <c r="BG1896" s="355">
        <v>1.8981000000000001E-2</v>
      </c>
      <c r="BH1896" s="624">
        <v>40910</v>
      </c>
      <c r="BI1896" s="355">
        <v>0.110315</v>
      </c>
      <c r="BJ1896" s="624">
        <v>40907</v>
      </c>
      <c r="BK1896" s="355">
        <v>3.1696000000000002E-2</v>
      </c>
    </row>
    <row r="1897" spans="3:63" x14ac:dyDescent="0.15">
      <c r="C1897" s="624"/>
      <c r="D1897" s="355">
        <v>3.1230000000000001E-2</v>
      </c>
      <c r="AV1897" s="624"/>
      <c r="AX1897" s="624">
        <v>40914</v>
      </c>
      <c r="AY1897" s="355">
        <v>3.116E-2</v>
      </c>
      <c r="AZ1897" s="624">
        <v>40980</v>
      </c>
      <c r="BA1897" s="355">
        <v>1.18E-2</v>
      </c>
      <c r="BB1897" s="624">
        <v>40911</v>
      </c>
      <c r="BC1897" s="355">
        <v>0.29189999999999999</v>
      </c>
      <c r="BD1897" s="624">
        <v>40911</v>
      </c>
      <c r="BE1897" s="355">
        <v>8.7249999999999994E-2</v>
      </c>
      <c r="BF1897" s="624">
        <v>41024</v>
      </c>
      <c r="BG1897" s="355">
        <v>1.9016999999999999E-2</v>
      </c>
      <c r="BH1897" s="624">
        <v>40911</v>
      </c>
      <c r="BI1897" s="355">
        <v>0.10940900000000001</v>
      </c>
      <c r="BJ1897" s="624">
        <v>40910</v>
      </c>
      <c r="BK1897" s="355">
        <v>3.1705999999999998E-2</v>
      </c>
    </row>
    <row r="1898" spans="3:63" x14ac:dyDescent="0.15">
      <c r="C1898" s="624"/>
      <c r="D1898" s="355">
        <v>3.116E-2</v>
      </c>
      <c r="AV1898" s="624"/>
      <c r="AX1898" s="624">
        <v>40917</v>
      </c>
      <c r="AY1898" s="355">
        <v>3.1390000000000001E-2</v>
      </c>
      <c r="AZ1898" s="624">
        <v>40981</v>
      </c>
      <c r="BA1898" s="355">
        <v>1.18E-2</v>
      </c>
      <c r="BB1898" s="624">
        <v>40912</v>
      </c>
      <c r="BC1898" s="355">
        <v>0.28789999999999999</v>
      </c>
      <c r="BD1898" s="624">
        <v>40912</v>
      </c>
      <c r="BE1898" s="355">
        <v>8.7169999999999997E-2</v>
      </c>
      <c r="BF1898" s="624">
        <v>41025</v>
      </c>
      <c r="BG1898" s="355">
        <v>1.9050999999999998E-2</v>
      </c>
      <c r="BH1898" s="624">
        <v>40912</v>
      </c>
      <c r="BI1898" s="355">
        <v>0.10899200000000001</v>
      </c>
      <c r="BJ1898" s="624">
        <v>40911</v>
      </c>
      <c r="BK1898" s="355">
        <v>3.1959000000000001E-2</v>
      </c>
    </row>
    <row r="1899" spans="3:63" x14ac:dyDescent="0.15">
      <c r="C1899" s="624"/>
      <c r="D1899" s="355">
        <v>3.1390000000000001E-2</v>
      </c>
      <c r="AV1899" s="624"/>
      <c r="AX1899" s="624">
        <v>40918</v>
      </c>
      <c r="AY1899" s="355">
        <v>3.1669999999999997E-2</v>
      </c>
      <c r="AZ1899" s="624">
        <v>40982</v>
      </c>
      <c r="BA1899" s="355">
        <v>1.17E-2</v>
      </c>
      <c r="BB1899" s="624">
        <v>40913</v>
      </c>
      <c r="BC1899" s="355">
        <v>0.28399999999999997</v>
      </c>
      <c r="BD1899" s="624">
        <v>40913</v>
      </c>
      <c r="BE1899" s="355">
        <v>8.6569999999999994E-2</v>
      </c>
      <c r="BF1899" s="624">
        <v>41026</v>
      </c>
      <c r="BG1899" s="355">
        <v>1.9035E-2</v>
      </c>
      <c r="BH1899" s="624">
        <v>40913</v>
      </c>
      <c r="BI1899" s="355">
        <v>0.109709</v>
      </c>
      <c r="BJ1899" s="624">
        <v>40912</v>
      </c>
      <c r="BK1899" s="355">
        <v>3.1725999999999997E-2</v>
      </c>
    </row>
    <row r="1900" spans="3:63" x14ac:dyDescent="0.15">
      <c r="C1900" s="624"/>
      <c r="D1900" s="355">
        <v>3.1669999999999997E-2</v>
      </c>
      <c r="AV1900" s="624"/>
      <c r="AX1900" s="624">
        <v>40919</v>
      </c>
      <c r="AY1900" s="355">
        <v>3.1539999999999999E-2</v>
      </c>
      <c r="AZ1900" s="624">
        <v>40983</v>
      </c>
      <c r="BA1900" s="355">
        <v>1.18E-2</v>
      </c>
      <c r="BB1900" s="624">
        <v>40914</v>
      </c>
      <c r="BC1900" s="355">
        <v>0.2828</v>
      </c>
      <c r="BD1900" s="624">
        <v>40914</v>
      </c>
      <c r="BE1900" s="355">
        <v>8.6190000000000003E-2</v>
      </c>
      <c r="BF1900" s="624">
        <v>41029</v>
      </c>
      <c r="BG1900" s="355">
        <v>1.8983E-2</v>
      </c>
      <c r="BH1900" s="624">
        <v>40914</v>
      </c>
      <c r="BI1900" s="355">
        <v>0.108725</v>
      </c>
      <c r="BJ1900" s="624">
        <v>40913</v>
      </c>
      <c r="BK1900" s="355">
        <v>3.1595999999999999E-2</v>
      </c>
    </row>
    <row r="1901" spans="3:63" x14ac:dyDescent="0.15">
      <c r="C1901" s="624"/>
      <c r="D1901" s="355">
        <v>3.1539999999999999E-2</v>
      </c>
      <c r="AV1901" s="624"/>
      <c r="AX1901" s="624">
        <v>40920</v>
      </c>
      <c r="AY1901" s="355">
        <v>3.1669999999999997E-2</v>
      </c>
      <c r="AZ1901" s="624">
        <v>40984</v>
      </c>
      <c r="BA1901" s="355">
        <v>1.1900000000000001E-2</v>
      </c>
      <c r="BB1901" s="624">
        <v>40917</v>
      </c>
      <c r="BC1901" s="355">
        <v>0.2843</v>
      </c>
      <c r="BD1901" s="624">
        <v>40917</v>
      </c>
      <c r="BE1901" s="355">
        <v>8.6360000000000006E-2</v>
      </c>
      <c r="BF1901" s="624">
        <v>41031</v>
      </c>
      <c r="BG1901" s="355">
        <v>1.8874999999999999E-2</v>
      </c>
      <c r="BH1901" s="624">
        <v>40917</v>
      </c>
      <c r="BI1901" s="355">
        <v>0.108637</v>
      </c>
      <c r="BJ1901" s="624">
        <v>40914</v>
      </c>
      <c r="BK1901" s="355">
        <v>3.1541E-2</v>
      </c>
    </row>
    <row r="1902" spans="3:63" x14ac:dyDescent="0.15">
      <c r="C1902" s="624"/>
      <c r="D1902" s="355">
        <v>3.1669999999999997E-2</v>
      </c>
      <c r="AV1902" s="624"/>
      <c r="AX1902" s="624">
        <v>40921</v>
      </c>
      <c r="AY1902" s="355">
        <v>3.1379999999999998E-2</v>
      </c>
      <c r="AZ1902" s="624">
        <v>40987</v>
      </c>
      <c r="BA1902" s="355">
        <v>1.2E-2</v>
      </c>
      <c r="BB1902" s="624">
        <v>40918</v>
      </c>
      <c r="BC1902" s="355">
        <v>0.2868</v>
      </c>
      <c r="BD1902" s="624">
        <v>40918</v>
      </c>
      <c r="BE1902" s="355">
        <v>8.659E-2</v>
      </c>
      <c r="BF1902" s="624">
        <v>41032</v>
      </c>
      <c r="BG1902" s="355">
        <v>1.8624000000000002E-2</v>
      </c>
      <c r="BH1902" s="624">
        <v>40918</v>
      </c>
      <c r="BI1902" s="355">
        <v>0.108903</v>
      </c>
      <c r="BJ1902" s="624">
        <v>40917</v>
      </c>
      <c r="BK1902" s="355">
        <v>3.1486E-2</v>
      </c>
    </row>
    <row r="1903" spans="3:63" x14ac:dyDescent="0.15">
      <c r="C1903" s="624"/>
      <c r="D1903" s="355">
        <v>3.1379999999999998E-2</v>
      </c>
      <c r="AV1903" s="624"/>
      <c r="AX1903" s="624">
        <v>40924</v>
      </c>
      <c r="AY1903" s="355">
        <v>3.1570000000000001E-2</v>
      </c>
      <c r="AZ1903" s="624">
        <v>40988</v>
      </c>
      <c r="BA1903" s="355">
        <v>1.1900000000000001E-2</v>
      </c>
      <c r="BB1903" s="624">
        <v>40919</v>
      </c>
      <c r="BC1903" s="355">
        <v>0.28449999999999998</v>
      </c>
      <c r="BD1903" s="624">
        <v>40919</v>
      </c>
      <c r="BE1903" s="355">
        <v>8.6300000000000002E-2</v>
      </c>
      <c r="BF1903" s="624">
        <v>41033</v>
      </c>
      <c r="BG1903" s="355">
        <v>1.8714000000000001E-2</v>
      </c>
      <c r="BH1903" s="624">
        <v>40919</v>
      </c>
      <c r="BI1903" s="355">
        <v>0.108637</v>
      </c>
      <c r="BJ1903" s="624">
        <v>40918</v>
      </c>
      <c r="BK1903" s="355">
        <v>3.1622999999999998E-2</v>
      </c>
    </row>
    <row r="1904" spans="3:63" x14ac:dyDescent="0.15">
      <c r="C1904" s="624"/>
      <c r="D1904" s="355">
        <v>3.1570000000000001E-2</v>
      </c>
      <c r="AV1904" s="624"/>
      <c r="AX1904" s="624">
        <v>40925</v>
      </c>
      <c r="AY1904" s="355">
        <v>3.1640000000000001E-2</v>
      </c>
      <c r="AZ1904" s="624">
        <v>40989</v>
      </c>
      <c r="BA1904" s="355">
        <v>1.1900000000000001E-2</v>
      </c>
      <c r="BB1904" s="624">
        <v>40920</v>
      </c>
      <c r="BC1904" s="355">
        <v>0.29120000000000001</v>
      </c>
      <c r="BD1904" s="624">
        <v>40920</v>
      </c>
      <c r="BE1904" s="355">
        <v>8.6790000000000006E-2</v>
      </c>
      <c r="BF1904" s="624">
        <v>41036</v>
      </c>
      <c r="BG1904" s="355">
        <v>1.8929999999999999E-2</v>
      </c>
      <c r="BH1904" s="624">
        <v>40920</v>
      </c>
      <c r="BI1904" s="355">
        <v>0.109141</v>
      </c>
      <c r="BJ1904" s="624">
        <v>40919</v>
      </c>
      <c r="BK1904" s="355">
        <v>3.1571000000000002E-2</v>
      </c>
    </row>
    <row r="1905" spans="3:63" x14ac:dyDescent="0.15">
      <c r="C1905" s="624"/>
      <c r="D1905" s="355">
        <v>3.1640000000000001E-2</v>
      </c>
      <c r="AV1905" s="624"/>
      <c r="AX1905" s="624">
        <v>40926</v>
      </c>
      <c r="AY1905" s="355">
        <v>3.1809999999999998E-2</v>
      </c>
      <c r="AZ1905" s="624">
        <v>40990</v>
      </c>
      <c r="BA1905" s="355">
        <v>1.1900000000000001E-2</v>
      </c>
      <c r="BB1905" s="624">
        <v>40921</v>
      </c>
      <c r="BC1905" s="355">
        <v>0.28739999999999999</v>
      </c>
      <c r="BD1905" s="624">
        <v>40921</v>
      </c>
      <c r="BE1905" s="355">
        <v>8.6860000000000007E-2</v>
      </c>
      <c r="BF1905" s="624">
        <v>41037</v>
      </c>
      <c r="BG1905" s="355">
        <v>1.8672000000000001E-2</v>
      </c>
      <c r="BH1905" s="624">
        <v>40921</v>
      </c>
      <c r="BI1905" s="355">
        <v>0.108933</v>
      </c>
      <c r="BJ1905" s="624">
        <v>40920</v>
      </c>
      <c r="BK1905" s="355">
        <v>3.1556000000000001E-2</v>
      </c>
    </row>
    <row r="1906" spans="3:63" x14ac:dyDescent="0.15">
      <c r="C1906" s="624"/>
      <c r="D1906" s="355">
        <v>3.1809999999999998E-2</v>
      </c>
      <c r="AV1906" s="624"/>
      <c r="AX1906" s="624">
        <v>40927</v>
      </c>
      <c r="AY1906" s="355">
        <v>3.1940000000000003E-2</v>
      </c>
      <c r="AZ1906" s="624">
        <v>40991</v>
      </c>
      <c r="BA1906" s="355">
        <v>1.2E-2</v>
      </c>
      <c r="BB1906" s="624">
        <v>40924</v>
      </c>
      <c r="BC1906" s="355">
        <v>0.28770000000000001</v>
      </c>
      <c r="BD1906" s="624">
        <v>40924</v>
      </c>
      <c r="BE1906" s="355">
        <v>8.6760000000000004E-2</v>
      </c>
      <c r="BF1906" s="624">
        <v>41038</v>
      </c>
      <c r="BG1906" s="355">
        <v>1.8551000000000002E-2</v>
      </c>
      <c r="BH1906" s="624">
        <v>40924</v>
      </c>
      <c r="BI1906" s="355">
        <v>0.109565</v>
      </c>
      <c r="BJ1906" s="624">
        <v>40921</v>
      </c>
      <c r="BK1906" s="355">
        <v>3.1437E-2</v>
      </c>
    </row>
    <row r="1907" spans="3:63" x14ac:dyDescent="0.15">
      <c r="C1907" s="624"/>
      <c r="D1907" s="355">
        <v>3.1940000000000003E-2</v>
      </c>
      <c r="AV1907" s="624"/>
      <c r="AX1907" s="624">
        <v>40928</v>
      </c>
      <c r="AY1907" s="355">
        <v>3.1910000000000001E-2</v>
      </c>
      <c r="AZ1907" s="624">
        <v>40994</v>
      </c>
      <c r="BA1907" s="355">
        <v>1.2E-2</v>
      </c>
      <c r="BB1907" s="624">
        <v>40925</v>
      </c>
      <c r="BC1907" s="355">
        <v>0.29220000000000002</v>
      </c>
      <c r="BD1907" s="624">
        <v>40925</v>
      </c>
      <c r="BE1907" s="355">
        <v>8.7440000000000004E-2</v>
      </c>
      <c r="BF1907" s="624">
        <v>41039</v>
      </c>
      <c r="BG1907" s="355">
        <v>1.8762999999999998E-2</v>
      </c>
      <c r="BH1907" s="624">
        <v>40925</v>
      </c>
      <c r="BI1907" s="355">
        <v>0.110011</v>
      </c>
      <c r="BJ1907" s="624">
        <v>40924</v>
      </c>
      <c r="BK1907" s="355">
        <v>3.1377000000000002E-2</v>
      </c>
    </row>
    <row r="1908" spans="3:63" x14ac:dyDescent="0.15">
      <c r="C1908" s="624"/>
      <c r="D1908" s="355">
        <v>3.1910000000000001E-2</v>
      </c>
      <c r="AV1908" s="624"/>
      <c r="AX1908" s="624">
        <v>40931</v>
      </c>
      <c r="AY1908" s="355">
        <v>3.2320000000000002E-2</v>
      </c>
      <c r="AZ1908" s="624">
        <v>40995</v>
      </c>
      <c r="BA1908" s="355">
        <v>1.2E-2</v>
      </c>
      <c r="BB1908" s="624">
        <v>40926</v>
      </c>
      <c r="BC1908" s="355">
        <v>0.29649999999999999</v>
      </c>
      <c r="BD1908" s="624">
        <v>40926</v>
      </c>
      <c r="BE1908" s="355">
        <v>8.7999999999999995E-2</v>
      </c>
      <c r="BF1908" s="624">
        <v>41040</v>
      </c>
      <c r="BG1908" s="355">
        <v>1.8676000000000002E-2</v>
      </c>
      <c r="BH1908" s="624">
        <v>40926</v>
      </c>
      <c r="BI1908" s="355">
        <v>0.110926</v>
      </c>
      <c r="BJ1908" s="624">
        <v>40925</v>
      </c>
      <c r="BK1908" s="355">
        <v>3.1486E-2</v>
      </c>
    </row>
    <row r="1909" spans="3:63" x14ac:dyDescent="0.15">
      <c r="C1909" s="624"/>
      <c r="D1909" s="355">
        <v>3.2320000000000002E-2</v>
      </c>
      <c r="AV1909" s="624"/>
      <c r="AX1909" s="624">
        <v>40932</v>
      </c>
      <c r="AY1909" s="355">
        <v>3.2509999999999997E-2</v>
      </c>
      <c r="AZ1909" s="624">
        <v>40996</v>
      </c>
      <c r="BA1909" s="355">
        <v>1.2E-2</v>
      </c>
      <c r="BB1909" s="624">
        <v>40927</v>
      </c>
      <c r="BC1909" s="355">
        <v>0.30099999999999999</v>
      </c>
      <c r="BD1909" s="624">
        <v>40927</v>
      </c>
      <c r="BE1909" s="355">
        <v>8.8279999999999997E-2</v>
      </c>
      <c r="BF1909" s="624">
        <v>41043</v>
      </c>
      <c r="BG1909" s="355">
        <v>1.8519000000000001E-2</v>
      </c>
      <c r="BH1909" s="624">
        <v>40927</v>
      </c>
      <c r="BI1909" s="355">
        <v>0.111111</v>
      </c>
      <c r="BJ1909" s="624">
        <v>40926</v>
      </c>
      <c r="BK1909" s="355">
        <v>3.1525999999999998E-2</v>
      </c>
    </row>
    <row r="1910" spans="3:63" x14ac:dyDescent="0.15">
      <c r="C1910" s="624"/>
      <c r="D1910" s="355">
        <v>3.2509999999999997E-2</v>
      </c>
      <c r="AV1910" s="624"/>
      <c r="AX1910" s="624">
        <v>40933</v>
      </c>
      <c r="AY1910" s="355">
        <v>3.2719999999999999E-2</v>
      </c>
      <c r="AZ1910" s="624">
        <v>40997</v>
      </c>
      <c r="BA1910" s="355">
        <v>1.1900000000000001E-2</v>
      </c>
      <c r="BB1910" s="624">
        <v>40928</v>
      </c>
      <c r="BC1910" s="355">
        <v>0.29980000000000001</v>
      </c>
      <c r="BD1910" s="624">
        <v>40928</v>
      </c>
      <c r="BE1910" s="355">
        <v>8.813E-2</v>
      </c>
      <c r="BF1910" s="624">
        <v>41044</v>
      </c>
      <c r="BG1910" s="355">
        <v>1.8495000000000001E-2</v>
      </c>
      <c r="BH1910" s="624">
        <v>40928</v>
      </c>
      <c r="BI1910" s="355">
        <v>0.11176899999999999</v>
      </c>
      <c r="BJ1910" s="624">
        <v>40927</v>
      </c>
      <c r="BK1910" s="355">
        <v>3.1666E-2</v>
      </c>
    </row>
    <row r="1911" spans="3:63" x14ac:dyDescent="0.15">
      <c r="C1911" s="624"/>
      <c r="D1911" s="355">
        <v>3.2719999999999999E-2</v>
      </c>
      <c r="AV1911" s="624"/>
      <c r="AX1911" s="624">
        <v>40934</v>
      </c>
      <c r="AY1911" s="355">
        <v>3.2960000000000003E-2</v>
      </c>
      <c r="AZ1911" s="624">
        <v>40998</v>
      </c>
      <c r="BA1911" s="355">
        <v>1.2E-2</v>
      </c>
      <c r="BB1911" s="624">
        <v>40931</v>
      </c>
      <c r="BC1911" s="355">
        <v>0.30409999999999998</v>
      </c>
      <c r="BD1911" s="624">
        <v>40931</v>
      </c>
      <c r="BE1911" s="355">
        <v>8.8609999999999994E-2</v>
      </c>
      <c r="BF1911" s="624">
        <v>41045</v>
      </c>
      <c r="BG1911" s="355">
        <v>1.8369E-2</v>
      </c>
      <c r="BH1911" s="624">
        <v>40931</v>
      </c>
      <c r="BI1911" s="355">
        <v>0.111857</v>
      </c>
      <c r="BJ1911" s="624">
        <v>40928</v>
      </c>
      <c r="BK1911" s="355">
        <v>3.1684999999999998E-2</v>
      </c>
    </row>
    <row r="1912" spans="3:63" x14ac:dyDescent="0.15">
      <c r="C1912" s="624"/>
      <c r="D1912" s="355">
        <v>3.2960000000000003E-2</v>
      </c>
      <c r="AV1912" s="624"/>
      <c r="AX1912" s="624">
        <v>40935</v>
      </c>
      <c r="AY1912" s="355">
        <v>3.3239999999999999E-2</v>
      </c>
      <c r="AZ1912" s="624">
        <v>41001</v>
      </c>
      <c r="BA1912" s="355">
        <v>1.1900000000000001E-2</v>
      </c>
      <c r="BB1912" s="624">
        <v>40932</v>
      </c>
      <c r="BC1912" s="355">
        <v>0.30509999999999998</v>
      </c>
      <c r="BD1912" s="624">
        <v>40932</v>
      </c>
      <c r="BE1912" s="355">
        <v>8.8620000000000004E-2</v>
      </c>
      <c r="BF1912" s="624">
        <v>41046</v>
      </c>
      <c r="BG1912" s="355">
        <v>1.8395999999999999E-2</v>
      </c>
      <c r="BH1912" s="624">
        <v>40932</v>
      </c>
      <c r="BI1912" s="355">
        <v>0.111452</v>
      </c>
      <c r="BJ1912" s="624">
        <v>40931</v>
      </c>
      <c r="BK1912" s="355">
        <v>3.1851999999999998E-2</v>
      </c>
    </row>
    <row r="1913" spans="3:63" x14ac:dyDescent="0.15">
      <c r="C1913" s="624"/>
      <c r="D1913" s="355">
        <v>3.3239999999999999E-2</v>
      </c>
      <c r="AV1913" s="624"/>
      <c r="AX1913" s="624">
        <v>40938</v>
      </c>
      <c r="AY1913" s="355">
        <v>3.2910000000000002E-2</v>
      </c>
      <c r="AZ1913" s="624">
        <v>41002</v>
      </c>
      <c r="BA1913" s="355">
        <v>1.1900000000000001E-2</v>
      </c>
      <c r="BB1913" s="624">
        <v>40933</v>
      </c>
      <c r="BC1913" s="355">
        <v>0.30780000000000002</v>
      </c>
      <c r="BD1913" s="624">
        <v>40933</v>
      </c>
      <c r="BE1913" s="355">
        <v>8.9380000000000001E-2</v>
      </c>
      <c r="BF1913" s="624">
        <v>41047</v>
      </c>
      <c r="BG1913" s="355">
        <v>1.8284999999999999E-2</v>
      </c>
      <c r="BH1913" s="624">
        <v>40933</v>
      </c>
      <c r="BI1913" s="355">
        <v>0.111266</v>
      </c>
      <c r="BJ1913" s="624">
        <v>40932</v>
      </c>
      <c r="BK1913" s="355">
        <v>3.1831999999999999E-2</v>
      </c>
    </row>
    <row r="1914" spans="3:63" x14ac:dyDescent="0.15">
      <c r="C1914" s="624"/>
      <c r="D1914" s="355">
        <v>3.2910000000000002E-2</v>
      </c>
      <c r="AV1914" s="624"/>
      <c r="AX1914" s="624">
        <v>40939</v>
      </c>
      <c r="AY1914" s="355">
        <v>3.3020000000000001E-2</v>
      </c>
      <c r="AZ1914" s="624">
        <v>41003</v>
      </c>
      <c r="BA1914" s="355">
        <v>1.18E-2</v>
      </c>
      <c r="BB1914" s="624">
        <v>40934</v>
      </c>
      <c r="BC1914" s="355">
        <v>0.30919999999999997</v>
      </c>
      <c r="BD1914" s="624">
        <v>40934</v>
      </c>
      <c r="BE1914" s="355">
        <v>8.8980000000000004E-2</v>
      </c>
      <c r="BF1914" s="624">
        <v>41050</v>
      </c>
      <c r="BG1914" s="355">
        <v>1.8225000000000002E-2</v>
      </c>
      <c r="BH1914" s="624">
        <v>40934</v>
      </c>
      <c r="BI1914" s="355">
        <v>0.11157599999999999</v>
      </c>
      <c r="BJ1914" s="624">
        <v>40933</v>
      </c>
      <c r="BK1914" s="355">
        <v>3.1807000000000002E-2</v>
      </c>
    </row>
    <row r="1915" spans="3:63" x14ac:dyDescent="0.15">
      <c r="C1915" s="624"/>
      <c r="D1915" s="355">
        <v>3.3020000000000001E-2</v>
      </c>
      <c r="AV1915" s="624"/>
      <c r="AX1915" s="624">
        <v>40940</v>
      </c>
      <c r="AY1915" s="355">
        <v>3.3169999999999998E-2</v>
      </c>
      <c r="AZ1915" s="624">
        <v>41004</v>
      </c>
      <c r="BA1915" s="355">
        <v>1.17E-2</v>
      </c>
      <c r="BB1915" s="624">
        <v>40935</v>
      </c>
      <c r="BC1915" s="355">
        <v>0.31259999999999999</v>
      </c>
      <c r="BD1915" s="624">
        <v>40935</v>
      </c>
      <c r="BE1915" s="355">
        <v>8.9319999999999997E-2</v>
      </c>
      <c r="BF1915" s="624">
        <v>41051</v>
      </c>
      <c r="BG1915" s="355">
        <v>1.7950000000000001E-2</v>
      </c>
      <c r="BH1915" s="624">
        <v>40935</v>
      </c>
      <c r="BI1915" s="355">
        <v>0.111483</v>
      </c>
      <c r="BJ1915" s="624">
        <v>40934</v>
      </c>
      <c r="BK1915" s="355">
        <v>3.1968999999999997E-2</v>
      </c>
    </row>
    <row r="1916" spans="3:63" x14ac:dyDescent="0.15">
      <c r="C1916" s="624"/>
      <c r="D1916" s="355">
        <v>3.3169999999999998E-2</v>
      </c>
      <c r="AV1916" s="624"/>
      <c r="AX1916" s="624">
        <v>40941</v>
      </c>
      <c r="AY1916" s="355">
        <v>3.3079999999999998E-2</v>
      </c>
      <c r="AZ1916" s="624">
        <v>41005</v>
      </c>
      <c r="BA1916" s="355">
        <v>1.18E-2</v>
      </c>
      <c r="BB1916" s="624">
        <v>40938</v>
      </c>
      <c r="BC1916" s="355">
        <v>0.30869999999999997</v>
      </c>
      <c r="BD1916" s="624">
        <v>40938</v>
      </c>
      <c r="BE1916" s="355">
        <v>8.8719999999999993E-2</v>
      </c>
      <c r="BF1916" s="624">
        <v>41052</v>
      </c>
      <c r="BG1916" s="355">
        <v>1.7788999999999999E-2</v>
      </c>
      <c r="BH1916" s="624">
        <v>40938</v>
      </c>
      <c r="BI1916" s="355">
        <v>0.111322</v>
      </c>
      <c r="BJ1916" s="624">
        <v>40935</v>
      </c>
      <c r="BK1916" s="355">
        <v>3.2175000000000002E-2</v>
      </c>
    </row>
    <row r="1917" spans="3:63" x14ac:dyDescent="0.15">
      <c r="C1917" s="624"/>
      <c r="D1917" s="355">
        <v>3.3079999999999998E-2</v>
      </c>
      <c r="AV1917" s="624"/>
      <c r="AX1917" s="624">
        <v>40942</v>
      </c>
      <c r="AY1917" s="355">
        <v>3.3189999999999997E-2</v>
      </c>
      <c r="AZ1917" s="624">
        <v>41008</v>
      </c>
      <c r="BA1917" s="355">
        <v>1.17E-2</v>
      </c>
      <c r="BB1917" s="624">
        <v>40939</v>
      </c>
      <c r="BC1917" s="355">
        <v>0.31</v>
      </c>
      <c r="BD1917" s="624">
        <v>40939</v>
      </c>
      <c r="BE1917" s="355">
        <v>8.8880000000000001E-2</v>
      </c>
      <c r="BF1917" s="624">
        <v>41053</v>
      </c>
      <c r="BG1917" s="355">
        <v>1.7895000000000001E-2</v>
      </c>
      <c r="BH1917" s="624">
        <v>40939</v>
      </c>
      <c r="BI1917" s="355">
        <v>0.11105</v>
      </c>
      <c r="BJ1917" s="624">
        <v>40938</v>
      </c>
      <c r="BK1917" s="355">
        <v>3.2098000000000002E-2</v>
      </c>
    </row>
    <row r="1918" spans="3:63" x14ac:dyDescent="0.15">
      <c r="C1918" s="624"/>
      <c r="D1918" s="355">
        <v>3.3189999999999997E-2</v>
      </c>
      <c r="AV1918" s="624"/>
      <c r="AX1918" s="624">
        <v>40945</v>
      </c>
      <c r="AY1918" s="355">
        <v>3.322E-2</v>
      </c>
      <c r="AZ1918" s="624">
        <v>41009</v>
      </c>
      <c r="BA1918" s="355">
        <v>1.17E-2</v>
      </c>
      <c r="BB1918" s="624">
        <v>40940</v>
      </c>
      <c r="BC1918" s="355">
        <v>0.31419999999999998</v>
      </c>
      <c r="BD1918" s="624">
        <v>40940</v>
      </c>
      <c r="BE1918" s="355">
        <v>8.8859999999999995E-2</v>
      </c>
      <c r="BF1918" s="624">
        <v>41054</v>
      </c>
      <c r="BG1918" s="355">
        <v>1.8062000000000002E-2</v>
      </c>
      <c r="BH1918" s="624">
        <v>40940</v>
      </c>
      <c r="BI1918" s="355">
        <v>0.11128399999999999</v>
      </c>
      <c r="BJ1918" s="624">
        <v>40939</v>
      </c>
      <c r="BK1918" s="355">
        <v>3.2258000000000002E-2</v>
      </c>
    </row>
    <row r="1919" spans="3:63" x14ac:dyDescent="0.15">
      <c r="C1919" s="624"/>
      <c r="D1919" s="355">
        <v>3.322E-2</v>
      </c>
      <c r="AV1919" s="624"/>
      <c r="AX1919" s="624">
        <v>40946</v>
      </c>
      <c r="AY1919" s="355">
        <v>3.3579999999999999E-2</v>
      </c>
      <c r="AZ1919" s="624">
        <v>41010</v>
      </c>
      <c r="BA1919" s="355">
        <v>1.17E-2</v>
      </c>
      <c r="BB1919" s="624">
        <v>40941</v>
      </c>
      <c r="BC1919" s="355">
        <v>0.31369999999999998</v>
      </c>
      <c r="BD1919" s="624">
        <v>40941</v>
      </c>
      <c r="BE1919" s="355">
        <v>8.9510000000000006E-2</v>
      </c>
      <c r="BF1919" s="624">
        <v>41057</v>
      </c>
      <c r="BG1919" s="355">
        <v>1.806E-2</v>
      </c>
      <c r="BH1919" s="624">
        <v>40941</v>
      </c>
      <c r="BI1919" s="355">
        <v>0.111359</v>
      </c>
      <c r="BJ1919" s="624">
        <v>40940</v>
      </c>
      <c r="BK1919" s="355">
        <v>3.2300000000000002E-2</v>
      </c>
    </row>
    <row r="1920" spans="3:63" x14ac:dyDescent="0.15">
      <c r="C1920" s="624"/>
      <c r="D1920" s="355">
        <v>3.3579999999999999E-2</v>
      </c>
      <c r="AV1920" s="624"/>
      <c r="AX1920" s="624">
        <v>40947</v>
      </c>
      <c r="AY1920" s="355">
        <v>3.363E-2</v>
      </c>
      <c r="AZ1920" s="624">
        <v>41011</v>
      </c>
      <c r="BA1920" s="355">
        <v>1.18E-2</v>
      </c>
      <c r="BB1920" s="624">
        <v>40942</v>
      </c>
      <c r="BC1920" s="355">
        <v>0.31530000000000002</v>
      </c>
      <c r="BD1920" s="624">
        <v>40942</v>
      </c>
      <c r="BE1920" s="355">
        <v>8.9789999999999995E-2</v>
      </c>
      <c r="BF1920" s="624">
        <v>41058</v>
      </c>
      <c r="BG1920" s="355">
        <v>1.7916000000000001E-2</v>
      </c>
      <c r="BH1920" s="624">
        <v>40942</v>
      </c>
      <c r="BI1920" s="355">
        <v>0.11182599999999999</v>
      </c>
      <c r="BJ1920" s="624">
        <v>40941</v>
      </c>
      <c r="BK1920" s="355">
        <v>3.2368000000000001E-2</v>
      </c>
    </row>
    <row r="1921" spans="3:63" x14ac:dyDescent="0.15">
      <c r="C1921" s="624"/>
      <c r="D1921" s="355">
        <v>3.363E-2</v>
      </c>
      <c r="AV1921" s="624"/>
      <c r="AX1921" s="624">
        <v>40948</v>
      </c>
      <c r="AY1921" s="355">
        <v>3.3669999999999999E-2</v>
      </c>
      <c r="AZ1921" s="624">
        <v>41012</v>
      </c>
      <c r="BA1921" s="355">
        <v>1.17E-2</v>
      </c>
      <c r="BB1921" s="624">
        <v>40945</v>
      </c>
      <c r="BC1921" s="355">
        <v>0.31430000000000002</v>
      </c>
      <c r="BD1921" s="624">
        <v>40945</v>
      </c>
      <c r="BE1921" s="355">
        <v>8.9209999999999998E-2</v>
      </c>
      <c r="BF1921" s="624">
        <v>41059</v>
      </c>
      <c r="BG1921" s="355">
        <v>1.7773000000000001E-2</v>
      </c>
      <c r="BH1921" s="624">
        <v>40945</v>
      </c>
      <c r="BI1921" s="355">
        <v>0.11142100000000001</v>
      </c>
      <c r="BJ1921" s="624">
        <v>40942</v>
      </c>
      <c r="BK1921" s="355">
        <v>3.2414999999999999E-2</v>
      </c>
    </row>
    <row r="1922" spans="3:63" x14ac:dyDescent="0.15">
      <c r="C1922" s="624"/>
      <c r="D1922" s="355">
        <v>3.3669999999999999E-2</v>
      </c>
      <c r="AV1922" s="624"/>
      <c r="AX1922" s="624">
        <v>40949</v>
      </c>
      <c r="AY1922" s="355">
        <v>3.3309999999999999E-2</v>
      </c>
      <c r="AZ1922" s="624">
        <v>41015</v>
      </c>
      <c r="BA1922" s="355">
        <v>1.18E-2</v>
      </c>
      <c r="BB1922" s="624">
        <v>40946</v>
      </c>
      <c r="BC1922" s="355">
        <v>0.31879999999999997</v>
      </c>
      <c r="BD1922" s="624">
        <v>40946</v>
      </c>
      <c r="BE1922" s="355">
        <v>8.9480000000000004E-2</v>
      </c>
      <c r="BF1922" s="624">
        <v>41060</v>
      </c>
      <c r="BG1922" s="355">
        <v>1.7732000000000001E-2</v>
      </c>
      <c r="BH1922" s="624">
        <v>40946</v>
      </c>
      <c r="BI1922" s="355">
        <v>0.111857</v>
      </c>
      <c r="BJ1922" s="624">
        <v>40945</v>
      </c>
      <c r="BK1922" s="355">
        <v>3.2309999999999998E-2</v>
      </c>
    </row>
    <row r="1923" spans="3:63" x14ac:dyDescent="0.15">
      <c r="C1923" s="624"/>
      <c r="D1923" s="355">
        <v>3.3309999999999999E-2</v>
      </c>
      <c r="AV1923" s="624"/>
      <c r="AX1923" s="624">
        <v>40952</v>
      </c>
      <c r="AY1923" s="355">
        <v>3.3489999999999999E-2</v>
      </c>
      <c r="AZ1923" s="624">
        <v>41016</v>
      </c>
      <c r="BA1923" s="355">
        <v>1.18E-2</v>
      </c>
      <c r="BB1923" s="624">
        <v>40947</v>
      </c>
      <c r="BC1923" s="355">
        <v>0.31680000000000003</v>
      </c>
      <c r="BD1923" s="624">
        <v>40947</v>
      </c>
      <c r="BE1923" s="355">
        <v>8.9899999999999994E-2</v>
      </c>
      <c r="BF1923" s="624">
        <v>41061</v>
      </c>
      <c r="BG1923" s="355">
        <v>1.8026E-2</v>
      </c>
      <c r="BH1923" s="624">
        <v>40947</v>
      </c>
      <c r="BI1923" s="355">
        <v>0.112424</v>
      </c>
      <c r="BJ1923" s="624">
        <v>40946</v>
      </c>
      <c r="BK1923" s="355">
        <v>3.2410000000000001E-2</v>
      </c>
    </row>
    <row r="1924" spans="3:63" x14ac:dyDescent="0.15">
      <c r="C1924" s="624"/>
      <c r="D1924" s="355">
        <v>3.3489999999999999E-2</v>
      </c>
      <c r="AV1924" s="624"/>
      <c r="AX1924" s="624">
        <v>40953</v>
      </c>
      <c r="AY1924" s="355">
        <v>3.322E-2</v>
      </c>
      <c r="AZ1924" s="624">
        <v>41017</v>
      </c>
      <c r="BA1924" s="355">
        <v>1.18E-2</v>
      </c>
      <c r="BB1924" s="624">
        <v>40948</v>
      </c>
      <c r="BC1924" s="355">
        <v>0.31659999999999999</v>
      </c>
      <c r="BD1924" s="624">
        <v>40948</v>
      </c>
      <c r="BE1924" s="355">
        <v>8.9340000000000003E-2</v>
      </c>
      <c r="BF1924" s="624">
        <v>41064</v>
      </c>
      <c r="BG1924" s="355">
        <v>1.7968000000000001E-2</v>
      </c>
      <c r="BH1924" s="624">
        <v>40948</v>
      </c>
      <c r="BI1924" s="355">
        <v>0.111488</v>
      </c>
      <c r="BJ1924" s="624">
        <v>40947</v>
      </c>
      <c r="BK1924" s="355">
        <v>3.2572999999999998E-2</v>
      </c>
    </row>
    <row r="1925" spans="3:63" x14ac:dyDescent="0.15">
      <c r="C1925" s="624"/>
      <c r="D1925" s="355">
        <v>3.322E-2</v>
      </c>
      <c r="AV1925" s="624"/>
      <c r="AX1925" s="624">
        <v>40954</v>
      </c>
      <c r="AY1925" s="355">
        <v>3.3230000000000003E-2</v>
      </c>
      <c r="AZ1925" s="624">
        <v>41018</v>
      </c>
      <c r="BA1925" s="355">
        <v>1.18E-2</v>
      </c>
      <c r="BB1925" s="624">
        <v>40949</v>
      </c>
      <c r="BC1925" s="355">
        <v>0.31319999999999998</v>
      </c>
      <c r="BD1925" s="624">
        <v>40949</v>
      </c>
      <c r="BE1925" s="355">
        <v>8.8789999999999994E-2</v>
      </c>
      <c r="BF1925" s="624">
        <v>41065</v>
      </c>
      <c r="BG1925" s="355">
        <v>1.7981E-2</v>
      </c>
      <c r="BH1925" s="624">
        <v>40949</v>
      </c>
      <c r="BI1925" s="355">
        <v>0.110926</v>
      </c>
      <c r="BJ1925" s="624">
        <v>40948</v>
      </c>
      <c r="BK1925" s="355">
        <v>3.2525999999999999E-2</v>
      </c>
    </row>
    <row r="1926" spans="3:63" x14ac:dyDescent="0.15">
      <c r="C1926" s="624"/>
      <c r="D1926" s="355">
        <v>3.3230000000000003E-2</v>
      </c>
      <c r="AV1926" s="624"/>
      <c r="AX1926" s="624">
        <v>40955</v>
      </c>
      <c r="AY1926" s="355">
        <v>3.329E-2</v>
      </c>
      <c r="AZ1926" s="624">
        <v>41019</v>
      </c>
      <c r="BA1926" s="355">
        <v>1.18E-2</v>
      </c>
      <c r="BB1926" s="624">
        <v>40952</v>
      </c>
      <c r="BC1926" s="355">
        <v>0.3155</v>
      </c>
      <c r="BD1926" s="624">
        <v>40952</v>
      </c>
      <c r="BE1926" s="355">
        <v>8.9249999999999996E-2</v>
      </c>
      <c r="BF1926" s="624">
        <v>41066</v>
      </c>
      <c r="BG1926" s="355">
        <v>1.8141000000000001E-2</v>
      </c>
      <c r="BH1926" s="624">
        <v>40952</v>
      </c>
      <c r="BI1926" s="355">
        <v>0.110829</v>
      </c>
      <c r="BJ1926" s="624">
        <v>40949</v>
      </c>
      <c r="BK1926" s="355">
        <v>3.2393999999999999E-2</v>
      </c>
    </row>
    <row r="1927" spans="3:63" x14ac:dyDescent="0.15">
      <c r="C1927" s="624"/>
      <c r="D1927" s="355">
        <v>3.329E-2</v>
      </c>
      <c r="AV1927" s="624"/>
      <c r="AX1927" s="624">
        <v>40956</v>
      </c>
      <c r="AY1927" s="355">
        <v>3.3390000000000003E-2</v>
      </c>
      <c r="AZ1927" s="624">
        <v>41022</v>
      </c>
      <c r="BA1927" s="355">
        <v>1.18E-2</v>
      </c>
      <c r="BB1927" s="624">
        <v>40953</v>
      </c>
      <c r="BC1927" s="355">
        <v>0.3145</v>
      </c>
      <c r="BD1927" s="624">
        <v>40953</v>
      </c>
      <c r="BE1927" s="355">
        <v>8.8800000000000004E-2</v>
      </c>
      <c r="BF1927" s="624">
        <v>41067</v>
      </c>
      <c r="BG1927" s="355">
        <v>1.8176999999999999E-2</v>
      </c>
      <c r="BH1927" s="624">
        <v>40953</v>
      </c>
      <c r="BI1927" s="355">
        <v>0.111037</v>
      </c>
      <c r="BJ1927" s="624">
        <v>40952</v>
      </c>
      <c r="BK1927" s="355">
        <v>3.2532999999999999E-2</v>
      </c>
    </row>
    <row r="1928" spans="3:63" x14ac:dyDescent="0.15">
      <c r="C1928" s="624"/>
      <c r="D1928" s="355">
        <v>3.3390000000000003E-2</v>
      </c>
      <c r="AV1928" s="624"/>
      <c r="AX1928" s="624">
        <v>40959</v>
      </c>
      <c r="AY1928" s="355">
        <v>3.3579999999999999E-2</v>
      </c>
      <c r="AZ1928" s="624">
        <v>41023</v>
      </c>
      <c r="BA1928" s="355">
        <v>1.18E-2</v>
      </c>
      <c r="BB1928" s="624">
        <v>40954</v>
      </c>
      <c r="BC1928" s="355">
        <v>0.31030000000000002</v>
      </c>
      <c r="BD1928" s="624">
        <v>40954</v>
      </c>
      <c r="BE1928" s="355">
        <v>8.9029999999999998E-2</v>
      </c>
      <c r="BF1928" s="624">
        <v>41068</v>
      </c>
      <c r="BG1928" s="355">
        <v>1.8041999999999999E-2</v>
      </c>
      <c r="BH1928" s="624">
        <v>40954</v>
      </c>
      <c r="BI1928" s="355">
        <v>0.110558</v>
      </c>
      <c r="BJ1928" s="624">
        <v>40953</v>
      </c>
      <c r="BK1928" s="355">
        <v>3.2419999999999997E-2</v>
      </c>
    </row>
    <row r="1929" spans="3:63" x14ac:dyDescent="0.15">
      <c r="C1929" s="624"/>
      <c r="D1929" s="355">
        <v>3.3579999999999999E-2</v>
      </c>
      <c r="AV1929" s="624"/>
      <c r="AX1929" s="624">
        <v>40960</v>
      </c>
      <c r="AY1929" s="355">
        <v>3.3590000000000002E-2</v>
      </c>
      <c r="AZ1929" s="624">
        <v>41024</v>
      </c>
      <c r="BA1929" s="355">
        <v>1.18E-2</v>
      </c>
      <c r="BB1929" s="624">
        <v>40955</v>
      </c>
      <c r="BC1929" s="355">
        <v>0.31280000000000002</v>
      </c>
      <c r="BD1929" s="624">
        <v>40955</v>
      </c>
      <c r="BE1929" s="355">
        <v>8.8760000000000006E-2</v>
      </c>
      <c r="BF1929" s="624">
        <v>41071</v>
      </c>
      <c r="BG1929" s="355">
        <v>1.7909999999999999E-2</v>
      </c>
      <c r="BH1929" s="624">
        <v>40955</v>
      </c>
      <c r="BI1929" s="355">
        <v>0.11013199999999999</v>
      </c>
      <c r="BJ1929" s="624">
        <v>40954</v>
      </c>
      <c r="BK1929" s="355">
        <v>3.2461999999999998E-2</v>
      </c>
    </row>
    <row r="1930" spans="3:63" x14ac:dyDescent="0.15">
      <c r="C1930" s="624"/>
      <c r="D1930" s="355">
        <v>3.3590000000000002E-2</v>
      </c>
      <c r="AV1930" s="624"/>
      <c r="AX1930" s="624">
        <v>40961</v>
      </c>
      <c r="AY1930" s="355">
        <v>3.3680000000000002E-2</v>
      </c>
      <c r="AZ1930" s="624">
        <v>41025</v>
      </c>
      <c r="BA1930" s="355">
        <v>1.18E-2</v>
      </c>
      <c r="BB1930" s="624">
        <v>40956</v>
      </c>
      <c r="BC1930" s="355">
        <v>0.31440000000000001</v>
      </c>
      <c r="BD1930" s="624">
        <v>40956</v>
      </c>
      <c r="BE1930" s="355">
        <v>8.8779999999999998E-2</v>
      </c>
      <c r="BF1930" s="624">
        <v>41072</v>
      </c>
      <c r="BG1930" s="355">
        <v>1.7971999999999998E-2</v>
      </c>
      <c r="BH1930" s="624">
        <v>40956</v>
      </c>
      <c r="BI1930" s="355">
        <v>0.110558</v>
      </c>
      <c r="BJ1930" s="624">
        <v>40955</v>
      </c>
      <c r="BK1930" s="355">
        <v>3.2457E-2</v>
      </c>
    </row>
    <row r="1931" spans="3:63" x14ac:dyDescent="0.15">
      <c r="C1931" s="624"/>
      <c r="D1931" s="355">
        <v>3.3680000000000002E-2</v>
      </c>
      <c r="AV1931" s="624"/>
      <c r="AX1931" s="624">
        <v>40962</v>
      </c>
      <c r="AY1931" s="355">
        <v>3.3779999999999998E-2</v>
      </c>
      <c r="AZ1931" s="624">
        <v>41026</v>
      </c>
      <c r="BA1931" s="355">
        <v>1.18E-2</v>
      </c>
      <c r="BB1931" s="624">
        <v>40959</v>
      </c>
      <c r="BC1931" s="355">
        <v>0.3175</v>
      </c>
      <c r="BD1931" s="624">
        <v>40959</v>
      </c>
      <c r="BE1931" s="355">
        <v>8.9120000000000005E-2</v>
      </c>
      <c r="BF1931" s="624">
        <v>41073</v>
      </c>
      <c r="BG1931" s="355">
        <v>1.7984E-2</v>
      </c>
      <c r="BH1931" s="624">
        <v>40959</v>
      </c>
      <c r="BI1931" s="355">
        <v>0.111483</v>
      </c>
      <c r="BJ1931" s="624">
        <v>40956</v>
      </c>
      <c r="BK1931" s="355">
        <v>3.2467999999999997E-2</v>
      </c>
    </row>
    <row r="1932" spans="3:63" x14ac:dyDescent="0.15">
      <c r="C1932" s="624"/>
      <c r="D1932" s="355">
        <v>3.3779999999999998E-2</v>
      </c>
      <c r="AV1932" s="624"/>
      <c r="AX1932" s="624">
        <v>40963</v>
      </c>
      <c r="AY1932" s="355">
        <v>3.4340000000000002E-2</v>
      </c>
      <c r="AZ1932" s="624">
        <v>41029</v>
      </c>
      <c r="BA1932" s="355">
        <v>1.18E-2</v>
      </c>
      <c r="BB1932" s="624">
        <v>40960</v>
      </c>
      <c r="BC1932" s="355">
        <v>0.31669999999999998</v>
      </c>
      <c r="BD1932" s="624">
        <v>40960</v>
      </c>
      <c r="BE1932" s="355">
        <v>8.8929999999999995E-2</v>
      </c>
      <c r="BF1932" s="624">
        <v>41074</v>
      </c>
      <c r="BG1932" s="355">
        <v>1.7964999999999998E-2</v>
      </c>
      <c r="BH1932" s="624">
        <v>40960</v>
      </c>
      <c r="BI1932" s="355">
        <v>0.110926</v>
      </c>
      <c r="BJ1932" s="624">
        <v>40959</v>
      </c>
      <c r="BK1932" s="355">
        <v>3.2509999999999997E-2</v>
      </c>
    </row>
    <row r="1933" spans="3:63" x14ac:dyDescent="0.15">
      <c r="C1933" s="624"/>
      <c r="D1933" s="355">
        <v>3.4340000000000002E-2</v>
      </c>
      <c r="AV1933" s="624"/>
      <c r="AX1933" s="624">
        <v>40966</v>
      </c>
      <c r="AY1933" s="355">
        <v>3.4450000000000001E-2</v>
      </c>
      <c r="AZ1933" s="624">
        <v>41030</v>
      </c>
      <c r="BA1933" s="355">
        <v>1.18E-2</v>
      </c>
      <c r="BB1933" s="624">
        <v>40961</v>
      </c>
      <c r="BC1933" s="355">
        <v>0.31540000000000001</v>
      </c>
      <c r="BD1933" s="624">
        <v>40961</v>
      </c>
      <c r="BE1933" s="355">
        <v>8.8599999999999998E-2</v>
      </c>
      <c r="BF1933" s="624">
        <v>41075</v>
      </c>
      <c r="BG1933" s="355">
        <v>1.7987E-2</v>
      </c>
      <c r="BH1933" s="624">
        <v>40961</v>
      </c>
      <c r="BI1933" s="355">
        <v>0.11028399999999999</v>
      </c>
      <c r="BJ1933" s="624">
        <v>40960</v>
      </c>
      <c r="BK1933" s="355">
        <v>3.2551999999999998E-2</v>
      </c>
    </row>
    <row r="1934" spans="3:63" x14ac:dyDescent="0.15">
      <c r="C1934" s="624"/>
      <c r="D1934" s="355">
        <v>3.4450000000000001E-2</v>
      </c>
      <c r="AV1934" s="624"/>
      <c r="AX1934" s="624">
        <v>40967</v>
      </c>
      <c r="AY1934" s="355">
        <v>3.4509999999999999E-2</v>
      </c>
      <c r="AZ1934" s="624">
        <v>41031</v>
      </c>
      <c r="BA1934" s="355">
        <v>1.17E-2</v>
      </c>
      <c r="BB1934" s="624">
        <v>40962</v>
      </c>
      <c r="BC1934" s="355">
        <v>0.32050000000000001</v>
      </c>
      <c r="BD1934" s="624">
        <v>40962</v>
      </c>
      <c r="BE1934" s="355">
        <v>8.8660000000000003E-2</v>
      </c>
      <c r="BF1934" s="624">
        <v>41078</v>
      </c>
      <c r="BG1934" s="355">
        <v>1.7867999999999998E-2</v>
      </c>
      <c r="BH1934" s="624">
        <v>40962</v>
      </c>
      <c r="BI1934" s="355">
        <v>0.110236</v>
      </c>
      <c r="BJ1934" s="624">
        <v>40961</v>
      </c>
      <c r="BK1934" s="355">
        <v>3.2738999999999997E-2</v>
      </c>
    </row>
    <row r="1935" spans="3:63" x14ac:dyDescent="0.15">
      <c r="C1935" s="624"/>
      <c r="D1935" s="355">
        <v>3.4509999999999999E-2</v>
      </c>
      <c r="AV1935" s="624"/>
      <c r="AX1935" s="624">
        <v>40968</v>
      </c>
      <c r="AY1935" s="355">
        <v>3.4180000000000002E-2</v>
      </c>
      <c r="AZ1935" s="624">
        <v>41032</v>
      </c>
      <c r="BA1935" s="355">
        <v>1.18E-2</v>
      </c>
      <c r="BB1935" s="624">
        <v>40963</v>
      </c>
      <c r="BC1935" s="355">
        <v>0.32290000000000002</v>
      </c>
      <c r="BD1935" s="624">
        <v>40963</v>
      </c>
      <c r="BE1935" s="355">
        <v>8.8870000000000005E-2</v>
      </c>
      <c r="BF1935" s="624">
        <v>41079</v>
      </c>
      <c r="BG1935" s="355">
        <v>1.7884000000000001E-2</v>
      </c>
      <c r="BH1935" s="624">
        <v>40963</v>
      </c>
      <c r="BI1935" s="355">
        <v>0.10920000000000001</v>
      </c>
      <c r="BJ1935" s="624">
        <v>40962</v>
      </c>
      <c r="BK1935" s="355">
        <v>3.2948999999999999E-2</v>
      </c>
    </row>
    <row r="1936" spans="3:63" x14ac:dyDescent="0.15">
      <c r="C1936" s="624"/>
      <c r="D1936" s="355">
        <v>3.4180000000000002E-2</v>
      </c>
      <c r="AV1936" s="624"/>
      <c r="AX1936" s="624">
        <v>40969</v>
      </c>
      <c r="AY1936" s="355">
        <v>3.4329999999999999E-2</v>
      </c>
      <c r="AZ1936" s="624">
        <v>41033</v>
      </c>
      <c r="BA1936" s="355">
        <v>1.17E-2</v>
      </c>
      <c r="BB1936" s="624">
        <v>40966</v>
      </c>
      <c r="BC1936" s="355">
        <v>0.32150000000000001</v>
      </c>
      <c r="BD1936" s="624">
        <v>40966</v>
      </c>
      <c r="BE1936" s="355">
        <v>8.8719999999999993E-2</v>
      </c>
      <c r="BF1936" s="624">
        <v>41080</v>
      </c>
      <c r="BG1936" s="355">
        <v>1.7756999999999998E-2</v>
      </c>
      <c r="BH1936" s="624">
        <v>40966</v>
      </c>
      <c r="BI1936" s="355">
        <v>0.109445</v>
      </c>
      <c r="BJ1936" s="624">
        <v>40963</v>
      </c>
      <c r="BK1936" s="355">
        <v>3.2971E-2</v>
      </c>
    </row>
    <row r="1937" spans="3:63" x14ac:dyDescent="0.15">
      <c r="C1937" s="624"/>
      <c r="D1937" s="355">
        <v>3.4329999999999999E-2</v>
      </c>
      <c r="AV1937" s="624"/>
      <c r="AX1937" s="624">
        <v>40970</v>
      </c>
      <c r="AY1937" s="355">
        <v>3.4049999999999997E-2</v>
      </c>
      <c r="AZ1937" s="624">
        <v>41036</v>
      </c>
      <c r="BA1937" s="355">
        <v>1.17E-2</v>
      </c>
      <c r="BB1937" s="624">
        <v>40967</v>
      </c>
      <c r="BC1937" s="355">
        <v>0.3261</v>
      </c>
      <c r="BD1937" s="624">
        <v>40967</v>
      </c>
      <c r="BE1937" s="355">
        <v>8.8830000000000006E-2</v>
      </c>
      <c r="BF1937" s="624">
        <v>41081</v>
      </c>
      <c r="BG1937" s="355">
        <v>1.7564E-2</v>
      </c>
      <c r="BH1937" s="624">
        <v>40967</v>
      </c>
      <c r="BI1937" s="355">
        <v>0.10958900000000001</v>
      </c>
      <c r="BJ1937" s="624">
        <v>40966</v>
      </c>
      <c r="BK1937" s="355">
        <v>3.2819000000000001E-2</v>
      </c>
    </row>
    <row r="1938" spans="3:63" x14ac:dyDescent="0.15">
      <c r="C1938" s="624"/>
      <c r="D1938" s="355">
        <v>3.4049999999999997E-2</v>
      </c>
      <c r="AV1938" s="624"/>
      <c r="AX1938" s="624">
        <v>40973</v>
      </c>
      <c r="AY1938" s="355">
        <v>3.4070000000000003E-2</v>
      </c>
      <c r="AZ1938" s="624">
        <v>41037</v>
      </c>
      <c r="BA1938" s="355">
        <v>1.1599999999999999E-2</v>
      </c>
      <c r="BB1938" s="624">
        <v>40968</v>
      </c>
      <c r="BC1938" s="355">
        <v>0.32269999999999999</v>
      </c>
      <c r="BD1938" s="624">
        <v>40968</v>
      </c>
      <c r="BE1938" s="355">
        <v>8.9380000000000001E-2</v>
      </c>
      <c r="BF1938" s="624">
        <v>41082</v>
      </c>
      <c r="BG1938" s="355">
        <v>1.7493000000000002E-2</v>
      </c>
      <c r="BH1938" s="624">
        <v>40968</v>
      </c>
      <c r="BI1938" s="355">
        <v>0.110682</v>
      </c>
      <c r="BJ1938" s="624">
        <v>40967</v>
      </c>
      <c r="BK1938" s="355">
        <v>3.2971E-2</v>
      </c>
    </row>
    <row r="1939" spans="3:63" x14ac:dyDescent="0.15">
      <c r="C1939" s="624"/>
      <c r="D1939" s="355">
        <v>3.4070000000000003E-2</v>
      </c>
      <c r="AV1939" s="624"/>
      <c r="AX1939" s="624">
        <v>40974</v>
      </c>
      <c r="AY1939" s="355">
        <v>3.3739999999999999E-2</v>
      </c>
      <c r="AZ1939" s="624">
        <v>41038</v>
      </c>
      <c r="BA1939" s="355">
        <v>1.15E-2</v>
      </c>
      <c r="BB1939" s="624">
        <v>40969</v>
      </c>
      <c r="BC1939" s="355">
        <v>0.32450000000000001</v>
      </c>
      <c r="BD1939" s="624">
        <v>40969</v>
      </c>
      <c r="BE1939" s="355">
        <v>8.9719999999999994E-2</v>
      </c>
      <c r="BF1939" s="624">
        <v>41085</v>
      </c>
      <c r="BG1939" s="355">
        <v>1.7564E-2</v>
      </c>
      <c r="BH1939" s="624">
        <v>40969</v>
      </c>
      <c r="BI1939" s="355">
        <v>0.11013299999999999</v>
      </c>
      <c r="BJ1939" s="624">
        <v>40968</v>
      </c>
      <c r="BK1939" s="355">
        <v>3.2841000000000002E-2</v>
      </c>
    </row>
    <row r="1940" spans="3:63" x14ac:dyDescent="0.15">
      <c r="C1940" s="624"/>
      <c r="D1940" s="355">
        <v>3.3739999999999999E-2</v>
      </c>
      <c r="AV1940" s="624"/>
      <c r="AX1940" s="624">
        <v>40975</v>
      </c>
      <c r="AY1940" s="355">
        <v>3.3750000000000002E-2</v>
      </c>
      <c r="AZ1940" s="624">
        <v>41039</v>
      </c>
      <c r="BA1940" s="355">
        <v>1.15E-2</v>
      </c>
      <c r="BB1940" s="624">
        <v>40970</v>
      </c>
      <c r="BC1940" s="355">
        <v>0.32100000000000001</v>
      </c>
      <c r="BD1940" s="624">
        <v>40970</v>
      </c>
      <c r="BE1940" s="355">
        <v>8.9660000000000004E-2</v>
      </c>
      <c r="BF1940" s="624">
        <v>41086</v>
      </c>
      <c r="BG1940" s="355">
        <v>1.7519E-2</v>
      </c>
      <c r="BH1940" s="624">
        <v>40970</v>
      </c>
      <c r="BI1940" s="355">
        <v>0.10983</v>
      </c>
      <c r="BJ1940" s="624">
        <v>40969</v>
      </c>
      <c r="BK1940" s="355">
        <v>3.2786999999999997E-2</v>
      </c>
    </row>
    <row r="1941" spans="3:63" x14ac:dyDescent="0.15">
      <c r="C1941" s="624"/>
      <c r="D1941" s="355">
        <v>3.3750000000000002E-2</v>
      </c>
      <c r="AV1941" s="624"/>
      <c r="AX1941" s="624">
        <v>40976</v>
      </c>
      <c r="AY1941" s="355">
        <v>3.4029999999999998E-2</v>
      </c>
      <c r="AZ1941" s="624">
        <v>41040</v>
      </c>
      <c r="BA1941" s="355">
        <v>1.15E-2</v>
      </c>
      <c r="BB1941" s="624">
        <v>40973</v>
      </c>
      <c r="BC1941" s="355">
        <v>0.3196</v>
      </c>
      <c r="BD1941" s="624">
        <v>40973</v>
      </c>
      <c r="BE1941" s="355">
        <v>8.9380000000000001E-2</v>
      </c>
      <c r="BF1941" s="624">
        <v>41087</v>
      </c>
      <c r="BG1941" s="355">
        <v>1.7595E-2</v>
      </c>
      <c r="BH1941" s="624">
        <v>40973</v>
      </c>
      <c r="BI1941" s="355">
        <v>0.109637</v>
      </c>
      <c r="BJ1941" s="624">
        <v>40970</v>
      </c>
      <c r="BK1941" s="355">
        <v>3.2689999999999997E-2</v>
      </c>
    </row>
    <row r="1942" spans="3:63" x14ac:dyDescent="0.15">
      <c r="C1942" s="624"/>
      <c r="D1942" s="355">
        <v>3.4029999999999998E-2</v>
      </c>
      <c r="AV1942" s="624"/>
      <c r="AX1942" s="624">
        <v>40977</v>
      </c>
      <c r="AY1942" s="355">
        <v>3.4029999999999998E-2</v>
      </c>
      <c r="AZ1942" s="624">
        <v>41043</v>
      </c>
      <c r="BA1942" s="355">
        <v>1.14E-2</v>
      </c>
      <c r="BB1942" s="624">
        <v>40974</v>
      </c>
      <c r="BC1942" s="355">
        <v>0.31409999999999999</v>
      </c>
      <c r="BD1942" s="624">
        <v>40974</v>
      </c>
      <c r="BE1942" s="355">
        <v>8.8929999999999995E-2</v>
      </c>
      <c r="BF1942" s="624">
        <v>41088</v>
      </c>
      <c r="BG1942" s="355">
        <v>1.7538999999999999E-2</v>
      </c>
      <c r="BH1942" s="624">
        <v>40974</v>
      </c>
      <c r="BI1942" s="355">
        <v>0.109433</v>
      </c>
      <c r="BJ1942" s="624">
        <v>40973</v>
      </c>
      <c r="BK1942" s="355">
        <v>3.2620999999999997E-2</v>
      </c>
    </row>
    <row r="1943" spans="3:63" x14ac:dyDescent="0.15">
      <c r="C1943" s="624"/>
      <c r="D1943" s="355">
        <v>3.4029999999999998E-2</v>
      </c>
      <c r="AV1943" s="624"/>
      <c r="AX1943" s="624">
        <v>40980</v>
      </c>
      <c r="AY1943" s="355">
        <v>3.3779999999999998E-2</v>
      </c>
      <c r="AZ1943" s="624">
        <v>41044</v>
      </c>
      <c r="BA1943" s="355">
        <v>1.1299999999999999E-2</v>
      </c>
      <c r="BB1943" s="624">
        <v>40975</v>
      </c>
      <c r="BC1943" s="355">
        <v>0.3165</v>
      </c>
      <c r="BD1943" s="624">
        <v>40975</v>
      </c>
      <c r="BE1943" s="355">
        <v>8.9039999999999994E-2</v>
      </c>
      <c r="BF1943" s="624">
        <v>41089</v>
      </c>
      <c r="BG1943" s="355">
        <v>1.8055000000000002E-2</v>
      </c>
      <c r="BH1943" s="624">
        <v>40975</v>
      </c>
      <c r="BI1943" s="355">
        <v>0.109529</v>
      </c>
      <c r="BJ1943" s="624">
        <v>40974</v>
      </c>
      <c r="BK1943" s="355">
        <v>3.2446000000000003E-2</v>
      </c>
    </row>
    <row r="1944" spans="3:63" x14ac:dyDescent="0.15">
      <c r="C1944" s="624"/>
      <c r="D1944" s="355">
        <v>3.3779999999999998E-2</v>
      </c>
      <c r="AV1944" s="624"/>
      <c r="AX1944" s="624">
        <v>40981</v>
      </c>
      <c r="AY1944" s="355">
        <v>3.3939999999999998E-2</v>
      </c>
      <c r="AZ1944" s="624">
        <v>41045</v>
      </c>
      <c r="BA1944" s="355">
        <v>1.1299999999999999E-2</v>
      </c>
      <c r="BB1944" s="624">
        <v>40976</v>
      </c>
      <c r="BC1944" s="355">
        <v>0.32400000000000001</v>
      </c>
      <c r="BD1944" s="624">
        <v>40976</v>
      </c>
      <c r="BE1944" s="355">
        <v>8.9580000000000007E-2</v>
      </c>
      <c r="BF1944" s="624">
        <v>41092</v>
      </c>
      <c r="BG1944" s="355">
        <v>1.8034000000000001E-2</v>
      </c>
      <c r="BH1944" s="624">
        <v>40976</v>
      </c>
      <c r="BI1944" s="355">
        <v>0.10983</v>
      </c>
      <c r="BJ1944" s="624">
        <v>40975</v>
      </c>
      <c r="BK1944" s="355">
        <v>3.2530999999999997E-2</v>
      </c>
    </row>
    <row r="1945" spans="3:63" x14ac:dyDescent="0.15">
      <c r="C1945" s="624"/>
      <c r="D1945" s="355">
        <v>3.3939999999999998E-2</v>
      </c>
      <c r="AV1945" s="624"/>
      <c r="AX1945" s="624">
        <v>40982</v>
      </c>
      <c r="AY1945" s="355">
        <v>3.3860000000000001E-2</v>
      </c>
      <c r="AZ1945" s="624">
        <v>41046</v>
      </c>
      <c r="BA1945" s="355">
        <v>1.12E-2</v>
      </c>
      <c r="BB1945" s="624">
        <v>40977</v>
      </c>
      <c r="BC1945" s="355">
        <v>0.32100000000000001</v>
      </c>
      <c r="BD1945" s="624">
        <v>40977</v>
      </c>
      <c r="BE1945" s="355">
        <v>8.9529999999999998E-2</v>
      </c>
      <c r="BF1945" s="624">
        <v>41093</v>
      </c>
      <c r="BG1945" s="355">
        <v>1.8438E-2</v>
      </c>
      <c r="BH1945" s="624">
        <v>40977</v>
      </c>
      <c r="BI1945" s="355">
        <v>0.10958900000000001</v>
      </c>
      <c r="BJ1945" s="624">
        <v>40976</v>
      </c>
      <c r="BK1945" s="355">
        <v>3.2705999999999999E-2</v>
      </c>
    </row>
    <row r="1946" spans="3:63" x14ac:dyDescent="0.15">
      <c r="C1946" s="624"/>
      <c r="D1946" s="355">
        <v>3.3860000000000001E-2</v>
      </c>
      <c r="AV1946" s="624"/>
      <c r="AX1946" s="624">
        <v>40983</v>
      </c>
      <c r="AY1946" s="355">
        <v>3.406E-2</v>
      </c>
      <c r="AZ1946" s="624">
        <v>41047</v>
      </c>
      <c r="BA1946" s="355">
        <v>1.1299999999999999E-2</v>
      </c>
      <c r="BB1946" s="624">
        <v>40980</v>
      </c>
      <c r="BC1946" s="355">
        <v>0.32029999999999997</v>
      </c>
      <c r="BD1946" s="624">
        <v>40980</v>
      </c>
      <c r="BE1946" s="355">
        <v>8.8969999999999994E-2</v>
      </c>
      <c r="BF1946" s="624">
        <v>41094</v>
      </c>
      <c r="BG1946" s="355">
        <v>1.8312999999999999E-2</v>
      </c>
      <c r="BH1946" s="624">
        <v>40980</v>
      </c>
      <c r="BI1946" s="355">
        <v>0.109016</v>
      </c>
      <c r="BJ1946" s="624">
        <v>40977</v>
      </c>
      <c r="BK1946" s="355">
        <v>3.2732999999999998E-2</v>
      </c>
    </row>
    <row r="1947" spans="3:63" x14ac:dyDescent="0.15">
      <c r="C1947" s="624"/>
      <c r="D1947" s="355">
        <v>3.406E-2</v>
      </c>
      <c r="AV1947" s="624"/>
      <c r="AX1947" s="624">
        <v>40984</v>
      </c>
      <c r="AY1947" s="355">
        <v>3.4209999999999997E-2</v>
      </c>
      <c r="AZ1947" s="624">
        <v>41050</v>
      </c>
      <c r="BA1947" s="355">
        <v>1.12E-2</v>
      </c>
      <c r="BB1947" s="624">
        <v>40981</v>
      </c>
      <c r="BC1947" s="355">
        <v>0.31769999999999998</v>
      </c>
      <c r="BD1947" s="624">
        <v>40981</v>
      </c>
      <c r="BE1947" s="355">
        <v>8.9050000000000004E-2</v>
      </c>
      <c r="BF1947" s="624">
        <v>41095</v>
      </c>
      <c r="BG1947" s="355">
        <v>1.8187999999999999E-2</v>
      </c>
      <c r="BH1947" s="624">
        <v>40981</v>
      </c>
      <c r="BI1947" s="355">
        <v>0.10899200000000001</v>
      </c>
      <c r="BJ1947" s="624">
        <v>40980</v>
      </c>
      <c r="BK1947" s="355">
        <v>3.2615999999999999E-2</v>
      </c>
    </row>
    <row r="1948" spans="3:63" x14ac:dyDescent="0.15">
      <c r="C1948" s="624"/>
      <c r="D1948" s="355">
        <v>3.4209999999999997E-2</v>
      </c>
      <c r="AV1948" s="624"/>
      <c r="AX1948" s="624">
        <v>40987</v>
      </c>
      <c r="AY1948" s="355">
        <v>3.4329999999999999E-2</v>
      </c>
      <c r="AZ1948" s="624">
        <v>41051</v>
      </c>
      <c r="BA1948" s="355">
        <v>1.11E-2</v>
      </c>
      <c r="BB1948" s="624">
        <v>40982</v>
      </c>
      <c r="BC1948" s="355">
        <v>0.3135</v>
      </c>
      <c r="BD1948" s="624">
        <v>40982</v>
      </c>
      <c r="BE1948" s="355">
        <v>8.8260000000000005E-2</v>
      </c>
      <c r="BF1948" s="624">
        <v>41096</v>
      </c>
      <c r="BG1948" s="355">
        <v>1.7916000000000001E-2</v>
      </c>
      <c r="BH1948" s="624">
        <v>40982</v>
      </c>
      <c r="BI1948" s="355">
        <v>0.10846</v>
      </c>
      <c r="BJ1948" s="624">
        <v>40981</v>
      </c>
      <c r="BK1948" s="355">
        <v>3.2668999999999997E-2</v>
      </c>
    </row>
    <row r="1949" spans="3:63" x14ac:dyDescent="0.15">
      <c r="C1949" s="624"/>
      <c r="D1949" s="355">
        <v>3.4329999999999999E-2</v>
      </c>
      <c r="AV1949" s="624"/>
      <c r="AX1949" s="624">
        <v>40988</v>
      </c>
      <c r="AY1949" s="355">
        <v>3.4189999999999998E-2</v>
      </c>
      <c r="AZ1949" s="624">
        <v>41052</v>
      </c>
      <c r="BA1949" s="355">
        <v>1.09E-2</v>
      </c>
      <c r="BB1949" s="624">
        <v>40983</v>
      </c>
      <c r="BC1949" s="355">
        <v>0.31719999999999998</v>
      </c>
      <c r="BD1949" s="624">
        <v>40983</v>
      </c>
      <c r="BE1949" s="355">
        <v>8.8940000000000005E-2</v>
      </c>
      <c r="BF1949" s="624">
        <v>41099</v>
      </c>
      <c r="BG1949" s="355">
        <v>1.7942E-2</v>
      </c>
      <c r="BH1949" s="624">
        <v>40983</v>
      </c>
      <c r="BI1949" s="355">
        <v>0.10878500000000001</v>
      </c>
      <c r="BJ1949" s="624">
        <v>40982</v>
      </c>
      <c r="BK1949" s="355">
        <v>3.2488999999999997E-2</v>
      </c>
    </row>
    <row r="1950" spans="3:63" x14ac:dyDescent="0.15">
      <c r="C1950" s="624"/>
      <c r="D1950" s="355">
        <v>3.4189999999999998E-2</v>
      </c>
      <c r="AV1950" s="624"/>
      <c r="AX1950" s="624">
        <v>40989</v>
      </c>
      <c r="AY1950" s="355">
        <v>3.4169999999999999E-2</v>
      </c>
      <c r="AZ1950" s="624">
        <v>41053</v>
      </c>
      <c r="BA1950" s="355">
        <v>1.0800000000000001E-2</v>
      </c>
      <c r="BB1950" s="624">
        <v>40984</v>
      </c>
      <c r="BC1950" s="355">
        <v>0.31969999999999998</v>
      </c>
      <c r="BD1950" s="624">
        <v>40984</v>
      </c>
      <c r="BE1950" s="355">
        <v>8.8819999999999996E-2</v>
      </c>
      <c r="BF1950" s="624">
        <v>41100</v>
      </c>
      <c r="BG1950" s="355">
        <v>1.7974E-2</v>
      </c>
      <c r="BH1950" s="624">
        <v>40984</v>
      </c>
      <c r="BI1950" s="355">
        <v>0.10958900000000001</v>
      </c>
      <c r="BJ1950" s="624">
        <v>40983</v>
      </c>
      <c r="BK1950" s="355">
        <v>3.2548000000000001E-2</v>
      </c>
    </row>
    <row r="1951" spans="3:63" x14ac:dyDescent="0.15">
      <c r="C1951" s="624"/>
      <c r="D1951" s="355">
        <v>3.4169999999999999E-2</v>
      </c>
      <c r="AV1951" s="624"/>
      <c r="AX1951" s="624">
        <v>40990</v>
      </c>
      <c r="AY1951" s="355">
        <v>3.3989999999999999E-2</v>
      </c>
      <c r="AZ1951" s="624">
        <v>41054</v>
      </c>
      <c r="BA1951" s="355">
        <v>1.0699999999999999E-2</v>
      </c>
      <c r="BB1951" s="624">
        <v>40987</v>
      </c>
      <c r="BC1951" s="355">
        <v>0.32219999999999999</v>
      </c>
      <c r="BD1951" s="624">
        <v>40987</v>
      </c>
      <c r="BE1951" s="355">
        <v>8.9270000000000002E-2</v>
      </c>
      <c r="BF1951" s="624">
        <v>41101</v>
      </c>
      <c r="BG1951" s="355">
        <v>1.8038999999999999E-2</v>
      </c>
      <c r="BH1951" s="624">
        <v>40987</v>
      </c>
      <c r="BI1951" s="355">
        <v>0.109309</v>
      </c>
      <c r="BJ1951" s="624">
        <v>40984</v>
      </c>
      <c r="BK1951" s="355">
        <v>3.2547E-2</v>
      </c>
    </row>
    <row r="1952" spans="3:63" x14ac:dyDescent="0.15">
      <c r="C1952" s="624"/>
      <c r="D1952" s="355">
        <v>3.3989999999999999E-2</v>
      </c>
      <c r="AV1952" s="624"/>
      <c r="AX1952" s="624">
        <v>40991</v>
      </c>
      <c r="AY1952" s="355">
        <v>3.4209999999999997E-2</v>
      </c>
      <c r="AZ1952" s="624">
        <v>41057</v>
      </c>
      <c r="BA1952" s="355">
        <v>1.0800000000000001E-2</v>
      </c>
      <c r="BB1952" s="624">
        <v>40988</v>
      </c>
      <c r="BC1952" s="355">
        <v>0.32079999999999997</v>
      </c>
      <c r="BD1952" s="624">
        <v>40988</v>
      </c>
      <c r="BE1952" s="355">
        <v>8.8650000000000007E-2</v>
      </c>
      <c r="BF1952" s="624">
        <v>41102</v>
      </c>
      <c r="BG1952" s="355">
        <v>1.7947000000000001E-2</v>
      </c>
      <c r="BH1952" s="624">
        <v>40988</v>
      </c>
      <c r="BI1952" s="355">
        <v>0.108779</v>
      </c>
      <c r="BJ1952" s="624">
        <v>40987</v>
      </c>
      <c r="BK1952" s="355">
        <v>3.2578999999999997E-2</v>
      </c>
    </row>
    <row r="1953" spans="3:63" x14ac:dyDescent="0.15">
      <c r="C1953" s="624"/>
      <c r="D1953" s="355">
        <v>3.4209999999999997E-2</v>
      </c>
      <c r="AV1953" s="624"/>
      <c r="AX1953" s="624">
        <v>40994</v>
      </c>
      <c r="AY1953" s="355">
        <v>3.4540000000000001E-2</v>
      </c>
      <c r="AZ1953" s="624">
        <v>41058</v>
      </c>
      <c r="BA1953" s="355">
        <v>1.0699999999999999E-2</v>
      </c>
      <c r="BB1953" s="624">
        <v>40989</v>
      </c>
      <c r="BC1953" s="355">
        <v>0.31819999999999998</v>
      </c>
      <c r="BD1953" s="624">
        <v>40989</v>
      </c>
      <c r="BE1953" s="355">
        <v>8.8489999999999999E-2</v>
      </c>
      <c r="BF1953" s="624">
        <v>41103</v>
      </c>
      <c r="BG1953" s="355">
        <v>1.8186999999999998E-2</v>
      </c>
      <c r="BH1953" s="624">
        <v>40989</v>
      </c>
      <c r="BI1953" s="355">
        <v>0.10889699999999999</v>
      </c>
      <c r="BJ1953" s="624">
        <v>40988</v>
      </c>
      <c r="BK1953" s="355">
        <v>3.2478E-2</v>
      </c>
    </row>
    <row r="1954" spans="3:63" x14ac:dyDescent="0.15">
      <c r="C1954" s="624"/>
      <c r="D1954" s="355">
        <v>3.4540000000000001E-2</v>
      </c>
      <c r="AV1954" s="624"/>
      <c r="AX1954" s="624">
        <v>40995</v>
      </c>
      <c r="AY1954" s="355">
        <v>3.4430000000000002E-2</v>
      </c>
      <c r="AZ1954" s="624">
        <v>41059</v>
      </c>
      <c r="BA1954" s="355">
        <v>1.06E-2</v>
      </c>
      <c r="BB1954" s="624">
        <v>40990</v>
      </c>
      <c r="BC1954" s="355">
        <v>0.31709999999999999</v>
      </c>
      <c r="BD1954" s="624">
        <v>40990</v>
      </c>
      <c r="BE1954" s="355">
        <v>8.8330000000000006E-2</v>
      </c>
      <c r="BF1954" s="624">
        <v>41106</v>
      </c>
      <c r="BG1954" s="355">
        <v>1.8186999999999998E-2</v>
      </c>
      <c r="BH1954" s="624">
        <v>40990</v>
      </c>
      <c r="BI1954" s="355">
        <v>0.108519</v>
      </c>
      <c r="BJ1954" s="624">
        <v>40989</v>
      </c>
      <c r="BK1954" s="355">
        <v>3.2490999999999999E-2</v>
      </c>
    </row>
    <row r="1955" spans="3:63" x14ac:dyDescent="0.15">
      <c r="C1955" s="624"/>
      <c r="D1955" s="355">
        <v>3.4430000000000002E-2</v>
      </c>
      <c r="AV1955" s="624"/>
      <c r="AX1955" s="624">
        <v>40996</v>
      </c>
      <c r="AY1955" s="355">
        <v>3.4020000000000002E-2</v>
      </c>
      <c r="AZ1955" s="624">
        <v>41060</v>
      </c>
      <c r="BA1955" s="355">
        <v>1.0500000000000001E-2</v>
      </c>
      <c r="BB1955" s="624">
        <v>40991</v>
      </c>
      <c r="BC1955" s="355">
        <v>0.31969999999999998</v>
      </c>
      <c r="BD1955" s="624">
        <v>40991</v>
      </c>
      <c r="BE1955" s="355">
        <v>8.8059999999999999E-2</v>
      </c>
      <c r="BF1955" s="624">
        <v>41107</v>
      </c>
      <c r="BG1955" s="355">
        <v>1.8162000000000001E-2</v>
      </c>
      <c r="BH1955" s="624">
        <v>40991</v>
      </c>
      <c r="BI1955" s="355">
        <v>0.10857799999999999</v>
      </c>
      <c r="BJ1955" s="624">
        <v>40990</v>
      </c>
      <c r="BK1955" s="355">
        <v>3.2494000000000002E-2</v>
      </c>
    </row>
    <row r="1956" spans="3:63" x14ac:dyDescent="0.15">
      <c r="C1956" s="624"/>
      <c r="D1956" s="355">
        <v>3.4020000000000002E-2</v>
      </c>
      <c r="AV1956" s="624"/>
      <c r="AX1956" s="624">
        <v>40997</v>
      </c>
      <c r="AY1956" s="355">
        <v>3.3980000000000003E-2</v>
      </c>
      <c r="AZ1956" s="624">
        <v>41061</v>
      </c>
      <c r="BA1956" s="355">
        <v>1.06E-2</v>
      </c>
      <c r="BB1956" s="624">
        <v>40994</v>
      </c>
      <c r="BC1956" s="355">
        <v>0.3236</v>
      </c>
      <c r="BD1956" s="624">
        <v>40994</v>
      </c>
      <c r="BE1956" s="355">
        <v>8.8249999999999995E-2</v>
      </c>
      <c r="BF1956" s="624">
        <v>41108</v>
      </c>
      <c r="BG1956" s="355">
        <v>1.8051999999999999E-2</v>
      </c>
      <c r="BH1956" s="624">
        <v>40994</v>
      </c>
      <c r="BI1956" s="355">
        <v>0.109004</v>
      </c>
      <c r="BJ1956" s="624">
        <v>40991</v>
      </c>
      <c r="BK1956" s="355">
        <v>3.2541E-2</v>
      </c>
    </row>
    <row r="1957" spans="3:63" x14ac:dyDescent="0.15">
      <c r="C1957" s="624"/>
      <c r="D1957" s="355">
        <v>3.3980000000000003E-2</v>
      </c>
      <c r="AV1957" s="624"/>
      <c r="AX1957" s="624">
        <v>40998</v>
      </c>
      <c r="AY1957" s="355">
        <v>3.4119999999999998E-2</v>
      </c>
      <c r="AZ1957" s="624">
        <v>41064</v>
      </c>
      <c r="BA1957" s="355">
        <v>1.06E-2</v>
      </c>
      <c r="BB1957" s="624">
        <v>40995</v>
      </c>
      <c r="BC1957" s="355">
        <v>0.32140000000000002</v>
      </c>
      <c r="BD1957" s="624">
        <v>40995</v>
      </c>
      <c r="BE1957" s="355">
        <v>8.7989999999999999E-2</v>
      </c>
      <c r="BF1957" s="624">
        <v>41109</v>
      </c>
      <c r="BG1957" s="355">
        <v>1.8137E-2</v>
      </c>
      <c r="BH1957" s="624">
        <v>40995</v>
      </c>
      <c r="BI1957" s="355">
        <v>0.109218</v>
      </c>
      <c r="BJ1957" s="624">
        <v>40994</v>
      </c>
      <c r="BK1957" s="355">
        <v>3.2594999999999999E-2</v>
      </c>
    </row>
    <row r="1958" spans="3:63" x14ac:dyDescent="0.15">
      <c r="C1958" s="624"/>
      <c r="D1958" s="355">
        <v>3.4119999999999998E-2</v>
      </c>
      <c r="AV1958" s="624"/>
      <c r="AX1958" s="624">
        <v>41001</v>
      </c>
      <c r="AY1958" s="355">
        <v>3.415E-2</v>
      </c>
      <c r="AZ1958" s="624">
        <v>41065</v>
      </c>
      <c r="BA1958" s="355">
        <v>1.0699999999999999E-2</v>
      </c>
      <c r="BB1958" s="624">
        <v>40996</v>
      </c>
      <c r="BC1958" s="355">
        <v>0.31969999999999998</v>
      </c>
      <c r="BD1958" s="624">
        <v>40996</v>
      </c>
      <c r="BE1958" s="355">
        <v>8.7919999999999998E-2</v>
      </c>
      <c r="BF1958" s="624">
        <v>41110</v>
      </c>
      <c r="BG1958" s="355">
        <v>1.8068000000000001E-2</v>
      </c>
      <c r="BH1958" s="624">
        <v>40996</v>
      </c>
      <c r="BI1958" s="355">
        <v>0.10906299999999999</v>
      </c>
      <c r="BJ1958" s="624">
        <v>40995</v>
      </c>
      <c r="BK1958" s="355">
        <v>3.2551999999999998E-2</v>
      </c>
    </row>
    <row r="1959" spans="3:63" x14ac:dyDescent="0.15">
      <c r="C1959" s="624"/>
      <c r="D1959" s="355">
        <v>3.415E-2</v>
      </c>
      <c r="AV1959" s="624"/>
      <c r="AX1959" s="624">
        <v>41002</v>
      </c>
      <c r="AY1959" s="355">
        <v>3.4169999999999999E-2</v>
      </c>
      <c r="AZ1959" s="624">
        <v>41066</v>
      </c>
      <c r="BA1959" s="355">
        <v>1.0800000000000001E-2</v>
      </c>
      <c r="BB1959" s="624">
        <v>40997</v>
      </c>
      <c r="BC1959" s="355">
        <v>0.32</v>
      </c>
      <c r="BD1959" s="624">
        <v>40997</v>
      </c>
      <c r="BE1959" s="355">
        <v>8.7849999999999998E-2</v>
      </c>
      <c r="BF1959" s="624">
        <v>41113</v>
      </c>
      <c r="BG1959" s="355">
        <v>1.7825000000000001E-2</v>
      </c>
      <c r="BH1959" s="624">
        <v>40997</v>
      </c>
      <c r="BI1959" s="355">
        <v>0.109111</v>
      </c>
      <c r="BJ1959" s="624">
        <v>40996</v>
      </c>
      <c r="BK1959" s="355">
        <v>3.2473000000000002E-2</v>
      </c>
    </row>
    <row r="1960" spans="3:63" x14ac:dyDescent="0.15">
      <c r="C1960" s="624"/>
      <c r="D1960" s="355">
        <v>3.4169999999999999E-2</v>
      </c>
      <c r="AV1960" s="624"/>
      <c r="AX1960" s="624">
        <v>41003</v>
      </c>
      <c r="AY1960" s="355">
        <v>3.4020000000000002E-2</v>
      </c>
      <c r="AZ1960" s="624">
        <v>41067</v>
      </c>
      <c r="BA1960" s="355">
        <v>1.09E-2</v>
      </c>
      <c r="BB1960" s="624">
        <v>40998</v>
      </c>
      <c r="BC1960" s="355">
        <v>0.32140000000000002</v>
      </c>
      <c r="BD1960" s="624">
        <v>40998</v>
      </c>
      <c r="BE1960" s="355">
        <v>8.8370000000000004E-2</v>
      </c>
      <c r="BF1960" s="624">
        <v>41114</v>
      </c>
      <c r="BG1960" s="355">
        <v>1.7781000000000002E-2</v>
      </c>
      <c r="BH1960" s="624">
        <v>40998</v>
      </c>
      <c r="BI1960" s="355">
        <v>0.109373</v>
      </c>
      <c r="BJ1960" s="624">
        <v>40997</v>
      </c>
      <c r="BK1960" s="355">
        <v>3.2368000000000001E-2</v>
      </c>
    </row>
    <row r="1961" spans="3:63" x14ac:dyDescent="0.15">
      <c r="C1961" s="624"/>
      <c r="D1961" s="355">
        <v>3.4020000000000002E-2</v>
      </c>
      <c r="AV1961" s="624"/>
      <c r="AX1961" s="624">
        <v>41004</v>
      </c>
      <c r="AY1961" s="355">
        <v>3.3950000000000001E-2</v>
      </c>
      <c r="AZ1961" s="624">
        <v>41068</v>
      </c>
      <c r="BA1961" s="355">
        <v>1.09E-2</v>
      </c>
      <c r="BB1961" s="624">
        <v>41001</v>
      </c>
      <c r="BC1961" s="355">
        <v>0.32190000000000002</v>
      </c>
      <c r="BD1961" s="624">
        <v>41001</v>
      </c>
      <c r="BE1961" s="355">
        <v>8.8800000000000004E-2</v>
      </c>
      <c r="BF1961" s="624">
        <v>41115</v>
      </c>
      <c r="BG1961" s="355">
        <v>1.7805999999999999E-2</v>
      </c>
      <c r="BH1961" s="624">
        <v>41001</v>
      </c>
      <c r="BI1961" s="355">
        <v>0.109111</v>
      </c>
      <c r="BJ1961" s="624">
        <v>40998</v>
      </c>
      <c r="BK1961" s="355">
        <v>3.2467999999999997E-2</v>
      </c>
    </row>
    <row r="1962" spans="3:63" x14ac:dyDescent="0.15">
      <c r="C1962" s="624"/>
      <c r="D1962" s="355">
        <v>3.3950000000000001E-2</v>
      </c>
      <c r="AV1962" s="624"/>
      <c r="AX1962" s="624">
        <v>41005</v>
      </c>
      <c r="AY1962" s="355">
        <v>3.381E-2</v>
      </c>
      <c r="AZ1962" s="624">
        <v>41071</v>
      </c>
      <c r="BA1962" s="355">
        <v>1.0800000000000001E-2</v>
      </c>
      <c r="BB1962" s="624">
        <v>41002</v>
      </c>
      <c r="BC1962" s="355">
        <v>0.31929999999999997</v>
      </c>
      <c r="BD1962" s="624">
        <v>41002</v>
      </c>
      <c r="BE1962" s="355">
        <v>8.8770000000000002E-2</v>
      </c>
      <c r="BF1962" s="624">
        <v>41116</v>
      </c>
      <c r="BG1962" s="355">
        <v>1.7972999999999999E-2</v>
      </c>
      <c r="BH1962" s="624">
        <v>41002</v>
      </c>
      <c r="BI1962" s="355">
        <v>0.109374</v>
      </c>
      <c r="BJ1962" s="624">
        <v>41001</v>
      </c>
      <c r="BK1962" s="355">
        <v>3.2478E-2</v>
      </c>
    </row>
    <row r="1963" spans="3:63" x14ac:dyDescent="0.15">
      <c r="C1963" s="624"/>
      <c r="D1963" s="355">
        <v>3.381E-2</v>
      </c>
      <c r="AV1963" s="624"/>
      <c r="AX1963" s="624">
        <v>41008</v>
      </c>
      <c r="AY1963" s="355">
        <v>3.3770000000000001E-2</v>
      </c>
      <c r="AZ1963" s="624">
        <v>41072</v>
      </c>
      <c r="BA1963" s="355">
        <v>1.0699999999999999E-2</v>
      </c>
      <c r="BB1963" s="624">
        <v>41003</v>
      </c>
      <c r="BC1963" s="355">
        <v>0.31630000000000003</v>
      </c>
      <c r="BD1963" s="624">
        <v>41003</v>
      </c>
      <c r="BE1963" s="355">
        <v>8.8450000000000001E-2</v>
      </c>
      <c r="BF1963" s="624">
        <v>41117</v>
      </c>
      <c r="BG1963" s="355">
        <v>1.8055999999999999E-2</v>
      </c>
      <c r="BH1963" s="624">
        <v>41003</v>
      </c>
      <c r="BI1963" s="355">
        <v>0.109529</v>
      </c>
      <c r="BJ1963" s="624">
        <v>41002</v>
      </c>
      <c r="BK1963" s="355">
        <v>3.2425000000000002E-2</v>
      </c>
    </row>
    <row r="1964" spans="3:63" x14ac:dyDescent="0.15">
      <c r="C1964" s="624"/>
      <c r="D1964" s="355">
        <v>3.3770000000000001E-2</v>
      </c>
      <c r="AV1964" s="624"/>
      <c r="AX1964" s="624">
        <v>41009</v>
      </c>
      <c r="AY1964" s="355">
        <v>3.3509999999999998E-2</v>
      </c>
      <c r="AZ1964" s="624">
        <v>41073</v>
      </c>
      <c r="BA1964" s="355">
        <v>1.0699999999999999E-2</v>
      </c>
      <c r="BB1964" s="624">
        <v>41004</v>
      </c>
      <c r="BC1964" s="355">
        <v>0.3145</v>
      </c>
      <c r="BD1964" s="624">
        <v>41004</v>
      </c>
      <c r="BE1964" s="355">
        <v>8.8539999999999994E-2</v>
      </c>
      <c r="BF1964" s="624">
        <v>41120</v>
      </c>
      <c r="BG1964" s="355">
        <v>1.8036E-2</v>
      </c>
      <c r="BH1964" s="624">
        <v>41004</v>
      </c>
      <c r="BI1964" s="355">
        <v>0.10915800000000001</v>
      </c>
      <c r="BJ1964" s="624">
        <v>41003</v>
      </c>
      <c r="BK1964" s="355">
        <v>3.2237000000000002E-2</v>
      </c>
    </row>
    <row r="1965" spans="3:63" x14ac:dyDescent="0.15">
      <c r="C1965" s="624"/>
      <c r="D1965" s="355">
        <v>3.3509999999999998E-2</v>
      </c>
      <c r="AV1965" s="624"/>
      <c r="AX1965" s="624">
        <v>41010</v>
      </c>
      <c r="AY1965" s="355">
        <v>3.372E-2</v>
      </c>
      <c r="AZ1965" s="624">
        <v>41074</v>
      </c>
      <c r="BA1965" s="355">
        <v>1.0800000000000001E-2</v>
      </c>
      <c r="BB1965" s="624">
        <v>41005</v>
      </c>
      <c r="BC1965" s="355">
        <v>0.31480000000000002</v>
      </c>
      <c r="BD1965" s="624">
        <v>41005</v>
      </c>
      <c r="BE1965" s="355">
        <v>8.8520000000000001E-2</v>
      </c>
      <c r="BF1965" s="624">
        <v>41121</v>
      </c>
      <c r="BG1965" s="355">
        <v>1.7947999999999999E-2</v>
      </c>
      <c r="BH1965" s="624">
        <v>41005</v>
      </c>
      <c r="BI1965" s="355">
        <v>0.109051</v>
      </c>
      <c r="BJ1965" s="624">
        <v>41004</v>
      </c>
      <c r="BK1965" s="355">
        <v>3.2273999999999997E-2</v>
      </c>
    </row>
    <row r="1966" spans="3:63" x14ac:dyDescent="0.15">
      <c r="C1966" s="624"/>
      <c r="D1966" s="355">
        <v>3.372E-2</v>
      </c>
      <c r="AV1966" s="624"/>
      <c r="AX1966" s="624">
        <v>41011</v>
      </c>
      <c r="AY1966" s="355">
        <v>3.3989999999999999E-2</v>
      </c>
      <c r="AZ1966" s="624">
        <v>41075</v>
      </c>
      <c r="BA1966" s="355">
        <v>1.09E-2</v>
      </c>
      <c r="BB1966" s="624">
        <v>41008</v>
      </c>
      <c r="BC1966" s="355">
        <v>0.31390000000000001</v>
      </c>
      <c r="BD1966" s="624">
        <v>41008</v>
      </c>
      <c r="BE1966" s="355">
        <v>8.7859999999999994E-2</v>
      </c>
      <c r="BF1966" s="624">
        <v>41122</v>
      </c>
      <c r="BG1966" s="355">
        <v>1.7919999999999998E-2</v>
      </c>
      <c r="BH1966" s="624">
        <v>41008</v>
      </c>
      <c r="BI1966" s="355">
        <v>0.108918</v>
      </c>
      <c r="BJ1966" s="624">
        <v>41005</v>
      </c>
      <c r="BK1966" s="355">
        <v>3.2300000000000002E-2</v>
      </c>
    </row>
    <row r="1967" spans="3:63" x14ac:dyDescent="0.15">
      <c r="C1967" s="624"/>
      <c r="D1967" s="355">
        <v>3.3989999999999999E-2</v>
      </c>
      <c r="AV1967" s="624"/>
      <c r="AX1967" s="624">
        <v>41012</v>
      </c>
      <c r="AY1967" s="355">
        <v>3.3759999999999998E-2</v>
      </c>
      <c r="AZ1967" s="624">
        <v>41078</v>
      </c>
      <c r="BA1967" s="355">
        <v>1.09E-2</v>
      </c>
      <c r="BB1967" s="624">
        <v>41009</v>
      </c>
      <c r="BC1967" s="355">
        <v>0.3115</v>
      </c>
      <c r="BD1967" s="624">
        <v>41009</v>
      </c>
      <c r="BE1967" s="355">
        <v>8.7739999999999999E-2</v>
      </c>
      <c r="BF1967" s="624">
        <v>41123</v>
      </c>
      <c r="BG1967" s="355">
        <v>1.779E-2</v>
      </c>
      <c r="BH1967" s="624">
        <v>41009</v>
      </c>
      <c r="BI1967" s="355">
        <v>0.10929</v>
      </c>
      <c r="BJ1967" s="624">
        <v>41008</v>
      </c>
      <c r="BK1967" s="355">
        <v>3.2321000000000003E-2</v>
      </c>
    </row>
    <row r="1968" spans="3:63" x14ac:dyDescent="0.15">
      <c r="C1968" s="624"/>
      <c r="D1968" s="355">
        <v>3.3759999999999998E-2</v>
      </c>
      <c r="AV1968" s="624"/>
      <c r="AX1968" s="624">
        <v>41015</v>
      </c>
      <c r="AY1968" s="355">
        <v>3.381E-2</v>
      </c>
      <c r="AZ1968" s="624">
        <v>41079</v>
      </c>
      <c r="BA1968" s="355">
        <v>1.0999999999999999E-2</v>
      </c>
      <c r="BB1968" s="624">
        <v>41010</v>
      </c>
      <c r="BC1968" s="355">
        <v>0.31240000000000001</v>
      </c>
      <c r="BD1968" s="624">
        <v>41010</v>
      </c>
      <c r="BE1968" s="355">
        <v>8.7440000000000004E-2</v>
      </c>
      <c r="BF1968" s="624">
        <v>41124</v>
      </c>
      <c r="BG1968" s="355">
        <v>1.8024999999999999E-2</v>
      </c>
      <c r="BH1968" s="624">
        <v>41010</v>
      </c>
      <c r="BI1968" s="355">
        <v>0.10878400000000001</v>
      </c>
      <c r="BJ1968" s="624">
        <v>41009</v>
      </c>
      <c r="BK1968" s="355">
        <v>3.2309999999999998E-2</v>
      </c>
    </row>
    <row r="1969" spans="3:63" x14ac:dyDescent="0.15">
      <c r="C1969" s="624"/>
      <c r="D1969" s="355">
        <v>3.381E-2</v>
      </c>
      <c r="AV1969" s="624"/>
      <c r="AX1969" s="624">
        <v>41016</v>
      </c>
      <c r="AY1969" s="355">
        <v>3.39E-2</v>
      </c>
      <c r="AZ1969" s="624">
        <v>41080</v>
      </c>
      <c r="BA1969" s="355">
        <v>1.11E-2</v>
      </c>
      <c r="BB1969" s="624">
        <v>41011</v>
      </c>
      <c r="BC1969" s="355">
        <v>0.31590000000000001</v>
      </c>
      <c r="BD1969" s="624">
        <v>41011</v>
      </c>
      <c r="BE1969" s="355">
        <v>8.8099999999999998E-2</v>
      </c>
      <c r="BF1969" s="624">
        <v>41127</v>
      </c>
      <c r="BG1969" s="355">
        <v>1.8100000000000002E-2</v>
      </c>
      <c r="BH1969" s="624">
        <v>41011</v>
      </c>
      <c r="BI1969" s="355">
        <v>0.109051</v>
      </c>
      <c r="BJ1969" s="624">
        <v>41010</v>
      </c>
      <c r="BK1969" s="355">
        <v>3.2393999999999999E-2</v>
      </c>
    </row>
    <row r="1970" spans="3:63" x14ac:dyDescent="0.15">
      <c r="C1970" s="624"/>
      <c r="D1970" s="355">
        <v>3.39E-2</v>
      </c>
      <c r="AV1970" s="624"/>
      <c r="AX1970" s="624">
        <v>41017</v>
      </c>
      <c r="AY1970" s="355">
        <v>3.3869999999999997E-2</v>
      </c>
      <c r="AZ1970" s="624">
        <v>41081</v>
      </c>
      <c r="BA1970" s="355">
        <v>1.0999999999999999E-2</v>
      </c>
      <c r="BB1970" s="624">
        <v>41012</v>
      </c>
      <c r="BC1970" s="355">
        <v>0.31280000000000002</v>
      </c>
      <c r="BD1970" s="624">
        <v>41012</v>
      </c>
      <c r="BE1970" s="355">
        <v>8.8099999999999998E-2</v>
      </c>
      <c r="BF1970" s="624">
        <v>41128</v>
      </c>
      <c r="BG1970" s="355">
        <v>1.8192E-2</v>
      </c>
      <c r="BH1970" s="624">
        <v>41012</v>
      </c>
      <c r="BI1970" s="355">
        <v>0.108838</v>
      </c>
      <c r="BJ1970" s="624">
        <v>41011</v>
      </c>
      <c r="BK1970" s="355">
        <v>3.2461999999999998E-2</v>
      </c>
    </row>
    <row r="1971" spans="3:63" x14ac:dyDescent="0.15">
      <c r="C1971" s="624"/>
      <c r="D1971" s="355">
        <v>3.3869999999999997E-2</v>
      </c>
      <c r="AV1971" s="624"/>
      <c r="AX1971" s="624">
        <v>41018</v>
      </c>
      <c r="AY1971" s="355">
        <v>3.39E-2</v>
      </c>
      <c r="AZ1971" s="624">
        <v>41082</v>
      </c>
      <c r="BA1971" s="355">
        <v>1.0999999999999999E-2</v>
      </c>
      <c r="BB1971" s="624">
        <v>41015</v>
      </c>
      <c r="BC1971" s="355">
        <v>0.31369999999999998</v>
      </c>
      <c r="BD1971" s="624">
        <v>41015</v>
      </c>
      <c r="BE1971" s="355">
        <v>8.7919999999999998E-2</v>
      </c>
      <c r="BF1971" s="624">
        <v>41129</v>
      </c>
      <c r="BG1971" s="355">
        <v>1.8127000000000001E-2</v>
      </c>
      <c r="BH1971" s="624">
        <v>41015</v>
      </c>
      <c r="BI1971" s="355">
        <v>0.108933</v>
      </c>
      <c r="BJ1971" s="624">
        <v>41012</v>
      </c>
      <c r="BK1971" s="355">
        <v>3.2509999999999997E-2</v>
      </c>
    </row>
    <row r="1972" spans="3:63" x14ac:dyDescent="0.15">
      <c r="C1972" s="624"/>
      <c r="D1972" s="355">
        <v>3.39E-2</v>
      </c>
      <c r="AV1972" s="624"/>
      <c r="AX1972" s="624">
        <v>41019</v>
      </c>
      <c r="AY1972" s="355">
        <v>3.3950000000000001E-2</v>
      </c>
      <c r="AZ1972" s="624">
        <v>41085</v>
      </c>
      <c r="BA1972" s="355">
        <v>1.09E-2</v>
      </c>
      <c r="BB1972" s="624">
        <v>41016</v>
      </c>
      <c r="BC1972" s="355">
        <v>0.31480000000000002</v>
      </c>
      <c r="BD1972" s="624">
        <v>41016</v>
      </c>
      <c r="BE1972" s="355">
        <v>8.8139999999999996E-2</v>
      </c>
      <c r="BF1972" s="624">
        <v>41130</v>
      </c>
      <c r="BG1972" s="355">
        <v>1.8126E-2</v>
      </c>
      <c r="BH1972" s="624">
        <v>41016</v>
      </c>
      <c r="BI1972" s="355">
        <v>0.108962</v>
      </c>
      <c r="BJ1972" s="624">
        <v>41015</v>
      </c>
      <c r="BK1972" s="355">
        <v>3.2503999999999998E-2</v>
      </c>
    </row>
    <row r="1973" spans="3:63" x14ac:dyDescent="0.15">
      <c r="C1973" s="624"/>
      <c r="D1973" s="355">
        <v>3.3950000000000001E-2</v>
      </c>
      <c r="AV1973" s="624"/>
      <c r="AX1973" s="624">
        <v>41022</v>
      </c>
      <c r="AY1973" s="355">
        <v>3.3849999999999998E-2</v>
      </c>
      <c r="AZ1973" s="624">
        <v>41086</v>
      </c>
      <c r="BA1973" s="355">
        <v>1.0800000000000001E-2</v>
      </c>
      <c r="BB1973" s="624">
        <v>41017</v>
      </c>
      <c r="BC1973" s="355">
        <v>0.3135</v>
      </c>
      <c r="BD1973" s="624">
        <v>41017</v>
      </c>
      <c r="BE1973" s="355">
        <v>8.7770000000000001E-2</v>
      </c>
      <c r="BF1973" s="624">
        <v>41131</v>
      </c>
      <c r="BG1973" s="355">
        <v>1.8123E-2</v>
      </c>
      <c r="BH1973" s="624">
        <v>41017</v>
      </c>
      <c r="BI1973" s="355">
        <v>0.108956</v>
      </c>
      <c r="BJ1973" s="624">
        <v>41016</v>
      </c>
      <c r="BK1973" s="355">
        <v>3.2467999999999997E-2</v>
      </c>
    </row>
    <row r="1974" spans="3:63" x14ac:dyDescent="0.15">
      <c r="C1974" s="624"/>
      <c r="D1974" s="355">
        <v>3.3849999999999998E-2</v>
      </c>
      <c r="AV1974" s="624"/>
      <c r="AX1974" s="624">
        <v>41023</v>
      </c>
      <c r="AY1974" s="355">
        <v>3.4090000000000002E-2</v>
      </c>
      <c r="AZ1974" s="624">
        <v>41087</v>
      </c>
      <c r="BA1974" s="355">
        <v>1.0800000000000001E-2</v>
      </c>
      <c r="BB1974" s="624">
        <v>41018</v>
      </c>
      <c r="BC1974" s="355">
        <v>0.31359999999999999</v>
      </c>
      <c r="BD1974" s="624">
        <v>41018</v>
      </c>
      <c r="BE1974" s="355">
        <v>8.7739999999999999E-2</v>
      </c>
      <c r="BF1974" s="624">
        <v>41134</v>
      </c>
      <c r="BG1974" s="355">
        <v>1.7999000000000001E-2</v>
      </c>
      <c r="BH1974" s="624">
        <v>41018</v>
      </c>
      <c r="BI1974" s="355">
        <v>0.108944</v>
      </c>
      <c r="BJ1974" s="624">
        <v>41017</v>
      </c>
      <c r="BK1974" s="355">
        <v>3.2425000000000002E-2</v>
      </c>
    </row>
    <row r="1975" spans="3:63" x14ac:dyDescent="0.15">
      <c r="C1975" s="624"/>
      <c r="D1975" s="355">
        <v>3.4090000000000002E-2</v>
      </c>
      <c r="AV1975" s="624"/>
      <c r="AX1975" s="624">
        <v>41024</v>
      </c>
      <c r="AY1975" s="355">
        <v>3.4139999999999997E-2</v>
      </c>
      <c r="AZ1975" s="624">
        <v>41088</v>
      </c>
      <c r="BA1975" s="355">
        <v>1.0800000000000001E-2</v>
      </c>
      <c r="BB1975" s="624">
        <v>41019</v>
      </c>
      <c r="BC1975" s="355">
        <v>0.31540000000000001</v>
      </c>
      <c r="BD1975" s="624">
        <v>41019</v>
      </c>
      <c r="BE1975" s="355">
        <v>8.7770000000000001E-2</v>
      </c>
      <c r="BF1975" s="624">
        <v>41135</v>
      </c>
      <c r="BG1975" s="355">
        <v>1.7904E-2</v>
      </c>
      <c r="BH1975" s="624">
        <v>41019</v>
      </c>
      <c r="BI1975" s="355">
        <v>0.108861</v>
      </c>
      <c r="BJ1975" s="624">
        <v>41018</v>
      </c>
      <c r="BK1975" s="355">
        <v>3.2368000000000001E-2</v>
      </c>
    </row>
    <row r="1976" spans="3:63" x14ac:dyDescent="0.15">
      <c r="C1976" s="624"/>
      <c r="D1976" s="355">
        <v>3.4139999999999997E-2</v>
      </c>
      <c r="AV1976" s="624"/>
      <c r="AX1976" s="624">
        <v>41025</v>
      </c>
      <c r="AY1976" s="355">
        <v>3.4099999999999998E-2</v>
      </c>
      <c r="AZ1976" s="624">
        <v>41089</v>
      </c>
      <c r="BA1976" s="355">
        <v>1.09E-2</v>
      </c>
      <c r="BB1976" s="624">
        <v>41022</v>
      </c>
      <c r="BC1976" s="355">
        <v>0.31280000000000002</v>
      </c>
      <c r="BD1976" s="624">
        <v>41022</v>
      </c>
      <c r="BE1976" s="355">
        <v>8.7669999999999998E-2</v>
      </c>
      <c r="BF1976" s="624">
        <v>41136</v>
      </c>
      <c r="BG1976" s="355">
        <v>1.7902999999999999E-2</v>
      </c>
      <c r="BH1976" s="624">
        <v>41022</v>
      </c>
      <c r="BI1976" s="355">
        <v>0.10885</v>
      </c>
      <c r="BJ1976" s="624">
        <v>41019</v>
      </c>
      <c r="BK1976" s="355">
        <v>3.2372999999999999E-2</v>
      </c>
    </row>
    <row r="1977" spans="3:63" x14ac:dyDescent="0.15">
      <c r="C1977" s="624"/>
      <c r="D1977" s="355">
        <v>3.4099999999999998E-2</v>
      </c>
      <c r="AV1977" s="624"/>
      <c r="AX1977" s="624">
        <v>41026</v>
      </c>
      <c r="AY1977" s="355">
        <v>3.4110000000000001E-2</v>
      </c>
      <c r="AZ1977" s="624">
        <v>41092</v>
      </c>
      <c r="BA1977" s="355">
        <v>1.09E-2</v>
      </c>
      <c r="BB1977" s="624">
        <v>41023</v>
      </c>
      <c r="BC1977" s="355">
        <v>0.3145</v>
      </c>
      <c r="BD1977" s="624">
        <v>41023</v>
      </c>
      <c r="BE1977" s="355">
        <v>8.7739999999999999E-2</v>
      </c>
      <c r="BF1977" s="624">
        <v>41137</v>
      </c>
      <c r="BG1977" s="355">
        <v>1.7963E-2</v>
      </c>
      <c r="BH1977" s="624">
        <v>41023</v>
      </c>
      <c r="BI1977" s="355">
        <v>0.108779</v>
      </c>
      <c r="BJ1977" s="624">
        <v>41022</v>
      </c>
      <c r="BK1977" s="355">
        <v>3.2258000000000002E-2</v>
      </c>
    </row>
    <row r="1978" spans="3:63" x14ac:dyDescent="0.15">
      <c r="C1978" s="624"/>
      <c r="D1978" s="355">
        <v>3.4110000000000001E-2</v>
      </c>
      <c r="AV1978" s="624"/>
      <c r="AX1978" s="624">
        <v>41029</v>
      </c>
      <c r="AY1978" s="355">
        <v>3.3989999999999999E-2</v>
      </c>
      <c r="AZ1978" s="624">
        <v>41093</v>
      </c>
      <c r="BA1978" s="355">
        <v>1.0999999999999999E-2</v>
      </c>
      <c r="BB1978" s="624">
        <v>41024</v>
      </c>
      <c r="BC1978" s="355">
        <v>0.3165</v>
      </c>
      <c r="BD1978" s="624">
        <v>41024</v>
      </c>
      <c r="BE1978" s="355">
        <v>8.7870000000000004E-2</v>
      </c>
      <c r="BF1978" s="624">
        <v>41138</v>
      </c>
      <c r="BG1978" s="355">
        <v>1.7961000000000001E-2</v>
      </c>
      <c r="BH1978" s="624">
        <v>41024</v>
      </c>
      <c r="BI1978" s="355">
        <v>0.108808</v>
      </c>
      <c r="BJ1978" s="624">
        <v>41023</v>
      </c>
      <c r="BK1978" s="355">
        <v>3.2347000000000001E-2</v>
      </c>
    </row>
    <row r="1979" spans="3:63" x14ac:dyDescent="0.15">
      <c r="C1979" s="624"/>
      <c r="D1979" s="355">
        <v>3.3989999999999999E-2</v>
      </c>
      <c r="AV1979" s="624"/>
      <c r="AX1979" s="624">
        <v>41030</v>
      </c>
      <c r="AY1979" s="355">
        <v>3.4090000000000002E-2</v>
      </c>
      <c r="AZ1979" s="624">
        <v>41094</v>
      </c>
      <c r="BA1979" s="355">
        <v>1.09E-2</v>
      </c>
      <c r="BB1979" s="624">
        <v>41025</v>
      </c>
      <c r="BC1979" s="355">
        <v>0.31659999999999999</v>
      </c>
      <c r="BD1979" s="624">
        <v>41025</v>
      </c>
      <c r="BE1979" s="355">
        <v>8.8319999999999996E-2</v>
      </c>
      <c r="BF1979" s="624">
        <v>41141</v>
      </c>
      <c r="BG1979" s="355">
        <v>1.8078E-2</v>
      </c>
      <c r="BH1979" s="624">
        <v>41025</v>
      </c>
      <c r="BI1979" s="355">
        <v>0.108844</v>
      </c>
      <c r="BJ1979" s="624">
        <v>41024</v>
      </c>
      <c r="BK1979" s="355">
        <v>3.2321000000000003E-2</v>
      </c>
    </row>
    <row r="1980" spans="3:63" x14ac:dyDescent="0.15">
      <c r="C1980" s="624"/>
      <c r="D1980" s="355">
        <v>3.4090000000000002E-2</v>
      </c>
      <c r="AV1980" s="624"/>
      <c r="AX1980" s="624">
        <v>41031</v>
      </c>
      <c r="AY1980" s="355">
        <v>3.397E-2</v>
      </c>
      <c r="AZ1980" s="624">
        <v>41095</v>
      </c>
      <c r="BA1980" s="355">
        <v>1.0699999999999999E-2</v>
      </c>
      <c r="BB1980" s="624">
        <v>41026</v>
      </c>
      <c r="BC1980" s="355">
        <v>0.318</v>
      </c>
      <c r="BD1980" s="624">
        <v>41026</v>
      </c>
      <c r="BE1980" s="355">
        <v>8.8410000000000002E-2</v>
      </c>
      <c r="BF1980" s="624">
        <v>41142</v>
      </c>
      <c r="BG1980" s="355">
        <v>1.8078E-2</v>
      </c>
      <c r="BH1980" s="624">
        <v>41026</v>
      </c>
      <c r="BI1980" s="355">
        <v>0.108876</v>
      </c>
      <c r="BJ1980" s="624">
        <v>41025</v>
      </c>
      <c r="BK1980" s="355">
        <v>3.2410000000000001E-2</v>
      </c>
    </row>
    <row r="1981" spans="3:63" x14ac:dyDescent="0.15">
      <c r="C1981" s="624"/>
      <c r="D1981" s="355">
        <v>3.397E-2</v>
      </c>
      <c r="AV1981" s="624"/>
      <c r="AX1981" s="624">
        <v>41032</v>
      </c>
      <c r="AY1981" s="355">
        <v>3.3849999999999998E-2</v>
      </c>
      <c r="AZ1981" s="624">
        <v>41096</v>
      </c>
      <c r="BA1981" s="355">
        <v>1.06E-2</v>
      </c>
      <c r="BB1981" s="624">
        <v>41029</v>
      </c>
      <c r="BC1981" s="355">
        <v>0.31719999999999998</v>
      </c>
      <c r="BD1981" s="624">
        <v>41029</v>
      </c>
      <c r="BE1981" s="355">
        <v>8.8480000000000003E-2</v>
      </c>
      <c r="BF1981" s="624">
        <v>41143</v>
      </c>
      <c r="BG1981" s="355">
        <v>1.8127000000000001E-2</v>
      </c>
      <c r="BH1981" s="624">
        <v>41029</v>
      </c>
      <c r="BI1981" s="355">
        <v>0.10879</v>
      </c>
      <c r="BJ1981" s="624">
        <v>41026</v>
      </c>
      <c r="BK1981" s="355">
        <v>3.252E-2</v>
      </c>
    </row>
    <row r="1982" spans="3:63" x14ac:dyDescent="0.15">
      <c r="C1982" s="624"/>
      <c r="D1982" s="355">
        <v>3.3849999999999998E-2</v>
      </c>
      <c r="AV1982" s="624"/>
      <c r="AX1982" s="624">
        <v>41033</v>
      </c>
      <c r="AY1982" s="355">
        <v>3.356E-2</v>
      </c>
      <c r="AZ1982" s="624">
        <v>41099</v>
      </c>
      <c r="BA1982" s="355">
        <v>1.06E-2</v>
      </c>
      <c r="BB1982" s="624">
        <v>41030</v>
      </c>
      <c r="BC1982" s="355">
        <v>0.31859999999999999</v>
      </c>
      <c r="BD1982" s="624">
        <v>41030</v>
      </c>
      <c r="BE1982" s="355">
        <v>8.8410000000000002E-2</v>
      </c>
      <c r="BF1982" s="624">
        <v>41144</v>
      </c>
      <c r="BG1982" s="355">
        <v>1.8135999999999999E-2</v>
      </c>
      <c r="BH1982" s="624">
        <v>41030</v>
      </c>
      <c r="BI1982" s="355">
        <v>0.10882600000000001</v>
      </c>
      <c r="BJ1982" s="624">
        <v>41029</v>
      </c>
      <c r="BK1982" s="355">
        <v>3.2530999999999997E-2</v>
      </c>
    </row>
    <row r="1983" spans="3:63" x14ac:dyDescent="0.15">
      <c r="C1983" s="624"/>
      <c r="D1983" s="355">
        <v>3.356E-2</v>
      </c>
      <c r="AV1983" s="624"/>
      <c r="AX1983" s="624">
        <v>41036</v>
      </c>
      <c r="AY1983" s="355">
        <v>3.3329999999999999E-2</v>
      </c>
      <c r="AZ1983" s="624">
        <v>41100</v>
      </c>
      <c r="BA1983" s="355">
        <v>1.06E-2</v>
      </c>
      <c r="BB1983" s="624">
        <v>41031</v>
      </c>
      <c r="BC1983" s="355">
        <v>0.31640000000000001</v>
      </c>
      <c r="BD1983" s="624">
        <v>41031</v>
      </c>
      <c r="BE1983" s="355">
        <v>8.856E-2</v>
      </c>
      <c r="BF1983" s="624">
        <v>41145</v>
      </c>
      <c r="BG1983" s="355">
        <v>1.806E-2</v>
      </c>
      <c r="BH1983" s="624">
        <v>41031</v>
      </c>
      <c r="BI1983" s="355">
        <v>0.108595</v>
      </c>
      <c r="BJ1983" s="624">
        <v>41030</v>
      </c>
      <c r="BK1983" s="355">
        <v>3.2541E-2</v>
      </c>
    </row>
    <row r="1984" spans="3:63" x14ac:dyDescent="0.15">
      <c r="C1984" s="624"/>
      <c r="D1984" s="355">
        <v>3.3329999999999999E-2</v>
      </c>
      <c r="AV1984" s="624"/>
      <c r="AX1984" s="624">
        <v>41037</v>
      </c>
      <c r="AY1984" s="355">
        <v>3.3180000000000001E-2</v>
      </c>
      <c r="AZ1984" s="624">
        <v>41101</v>
      </c>
      <c r="BA1984" s="355">
        <v>1.06E-2</v>
      </c>
      <c r="BB1984" s="624">
        <v>41032</v>
      </c>
      <c r="BC1984" s="355">
        <v>0.3145</v>
      </c>
      <c r="BD1984" s="624">
        <v>41032</v>
      </c>
      <c r="BE1984" s="355">
        <v>8.8450000000000001E-2</v>
      </c>
      <c r="BF1984" s="624">
        <v>41148</v>
      </c>
      <c r="BG1984" s="355">
        <v>1.7947999999999999E-2</v>
      </c>
      <c r="BH1984" s="624">
        <v>41032</v>
      </c>
      <c r="BI1984" s="355">
        <v>0.10881399999999999</v>
      </c>
      <c r="BJ1984" s="624">
        <v>41031</v>
      </c>
      <c r="BK1984" s="355">
        <v>3.2425000000000002E-2</v>
      </c>
    </row>
    <row r="1985" spans="3:63" x14ac:dyDescent="0.15">
      <c r="C1985" s="624"/>
      <c r="D1985" s="355">
        <v>3.3180000000000001E-2</v>
      </c>
      <c r="AV1985" s="624"/>
      <c r="AX1985" s="624">
        <v>41038</v>
      </c>
      <c r="AY1985" s="355">
        <v>3.2919999999999998E-2</v>
      </c>
      <c r="AZ1985" s="624">
        <v>41102</v>
      </c>
      <c r="BA1985" s="355">
        <v>1.06E-2</v>
      </c>
      <c r="BB1985" s="624">
        <v>41033</v>
      </c>
      <c r="BC1985" s="355">
        <v>0.31230000000000002</v>
      </c>
      <c r="BD1985" s="624">
        <v>41033</v>
      </c>
      <c r="BE1985" s="355">
        <v>8.8150000000000006E-2</v>
      </c>
      <c r="BF1985" s="624">
        <v>41149</v>
      </c>
      <c r="BG1985" s="355">
        <v>1.7968000000000001E-2</v>
      </c>
      <c r="BH1985" s="624">
        <v>41033</v>
      </c>
      <c r="BI1985" s="355">
        <v>0.10881399999999999</v>
      </c>
      <c r="BJ1985" s="624">
        <v>41032</v>
      </c>
      <c r="BK1985" s="355">
        <v>3.2309999999999998E-2</v>
      </c>
    </row>
    <row r="1986" spans="3:63" x14ac:dyDescent="0.15">
      <c r="C1986" s="624"/>
      <c r="D1986" s="355">
        <v>3.2919999999999998E-2</v>
      </c>
      <c r="AV1986" s="624"/>
      <c r="AX1986" s="624">
        <v>41039</v>
      </c>
      <c r="AY1986" s="355">
        <v>3.3180000000000001E-2</v>
      </c>
      <c r="AZ1986" s="624">
        <v>41103</v>
      </c>
      <c r="BA1986" s="355">
        <v>1.06E-2</v>
      </c>
      <c r="BB1986" s="624">
        <v>41036</v>
      </c>
      <c r="BC1986" s="355">
        <v>0.3125</v>
      </c>
      <c r="BD1986" s="624">
        <v>41036</v>
      </c>
      <c r="BE1986" s="355">
        <v>8.795E-2</v>
      </c>
      <c r="BF1986" s="624">
        <v>41150</v>
      </c>
      <c r="BG1986" s="355">
        <v>1.7984E-2</v>
      </c>
      <c r="BH1986" s="624">
        <v>41036</v>
      </c>
      <c r="BI1986" s="355">
        <v>0.108519</v>
      </c>
      <c r="BJ1986" s="624">
        <v>41033</v>
      </c>
      <c r="BK1986" s="355">
        <v>3.2351999999999999E-2</v>
      </c>
    </row>
    <row r="1987" spans="3:63" x14ac:dyDescent="0.15">
      <c r="C1987" s="624"/>
      <c r="D1987" s="355">
        <v>3.3180000000000001E-2</v>
      </c>
      <c r="AV1987" s="624"/>
      <c r="AX1987" s="624">
        <v>41040</v>
      </c>
      <c r="AY1987" s="355">
        <v>3.3149999999999999E-2</v>
      </c>
      <c r="AZ1987" s="624">
        <v>41106</v>
      </c>
      <c r="BA1987" s="355">
        <v>1.0500000000000001E-2</v>
      </c>
      <c r="BB1987" s="624">
        <v>41037</v>
      </c>
      <c r="BC1987" s="355">
        <v>0.30940000000000001</v>
      </c>
      <c r="BD1987" s="624">
        <v>41037</v>
      </c>
      <c r="BE1987" s="355">
        <v>8.7959999999999997E-2</v>
      </c>
      <c r="BF1987" s="624">
        <v>41151</v>
      </c>
      <c r="BG1987" s="355">
        <v>1.7932E-2</v>
      </c>
      <c r="BH1987" s="624">
        <v>41037</v>
      </c>
      <c r="BI1987" s="355">
        <v>0.108225</v>
      </c>
      <c r="BJ1987" s="624">
        <v>41036</v>
      </c>
      <c r="BK1987" s="355">
        <v>3.2267999999999998E-2</v>
      </c>
    </row>
    <row r="1988" spans="3:63" x14ac:dyDescent="0.15">
      <c r="C1988" s="624"/>
      <c r="D1988" s="355">
        <v>3.3149999999999999E-2</v>
      </c>
      <c r="AV1988" s="624"/>
      <c r="AX1988" s="624">
        <v>41043</v>
      </c>
      <c r="AY1988" s="355">
        <v>3.2890000000000003E-2</v>
      </c>
      <c r="AZ1988" s="624">
        <v>41107</v>
      </c>
      <c r="BA1988" s="355">
        <v>1.0500000000000001E-2</v>
      </c>
      <c r="BB1988" s="624">
        <v>41038</v>
      </c>
      <c r="BC1988" s="355">
        <v>0.30499999999999999</v>
      </c>
      <c r="BD1988" s="624">
        <v>41038</v>
      </c>
      <c r="BE1988" s="355">
        <v>8.7349999999999997E-2</v>
      </c>
      <c r="BF1988" s="624">
        <v>41152</v>
      </c>
      <c r="BG1988" s="355">
        <v>1.8041000000000001E-2</v>
      </c>
      <c r="BH1988" s="624">
        <v>41038</v>
      </c>
      <c r="BI1988" s="355">
        <v>0.107974</v>
      </c>
      <c r="BJ1988" s="624">
        <v>41037</v>
      </c>
      <c r="BK1988" s="355">
        <v>3.2258000000000002E-2</v>
      </c>
    </row>
    <row r="1989" spans="3:63" x14ac:dyDescent="0.15">
      <c r="C1989" s="624"/>
      <c r="D1989" s="355">
        <v>3.2890000000000003E-2</v>
      </c>
      <c r="AV1989" s="624"/>
      <c r="AX1989" s="624">
        <v>41044</v>
      </c>
      <c r="AY1989" s="355">
        <v>3.2570000000000002E-2</v>
      </c>
      <c r="AZ1989" s="624">
        <v>41108</v>
      </c>
      <c r="BA1989" s="355">
        <v>1.04E-2</v>
      </c>
      <c r="BB1989" s="624">
        <v>41039</v>
      </c>
      <c r="BC1989" s="355">
        <v>0.30559999999999998</v>
      </c>
      <c r="BD1989" s="624">
        <v>41039</v>
      </c>
      <c r="BE1989" s="355">
        <v>8.7499999999999994E-2</v>
      </c>
      <c r="BF1989" s="624">
        <v>41155</v>
      </c>
      <c r="BG1989" s="355">
        <v>1.8033E-2</v>
      </c>
      <c r="BH1989" s="624">
        <v>41039</v>
      </c>
      <c r="BI1989" s="355">
        <v>0.108933</v>
      </c>
      <c r="BJ1989" s="624">
        <v>41038</v>
      </c>
      <c r="BK1989" s="355">
        <v>3.2134000000000003E-2</v>
      </c>
    </row>
    <row r="1990" spans="3:63" x14ac:dyDescent="0.15">
      <c r="C1990" s="624"/>
      <c r="D1990" s="355">
        <v>3.2570000000000002E-2</v>
      </c>
      <c r="AV1990" s="624"/>
      <c r="AX1990" s="624">
        <v>41045</v>
      </c>
      <c r="AY1990" s="355">
        <v>3.2289999999999999E-2</v>
      </c>
      <c r="AZ1990" s="624">
        <v>41109</v>
      </c>
      <c r="BA1990" s="355">
        <v>1.0500000000000001E-2</v>
      </c>
      <c r="BB1990" s="624">
        <v>41040</v>
      </c>
      <c r="BC1990" s="355">
        <v>0.30320000000000003</v>
      </c>
      <c r="BD1990" s="624">
        <v>41040</v>
      </c>
      <c r="BE1990" s="355">
        <v>8.702E-2</v>
      </c>
      <c r="BF1990" s="624">
        <v>41156</v>
      </c>
      <c r="BG1990" s="355">
        <v>1.7951999999999999E-2</v>
      </c>
      <c r="BH1990" s="624">
        <v>41040</v>
      </c>
      <c r="BI1990" s="355">
        <v>0.108167</v>
      </c>
      <c r="BJ1990" s="624">
        <v>41039</v>
      </c>
      <c r="BK1990" s="355">
        <v>3.2128999999999998E-2</v>
      </c>
    </row>
    <row r="1991" spans="3:63" x14ac:dyDescent="0.15">
      <c r="C1991" s="624"/>
      <c r="D1991" s="355">
        <v>3.2289999999999999E-2</v>
      </c>
      <c r="AV1991" s="624"/>
      <c r="AX1991" s="624">
        <v>41046</v>
      </c>
      <c r="AY1991" s="355">
        <v>3.218E-2</v>
      </c>
      <c r="AZ1991" s="624">
        <v>41110</v>
      </c>
      <c r="BA1991" s="355">
        <v>1.04E-2</v>
      </c>
      <c r="BB1991" s="624">
        <v>41043</v>
      </c>
      <c r="BC1991" s="355">
        <v>0.2964</v>
      </c>
      <c r="BD1991" s="624">
        <v>41043</v>
      </c>
      <c r="BE1991" s="355">
        <v>8.6779999999999996E-2</v>
      </c>
      <c r="BF1991" s="624">
        <v>41157</v>
      </c>
      <c r="BG1991" s="355">
        <v>1.7894E-2</v>
      </c>
      <c r="BH1991" s="624">
        <v>41043</v>
      </c>
      <c r="BI1991" s="355">
        <v>0.108073</v>
      </c>
      <c r="BJ1991" s="624">
        <v>41040</v>
      </c>
      <c r="BK1991" s="355">
        <v>3.2062E-2</v>
      </c>
    </row>
    <row r="1992" spans="3:63" x14ac:dyDescent="0.15">
      <c r="C1992" s="624"/>
      <c r="D1992" s="355">
        <v>3.218E-2</v>
      </c>
      <c r="AV1992" s="624"/>
      <c r="AX1992" s="624">
        <v>41047</v>
      </c>
      <c r="AY1992" s="355">
        <v>3.193E-2</v>
      </c>
      <c r="AZ1992" s="624">
        <v>41113</v>
      </c>
      <c r="BA1992" s="355">
        <v>1.03E-2</v>
      </c>
      <c r="BB1992" s="624">
        <v>41044</v>
      </c>
      <c r="BC1992" s="355">
        <v>0.29160000000000003</v>
      </c>
      <c r="BD1992" s="624">
        <v>41044</v>
      </c>
      <c r="BE1992" s="355">
        <v>8.6510000000000004E-2</v>
      </c>
      <c r="BF1992" s="624">
        <v>41158</v>
      </c>
      <c r="BG1992" s="355">
        <v>1.7944000000000002E-2</v>
      </c>
      <c r="BH1992" s="624">
        <v>41044</v>
      </c>
      <c r="BI1992" s="355">
        <v>0.107782</v>
      </c>
      <c r="BJ1992" s="624">
        <v>41043</v>
      </c>
      <c r="BK1992" s="355">
        <v>3.1872999999999999E-2</v>
      </c>
    </row>
    <row r="1993" spans="3:63" x14ac:dyDescent="0.15">
      <c r="C1993" s="624"/>
      <c r="D1993" s="355">
        <v>3.193E-2</v>
      </c>
      <c r="AV1993" s="624"/>
      <c r="AX1993" s="624">
        <v>41050</v>
      </c>
      <c r="AY1993" s="355">
        <v>3.2169999999999997E-2</v>
      </c>
      <c r="AZ1993" s="624">
        <v>41114</v>
      </c>
      <c r="BA1993" s="355">
        <v>1.0200000000000001E-2</v>
      </c>
      <c r="BB1993" s="624">
        <v>41045</v>
      </c>
      <c r="BC1993" s="355">
        <v>0.29189999999999999</v>
      </c>
      <c r="BD1993" s="624">
        <v>41045</v>
      </c>
      <c r="BE1993" s="355">
        <v>8.5760000000000003E-2</v>
      </c>
      <c r="BF1993" s="624">
        <v>41159</v>
      </c>
      <c r="BG1993" s="355">
        <v>1.8128999999999999E-2</v>
      </c>
      <c r="BH1993" s="624">
        <v>41045</v>
      </c>
      <c r="BI1993" s="355">
        <v>0.107239</v>
      </c>
      <c r="BJ1993" s="624">
        <v>41044</v>
      </c>
      <c r="BK1993" s="355">
        <v>3.1898000000000003E-2</v>
      </c>
    </row>
    <row r="1994" spans="3:63" x14ac:dyDescent="0.15">
      <c r="C1994" s="624"/>
      <c r="D1994" s="355">
        <v>3.2169999999999997E-2</v>
      </c>
      <c r="AV1994" s="624"/>
      <c r="AX1994" s="624">
        <v>41051</v>
      </c>
      <c r="AY1994" s="355">
        <v>3.1980000000000001E-2</v>
      </c>
      <c r="AZ1994" s="624">
        <v>41115</v>
      </c>
      <c r="BA1994" s="355">
        <v>1.0200000000000001E-2</v>
      </c>
      <c r="BB1994" s="624">
        <v>41046</v>
      </c>
      <c r="BC1994" s="355">
        <v>0.2913</v>
      </c>
      <c r="BD1994" s="624">
        <v>41046</v>
      </c>
      <c r="BE1994" s="355">
        <v>8.5760000000000003E-2</v>
      </c>
      <c r="BF1994" s="624">
        <v>41162</v>
      </c>
      <c r="BG1994" s="355">
        <v>1.8038999999999999E-2</v>
      </c>
      <c r="BH1994" s="624">
        <v>41046</v>
      </c>
      <c r="BI1994" s="355">
        <v>0.106895</v>
      </c>
      <c r="BJ1994" s="624">
        <v>41045</v>
      </c>
      <c r="BK1994" s="355">
        <v>3.1857000000000003E-2</v>
      </c>
    </row>
    <row r="1995" spans="3:63" x14ac:dyDescent="0.15">
      <c r="C1995" s="624"/>
      <c r="D1995" s="355">
        <v>3.1980000000000001E-2</v>
      </c>
      <c r="AV1995" s="624"/>
      <c r="AX1995" s="624">
        <v>41052</v>
      </c>
      <c r="AY1995" s="355">
        <v>3.1530000000000002E-2</v>
      </c>
      <c r="AZ1995" s="624">
        <v>41116</v>
      </c>
      <c r="BA1995" s="355">
        <v>1.04E-2</v>
      </c>
      <c r="BB1995" s="624">
        <v>41047</v>
      </c>
      <c r="BC1995" s="355">
        <v>0.29389999999999999</v>
      </c>
      <c r="BD1995" s="624">
        <v>41047</v>
      </c>
      <c r="BE1995" s="355">
        <v>8.5569999999999993E-2</v>
      </c>
      <c r="BF1995" s="624">
        <v>41163</v>
      </c>
      <c r="BG1995" s="355">
        <v>1.8113000000000001E-2</v>
      </c>
      <c r="BH1995" s="624">
        <v>41047</v>
      </c>
      <c r="BI1995" s="355">
        <v>0.10644000000000001</v>
      </c>
      <c r="BJ1995" s="624">
        <v>41046</v>
      </c>
      <c r="BK1995" s="355">
        <v>3.1907999999999999E-2</v>
      </c>
    </row>
    <row r="1996" spans="3:63" x14ac:dyDescent="0.15">
      <c r="C1996" s="624"/>
      <c r="D1996" s="355">
        <v>3.1530000000000002E-2</v>
      </c>
      <c r="AV1996" s="624"/>
      <c r="AX1996" s="624">
        <v>41053</v>
      </c>
      <c r="AY1996" s="355">
        <v>3.1489999999999997E-2</v>
      </c>
      <c r="AZ1996" s="624">
        <v>41117</v>
      </c>
      <c r="BA1996" s="355">
        <v>1.04E-2</v>
      </c>
      <c r="BB1996" s="624">
        <v>41050</v>
      </c>
      <c r="BC1996" s="355">
        <v>0.29699999999999999</v>
      </c>
      <c r="BD1996" s="624">
        <v>41050</v>
      </c>
      <c r="BE1996" s="355">
        <v>8.5639999999999994E-2</v>
      </c>
      <c r="BF1996" s="624">
        <v>41164</v>
      </c>
      <c r="BG1996" s="355">
        <v>1.8082999999999998E-2</v>
      </c>
      <c r="BH1996" s="624">
        <v>41050</v>
      </c>
      <c r="BI1996" s="355">
        <v>0.106735</v>
      </c>
      <c r="BJ1996" s="624">
        <v>41047</v>
      </c>
      <c r="BK1996" s="355">
        <v>3.1877999999999997E-2</v>
      </c>
    </row>
    <row r="1997" spans="3:63" x14ac:dyDescent="0.15">
      <c r="C1997" s="624"/>
      <c r="D1997" s="355">
        <v>3.1489999999999997E-2</v>
      </c>
      <c r="AV1997" s="624"/>
      <c r="AX1997" s="624">
        <v>41054</v>
      </c>
      <c r="AY1997" s="355">
        <v>3.1199999999999999E-2</v>
      </c>
      <c r="AZ1997" s="624">
        <v>41120</v>
      </c>
      <c r="BA1997" s="355">
        <v>1.04E-2</v>
      </c>
      <c r="BB1997" s="624">
        <v>41051</v>
      </c>
      <c r="BC1997" s="355">
        <v>0.29139999999999999</v>
      </c>
      <c r="BD1997" s="624">
        <v>41051</v>
      </c>
      <c r="BE1997" s="355">
        <v>8.5760000000000003E-2</v>
      </c>
      <c r="BF1997" s="624">
        <v>41165</v>
      </c>
      <c r="BG1997" s="355">
        <v>1.8252999999999998E-2</v>
      </c>
      <c r="BH1997" s="624">
        <v>41051</v>
      </c>
      <c r="BI1997" s="355">
        <v>0.10827199999999999</v>
      </c>
      <c r="BJ1997" s="624">
        <v>41050</v>
      </c>
      <c r="BK1997" s="355">
        <v>3.1927999999999998E-2</v>
      </c>
    </row>
    <row r="1998" spans="3:63" x14ac:dyDescent="0.15">
      <c r="C1998" s="624"/>
      <c r="D1998" s="355">
        <v>3.1199999999999999E-2</v>
      </c>
      <c r="AV1998" s="624"/>
      <c r="AX1998" s="624">
        <v>41057</v>
      </c>
      <c r="AY1998" s="355">
        <v>3.1150000000000001E-2</v>
      </c>
      <c r="AZ1998" s="624">
        <v>41121</v>
      </c>
      <c r="BA1998" s="355">
        <v>1.04E-2</v>
      </c>
      <c r="BB1998" s="624">
        <v>41052</v>
      </c>
      <c r="BC1998" s="355">
        <v>0.28760000000000002</v>
      </c>
      <c r="BD1998" s="624">
        <v>41052</v>
      </c>
      <c r="BE1998" s="355">
        <v>8.5080000000000003E-2</v>
      </c>
      <c r="BF1998" s="624">
        <v>41166</v>
      </c>
      <c r="BG1998" s="355">
        <v>1.8457999999999999E-2</v>
      </c>
      <c r="BH1998" s="624">
        <v>41052</v>
      </c>
      <c r="BI1998" s="355">
        <v>0.1074</v>
      </c>
      <c r="BJ1998" s="624">
        <v>41051</v>
      </c>
      <c r="BK1998" s="355">
        <v>3.1857000000000003E-2</v>
      </c>
    </row>
    <row r="1999" spans="3:63" x14ac:dyDescent="0.15">
      <c r="C1999" s="624"/>
      <c r="D1999" s="355">
        <v>3.1150000000000001E-2</v>
      </c>
      <c r="AV1999" s="624"/>
      <c r="AX1999" s="624">
        <v>41058</v>
      </c>
      <c r="AY1999" s="355">
        <v>3.0980000000000001E-2</v>
      </c>
      <c r="AZ1999" s="624">
        <v>41122</v>
      </c>
      <c r="BA1999" s="355">
        <v>1.04E-2</v>
      </c>
      <c r="BB1999" s="624">
        <v>41053</v>
      </c>
      <c r="BC1999" s="355">
        <v>0.28710000000000002</v>
      </c>
      <c r="BD1999" s="624">
        <v>41053</v>
      </c>
      <c r="BE1999" s="355">
        <v>8.4870000000000001E-2</v>
      </c>
      <c r="BF1999" s="624">
        <v>41169</v>
      </c>
      <c r="BG1999" s="355">
        <v>1.8551000000000002E-2</v>
      </c>
      <c r="BH1999" s="624">
        <v>41053</v>
      </c>
      <c r="BI1999" s="355">
        <v>0.105452</v>
      </c>
      <c r="BJ1999" s="624">
        <v>41052</v>
      </c>
      <c r="BK1999" s="355">
        <v>3.1712999999999998E-2</v>
      </c>
    </row>
    <row r="2000" spans="3:63" x14ac:dyDescent="0.15">
      <c r="C2000" s="624"/>
      <c r="D2000" s="355">
        <v>3.0980000000000001E-2</v>
      </c>
      <c r="AV2000" s="624"/>
      <c r="AX2000" s="624">
        <v>41059</v>
      </c>
      <c r="AY2000" s="355">
        <v>3.0470000000000001E-2</v>
      </c>
      <c r="AZ2000" s="624">
        <v>41123</v>
      </c>
      <c r="BA2000" s="355">
        <v>1.03E-2</v>
      </c>
      <c r="BB2000" s="624">
        <v>41054</v>
      </c>
      <c r="BC2000" s="355">
        <v>0.28649999999999998</v>
      </c>
      <c r="BD2000" s="624">
        <v>41054</v>
      </c>
      <c r="BE2000" s="355">
        <v>8.4390000000000007E-2</v>
      </c>
      <c r="BF2000" s="624">
        <v>41170</v>
      </c>
      <c r="BG2000" s="355">
        <v>1.8430999999999999E-2</v>
      </c>
      <c r="BH2000" s="624">
        <v>41054</v>
      </c>
      <c r="BI2000" s="355">
        <v>0.10573100000000001</v>
      </c>
      <c r="BJ2000" s="624">
        <v>41053</v>
      </c>
      <c r="BK2000" s="355">
        <v>3.1635999999999997E-2</v>
      </c>
    </row>
    <row r="2001" spans="3:63" x14ac:dyDescent="0.15">
      <c r="C2001" s="624"/>
      <c r="D2001" s="355">
        <v>3.0470000000000001E-2</v>
      </c>
      <c r="AV2001" s="624"/>
      <c r="AX2001" s="624">
        <v>41060</v>
      </c>
      <c r="AY2001" s="355">
        <v>3.0009999999999998E-2</v>
      </c>
      <c r="AZ2001" s="624">
        <v>41124</v>
      </c>
      <c r="BA2001" s="355">
        <v>1.0500000000000001E-2</v>
      </c>
      <c r="BB2001" s="624">
        <v>41057</v>
      </c>
      <c r="BC2001" s="355">
        <v>0.28870000000000001</v>
      </c>
      <c r="BD2001" s="624">
        <v>41057</v>
      </c>
      <c r="BE2001" s="355">
        <v>8.5010000000000002E-2</v>
      </c>
      <c r="BF2001" s="624">
        <v>41172</v>
      </c>
      <c r="BG2001" s="355">
        <v>1.8442E-2</v>
      </c>
      <c r="BH2001" s="624">
        <v>41057</v>
      </c>
      <c r="BI2001" s="355">
        <v>0.105374</v>
      </c>
      <c r="BJ2001" s="624">
        <v>41054</v>
      </c>
      <c r="BK2001" s="355">
        <v>3.1595999999999999E-2</v>
      </c>
    </row>
    <row r="2002" spans="3:63" x14ac:dyDescent="0.15">
      <c r="C2002" s="624"/>
      <c r="D2002" s="355">
        <v>3.0009999999999998E-2</v>
      </c>
      <c r="AV2002" s="624"/>
      <c r="AX2002" s="624">
        <v>41061</v>
      </c>
      <c r="AY2002" s="355">
        <v>2.9749999999999999E-2</v>
      </c>
      <c r="AZ2002" s="624">
        <v>41127</v>
      </c>
      <c r="BA2002" s="355">
        <v>1.0500000000000001E-2</v>
      </c>
      <c r="BB2002" s="624">
        <v>41058</v>
      </c>
      <c r="BC2002" s="355">
        <v>0.28710000000000002</v>
      </c>
      <c r="BD2002" s="624">
        <v>41058</v>
      </c>
      <c r="BE2002" s="355">
        <v>8.5029999999999994E-2</v>
      </c>
      <c r="BF2002" s="624">
        <v>41173</v>
      </c>
      <c r="BG2002" s="355">
        <v>1.8780999999999999E-2</v>
      </c>
      <c r="BH2002" s="624">
        <v>41058</v>
      </c>
      <c r="BI2002" s="355">
        <v>0.105396</v>
      </c>
      <c r="BJ2002" s="624">
        <v>41057</v>
      </c>
      <c r="BK2002" s="355">
        <v>3.1615999999999998E-2</v>
      </c>
    </row>
    <row r="2003" spans="3:63" x14ac:dyDescent="0.15">
      <c r="C2003" s="624"/>
      <c r="D2003" s="355">
        <v>2.9749999999999999E-2</v>
      </c>
      <c r="AV2003" s="624"/>
      <c r="AX2003" s="624">
        <v>41064</v>
      </c>
      <c r="AY2003" s="355">
        <v>2.9870000000000001E-2</v>
      </c>
      <c r="AZ2003" s="624">
        <v>41128</v>
      </c>
      <c r="BA2003" s="355">
        <v>1.0500000000000001E-2</v>
      </c>
      <c r="BB2003" s="624">
        <v>41059</v>
      </c>
      <c r="BC2003" s="355">
        <v>0.28160000000000002</v>
      </c>
      <c r="BD2003" s="624">
        <v>41059</v>
      </c>
      <c r="BE2003" s="355">
        <v>8.4839999999999999E-2</v>
      </c>
      <c r="BF2003" s="624">
        <v>41176</v>
      </c>
      <c r="BG2003" s="355">
        <v>1.8692E-2</v>
      </c>
      <c r="BH2003" s="624">
        <v>41059</v>
      </c>
      <c r="BI2003" s="355">
        <v>0.10378800000000001</v>
      </c>
      <c r="BJ2003" s="624">
        <v>41058</v>
      </c>
      <c r="BK2003" s="355">
        <v>3.1516000000000002E-2</v>
      </c>
    </row>
    <row r="2004" spans="3:63" x14ac:dyDescent="0.15">
      <c r="C2004" s="624"/>
      <c r="D2004" s="355">
        <v>2.9870000000000001E-2</v>
      </c>
      <c r="AV2004" s="624"/>
      <c r="AX2004" s="624">
        <v>41065</v>
      </c>
      <c r="AY2004" s="355">
        <v>3.0360000000000002E-2</v>
      </c>
      <c r="AZ2004" s="624">
        <v>41129</v>
      </c>
      <c r="BA2004" s="355">
        <v>1.04E-2</v>
      </c>
      <c r="BB2004" s="624">
        <v>41060</v>
      </c>
      <c r="BC2004" s="355">
        <v>0.28160000000000002</v>
      </c>
      <c r="BD2004" s="624">
        <v>41060</v>
      </c>
      <c r="BE2004" s="355">
        <v>8.4620000000000001E-2</v>
      </c>
      <c r="BF2004" s="624">
        <v>41177</v>
      </c>
      <c r="BG2004" s="355">
        <v>1.8724999999999999E-2</v>
      </c>
      <c r="BH2004" s="624">
        <v>41060</v>
      </c>
      <c r="BI2004" s="355">
        <v>0.10543</v>
      </c>
      <c r="BJ2004" s="624">
        <v>41059</v>
      </c>
      <c r="BK2004" s="355">
        <v>3.1397000000000001E-2</v>
      </c>
    </row>
    <row r="2005" spans="3:63" x14ac:dyDescent="0.15">
      <c r="C2005" s="624"/>
      <c r="D2005" s="355">
        <v>3.0360000000000002E-2</v>
      </c>
      <c r="AV2005" s="624"/>
      <c r="AX2005" s="624">
        <v>41066</v>
      </c>
      <c r="AY2005" s="355">
        <v>3.099E-2</v>
      </c>
      <c r="AZ2005" s="624">
        <v>41130</v>
      </c>
      <c r="BA2005" s="355">
        <v>1.04E-2</v>
      </c>
      <c r="BB2005" s="624">
        <v>41061</v>
      </c>
      <c r="BC2005" s="355">
        <v>0.28210000000000002</v>
      </c>
      <c r="BD2005" s="624">
        <v>41061</v>
      </c>
      <c r="BE2005" s="355">
        <v>8.4699999999999998E-2</v>
      </c>
      <c r="BF2005" s="624">
        <v>41178</v>
      </c>
      <c r="BG2005" s="355">
        <v>1.8655000000000001E-2</v>
      </c>
      <c r="BH2005" s="624">
        <v>41061</v>
      </c>
      <c r="BI2005" s="355">
        <v>0.105152</v>
      </c>
      <c r="BJ2005" s="624">
        <v>41060</v>
      </c>
      <c r="BK2005" s="355">
        <v>3.1406999999999997E-2</v>
      </c>
    </row>
    <row r="2006" spans="3:63" x14ac:dyDescent="0.15">
      <c r="C2006" s="624"/>
      <c r="D2006" s="355">
        <v>3.099E-2</v>
      </c>
      <c r="AV2006" s="624"/>
      <c r="AX2006" s="624">
        <v>41067</v>
      </c>
      <c r="AY2006" s="355">
        <v>3.0810000000000001E-2</v>
      </c>
      <c r="AZ2006" s="624">
        <v>41131</v>
      </c>
      <c r="BA2006" s="355">
        <v>1.0500000000000001E-2</v>
      </c>
      <c r="BB2006" s="624">
        <v>41064</v>
      </c>
      <c r="BC2006" s="355">
        <v>0.28489999999999999</v>
      </c>
      <c r="BD2006" s="624">
        <v>41064</v>
      </c>
      <c r="BE2006" s="355">
        <v>8.4680000000000005E-2</v>
      </c>
      <c r="BF2006" s="624">
        <v>41179</v>
      </c>
      <c r="BG2006" s="355">
        <v>1.8907E-2</v>
      </c>
      <c r="BH2006" s="624">
        <v>41064</v>
      </c>
      <c r="BI2006" s="355">
        <v>0.106225</v>
      </c>
      <c r="BJ2006" s="624">
        <v>41061</v>
      </c>
      <c r="BK2006" s="355">
        <v>3.1606000000000002E-2</v>
      </c>
    </row>
    <row r="2007" spans="3:63" x14ac:dyDescent="0.15">
      <c r="C2007" s="624"/>
      <c r="D2007" s="355">
        <v>3.0810000000000001E-2</v>
      </c>
      <c r="AV2007" s="624"/>
      <c r="AX2007" s="624">
        <v>41068</v>
      </c>
      <c r="AY2007" s="355">
        <v>3.0929999999999999E-2</v>
      </c>
      <c r="AZ2007" s="624">
        <v>41134</v>
      </c>
      <c r="BA2007" s="355">
        <v>1.06E-2</v>
      </c>
      <c r="BB2007" s="624">
        <v>41065</v>
      </c>
      <c r="BC2007" s="355">
        <v>0.28470000000000001</v>
      </c>
      <c r="BD2007" s="624">
        <v>41065</v>
      </c>
      <c r="BE2007" s="355">
        <v>8.4790000000000004E-2</v>
      </c>
      <c r="BF2007" s="624">
        <v>41180</v>
      </c>
      <c r="BG2007" s="355">
        <v>1.8911000000000001E-2</v>
      </c>
      <c r="BH2007" s="624">
        <v>41065</v>
      </c>
      <c r="BI2007" s="355">
        <v>0.105809</v>
      </c>
      <c r="BJ2007" s="624">
        <v>41064</v>
      </c>
      <c r="BK2007" s="355">
        <v>3.1746000000000003E-2</v>
      </c>
    </row>
    <row r="2008" spans="3:63" x14ac:dyDescent="0.15">
      <c r="C2008" s="624"/>
      <c r="D2008" s="355">
        <v>3.0929999999999999E-2</v>
      </c>
      <c r="AV2008" s="624"/>
      <c r="AX2008" s="624">
        <v>41071</v>
      </c>
      <c r="AY2008" s="355">
        <v>3.0470000000000001E-2</v>
      </c>
      <c r="AZ2008" s="624">
        <v>41135</v>
      </c>
      <c r="BA2008" s="355">
        <v>1.0500000000000001E-2</v>
      </c>
      <c r="BB2008" s="624">
        <v>41066</v>
      </c>
      <c r="BC2008" s="355">
        <v>0.29170000000000001</v>
      </c>
      <c r="BD2008" s="624">
        <v>41066</v>
      </c>
      <c r="BE2008" s="355">
        <v>8.5199999999999998E-2</v>
      </c>
      <c r="BF2008" s="624">
        <v>41183</v>
      </c>
      <c r="BG2008" s="355">
        <v>1.9064000000000001E-2</v>
      </c>
      <c r="BH2008" s="624">
        <v>41066</v>
      </c>
      <c r="BI2008" s="355">
        <v>0.10655299999999999</v>
      </c>
      <c r="BJ2008" s="624">
        <v>41065</v>
      </c>
      <c r="BK2008" s="355">
        <v>3.1666E-2</v>
      </c>
    </row>
    <row r="2009" spans="3:63" x14ac:dyDescent="0.15">
      <c r="C2009" s="624"/>
      <c r="D2009" s="355">
        <v>3.0470000000000001E-2</v>
      </c>
      <c r="AV2009" s="624"/>
      <c r="AX2009" s="624">
        <v>41072</v>
      </c>
      <c r="AY2009" s="355">
        <v>3.0329999999999999E-2</v>
      </c>
      <c r="AZ2009" s="624">
        <v>41136</v>
      </c>
      <c r="BA2009" s="355">
        <v>1.0500000000000001E-2</v>
      </c>
      <c r="BB2009" s="624">
        <v>41067</v>
      </c>
      <c r="BC2009" s="355">
        <v>0.29430000000000001</v>
      </c>
      <c r="BD2009" s="624">
        <v>41067</v>
      </c>
      <c r="BE2009" s="355">
        <v>8.5830000000000004E-2</v>
      </c>
      <c r="BF2009" s="624">
        <v>41184</v>
      </c>
      <c r="BG2009" s="355">
        <v>1.9049E-2</v>
      </c>
      <c r="BH2009" s="624">
        <v>41067</v>
      </c>
      <c r="BI2009" s="355">
        <v>0.106304</v>
      </c>
      <c r="BJ2009" s="624">
        <v>41066</v>
      </c>
      <c r="BK2009" s="355">
        <v>3.1847E-2</v>
      </c>
    </row>
    <row r="2010" spans="3:63" x14ac:dyDescent="0.15">
      <c r="C2010" s="624"/>
      <c r="D2010" s="355">
        <v>3.0329999999999999E-2</v>
      </c>
      <c r="AV2010" s="624"/>
      <c r="AX2010" s="624">
        <v>41073</v>
      </c>
      <c r="AY2010" s="355">
        <v>3.0779999999999998E-2</v>
      </c>
      <c r="AZ2010" s="624">
        <v>41137</v>
      </c>
      <c r="BA2010" s="355">
        <v>1.0500000000000001E-2</v>
      </c>
      <c r="BB2010" s="624">
        <v>41068</v>
      </c>
      <c r="BC2010" s="355">
        <v>0.29149999999999998</v>
      </c>
      <c r="BD2010" s="624">
        <v>41068</v>
      </c>
      <c r="BE2010" s="355">
        <v>8.5180000000000006E-2</v>
      </c>
      <c r="BF2010" s="624">
        <v>41185</v>
      </c>
      <c r="BG2010" s="355">
        <v>1.9133000000000001E-2</v>
      </c>
      <c r="BH2010" s="624">
        <v>41068</v>
      </c>
      <c r="BI2010" s="355">
        <v>0.105944</v>
      </c>
      <c r="BJ2010" s="624">
        <v>41067</v>
      </c>
      <c r="BK2010" s="355">
        <v>3.1572999999999997E-2</v>
      </c>
    </row>
    <row r="2011" spans="3:63" x14ac:dyDescent="0.15">
      <c r="C2011" s="624"/>
      <c r="D2011" s="355">
        <v>3.0779999999999998E-2</v>
      </c>
      <c r="AV2011" s="624"/>
      <c r="AX2011" s="624">
        <v>41074</v>
      </c>
      <c r="AY2011" s="355">
        <v>3.0810000000000001E-2</v>
      </c>
      <c r="AZ2011" s="624">
        <v>41138</v>
      </c>
      <c r="BA2011" s="355">
        <v>1.04E-2</v>
      </c>
      <c r="BB2011" s="624">
        <v>41071</v>
      </c>
      <c r="BC2011" s="355">
        <v>0.28699999999999998</v>
      </c>
      <c r="BD2011" s="624">
        <v>41071</v>
      </c>
      <c r="BE2011" s="355">
        <v>8.5239999999999996E-2</v>
      </c>
      <c r="BF2011" s="624">
        <v>41186</v>
      </c>
      <c r="BG2011" s="355">
        <v>1.9422999999999999E-2</v>
      </c>
      <c r="BH2011" s="624">
        <v>41071</v>
      </c>
      <c r="BI2011" s="355">
        <v>0.106</v>
      </c>
      <c r="BJ2011" s="624">
        <v>41068</v>
      </c>
      <c r="BK2011" s="355">
        <v>3.1635999999999997E-2</v>
      </c>
    </row>
    <row r="2012" spans="3:63" x14ac:dyDescent="0.15">
      <c r="C2012" s="624"/>
      <c r="D2012" s="355">
        <v>3.0810000000000001E-2</v>
      </c>
      <c r="AV2012" s="624"/>
      <c r="AX2012" s="624">
        <v>41075</v>
      </c>
      <c r="AY2012" s="355">
        <v>3.1060000000000001E-2</v>
      </c>
      <c r="AZ2012" s="624">
        <v>41141</v>
      </c>
      <c r="BA2012" s="355">
        <v>1.0500000000000001E-2</v>
      </c>
      <c r="BB2012" s="624">
        <v>41072</v>
      </c>
      <c r="BC2012" s="355">
        <v>0.2893</v>
      </c>
      <c r="BD2012" s="624">
        <v>41072</v>
      </c>
      <c r="BE2012" s="355">
        <v>8.5540000000000005E-2</v>
      </c>
      <c r="BF2012" s="624">
        <v>41187</v>
      </c>
      <c r="BG2012" s="355">
        <v>1.9224999999999999E-2</v>
      </c>
      <c r="BH2012" s="624">
        <v>41072</v>
      </c>
      <c r="BI2012" s="355">
        <v>0.10625900000000001</v>
      </c>
      <c r="BJ2012" s="624">
        <v>41071</v>
      </c>
      <c r="BK2012" s="355">
        <v>3.1580999999999998E-2</v>
      </c>
    </row>
    <row r="2013" spans="3:63" x14ac:dyDescent="0.15">
      <c r="C2013" s="624"/>
      <c r="D2013" s="355">
        <v>3.1060000000000001E-2</v>
      </c>
      <c r="AV2013" s="624"/>
      <c r="AX2013" s="624">
        <v>41078</v>
      </c>
      <c r="AY2013" s="355">
        <v>3.092E-2</v>
      </c>
      <c r="AZ2013" s="624">
        <v>41142</v>
      </c>
      <c r="BA2013" s="355">
        <v>1.06E-2</v>
      </c>
      <c r="BB2013" s="624">
        <v>41073</v>
      </c>
      <c r="BC2013" s="355">
        <v>0.29110000000000003</v>
      </c>
      <c r="BD2013" s="624">
        <v>41073</v>
      </c>
      <c r="BE2013" s="355">
        <v>8.566E-2</v>
      </c>
      <c r="BF2013" s="624">
        <v>41190</v>
      </c>
      <c r="BG2013" s="355">
        <v>1.9088999999999998E-2</v>
      </c>
      <c r="BH2013" s="624">
        <v>41073</v>
      </c>
      <c r="BI2013" s="355">
        <v>0.106056</v>
      </c>
      <c r="BJ2013" s="624">
        <v>41072</v>
      </c>
      <c r="BK2013" s="355">
        <v>3.1685999999999999E-2</v>
      </c>
    </row>
    <row r="2014" spans="3:63" x14ac:dyDescent="0.15">
      <c r="C2014" s="624"/>
      <c r="D2014" s="355">
        <v>3.092E-2</v>
      </c>
      <c r="AV2014" s="624"/>
      <c r="AX2014" s="624">
        <v>41079</v>
      </c>
      <c r="AY2014" s="355">
        <v>3.091E-2</v>
      </c>
      <c r="AZ2014" s="624">
        <v>41143</v>
      </c>
      <c r="BA2014" s="355">
        <v>1.06E-2</v>
      </c>
      <c r="BB2014" s="624">
        <v>41074</v>
      </c>
      <c r="BC2014" s="355">
        <v>0.29459999999999997</v>
      </c>
      <c r="BD2014" s="624">
        <v>41074</v>
      </c>
      <c r="BE2014" s="355">
        <v>8.591E-2</v>
      </c>
      <c r="BF2014" s="624">
        <v>41191</v>
      </c>
      <c r="BG2014" s="355">
        <v>1.8956000000000001E-2</v>
      </c>
      <c r="BH2014" s="624">
        <v>41074</v>
      </c>
      <c r="BI2014" s="355">
        <v>0.106101</v>
      </c>
      <c r="BJ2014" s="624">
        <v>41073</v>
      </c>
      <c r="BK2014" s="355">
        <v>3.1725999999999997E-2</v>
      </c>
    </row>
    <row r="2015" spans="3:63" x14ac:dyDescent="0.15">
      <c r="C2015" s="624"/>
      <c r="D2015" s="355">
        <v>3.091E-2</v>
      </c>
      <c r="AV2015" s="624"/>
      <c r="AX2015" s="624">
        <v>41080</v>
      </c>
      <c r="AY2015" s="355">
        <v>3.0599999999999999E-2</v>
      </c>
      <c r="AZ2015" s="624">
        <v>41144</v>
      </c>
      <c r="BA2015" s="355">
        <v>1.0699999999999999E-2</v>
      </c>
      <c r="BB2015" s="624">
        <v>41075</v>
      </c>
      <c r="BC2015" s="355">
        <v>0.29730000000000001</v>
      </c>
      <c r="BD2015" s="624">
        <v>41075</v>
      </c>
      <c r="BE2015" s="355">
        <v>8.5830000000000004E-2</v>
      </c>
      <c r="BF2015" s="624">
        <v>41192</v>
      </c>
      <c r="BG2015" s="355">
        <v>1.8852000000000001E-2</v>
      </c>
      <c r="BH2015" s="624">
        <v>41075</v>
      </c>
      <c r="BI2015" s="355">
        <v>0.106293</v>
      </c>
      <c r="BJ2015" s="624">
        <v>41074</v>
      </c>
      <c r="BK2015" s="355">
        <v>3.1771000000000001E-2</v>
      </c>
    </row>
    <row r="2016" spans="3:63" x14ac:dyDescent="0.15">
      <c r="C2016" s="624"/>
      <c r="D2016" s="355">
        <v>3.0599999999999999E-2</v>
      </c>
      <c r="AV2016" s="624"/>
      <c r="AX2016" s="624">
        <v>41081</v>
      </c>
      <c r="AY2016" s="355">
        <v>2.9940000000000001E-2</v>
      </c>
      <c r="AZ2016" s="624">
        <v>41145</v>
      </c>
      <c r="BA2016" s="355">
        <v>1.0699999999999999E-2</v>
      </c>
      <c r="BB2016" s="624">
        <v>41078</v>
      </c>
      <c r="BC2016" s="355">
        <v>0.29459999999999997</v>
      </c>
      <c r="BD2016" s="624">
        <v>41078</v>
      </c>
      <c r="BE2016" s="355">
        <v>8.6249999999999993E-2</v>
      </c>
      <c r="BF2016" s="624">
        <v>41193</v>
      </c>
      <c r="BG2016" s="355">
        <v>1.8966E-2</v>
      </c>
      <c r="BH2016" s="624">
        <v>41078</v>
      </c>
      <c r="BI2016" s="355">
        <v>0.10652</v>
      </c>
      <c r="BJ2016" s="624">
        <v>41075</v>
      </c>
      <c r="BK2016" s="355">
        <v>3.1786000000000002E-2</v>
      </c>
    </row>
    <row r="2017" spans="3:63" x14ac:dyDescent="0.15">
      <c r="C2017" s="624"/>
      <c r="D2017" s="355">
        <v>2.9940000000000001E-2</v>
      </c>
      <c r="AV2017" s="624"/>
      <c r="AX2017" s="624">
        <v>41082</v>
      </c>
      <c r="AY2017" s="355">
        <v>3.015E-2</v>
      </c>
      <c r="AZ2017" s="624">
        <v>41148</v>
      </c>
      <c r="BA2017" s="355">
        <v>1.06E-2</v>
      </c>
      <c r="BB2017" s="624">
        <v>41079</v>
      </c>
      <c r="BC2017" s="355">
        <v>0.29859999999999998</v>
      </c>
      <c r="BD2017" s="624">
        <v>41079</v>
      </c>
      <c r="BE2017" s="355">
        <v>8.6580000000000004E-2</v>
      </c>
      <c r="BF2017" s="624">
        <v>41194</v>
      </c>
      <c r="BG2017" s="355">
        <v>1.8915999999999999E-2</v>
      </c>
      <c r="BH2017" s="624">
        <v>41079</v>
      </c>
      <c r="BI2017" s="355">
        <v>0.106327</v>
      </c>
      <c r="BJ2017" s="624">
        <v>41078</v>
      </c>
      <c r="BK2017" s="355">
        <v>3.1786000000000002E-2</v>
      </c>
    </row>
    <row r="2018" spans="3:63" x14ac:dyDescent="0.15">
      <c r="C2018" s="624"/>
      <c r="D2018" s="355">
        <v>3.015E-2</v>
      </c>
      <c r="AV2018" s="624"/>
      <c r="AX2018" s="624">
        <v>41085</v>
      </c>
      <c r="AY2018" s="355">
        <v>3.0169999999999999E-2</v>
      </c>
      <c r="AZ2018" s="624">
        <v>41149</v>
      </c>
      <c r="BA2018" s="355">
        <v>1.0699999999999999E-2</v>
      </c>
      <c r="BB2018" s="624">
        <v>41080</v>
      </c>
      <c r="BC2018" s="355">
        <v>0.3</v>
      </c>
      <c r="BD2018" s="624">
        <v>41080</v>
      </c>
      <c r="BE2018" s="355">
        <v>8.6819999999999994E-2</v>
      </c>
      <c r="BF2018" s="624">
        <v>41197</v>
      </c>
      <c r="BG2018" s="355">
        <v>1.8853999999999999E-2</v>
      </c>
      <c r="BH2018" s="624">
        <v>41080</v>
      </c>
      <c r="BI2018" s="355">
        <v>0.106158</v>
      </c>
      <c r="BJ2018" s="624">
        <v>41079</v>
      </c>
      <c r="BK2018" s="355">
        <v>3.1836999999999997E-2</v>
      </c>
    </row>
    <row r="2019" spans="3:63" x14ac:dyDescent="0.15">
      <c r="C2019" s="624"/>
      <c r="D2019" s="355">
        <v>3.0169999999999999E-2</v>
      </c>
      <c r="AV2019" s="624"/>
      <c r="AX2019" s="624">
        <v>41086</v>
      </c>
      <c r="AY2019" s="355">
        <v>3.0370000000000001E-2</v>
      </c>
      <c r="AZ2019" s="624">
        <v>41150</v>
      </c>
      <c r="BA2019" s="355">
        <v>1.0699999999999999E-2</v>
      </c>
      <c r="BB2019" s="624">
        <v>41081</v>
      </c>
      <c r="BC2019" s="355">
        <v>0.29199999999999998</v>
      </c>
      <c r="BD2019" s="624">
        <v>41081</v>
      </c>
      <c r="BE2019" s="355">
        <v>8.6709999999999995E-2</v>
      </c>
      <c r="BF2019" s="624">
        <v>41198</v>
      </c>
      <c r="BG2019" s="355">
        <v>1.8905000000000002E-2</v>
      </c>
      <c r="BH2019" s="624">
        <v>41081</v>
      </c>
      <c r="BI2019" s="355">
        <v>0.106045</v>
      </c>
      <c r="BJ2019" s="624">
        <v>41080</v>
      </c>
      <c r="BK2019" s="355">
        <v>3.1696000000000002E-2</v>
      </c>
    </row>
    <row r="2020" spans="3:63" x14ac:dyDescent="0.15">
      <c r="C2020" s="624"/>
      <c r="D2020" s="355">
        <v>3.0370000000000001E-2</v>
      </c>
      <c r="AV2020" s="624"/>
      <c r="AX2020" s="624">
        <v>41087</v>
      </c>
      <c r="AY2020" s="355">
        <v>3.032E-2</v>
      </c>
      <c r="AZ2020" s="624">
        <v>41151</v>
      </c>
      <c r="BA2020" s="355">
        <v>1.0699999999999999E-2</v>
      </c>
      <c r="BB2020" s="624">
        <v>41082</v>
      </c>
      <c r="BC2020" s="355">
        <v>0.29399999999999998</v>
      </c>
      <c r="BD2020" s="624">
        <v>41082</v>
      </c>
      <c r="BE2020" s="355">
        <v>8.6290000000000006E-2</v>
      </c>
      <c r="BF2020" s="624">
        <v>41199</v>
      </c>
      <c r="BG2020" s="355">
        <v>1.8911000000000001E-2</v>
      </c>
      <c r="BH2020" s="624">
        <v>41082</v>
      </c>
      <c r="BI2020" s="355">
        <v>0.10595499999999999</v>
      </c>
      <c r="BJ2020" s="624">
        <v>41081</v>
      </c>
      <c r="BK2020" s="355">
        <v>3.1447000000000003E-2</v>
      </c>
    </row>
    <row r="2021" spans="3:63" x14ac:dyDescent="0.15">
      <c r="C2021" s="624"/>
      <c r="D2021" s="355">
        <v>3.032E-2</v>
      </c>
      <c r="AV2021" s="624"/>
      <c r="AX2021" s="624">
        <v>41088</v>
      </c>
      <c r="AY2021" s="355">
        <v>3.0130000000000001E-2</v>
      </c>
      <c r="AZ2021" s="624">
        <v>41152</v>
      </c>
      <c r="BA2021" s="355">
        <v>1.0699999999999999E-2</v>
      </c>
      <c r="BB2021" s="624">
        <v>41085</v>
      </c>
      <c r="BC2021" s="355">
        <v>0.29349999999999998</v>
      </c>
      <c r="BD2021" s="624">
        <v>41085</v>
      </c>
      <c r="BE2021" s="355">
        <v>8.6099999999999996E-2</v>
      </c>
      <c r="BF2021" s="624">
        <v>41200</v>
      </c>
      <c r="BG2021" s="355">
        <v>1.8651000000000001E-2</v>
      </c>
      <c r="BH2021" s="624">
        <v>41085</v>
      </c>
      <c r="BI2021" s="355">
        <v>0.105933</v>
      </c>
      <c r="BJ2021" s="624">
        <v>41082</v>
      </c>
      <c r="BK2021" s="355">
        <v>3.1466000000000001E-2</v>
      </c>
    </row>
    <row r="2022" spans="3:63" x14ac:dyDescent="0.15">
      <c r="C2022" s="624"/>
      <c r="D2022" s="355">
        <v>3.0130000000000001E-2</v>
      </c>
      <c r="AV2022" s="624"/>
      <c r="AX2022" s="624">
        <v>41089</v>
      </c>
      <c r="AY2022" s="355">
        <v>3.0890000000000001E-2</v>
      </c>
      <c r="AZ2022" s="624">
        <v>41155</v>
      </c>
      <c r="BA2022" s="355">
        <v>1.06E-2</v>
      </c>
      <c r="BB2022" s="624">
        <v>41086</v>
      </c>
      <c r="BC2022" s="355">
        <v>0.29370000000000002</v>
      </c>
      <c r="BD2022" s="624">
        <v>41086</v>
      </c>
      <c r="BE2022" s="355">
        <v>8.6400000000000005E-2</v>
      </c>
      <c r="BF2022" s="624">
        <v>41201</v>
      </c>
      <c r="BG2022" s="355">
        <v>1.8488999999999998E-2</v>
      </c>
      <c r="BH2022" s="624">
        <v>41086</v>
      </c>
      <c r="BI2022" s="355">
        <v>0.105708</v>
      </c>
      <c r="BJ2022" s="624">
        <v>41085</v>
      </c>
      <c r="BK2022" s="355">
        <v>3.1424000000000001E-2</v>
      </c>
    </row>
    <row r="2023" spans="3:63" x14ac:dyDescent="0.15">
      <c r="C2023" s="624"/>
      <c r="D2023" s="355">
        <v>3.0890000000000001E-2</v>
      </c>
      <c r="AV2023" s="624"/>
      <c r="AX2023" s="624">
        <v>41092</v>
      </c>
      <c r="AY2023" s="355">
        <v>3.0759999999999999E-2</v>
      </c>
      <c r="AZ2023" s="624">
        <v>41156</v>
      </c>
      <c r="BA2023" s="355">
        <v>1.0699999999999999E-2</v>
      </c>
      <c r="BB2023" s="624">
        <v>41087</v>
      </c>
      <c r="BC2023" s="355">
        <v>0.2928</v>
      </c>
      <c r="BD2023" s="624">
        <v>41087</v>
      </c>
      <c r="BE2023" s="355">
        <v>8.6510000000000004E-2</v>
      </c>
      <c r="BF2023" s="624">
        <v>41204</v>
      </c>
      <c r="BG2023" s="355">
        <v>1.8665000000000001E-2</v>
      </c>
      <c r="BH2023" s="624">
        <v>41087</v>
      </c>
      <c r="BI2023" s="355">
        <v>0.105877</v>
      </c>
      <c r="BJ2023" s="624">
        <v>41086</v>
      </c>
      <c r="BK2023" s="355">
        <v>3.1417E-2</v>
      </c>
    </row>
    <row r="2024" spans="3:63" x14ac:dyDescent="0.15">
      <c r="C2024" s="624"/>
      <c r="D2024" s="355">
        <v>3.0759999999999999E-2</v>
      </c>
      <c r="AV2024" s="624"/>
      <c r="AX2024" s="624">
        <v>41093</v>
      </c>
      <c r="AY2024" s="355">
        <v>3.1E-2</v>
      </c>
      <c r="AZ2024" s="624">
        <v>41157</v>
      </c>
      <c r="BA2024" s="355">
        <v>1.0699999999999999E-2</v>
      </c>
      <c r="BB2024" s="624">
        <v>41088</v>
      </c>
      <c r="BC2024" s="355">
        <v>0.28999999999999998</v>
      </c>
      <c r="BD2024" s="624">
        <v>41088</v>
      </c>
      <c r="BE2024" s="355">
        <v>8.6330000000000004E-2</v>
      </c>
      <c r="BF2024" s="624">
        <v>41205</v>
      </c>
      <c r="BG2024" s="355">
        <v>1.8543E-2</v>
      </c>
      <c r="BH2024" s="624">
        <v>41088</v>
      </c>
      <c r="BI2024" s="355">
        <v>0.105877</v>
      </c>
      <c r="BJ2024" s="624">
        <v>41087</v>
      </c>
      <c r="BK2024" s="355">
        <v>3.1406999999999997E-2</v>
      </c>
    </row>
    <row r="2025" spans="3:63" x14ac:dyDescent="0.15">
      <c r="C2025" s="624"/>
      <c r="D2025" s="355">
        <v>3.1E-2</v>
      </c>
      <c r="AV2025" s="624"/>
      <c r="AX2025" s="624">
        <v>41094</v>
      </c>
      <c r="AY2025" s="355">
        <v>3.0929999999999999E-2</v>
      </c>
      <c r="AZ2025" s="624">
        <v>41158</v>
      </c>
      <c r="BA2025" s="355">
        <v>1.0800000000000001E-2</v>
      </c>
      <c r="BB2025" s="624">
        <v>41089</v>
      </c>
      <c r="BC2025" s="355">
        <v>0.29949999999999999</v>
      </c>
      <c r="BD2025" s="624">
        <v>41089</v>
      </c>
      <c r="BE2025" s="355">
        <v>8.7669999999999998E-2</v>
      </c>
      <c r="BF2025" s="624">
        <v>41206</v>
      </c>
      <c r="BG2025" s="355">
        <v>1.8537000000000001E-2</v>
      </c>
      <c r="BH2025" s="624">
        <v>41089</v>
      </c>
      <c r="BI2025" s="355">
        <v>0.106418</v>
      </c>
      <c r="BJ2025" s="624">
        <v>41088</v>
      </c>
      <c r="BK2025" s="355">
        <v>3.1352999999999999E-2</v>
      </c>
    </row>
    <row r="2026" spans="3:63" x14ac:dyDescent="0.15">
      <c r="C2026" s="624"/>
      <c r="D2026" s="355">
        <v>3.0929999999999999E-2</v>
      </c>
      <c r="AV2026" s="624"/>
      <c r="AX2026" s="624">
        <v>41095</v>
      </c>
      <c r="AY2026" s="355">
        <v>3.073E-2</v>
      </c>
      <c r="AZ2026" s="624">
        <v>41159</v>
      </c>
      <c r="BA2026" s="355">
        <v>1.0999999999999999E-2</v>
      </c>
      <c r="BB2026" s="624">
        <v>41092</v>
      </c>
      <c r="BC2026" s="355">
        <v>0.29820000000000002</v>
      </c>
      <c r="BD2026" s="624">
        <v>41092</v>
      </c>
      <c r="BE2026" s="355">
        <v>8.7359999999999993E-2</v>
      </c>
      <c r="BF2026" s="624">
        <v>41207</v>
      </c>
      <c r="BG2026" s="355">
        <v>1.8600999999999999E-2</v>
      </c>
      <c r="BH2026" s="624">
        <v>41092</v>
      </c>
      <c r="BI2026" s="355">
        <v>0.106474</v>
      </c>
      <c r="BJ2026" s="624">
        <v>41089</v>
      </c>
      <c r="BK2026" s="355">
        <v>3.1666E-2</v>
      </c>
    </row>
    <row r="2027" spans="3:63" x14ac:dyDescent="0.15">
      <c r="C2027" s="624"/>
      <c r="D2027" s="355">
        <v>3.073E-2</v>
      </c>
      <c r="AV2027" s="624"/>
      <c r="AX2027" s="624">
        <v>41096</v>
      </c>
      <c r="AY2027" s="355">
        <v>3.0450000000000001E-2</v>
      </c>
      <c r="AZ2027" s="624">
        <v>41162</v>
      </c>
      <c r="BA2027" s="355">
        <v>1.0999999999999999E-2</v>
      </c>
      <c r="BB2027" s="624">
        <v>41093</v>
      </c>
      <c r="BC2027" s="355">
        <v>0.30059999999999998</v>
      </c>
      <c r="BD2027" s="624">
        <v>41093</v>
      </c>
      <c r="BE2027" s="355">
        <v>8.8230000000000003E-2</v>
      </c>
      <c r="BF2027" s="624">
        <v>41211</v>
      </c>
      <c r="BG2027" s="355">
        <v>1.8452E-2</v>
      </c>
      <c r="BH2027" s="624">
        <v>41093</v>
      </c>
      <c r="BI2027" s="355">
        <v>0.10700999999999999</v>
      </c>
      <c r="BJ2027" s="624">
        <v>41092</v>
      </c>
      <c r="BK2027" s="355">
        <v>3.1696000000000002E-2</v>
      </c>
    </row>
    <row r="2028" spans="3:63" x14ac:dyDescent="0.15">
      <c r="C2028" s="624"/>
      <c r="D2028" s="355">
        <v>3.0450000000000001E-2</v>
      </c>
      <c r="AV2028" s="624"/>
      <c r="AX2028" s="624">
        <v>41099</v>
      </c>
      <c r="AY2028" s="355">
        <v>3.0349999999999999E-2</v>
      </c>
      <c r="AZ2028" s="624">
        <v>41163</v>
      </c>
      <c r="BA2028" s="355">
        <v>1.0999999999999999E-2</v>
      </c>
      <c r="BB2028" s="624">
        <v>41094</v>
      </c>
      <c r="BC2028" s="355">
        <v>0.29699999999999999</v>
      </c>
      <c r="BD2028" s="624">
        <v>41094</v>
      </c>
      <c r="BE2028" s="355">
        <v>8.7910000000000002E-2</v>
      </c>
      <c r="BF2028" s="624">
        <v>41212</v>
      </c>
      <c r="BG2028" s="355">
        <v>1.8512000000000001E-2</v>
      </c>
      <c r="BH2028" s="624">
        <v>41094</v>
      </c>
      <c r="BI2028" s="355">
        <v>0.107033</v>
      </c>
      <c r="BJ2028" s="624">
        <v>41093</v>
      </c>
      <c r="BK2028" s="355">
        <v>3.1838999999999999E-2</v>
      </c>
    </row>
    <row r="2029" spans="3:63" x14ac:dyDescent="0.15">
      <c r="C2029" s="624"/>
      <c r="D2029" s="355">
        <v>3.0349999999999999E-2</v>
      </c>
      <c r="AV2029" s="624"/>
      <c r="AX2029" s="624">
        <v>41100</v>
      </c>
      <c r="AY2029" s="355">
        <v>3.0370000000000001E-2</v>
      </c>
      <c r="AZ2029" s="624">
        <v>41164</v>
      </c>
      <c r="BA2029" s="355">
        <v>1.0999999999999999E-2</v>
      </c>
      <c r="BB2029" s="624">
        <v>41095</v>
      </c>
      <c r="BC2029" s="355">
        <v>0.29420000000000002</v>
      </c>
      <c r="BD2029" s="624">
        <v>41095</v>
      </c>
      <c r="BE2029" s="355">
        <v>8.8139999999999996E-2</v>
      </c>
      <c r="BF2029" s="624">
        <v>41213</v>
      </c>
      <c r="BG2029" s="355">
        <v>1.8567E-2</v>
      </c>
      <c r="BH2029" s="624">
        <v>41095</v>
      </c>
      <c r="BI2029" s="355">
        <v>0.10661</v>
      </c>
      <c r="BJ2029" s="624">
        <v>41094</v>
      </c>
      <c r="BK2029" s="355">
        <v>3.1756E-2</v>
      </c>
    </row>
    <row r="2030" spans="3:63" x14ac:dyDescent="0.15">
      <c r="C2030" s="624"/>
      <c r="D2030" s="355">
        <v>3.0370000000000001E-2</v>
      </c>
      <c r="AV2030" s="624"/>
      <c r="AX2030" s="624">
        <v>41101</v>
      </c>
      <c r="AY2030" s="355">
        <v>3.057E-2</v>
      </c>
      <c r="AZ2030" s="624">
        <v>41165</v>
      </c>
      <c r="BA2030" s="355">
        <v>1.11E-2</v>
      </c>
      <c r="BB2030" s="624">
        <v>41096</v>
      </c>
      <c r="BC2030" s="355">
        <v>0.28939999999999999</v>
      </c>
      <c r="BD2030" s="624">
        <v>41096</v>
      </c>
      <c r="BE2030" s="355">
        <v>8.7770000000000001E-2</v>
      </c>
      <c r="BF2030" s="624">
        <v>41214</v>
      </c>
      <c r="BG2030" s="355">
        <v>1.8627000000000001E-2</v>
      </c>
      <c r="BH2030" s="624">
        <v>41096</v>
      </c>
      <c r="BI2030" s="355">
        <v>0.10602200000000001</v>
      </c>
      <c r="BJ2030" s="624">
        <v>41095</v>
      </c>
      <c r="BK2030" s="355">
        <v>3.1676000000000003E-2</v>
      </c>
    </row>
    <row r="2031" spans="3:63" x14ac:dyDescent="0.15">
      <c r="C2031" s="624"/>
      <c r="D2031" s="355">
        <v>3.057E-2</v>
      </c>
      <c r="AV2031" s="624"/>
      <c r="AX2031" s="624">
        <v>41102</v>
      </c>
      <c r="AY2031" s="355">
        <v>3.057E-2</v>
      </c>
      <c r="AZ2031" s="624">
        <v>41166</v>
      </c>
      <c r="BA2031" s="355">
        <v>1.1299999999999999E-2</v>
      </c>
      <c r="BB2031" s="624">
        <v>41099</v>
      </c>
      <c r="BC2031" s="355">
        <v>0.29210000000000003</v>
      </c>
      <c r="BD2031" s="624">
        <v>41099</v>
      </c>
      <c r="BE2031" s="355">
        <v>8.7540000000000007E-2</v>
      </c>
      <c r="BF2031" s="624">
        <v>41215</v>
      </c>
      <c r="BG2031" s="355">
        <v>1.8579999999999999E-2</v>
      </c>
      <c r="BH2031" s="624">
        <v>41099</v>
      </c>
      <c r="BI2031" s="355">
        <v>0.106271</v>
      </c>
      <c r="BJ2031" s="624">
        <v>41096</v>
      </c>
      <c r="BK2031" s="355">
        <v>3.1505999999999999E-2</v>
      </c>
    </row>
    <row r="2032" spans="3:63" x14ac:dyDescent="0.15">
      <c r="C2032" s="624"/>
      <c r="D2032" s="355">
        <v>3.057E-2</v>
      </c>
      <c r="AV2032" s="624"/>
      <c r="AX2032" s="624">
        <v>41103</v>
      </c>
      <c r="AY2032" s="355">
        <v>3.074E-2</v>
      </c>
      <c r="AZ2032" s="624">
        <v>41169</v>
      </c>
      <c r="BA2032" s="355">
        <v>1.1299999999999999E-2</v>
      </c>
      <c r="BB2032" s="624">
        <v>41100</v>
      </c>
      <c r="BC2032" s="355">
        <v>0.29260000000000003</v>
      </c>
      <c r="BD2032" s="624">
        <v>41100</v>
      </c>
      <c r="BE2032" s="355">
        <v>8.7739999999999999E-2</v>
      </c>
      <c r="BF2032" s="624">
        <v>41218</v>
      </c>
      <c r="BG2032" s="355">
        <v>1.8327E-2</v>
      </c>
      <c r="BH2032" s="624">
        <v>41100</v>
      </c>
      <c r="BI2032" s="355">
        <v>0.10589899999999999</v>
      </c>
      <c r="BJ2032" s="624">
        <v>41099</v>
      </c>
      <c r="BK2032" s="355">
        <v>3.1525999999999998E-2</v>
      </c>
    </row>
    <row r="2033" spans="3:63" x14ac:dyDescent="0.15">
      <c r="C2033" s="624"/>
      <c r="D2033" s="355">
        <v>3.074E-2</v>
      </c>
      <c r="AV2033" s="624"/>
      <c r="AX2033" s="624">
        <v>41106</v>
      </c>
      <c r="AY2033" s="355">
        <v>3.074E-2</v>
      </c>
      <c r="AZ2033" s="624">
        <v>41170</v>
      </c>
      <c r="BA2033" s="355">
        <v>1.1299999999999999E-2</v>
      </c>
      <c r="BB2033" s="624">
        <v>41101</v>
      </c>
      <c r="BC2033" s="355">
        <v>0.29239999999999999</v>
      </c>
      <c r="BD2033" s="624">
        <v>41101</v>
      </c>
      <c r="BE2033" s="355">
        <v>8.7590000000000001E-2</v>
      </c>
      <c r="BF2033" s="624">
        <v>41219</v>
      </c>
      <c r="BG2033" s="355">
        <v>1.8367000000000001E-2</v>
      </c>
      <c r="BH2033" s="624">
        <v>41101</v>
      </c>
      <c r="BI2033" s="355">
        <v>0.106</v>
      </c>
      <c r="BJ2033" s="624">
        <v>41100</v>
      </c>
      <c r="BK2033" s="355">
        <v>3.1541E-2</v>
      </c>
    </row>
    <row r="2034" spans="3:63" x14ac:dyDescent="0.15">
      <c r="C2034" s="624"/>
      <c r="D2034" s="355">
        <v>3.074E-2</v>
      </c>
      <c r="AV2034" s="624"/>
      <c r="AX2034" s="624">
        <v>41107</v>
      </c>
      <c r="AY2034" s="355">
        <v>3.091E-2</v>
      </c>
      <c r="AZ2034" s="624">
        <v>41171</v>
      </c>
      <c r="BA2034" s="355">
        <v>1.1299999999999999E-2</v>
      </c>
      <c r="BB2034" s="624">
        <v>41102</v>
      </c>
      <c r="BC2034" s="355">
        <v>0.29010000000000002</v>
      </c>
      <c r="BD2034" s="624">
        <v>41102</v>
      </c>
      <c r="BE2034" s="355">
        <v>8.6629999999999999E-2</v>
      </c>
      <c r="BF2034" s="624">
        <v>41220</v>
      </c>
      <c r="BG2034" s="355">
        <v>1.8381000000000002E-2</v>
      </c>
      <c r="BH2034" s="624">
        <v>41102</v>
      </c>
      <c r="BI2034" s="355">
        <v>0.105764</v>
      </c>
      <c r="BJ2034" s="624">
        <v>41101</v>
      </c>
      <c r="BK2034" s="355">
        <v>3.1525999999999998E-2</v>
      </c>
    </row>
    <row r="2035" spans="3:63" x14ac:dyDescent="0.15">
      <c r="C2035" s="624"/>
      <c r="D2035" s="355">
        <v>3.091E-2</v>
      </c>
      <c r="AV2035" s="624"/>
      <c r="AX2035" s="624">
        <v>41108</v>
      </c>
      <c r="AY2035" s="355">
        <v>3.1019999999999999E-2</v>
      </c>
      <c r="AZ2035" s="624">
        <v>41172</v>
      </c>
      <c r="BA2035" s="355">
        <v>1.12E-2</v>
      </c>
      <c r="BB2035" s="624">
        <v>41103</v>
      </c>
      <c r="BC2035" s="355">
        <v>0.29239999999999999</v>
      </c>
      <c r="BD2035" s="624">
        <v>41103</v>
      </c>
      <c r="BE2035" s="355">
        <v>8.7099999999999997E-2</v>
      </c>
      <c r="BF2035" s="624">
        <v>41221</v>
      </c>
      <c r="BG2035" s="355">
        <v>1.8374000000000001E-2</v>
      </c>
      <c r="BH2035" s="624">
        <v>41103</v>
      </c>
      <c r="BI2035" s="355">
        <v>0.10584300000000001</v>
      </c>
      <c r="BJ2035" s="624">
        <v>41102</v>
      </c>
      <c r="BK2035" s="355">
        <v>3.1437E-2</v>
      </c>
    </row>
    <row r="2036" spans="3:63" x14ac:dyDescent="0.15">
      <c r="C2036" s="624"/>
      <c r="D2036" s="355">
        <v>3.1019999999999999E-2</v>
      </c>
      <c r="AV2036" s="624"/>
      <c r="AX2036" s="624">
        <v>41109</v>
      </c>
      <c r="AY2036" s="355">
        <v>3.1370000000000002E-2</v>
      </c>
      <c r="AZ2036" s="624">
        <v>41173</v>
      </c>
      <c r="BA2036" s="355">
        <v>1.12E-2</v>
      </c>
      <c r="BB2036" s="624">
        <v>41106</v>
      </c>
      <c r="BC2036" s="355">
        <v>0.29289999999999999</v>
      </c>
      <c r="BD2036" s="624">
        <v>41106</v>
      </c>
      <c r="BE2036" s="355">
        <v>8.7309999999999999E-2</v>
      </c>
      <c r="BF2036" s="624">
        <v>41222</v>
      </c>
      <c r="BG2036" s="355">
        <v>1.8290000000000001E-2</v>
      </c>
      <c r="BH2036" s="624">
        <v>41106</v>
      </c>
      <c r="BI2036" s="355">
        <v>0.105821</v>
      </c>
      <c r="BJ2036" s="624">
        <v>41103</v>
      </c>
      <c r="BK2036" s="355">
        <v>3.1676000000000003E-2</v>
      </c>
    </row>
    <row r="2037" spans="3:63" x14ac:dyDescent="0.15">
      <c r="C2037" s="624"/>
      <c r="D2037" s="355">
        <v>3.1370000000000002E-2</v>
      </c>
      <c r="AV2037" s="624"/>
      <c r="AX2037" s="624">
        <v>41110</v>
      </c>
      <c r="AY2037" s="355">
        <v>3.125E-2</v>
      </c>
      <c r="AZ2037" s="624">
        <v>41176</v>
      </c>
      <c r="BA2037" s="355">
        <v>1.12E-2</v>
      </c>
      <c r="BB2037" s="624">
        <v>41107</v>
      </c>
      <c r="BC2037" s="355">
        <v>0.29530000000000001</v>
      </c>
      <c r="BD2037" s="624">
        <v>41107</v>
      </c>
      <c r="BE2037" s="355">
        <v>8.7389999999999995E-2</v>
      </c>
      <c r="BF2037" s="624">
        <v>41225</v>
      </c>
      <c r="BG2037" s="355">
        <v>1.8193000000000001E-2</v>
      </c>
      <c r="BH2037" s="624">
        <v>41107</v>
      </c>
      <c r="BI2037" s="355">
        <v>0.106033</v>
      </c>
      <c r="BJ2037" s="624">
        <v>41106</v>
      </c>
      <c r="BK2037" s="355">
        <v>3.1666E-2</v>
      </c>
    </row>
    <row r="2038" spans="3:63" x14ac:dyDescent="0.15">
      <c r="C2038" s="624"/>
      <c r="D2038" s="355">
        <v>3.125E-2</v>
      </c>
      <c r="AV2038" s="624"/>
      <c r="AX2038" s="624">
        <v>41113</v>
      </c>
      <c r="AY2038" s="355">
        <v>3.0679999999999999E-2</v>
      </c>
      <c r="AZ2038" s="624">
        <v>41177</v>
      </c>
      <c r="BA2038" s="355">
        <v>1.12E-2</v>
      </c>
      <c r="BB2038" s="624">
        <v>41108</v>
      </c>
      <c r="BC2038" s="355">
        <v>0.29459999999999997</v>
      </c>
      <c r="BD2038" s="624">
        <v>41108</v>
      </c>
      <c r="BE2038" s="355">
        <v>8.7569999999999995E-2</v>
      </c>
      <c r="BF2038" s="624">
        <v>41227</v>
      </c>
      <c r="BG2038" s="355">
        <v>1.8186999999999998E-2</v>
      </c>
      <c r="BH2038" s="624">
        <v>41108</v>
      </c>
      <c r="BI2038" s="355">
        <v>0.105821</v>
      </c>
      <c r="BJ2038" s="624">
        <v>41107</v>
      </c>
      <c r="BK2038" s="355">
        <v>3.1626000000000001E-2</v>
      </c>
    </row>
    <row r="2039" spans="3:63" x14ac:dyDescent="0.15">
      <c r="C2039" s="624"/>
      <c r="D2039" s="355">
        <v>3.0679999999999999E-2</v>
      </c>
      <c r="AV2039" s="624"/>
      <c r="AX2039" s="624">
        <v>41114</v>
      </c>
      <c r="AY2039" s="355">
        <v>3.0300000000000001E-2</v>
      </c>
      <c r="AZ2039" s="624">
        <v>41178</v>
      </c>
      <c r="BA2039" s="355">
        <v>1.12E-2</v>
      </c>
      <c r="BB2039" s="624">
        <v>41109</v>
      </c>
      <c r="BC2039" s="355">
        <v>0.29609999999999997</v>
      </c>
      <c r="BD2039" s="624">
        <v>41109</v>
      </c>
      <c r="BE2039" s="355">
        <v>8.7849999999999998E-2</v>
      </c>
      <c r="BF2039" s="624">
        <v>41228</v>
      </c>
      <c r="BG2039" s="355">
        <v>1.822E-2</v>
      </c>
      <c r="BH2039" s="624">
        <v>41109</v>
      </c>
      <c r="BI2039" s="355">
        <v>0.10584300000000001</v>
      </c>
      <c r="BJ2039" s="624">
        <v>41108</v>
      </c>
      <c r="BK2039" s="355">
        <v>3.1565999999999997E-2</v>
      </c>
    </row>
    <row r="2040" spans="3:63" x14ac:dyDescent="0.15">
      <c r="C2040" s="624"/>
      <c r="D2040" s="355">
        <v>3.0300000000000001E-2</v>
      </c>
      <c r="AV2040" s="624"/>
      <c r="AX2040" s="624">
        <v>41115</v>
      </c>
      <c r="AY2040" s="355">
        <v>3.0609999999999998E-2</v>
      </c>
      <c r="AZ2040" s="624">
        <v>41179</v>
      </c>
      <c r="BA2040" s="355">
        <v>1.12E-2</v>
      </c>
      <c r="BB2040" s="624">
        <v>41110</v>
      </c>
      <c r="BC2040" s="355">
        <v>0.29199999999999998</v>
      </c>
      <c r="BD2040" s="624">
        <v>41110</v>
      </c>
      <c r="BE2040" s="355">
        <v>8.7569999999999995E-2</v>
      </c>
      <c r="BF2040" s="624">
        <v>41229</v>
      </c>
      <c r="BG2040" s="355">
        <v>1.8098E-2</v>
      </c>
      <c r="BH2040" s="624">
        <v>41110</v>
      </c>
      <c r="BI2040" s="355">
        <v>0.105708</v>
      </c>
      <c r="BJ2040" s="624">
        <v>41109</v>
      </c>
      <c r="BK2040" s="355">
        <v>3.1615999999999998E-2</v>
      </c>
    </row>
    <row r="2041" spans="3:63" x14ac:dyDescent="0.15">
      <c r="C2041" s="624"/>
      <c r="D2041" s="355">
        <v>3.0609999999999998E-2</v>
      </c>
      <c r="AV2041" s="624"/>
      <c r="AX2041" s="624">
        <v>41116</v>
      </c>
      <c r="AY2041" s="355">
        <v>3.0949999999999998E-2</v>
      </c>
      <c r="AZ2041" s="624">
        <v>41180</v>
      </c>
      <c r="BA2041" s="355">
        <v>1.12E-2</v>
      </c>
      <c r="BB2041" s="624">
        <v>41113</v>
      </c>
      <c r="BC2041" s="355">
        <v>0.2883</v>
      </c>
      <c r="BD2041" s="624">
        <v>41113</v>
      </c>
      <c r="BE2041" s="355">
        <v>8.6989999999999998E-2</v>
      </c>
      <c r="BF2041" s="624">
        <v>41232</v>
      </c>
      <c r="BG2041" s="355">
        <v>1.8225000000000002E-2</v>
      </c>
      <c r="BH2041" s="624">
        <v>41113</v>
      </c>
      <c r="BI2041" s="355">
        <v>0.105452</v>
      </c>
      <c r="BJ2041" s="624">
        <v>41110</v>
      </c>
      <c r="BK2041" s="355">
        <v>3.1586000000000003E-2</v>
      </c>
    </row>
    <row r="2042" spans="3:63" x14ac:dyDescent="0.15">
      <c r="C2042" s="624"/>
      <c r="D2042" s="355">
        <v>3.0949999999999998E-2</v>
      </c>
      <c r="AV2042" s="624"/>
      <c r="AX2042" s="624">
        <v>41117</v>
      </c>
      <c r="AY2042" s="355">
        <v>3.1230000000000001E-2</v>
      </c>
      <c r="AZ2042" s="624">
        <v>41183</v>
      </c>
      <c r="BA2042" s="355">
        <v>1.12E-2</v>
      </c>
      <c r="BB2042" s="624">
        <v>41114</v>
      </c>
      <c r="BC2042" s="355">
        <v>0.28599999999999998</v>
      </c>
      <c r="BD2042" s="624">
        <v>41114</v>
      </c>
      <c r="BE2042" s="355">
        <v>8.6989999999999998E-2</v>
      </c>
      <c r="BF2042" s="624">
        <v>41233</v>
      </c>
      <c r="BG2042" s="355">
        <v>1.8137E-2</v>
      </c>
      <c r="BH2042" s="624">
        <v>41114</v>
      </c>
      <c r="BI2042" s="355">
        <v>0.10562000000000001</v>
      </c>
      <c r="BJ2042" s="624">
        <v>41113</v>
      </c>
      <c r="BK2042" s="355">
        <v>3.1501000000000001E-2</v>
      </c>
    </row>
    <row r="2043" spans="3:63" x14ac:dyDescent="0.15">
      <c r="C2043" s="624"/>
      <c r="D2043" s="355">
        <v>3.1230000000000001E-2</v>
      </c>
      <c r="AV2043" s="624"/>
      <c r="AX2043" s="624">
        <v>41120</v>
      </c>
      <c r="AY2043" s="355">
        <v>3.1029999999999999E-2</v>
      </c>
      <c r="AZ2043" s="624">
        <v>41184</v>
      </c>
      <c r="BA2043" s="355">
        <v>1.11E-2</v>
      </c>
      <c r="BB2043" s="624">
        <v>41115</v>
      </c>
      <c r="BC2043" s="355">
        <v>0.29070000000000001</v>
      </c>
      <c r="BD2043" s="624">
        <v>41115</v>
      </c>
      <c r="BE2043" s="355">
        <v>8.7059999999999998E-2</v>
      </c>
      <c r="BF2043" s="624">
        <v>41234</v>
      </c>
      <c r="BG2043" s="355">
        <v>1.8137E-2</v>
      </c>
      <c r="BH2043" s="624">
        <v>41115</v>
      </c>
      <c r="BI2043" s="355">
        <v>0.10545300000000001</v>
      </c>
      <c r="BJ2043" s="624">
        <v>41114</v>
      </c>
      <c r="BK2043" s="355">
        <v>3.1461000000000003E-2</v>
      </c>
    </row>
    <row r="2044" spans="3:63" x14ac:dyDescent="0.15">
      <c r="C2044" s="624"/>
      <c r="D2044" s="355">
        <v>3.1029999999999999E-2</v>
      </c>
      <c r="AV2044" s="624"/>
      <c r="AX2044" s="624">
        <v>41121</v>
      </c>
      <c r="AY2044" s="355">
        <v>3.1019999999999999E-2</v>
      </c>
      <c r="AZ2044" s="624">
        <v>41185</v>
      </c>
      <c r="BA2044" s="355">
        <v>1.12E-2</v>
      </c>
      <c r="BB2044" s="624">
        <v>41116</v>
      </c>
      <c r="BC2044" s="355">
        <v>0.29699999999999999</v>
      </c>
      <c r="BD2044" s="624">
        <v>41116</v>
      </c>
      <c r="BE2044" s="355">
        <v>8.7370000000000003E-2</v>
      </c>
      <c r="BF2044" s="624">
        <v>41235</v>
      </c>
      <c r="BG2044" s="355">
        <v>1.8109E-2</v>
      </c>
      <c r="BH2044" s="624">
        <v>41116</v>
      </c>
      <c r="BI2044" s="355">
        <v>0.105508</v>
      </c>
      <c r="BJ2044" s="624">
        <v>41115</v>
      </c>
      <c r="BK2044" s="355">
        <v>3.1626000000000001E-2</v>
      </c>
    </row>
    <row r="2045" spans="3:63" x14ac:dyDescent="0.15">
      <c r="C2045" s="624"/>
      <c r="D2045" s="355">
        <v>3.1019999999999999E-2</v>
      </c>
      <c r="AV2045" s="624"/>
      <c r="AX2045" s="624">
        <v>41122</v>
      </c>
      <c r="AY2045" s="355">
        <v>3.0800000000000001E-2</v>
      </c>
      <c r="AZ2045" s="624">
        <v>41186</v>
      </c>
      <c r="BA2045" s="355">
        <v>1.1299999999999999E-2</v>
      </c>
      <c r="BB2045" s="624">
        <v>41117</v>
      </c>
      <c r="BC2045" s="355">
        <v>0.29830000000000001</v>
      </c>
      <c r="BD2045" s="624">
        <v>41117</v>
      </c>
      <c r="BE2045" s="355">
        <v>8.7900000000000006E-2</v>
      </c>
      <c r="BF2045" s="624">
        <v>41236</v>
      </c>
      <c r="BG2045" s="355">
        <v>1.8051999999999999E-2</v>
      </c>
      <c r="BH2045" s="624">
        <v>41117</v>
      </c>
      <c r="BI2045" s="355">
        <v>0.105765</v>
      </c>
      <c r="BJ2045" s="624">
        <v>41116</v>
      </c>
      <c r="BK2045" s="355">
        <v>3.1676000000000003E-2</v>
      </c>
    </row>
    <row r="2046" spans="3:63" x14ac:dyDescent="0.15">
      <c r="C2046" s="624"/>
      <c r="D2046" s="355">
        <v>3.0800000000000001E-2</v>
      </c>
      <c r="AV2046" s="624"/>
      <c r="AX2046" s="624">
        <v>41123</v>
      </c>
      <c r="AY2046" s="355">
        <v>3.0640000000000001E-2</v>
      </c>
      <c r="AZ2046" s="624">
        <v>41187</v>
      </c>
      <c r="BA2046" s="355">
        <v>1.1299999999999999E-2</v>
      </c>
      <c r="BB2046" s="624">
        <v>41120</v>
      </c>
      <c r="BC2046" s="355">
        <v>0.29759999999999998</v>
      </c>
      <c r="BD2046" s="624">
        <v>41120</v>
      </c>
      <c r="BE2046" s="355">
        <v>8.7970000000000007E-2</v>
      </c>
      <c r="BF2046" s="624">
        <v>41239</v>
      </c>
      <c r="BG2046" s="355">
        <v>1.8006999999999999E-2</v>
      </c>
      <c r="BH2046" s="624">
        <v>41120</v>
      </c>
      <c r="BI2046" s="355">
        <v>0.105765</v>
      </c>
      <c r="BJ2046" s="624">
        <v>41117</v>
      </c>
      <c r="BK2046" s="355">
        <v>3.1725999999999997E-2</v>
      </c>
    </row>
    <row r="2047" spans="3:63" x14ac:dyDescent="0.15">
      <c r="C2047" s="624"/>
      <c r="D2047" s="355">
        <v>3.0640000000000001E-2</v>
      </c>
      <c r="AV2047" s="624"/>
      <c r="AX2047" s="624">
        <v>41124</v>
      </c>
      <c r="AY2047" s="355">
        <v>3.1269999999999999E-2</v>
      </c>
      <c r="AZ2047" s="624">
        <v>41190</v>
      </c>
      <c r="BA2047" s="355">
        <v>1.1299999999999999E-2</v>
      </c>
      <c r="BB2047" s="624">
        <v>41121</v>
      </c>
      <c r="BC2047" s="355">
        <v>0.29899999999999999</v>
      </c>
      <c r="BD2047" s="624">
        <v>41121</v>
      </c>
      <c r="BE2047" s="355">
        <v>8.8480000000000003E-2</v>
      </c>
      <c r="BF2047" s="624">
        <v>41240</v>
      </c>
      <c r="BG2047" s="355">
        <v>1.8027999999999999E-2</v>
      </c>
      <c r="BH2047" s="624">
        <v>41121</v>
      </c>
      <c r="BI2047" s="355">
        <v>0.105988</v>
      </c>
      <c r="BJ2047" s="624">
        <v>41120</v>
      </c>
      <c r="BK2047" s="355">
        <v>3.1661000000000002E-2</v>
      </c>
    </row>
    <row r="2048" spans="3:63" x14ac:dyDescent="0.15">
      <c r="C2048" s="624"/>
      <c r="D2048" s="355">
        <v>3.1269999999999999E-2</v>
      </c>
      <c r="AV2048" s="624"/>
      <c r="AX2048" s="624">
        <v>41127</v>
      </c>
      <c r="AY2048" s="355">
        <v>3.1699999999999999E-2</v>
      </c>
      <c r="AZ2048" s="624">
        <v>41191</v>
      </c>
      <c r="BA2048" s="355">
        <v>1.12E-2</v>
      </c>
      <c r="BB2048" s="624">
        <v>41122</v>
      </c>
      <c r="BC2048" s="355">
        <v>0.29780000000000001</v>
      </c>
      <c r="BD2048" s="624">
        <v>41122</v>
      </c>
      <c r="BE2048" s="355">
        <v>8.8679999999999995E-2</v>
      </c>
      <c r="BF2048" s="624">
        <v>41242</v>
      </c>
      <c r="BG2048" s="355">
        <v>1.8304999999999998E-2</v>
      </c>
      <c r="BH2048" s="624">
        <v>41122</v>
      </c>
      <c r="BI2048" s="355">
        <v>0.10589899999999999</v>
      </c>
      <c r="BJ2048" s="624">
        <v>41121</v>
      </c>
      <c r="BK2048" s="355">
        <v>3.1725999999999997E-2</v>
      </c>
    </row>
    <row r="2049" spans="3:63" x14ac:dyDescent="0.15">
      <c r="C2049" s="624"/>
      <c r="D2049" s="355">
        <v>3.1699999999999999E-2</v>
      </c>
      <c r="AV2049" s="624"/>
      <c r="AX2049" s="624">
        <v>41128</v>
      </c>
      <c r="AY2049" s="355">
        <v>3.168E-2</v>
      </c>
      <c r="AZ2049" s="624">
        <v>41192</v>
      </c>
      <c r="BA2049" s="355">
        <v>1.1299999999999999E-2</v>
      </c>
      <c r="BB2049" s="624">
        <v>41123</v>
      </c>
      <c r="BC2049" s="355">
        <v>0.29580000000000001</v>
      </c>
      <c r="BD2049" s="624">
        <v>41123</v>
      </c>
      <c r="BE2049" s="355">
        <v>8.8279999999999997E-2</v>
      </c>
      <c r="BF2049" s="624">
        <v>41243</v>
      </c>
      <c r="BG2049" s="355">
        <v>1.8384999999999999E-2</v>
      </c>
      <c r="BH2049" s="624">
        <v>41123</v>
      </c>
      <c r="BI2049" s="355">
        <v>0.10573100000000001</v>
      </c>
      <c r="BJ2049" s="624">
        <v>41122</v>
      </c>
      <c r="BK2049" s="355">
        <v>3.1676000000000003E-2</v>
      </c>
    </row>
    <row r="2050" spans="3:63" x14ac:dyDescent="0.15">
      <c r="C2050" s="624"/>
      <c r="D2050" s="355">
        <v>3.168E-2</v>
      </c>
      <c r="AV2050" s="624"/>
      <c r="AX2050" s="624">
        <v>41129</v>
      </c>
      <c r="AY2050" s="355">
        <v>3.1710000000000002E-2</v>
      </c>
      <c r="AZ2050" s="624">
        <v>41193</v>
      </c>
      <c r="BA2050" s="355">
        <v>1.14E-2</v>
      </c>
      <c r="BB2050" s="624">
        <v>41124</v>
      </c>
      <c r="BC2050" s="355">
        <v>0.30480000000000002</v>
      </c>
      <c r="BD2050" s="624">
        <v>41124</v>
      </c>
      <c r="BE2050" s="355">
        <v>8.8209999999999997E-2</v>
      </c>
      <c r="BF2050" s="624">
        <v>41246</v>
      </c>
      <c r="BG2050" s="355">
        <v>1.8301999999999999E-2</v>
      </c>
      <c r="BH2050" s="624">
        <v>41124</v>
      </c>
      <c r="BI2050" s="355">
        <v>0.105585</v>
      </c>
      <c r="BJ2050" s="624">
        <v>41123</v>
      </c>
      <c r="BK2050" s="355">
        <v>3.1628999999999997E-2</v>
      </c>
    </row>
    <row r="2051" spans="3:63" x14ac:dyDescent="0.15">
      <c r="C2051" s="624"/>
      <c r="D2051" s="355">
        <v>3.1710000000000002E-2</v>
      </c>
      <c r="AV2051" s="624"/>
      <c r="AX2051" s="624">
        <v>41130</v>
      </c>
      <c r="AY2051" s="355">
        <v>3.1579999999999997E-2</v>
      </c>
      <c r="AZ2051" s="624">
        <v>41194</v>
      </c>
      <c r="BA2051" s="355">
        <v>1.1599999999999999E-2</v>
      </c>
      <c r="BB2051" s="624">
        <v>41127</v>
      </c>
      <c r="BC2051" s="355">
        <v>0.307</v>
      </c>
      <c r="BD2051" s="624">
        <v>41127</v>
      </c>
      <c r="BE2051" s="355">
        <v>8.8669999999999999E-2</v>
      </c>
      <c r="BF2051" s="624">
        <v>41247</v>
      </c>
      <c r="BG2051" s="355">
        <v>1.8275E-2</v>
      </c>
      <c r="BH2051" s="624">
        <v>41127</v>
      </c>
      <c r="BI2051" s="355">
        <v>0.105653</v>
      </c>
      <c r="BJ2051" s="624">
        <v>41124</v>
      </c>
      <c r="BK2051" s="355">
        <v>3.1771000000000001E-2</v>
      </c>
    </row>
    <row r="2052" spans="3:63" x14ac:dyDescent="0.15">
      <c r="C2052" s="624"/>
      <c r="D2052" s="355">
        <v>3.1579999999999997E-2</v>
      </c>
      <c r="AV2052" s="624"/>
      <c r="AX2052" s="624">
        <v>41131</v>
      </c>
      <c r="AY2052" s="355">
        <v>3.141E-2</v>
      </c>
      <c r="AZ2052" s="624">
        <v>41197</v>
      </c>
      <c r="BA2052" s="355">
        <v>1.17E-2</v>
      </c>
      <c r="BB2052" s="624">
        <v>41128</v>
      </c>
      <c r="BC2052" s="355">
        <v>0.30420000000000003</v>
      </c>
      <c r="BD2052" s="624">
        <v>41128</v>
      </c>
      <c r="BE2052" s="355">
        <v>8.8609999999999994E-2</v>
      </c>
      <c r="BF2052" s="624">
        <v>41248</v>
      </c>
      <c r="BG2052" s="355">
        <v>1.8322999999999999E-2</v>
      </c>
      <c r="BH2052" s="624">
        <v>41128</v>
      </c>
      <c r="BI2052" s="355">
        <v>0.10562000000000001</v>
      </c>
      <c r="BJ2052" s="624">
        <v>41127</v>
      </c>
      <c r="BK2052" s="355">
        <v>3.1799000000000001E-2</v>
      </c>
    </row>
    <row r="2053" spans="3:63" x14ac:dyDescent="0.15">
      <c r="C2053" s="624"/>
      <c r="D2053" s="355">
        <v>3.141E-2</v>
      </c>
      <c r="AV2053" s="624"/>
      <c r="AX2053" s="624">
        <v>41134</v>
      </c>
      <c r="AY2053" s="355">
        <v>3.1440000000000003E-2</v>
      </c>
      <c r="AZ2053" s="624">
        <v>41198</v>
      </c>
      <c r="BA2053" s="355">
        <v>1.17E-2</v>
      </c>
      <c r="BB2053" s="624">
        <v>41129</v>
      </c>
      <c r="BC2053" s="355">
        <v>0.30409999999999998</v>
      </c>
      <c r="BD2053" s="624">
        <v>41129</v>
      </c>
      <c r="BE2053" s="355">
        <v>8.8550000000000004E-2</v>
      </c>
      <c r="BF2053" s="624">
        <v>41249</v>
      </c>
      <c r="BG2053" s="355">
        <v>1.8412999999999999E-2</v>
      </c>
      <c r="BH2053" s="624">
        <v>41129</v>
      </c>
      <c r="BI2053" s="355">
        <v>0.105563</v>
      </c>
      <c r="BJ2053" s="624">
        <v>41128</v>
      </c>
      <c r="BK2053" s="355">
        <v>3.1746000000000003E-2</v>
      </c>
    </row>
    <row r="2054" spans="3:63" x14ac:dyDescent="0.15">
      <c r="C2054" s="624"/>
      <c r="D2054" s="355">
        <v>3.1440000000000003E-2</v>
      </c>
      <c r="AV2054" s="624"/>
      <c r="AX2054" s="624">
        <v>41135</v>
      </c>
      <c r="AY2054" s="355">
        <v>3.1379999999999998E-2</v>
      </c>
      <c r="AZ2054" s="624">
        <v>41199</v>
      </c>
      <c r="BA2054" s="355">
        <v>1.1599999999999999E-2</v>
      </c>
      <c r="BB2054" s="624">
        <v>41130</v>
      </c>
      <c r="BC2054" s="355">
        <v>0.30349999999999999</v>
      </c>
      <c r="BD2054" s="624">
        <v>41130</v>
      </c>
      <c r="BE2054" s="355">
        <v>8.8719999999999993E-2</v>
      </c>
      <c r="BF2054" s="624">
        <v>41250</v>
      </c>
      <c r="BG2054" s="355">
        <v>1.8415000000000001E-2</v>
      </c>
      <c r="BH2054" s="624">
        <v>41130</v>
      </c>
      <c r="BI2054" s="355">
        <v>0.105575</v>
      </c>
      <c r="BJ2054" s="624">
        <v>41129</v>
      </c>
      <c r="BK2054" s="355">
        <v>3.1766000000000003E-2</v>
      </c>
    </row>
    <row r="2055" spans="3:63" x14ac:dyDescent="0.15">
      <c r="C2055" s="624"/>
      <c r="D2055" s="355">
        <v>3.1379999999999998E-2</v>
      </c>
      <c r="AV2055" s="624"/>
      <c r="AX2055" s="624">
        <v>41136</v>
      </c>
      <c r="AY2055" s="355">
        <v>3.1379999999999998E-2</v>
      </c>
      <c r="AZ2055" s="624">
        <v>41200</v>
      </c>
      <c r="BA2055" s="355">
        <v>1.15E-2</v>
      </c>
      <c r="BB2055" s="624">
        <v>41131</v>
      </c>
      <c r="BC2055" s="355">
        <v>0.30170000000000002</v>
      </c>
      <c r="BD2055" s="624">
        <v>41131</v>
      </c>
      <c r="BE2055" s="355">
        <v>8.8440000000000005E-2</v>
      </c>
      <c r="BF2055" s="624">
        <v>41253</v>
      </c>
      <c r="BG2055" s="355">
        <v>1.8379E-2</v>
      </c>
      <c r="BH2055" s="624">
        <v>41131</v>
      </c>
      <c r="BI2055" s="355">
        <v>0.105508</v>
      </c>
      <c r="BJ2055" s="624">
        <v>41130</v>
      </c>
      <c r="BK2055" s="355">
        <v>3.1766000000000003E-2</v>
      </c>
    </row>
    <row r="2056" spans="3:63" x14ac:dyDescent="0.15">
      <c r="C2056" s="624"/>
      <c r="D2056" s="355">
        <v>3.1379999999999998E-2</v>
      </c>
      <c r="AV2056" s="624"/>
      <c r="AX2056" s="624">
        <v>41137</v>
      </c>
      <c r="AY2056" s="355">
        <v>3.1390000000000001E-2</v>
      </c>
      <c r="AZ2056" s="624">
        <v>41201</v>
      </c>
      <c r="BA2056" s="355">
        <v>1.15E-2</v>
      </c>
      <c r="BB2056" s="624">
        <v>41134</v>
      </c>
      <c r="BC2056" s="355">
        <v>0.3019</v>
      </c>
      <c r="BD2056" s="624">
        <v>41134</v>
      </c>
      <c r="BE2056" s="355">
        <v>8.8529999999999998E-2</v>
      </c>
      <c r="BF2056" s="624">
        <v>41254</v>
      </c>
      <c r="BG2056" s="355">
        <v>1.8414E-2</v>
      </c>
      <c r="BH2056" s="624">
        <v>41134</v>
      </c>
      <c r="BI2056" s="355">
        <v>0.105308</v>
      </c>
      <c r="BJ2056" s="624">
        <v>41131</v>
      </c>
      <c r="BK2056" s="355">
        <v>3.1794000000000003E-2</v>
      </c>
    </row>
    <row r="2057" spans="3:63" x14ac:dyDescent="0.15">
      <c r="C2057" s="624"/>
      <c r="D2057" s="355">
        <v>3.1390000000000001E-2</v>
      </c>
      <c r="AV2057" s="624"/>
      <c r="AX2057" s="624">
        <v>41138</v>
      </c>
      <c r="AY2057" s="355">
        <v>3.1230000000000001E-2</v>
      </c>
      <c r="AZ2057" s="624">
        <v>41204</v>
      </c>
      <c r="BA2057" s="355">
        <v>1.1599999999999999E-2</v>
      </c>
      <c r="BB2057" s="624">
        <v>41135</v>
      </c>
      <c r="BC2057" s="355">
        <v>0.30159999999999998</v>
      </c>
      <c r="BD2057" s="624">
        <v>41135</v>
      </c>
      <c r="BE2057" s="355">
        <v>8.8480000000000003E-2</v>
      </c>
      <c r="BF2057" s="624">
        <v>41255</v>
      </c>
      <c r="BG2057" s="355">
        <v>1.8435E-2</v>
      </c>
      <c r="BH2057" s="624">
        <v>41135</v>
      </c>
      <c r="BI2057" s="355">
        <v>0.10545300000000001</v>
      </c>
      <c r="BJ2057" s="624">
        <v>41134</v>
      </c>
      <c r="BK2057" s="355">
        <v>3.1796999999999999E-2</v>
      </c>
    </row>
    <row r="2058" spans="3:63" x14ac:dyDescent="0.15">
      <c r="C2058" s="624"/>
      <c r="D2058" s="355">
        <v>3.1230000000000001E-2</v>
      </c>
      <c r="AV2058" s="624"/>
      <c r="AX2058" s="624">
        <v>41141</v>
      </c>
      <c r="AY2058" s="355">
        <v>3.1189999999999999E-2</v>
      </c>
      <c r="AZ2058" s="624">
        <v>41205</v>
      </c>
      <c r="BA2058" s="355">
        <v>1.15E-2</v>
      </c>
      <c r="BB2058" s="624">
        <v>41136</v>
      </c>
      <c r="BC2058" s="355">
        <v>0.30130000000000001</v>
      </c>
      <c r="BD2058" s="624">
        <v>41136</v>
      </c>
      <c r="BE2058" s="355">
        <v>8.8370000000000004E-2</v>
      </c>
      <c r="BF2058" s="624">
        <v>41256</v>
      </c>
      <c r="BG2058" s="355">
        <v>1.8346999999999999E-2</v>
      </c>
      <c r="BH2058" s="624">
        <v>41136</v>
      </c>
      <c r="BI2058" s="355">
        <v>0.105263</v>
      </c>
      <c r="BJ2058" s="624">
        <v>41135</v>
      </c>
      <c r="BK2058" s="355">
        <v>3.1775999999999999E-2</v>
      </c>
    </row>
    <row r="2059" spans="3:63" x14ac:dyDescent="0.15">
      <c r="C2059" s="624"/>
      <c r="D2059" s="355">
        <v>3.1189999999999999E-2</v>
      </c>
      <c r="AV2059" s="624"/>
      <c r="AX2059" s="624">
        <v>41142</v>
      </c>
      <c r="AY2059" s="355">
        <v>3.1419999999999997E-2</v>
      </c>
      <c r="AZ2059" s="624">
        <v>41206</v>
      </c>
      <c r="BA2059" s="355">
        <v>1.14E-2</v>
      </c>
      <c r="BB2059" s="624">
        <v>41137</v>
      </c>
      <c r="BC2059" s="355">
        <v>0.30459999999999998</v>
      </c>
      <c r="BD2059" s="624">
        <v>41137</v>
      </c>
      <c r="BE2059" s="355">
        <v>8.8220000000000007E-2</v>
      </c>
      <c r="BF2059" s="624">
        <v>41257</v>
      </c>
      <c r="BG2059" s="355">
        <v>1.8360000000000001E-2</v>
      </c>
      <c r="BH2059" s="624">
        <v>41137</v>
      </c>
      <c r="BI2059" s="355">
        <v>0.105375</v>
      </c>
      <c r="BJ2059" s="624">
        <v>41136</v>
      </c>
      <c r="BK2059" s="355">
        <v>3.1747999999999998E-2</v>
      </c>
    </row>
    <row r="2060" spans="3:63" x14ac:dyDescent="0.15">
      <c r="C2060" s="624"/>
      <c r="D2060" s="355">
        <v>3.1419999999999997E-2</v>
      </c>
      <c r="AV2060" s="624"/>
      <c r="AX2060" s="624">
        <v>41143</v>
      </c>
      <c r="AY2060" s="355">
        <v>3.1419999999999997E-2</v>
      </c>
      <c r="AZ2060" s="624">
        <v>41207</v>
      </c>
      <c r="BA2060" s="355">
        <v>1.1299999999999999E-2</v>
      </c>
      <c r="BB2060" s="624">
        <v>41138</v>
      </c>
      <c r="BC2060" s="355">
        <v>0.30330000000000001</v>
      </c>
      <c r="BD2060" s="624">
        <v>41138</v>
      </c>
      <c r="BE2060" s="355">
        <v>8.813E-2</v>
      </c>
      <c r="BF2060" s="624">
        <v>41260</v>
      </c>
      <c r="BG2060" s="355">
        <v>1.8252999999999998E-2</v>
      </c>
      <c r="BH2060" s="624">
        <v>41138</v>
      </c>
      <c r="BI2060" s="355">
        <v>0.105508</v>
      </c>
      <c r="BJ2060" s="624">
        <v>41137</v>
      </c>
      <c r="BK2060" s="355">
        <v>3.1780999999999997E-2</v>
      </c>
    </row>
    <row r="2061" spans="3:63" x14ac:dyDescent="0.15">
      <c r="C2061" s="624"/>
      <c r="D2061" s="355">
        <v>3.1419999999999997E-2</v>
      </c>
      <c r="AV2061" s="624"/>
      <c r="AX2061" s="624">
        <v>41144</v>
      </c>
      <c r="AY2061" s="355">
        <v>3.1460000000000002E-2</v>
      </c>
      <c r="AZ2061" s="624">
        <v>41208</v>
      </c>
      <c r="BA2061" s="355">
        <v>1.1299999999999999E-2</v>
      </c>
      <c r="BB2061" s="624">
        <v>41141</v>
      </c>
      <c r="BC2061" s="355">
        <v>0.3034</v>
      </c>
      <c r="BD2061" s="624">
        <v>41141</v>
      </c>
      <c r="BE2061" s="355">
        <v>8.8069999999999996E-2</v>
      </c>
      <c r="BF2061" s="624">
        <v>41261</v>
      </c>
      <c r="BG2061" s="355">
        <v>1.8192E-2</v>
      </c>
      <c r="BH2061" s="624">
        <v>41141</v>
      </c>
      <c r="BI2061" s="355">
        <v>0.105141</v>
      </c>
      <c r="BJ2061" s="624">
        <v>41138</v>
      </c>
      <c r="BK2061" s="355">
        <v>3.1736E-2</v>
      </c>
    </row>
    <row r="2062" spans="3:63" x14ac:dyDescent="0.15">
      <c r="C2062" s="624"/>
      <c r="D2062" s="355">
        <v>3.1460000000000002E-2</v>
      </c>
      <c r="AV2062" s="624"/>
      <c r="AX2062" s="624">
        <v>41145</v>
      </c>
      <c r="AY2062" s="355">
        <v>3.1390000000000001E-2</v>
      </c>
      <c r="AZ2062" s="624">
        <v>41211</v>
      </c>
      <c r="BA2062" s="355">
        <v>1.1299999999999999E-2</v>
      </c>
      <c r="BB2062" s="624">
        <v>41142</v>
      </c>
      <c r="BC2062" s="355">
        <v>0.30599999999999999</v>
      </c>
      <c r="BD2062" s="624">
        <v>41142</v>
      </c>
      <c r="BE2062" s="355">
        <v>8.838E-2</v>
      </c>
      <c r="BF2062" s="624">
        <v>41262</v>
      </c>
      <c r="BG2062" s="355">
        <v>1.8290000000000001E-2</v>
      </c>
      <c r="BH2062" s="624">
        <v>41142</v>
      </c>
      <c r="BI2062" s="355">
        <v>0.105291</v>
      </c>
      <c r="BJ2062" s="624">
        <v>41141</v>
      </c>
      <c r="BK2062" s="355">
        <v>3.1746000000000003E-2</v>
      </c>
    </row>
    <row r="2063" spans="3:63" x14ac:dyDescent="0.15">
      <c r="C2063" s="624"/>
      <c r="D2063" s="355">
        <v>3.1390000000000001E-2</v>
      </c>
      <c r="AV2063" s="624"/>
      <c r="AX2063" s="624">
        <v>41148</v>
      </c>
      <c r="AY2063" s="355">
        <v>3.1370000000000002E-2</v>
      </c>
      <c r="AZ2063" s="624">
        <v>41212</v>
      </c>
      <c r="BA2063" s="355">
        <v>1.15E-2</v>
      </c>
      <c r="BB2063" s="624">
        <v>41143</v>
      </c>
      <c r="BC2063" s="355">
        <v>0.30740000000000001</v>
      </c>
      <c r="BD2063" s="624">
        <v>41143</v>
      </c>
      <c r="BE2063" s="355">
        <v>8.8400000000000006E-2</v>
      </c>
      <c r="BF2063" s="624">
        <v>41263</v>
      </c>
      <c r="BG2063" s="355">
        <v>1.822E-2</v>
      </c>
      <c r="BH2063" s="624">
        <v>41143</v>
      </c>
      <c r="BI2063" s="355">
        <v>0.105208</v>
      </c>
      <c r="BJ2063" s="624">
        <v>41142</v>
      </c>
      <c r="BK2063" s="355">
        <v>3.1847E-2</v>
      </c>
    </row>
    <row r="2064" spans="3:63" x14ac:dyDescent="0.15">
      <c r="C2064" s="624"/>
      <c r="D2064" s="355">
        <v>3.1370000000000002E-2</v>
      </c>
      <c r="AV2064" s="624"/>
      <c r="AX2064" s="624">
        <v>41149</v>
      </c>
      <c r="AY2064" s="355">
        <v>3.1260000000000003E-2</v>
      </c>
      <c r="AZ2064" s="624">
        <v>41213</v>
      </c>
      <c r="BA2064" s="355">
        <v>1.14E-2</v>
      </c>
      <c r="BB2064" s="624">
        <v>41144</v>
      </c>
      <c r="BC2064" s="355">
        <v>0.30669999999999997</v>
      </c>
      <c r="BD2064" s="624">
        <v>41144</v>
      </c>
      <c r="BE2064" s="355">
        <v>8.8279999999999997E-2</v>
      </c>
      <c r="BF2064" s="624">
        <v>41264</v>
      </c>
      <c r="BG2064" s="355">
        <v>1.8141000000000001E-2</v>
      </c>
      <c r="BH2064" s="624">
        <v>41144</v>
      </c>
      <c r="BI2064" s="355">
        <v>0.105319</v>
      </c>
      <c r="BJ2064" s="624">
        <v>41143</v>
      </c>
      <c r="BK2064" s="355">
        <v>3.1866999999999999E-2</v>
      </c>
    </row>
    <row r="2065" spans="3:63" x14ac:dyDescent="0.15">
      <c r="C2065" s="624"/>
      <c r="D2065" s="355">
        <v>3.1260000000000003E-2</v>
      </c>
      <c r="AV2065" s="624"/>
      <c r="AX2065" s="624">
        <v>41150</v>
      </c>
      <c r="AY2065" s="355">
        <v>3.1040000000000002E-2</v>
      </c>
      <c r="AZ2065" s="624">
        <v>41214</v>
      </c>
      <c r="BA2065" s="355">
        <v>1.1299999999999999E-2</v>
      </c>
      <c r="BB2065" s="624">
        <v>41145</v>
      </c>
      <c r="BC2065" s="355">
        <v>0.30559999999999998</v>
      </c>
      <c r="BD2065" s="624">
        <v>41145</v>
      </c>
      <c r="BE2065" s="355">
        <v>8.8139999999999996E-2</v>
      </c>
      <c r="BF2065" s="624">
        <v>41267</v>
      </c>
      <c r="BG2065" s="355">
        <v>1.8131000000000001E-2</v>
      </c>
      <c r="BH2065" s="624">
        <v>41145</v>
      </c>
      <c r="BI2065" s="355">
        <v>0.105209</v>
      </c>
      <c r="BJ2065" s="624">
        <v>41144</v>
      </c>
      <c r="BK2065" s="355">
        <v>3.2081999999999999E-2</v>
      </c>
    </row>
    <row r="2066" spans="3:63" x14ac:dyDescent="0.15">
      <c r="C2066" s="624"/>
      <c r="D2066" s="355">
        <v>3.1040000000000002E-2</v>
      </c>
      <c r="AV2066" s="624"/>
      <c r="AX2066" s="624">
        <v>41151</v>
      </c>
      <c r="AY2066" s="355">
        <v>3.0710000000000001E-2</v>
      </c>
      <c r="AZ2066" s="624">
        <v>41215</v>
      </c>
      <c r="BA2066" s="355">
        <v>1.1299999999999999E-2</v>
      </c>
      <c r="BB2066" s="624">
        <v>41148</v>
      </c>
      <c r="BC2066" s="355">
        <v>0.30609999999999998</v>
      </c>
      <c r="BD2066" s="624">
        <v>41148</v>
      </c>
      <c r="BE2066" s="355">
        <v>8.8120000000000004E-2</v>
      </c>
      <c r="BF2066" s="624">
        <v>41269</v>
      </c>
      <c r="BG2066" s="355">
        <v>1.8232000000000002E-2</v>
      </c>
      <c r="BH2066" s="624">
        <v>41148</v>
      </c>
      <c r="BI2066" s="355">
        <v>0.10500900000000001</v>
      </c>
      <c r="BJ2066" s="624">
        <v>41145</v>
      </c>
      <c r="BK2066" s="355">
        <v>3.2051000000000003E-2</v>
      </c>
    </row>
    <row r="2067" spans="3:63" x14ac:dyDescent="0.15">
      <c r="C2067" s="624"/>
      <c r="D2067" s="355">
        <v>3.0710000000000001E-2</v>
      </c>
      <c r="AV2067" s="624"/>
      <c r="AX2067" s="624">
        <v>41152</v>
      </c>
      <c r="AY2067" s="355">
        <v>3.0890000000000001E-2</v>
      </c>
      <c r="AZ2067" s="624">
        <v>41218</v>
      </c>
      <c r="BA2067" s="355">
        <v>1.12E-2</v>
      </c>
      <c r="BB2067" s="624">
        <v>41149</v>
      </c>
      <c r="BC2067" s="355">
        <v>0.30590000000000001</v>
      </c>
      <c r="BD2067" s="624">
        <v>41149</v>
      </c>
      <c r="BE2067" s="355">
        <v>8.8069999999999996E-2</v>
      </c>
      <c r="BF2067" s="624">
        <v>41270</v>
      </c>
      <c r="BG2067" s="355">
        <v>1.8207999999999998E-2</v>
      </c>
      <c r="BH2067" s="624">
        <v>41149</v>
      </c>
      <c r="BI2067" s="355">
        <v>0.104795</v>
      </c>
      <c r="BJ2067" s="624">
        <v>41148</v>
      </c>
      <c r="BK2067" s="355">
        <v>3.1989999999999998E-2</v>
      </c>
    </row>
    <row r="2068" spans="3:63" x14ac:dyDescent="0.15">
      <c r="C2068" s="624"/>
      <c r="D2068" s="355">
        <v>3.0890000000000001E-2</v>
      </c>
      <c r="AV2068" s="624"/>
      <c r="AX2068" s="624">
        <v>41155</v>
      </c>
      <c r="AY2068" s="355">
        <v>3.0960000000000001E-2</v>
      </c>
      <c r="AZ2068" s="624">
        <v>41219</v>
      </c>
      <c r="BA2068" s="355">
        <v>1.1299999999999999E-2</v>
      </c>
      <c r="BB2068" s="624">
        <v>41150</v>
      </c>
      <c r="BC2068" s="355">
        <v>0.3</v>
      </c>
      <c r="BD2068" s="624">
        <v>41150</v>
      </c>
      <c r="BE2068" s="355">
        <v>8.8099999999999998E-2</v>
      </c>
      <c r="BF2068" s="624">
        <v>41271</v>
      </c>
      <c r="BG2068" s="355">
        <v>1.8246999999999999E-2</v>
      </c>
      <c r="BH2068" s="624">
        <v>41150</v>
      </c>
      <c r="BI2068" s="355">
        <v>0.104559</v>
      </c>
      <c r="BJ2068" s="624">
        <v>41149</v>
      </c>
      <c r="BK2068" s="355">
        <v>3.1980000000000001E-2</v>
      </c>
    </row>
    <row r="2069" spans="3:63" x14ac:dyDescent="0.15">
      <c r="C2069" s="624"/>
      <c r="D2069" s="355">
        <v>3.0960000000000001E-2</v>
      </c>
      <c r="AV2069" s="624"/>
      <c r="AX2069" s="624">
        <v>41156</v>
      </c>
      <c r="AY2069" s="355">
        <v>3.0960000000000001E-2</v>
      </c>
      <c r="AZ2069" s="624">
        <v>41220</v>
      </c>
      <c r="BA2069" s="355">
        <v>1.1299999999999999E-2</v>
      </c>
      <c r="BB2069" s="624">
        <v>41151</v>
      </c>
      <c r="BC2069" s="355">
        <v>0.2979</v>
      </c>
      <c r="BD2069" s="624">
        <v>41151</v>
      </c>
      <c r="BE2069" s="355">
        <v>8.8039999999999993E-2</v>
      </c>
      <c r="BF2069" s="624">
        <v>41274</v>
      </c>
      <c r="BG2069" s="355">
        <v>1.8235999999999999E-2</v>
      </c>
      <c r="BH2069" s="624">
        <v>41151</v>
      </c>
      <c r="BI2069" s="355">
        <v>0.10485</v>
      </c>
      <c r="BJ2069" s="624">
        <v>41150</v>
      </c>
      <c r="BK2069" s="355">
        <v>3.1907999999999999E-2</v>
      </c>
    </row>
    <row r="2070" spans="3:63" x14ac:dyDescent="0.15">
      <c r="C2070" s="624"/>
      <c r="D2070" s="355">
        <v>3.0960000000000001E-2</v>
      </c>
      <c r="AV2070" s="624"/>
      <c r="AX2070" s="624">
        <v>41157</v>
      </c>
      <c r="AY2070" s="355">
        <v>3.0960000000000001E-2</v>
      </c>
      <c r="AZ2070" s="624">
        <v>41221</v>
      </c>
      <c r="BA2070" s="355">
        <v>1.1299999999999999E-2</v>
      </c>
      <c r="BB2070" s="624">
        <v>41152</v>
      </c>
      <c r="BC2070" s="355">
        <v>0.30199999999999999</v>
      </c>
      <c r="BD2070" s="624">
        <v>41152</v>
      </c>
      <c r="BE2070" s="355">
        <v>8.8209999999999997E-2</v>
      </c>
      <c r="BF2070" s="624">
        <v>41275</v>
      </c>
      <c r="BG2070" s="355">
        <v>1.8291000000000002E-2</v>
      </c>
      <c r="BH2070" s="624">
        <v>41152</v>
      </c>
      <c r="BI2070" s="355">
        <v>0.104559</v>
      </c>
      <c r="BJ2070" s="624">
        <v>41151</v>
      </c>
      <c r="BK2070" s="355">
        <v>3.1877999999999997E-2</v>
      </c>
    </row>
    <row r="2071" spans="3:63" x14ac:dyDescent="0.15">
      <c r="C2071" s="624"/>
      <c r="D2071" s="355">
        <v>3.0960000000000001E-2</v>
      </c>
      <c r="AV2071" s="624"/>
      <c r="AX2071" s="624">
        <v>41158</v>
      </c>
      <c r="AY2071" s="355">
        <v>3.1309999999999998E-2</v>
      </c>
      <c r="AZ2071" s="624">
        <v>41222</v>
      </c>
      <c r="BA2071" s="355">
        <v>1.1299999999999999E-2</v>
      </c>
      <c r="BB2071" s="624">
        <v>41155</v>
      </c>
      <c r="BC2071" s="355">
        <v>0.30070000000000002</v>
      </c>
      <c r="BD2071" s="624">
        <v>41155</v>
      </c>
      <c r="BE2071" s="355">
        <v>8.838E-2</v>
      </c>
      <c r="BF2071" s="624">
        <v>41276</v>
      </c>
      <c r="BG2071" s="355">
        <v>1.8425E-2</v>
      </c>
      <c r="BH2071" s="624">
        <v>41155</v>
      </c>
      <c r="BI2071" s="355">
        <v>0.10499799999999999</v>
      </c>
      <c r="BJ2071" s="624">
        <v>41152</v>
      </c>
      <c r="BK2071" s="355">
        <v>3.2000000000000001E-2</v>
      </c>
    </row>
    <row r="2072" spans="3:63" x14ac:dyDescent="0.15">
      <c r="C2072" s="624"/>
      <c r="D2072" s="355">
        <v>3.1309999999999998E-2</v>
      </c>
      <c r="AV2072" s="624"/>
      <c r="AX2072" s="624">
        <v>41159</v>
      </c>
      <c r="AY2072" s="355">
        <v>3.1530000000000002E-2</v>
      </c>
      <c r="AZ2072" s="624">
        <v>41225</v>
      </c>
      <c r="BA2072" s="355">
        <v>1.14E-2</v>
      </c>
      <c r="BB2072" s="624">
        <v>41156</v>
      </c>
      <c r="BC2072" s="355">
        <v>0.29949999999999999</v>
      </c>
      <c r="BD2072" s="624">
        <v>41156</v>
      </c>
      <c r="BE2072" s="355">
        <v>8.8220000000000007E-2</v>
      </c>
      <c r="BF2072" s="624">
        <v>41277</v>
      </c>
      <c r="BG2072" s="355">
        <v>1.8290000000000001E-2</v>
      </c>
      <c r="BH2072" s="624">
        <v>41156</v>
      </c>
      <c r="BI2072" s="355">
        <v>0.104145</v>
      </c>
      <c r="BJ2072" s="624">
        <v>41155</v>
      </c>
      <c r="BK2072" s="355">
        <v>3.2041E-2</v>
      </c>
    </row>
    <row r="2073" spans="3:63" x14ac:dyDescent="0.15">
      <c r="C2073" s="624"/>
      <c r="D2073" s="355">
        <v>3.1530000000000002E-2</v>
      </c>
      <c r="AV2073" s="624"/>
      <c r="AX2073" s="624">
        <v>41162</v>
      </c>
      <c r="AY2073" s="355">
        <v>3.1570000000000001E-2</v>
      </c>
      <c r="AZ2073" s="624">
        <v>41226</v>
      </c>
      <c r="BA2073" s="355">
        <v>1.1299999999999999E-2</v>
      </c>
      <c r="BB2073" s="624">
        <v>41157</v>
      </c>
      <c r="BC2073" s="355">
        <v>0.30149999999999999</v>
      </c>
      <c r="BD2073" s="624">
        <v>41157</v>
      </c>
      <c r="BE2073" s="355">
        <v>8.7980000000000003E-2</v>
      </c>
      <c r="BF2073" s="624">
        <v>41278</v>
      </c>
      <c r="BG2073" s="355">
        <v>1.8242000000000001E-2</v>
      </c>
      <c r="BH2073" s="624">
        <v>41157</v>
      </c>
      <c r="BI2073" s="355">
        <v>0.104494</v>
      </c>
      <c r="BJ2073" s="624">
        <v>41156</v>
      </c>
      <c r="BK2073" s="355">
        <v>3.2045999999999998E-2</v>
      </c>
    </row>
    <row r="2074" spans="3:63" x14ac:dyDescent="0.15">
      <c r="C2074" s="624"/>
      <c r="D2074" s="355">
        <v>3.1570000000000001E-2</v>
      </c>
      <c r="AV2074" s="624"/>
      <c r="AX2074" s="624">
        <v>41163</v>
      </c>
      <c r="AY2074" s="355">
        <v>3.1730000000000001E-2</v>
      </c>
      <c r="AZ2074" s="624">
        <v>41227</v>
      </c>
      <c r="BA2074" s="355">
        <v>1.1299999999999999E-2</v>
      </c>
      <c r="BB2074" s="624">
        <v>41158</v>
      </c>
      <c r="BC2074" s="355">
        <v>0.30599999999999999</v>
      </c>
      <c r="BD2074" s="624">
        <v>41158</v>
      </c>
      <c r="BE2074" s="355">
        <v>8.8239999999999999E-2</v>
      </c>
      <c r="BF2074" s="624">
        <v>41281</v>
      </c>
      <c r="BG2074" s="355">
        <v>1.8124000000000001E-2</v>
      </c>
      <c r="BH2074" s="624">
        <v>41158</v>
      </c>
      <c r="BI2074" s="355">
        <v>0.104548</v>
      </c>
      <c r="BJ2074" s="624">
        <v>41157</v>
      </c>
      <c r="BK2074" s="355">
        <v>3.1989999999999998E-2</v>
      </c>
    </row>
    <row r="2075" spans="3:63" x14ac:dyDescent="0.15">
      <c r="C2075" s="624"/>
      <c r="D2075" s="355">
        <v>3.1730000000000001E-2</v>
      </c>
      <c r="AV2075" s="624"/>
      <c r="AX2075" s="624">
        <v>41164</v>
      </c>
      <c r="AY2075" s="355">
        <v>3.1780000000000003E-2</v>
      </c>
      <c r="AZ2075" s="624">
        <v>41228</v>
      </c>
      <c r="BA2075" s="355">
        <v>1.14E-2</v>
      </c>
      <c r="BB2075" s="624">
        <v>41159</v>
      </c>
      <c r="BC2075" s="355">
        <v>0.31280000000000002</v>
      </c>
      <c r="BD2075" s="624">
        <v>41159</v>
      </c>
      <c r="BE2075" s="355">
        <v>8.8499999999999995E-2</v>
      </c>
      <c r="BF2075" s="624">
        <v>41282</v>
      </c>
      <c r="BG2075" s="355">
        <v>1.8193000000000001E-2</v>
      </c>
      <c r="BH2075" s="624">
        <v>41159</v>
      </c>
      <c r="BI2075" s="355">
        <v>0.104504</v>
      </c>
      <c r="BJ2075" s="624">
        <v>41158</v>
      </c>
      <c r="BK2075" s="355">
        <v>3.2072000000000003E-2</v>
      </c>
    </row>
    <row r="2076" spans="3:63" x14ac:dyDescent="0.15">
      <c r="C2076" s="624"/>
      <c r="D2076" s="355">
        <v>3.1780000000000003E-2</v>
      </c>
      <c r="AV2076" s="624"/>
      <c r="AX2076" s="624">
        <v>41165</v>
      </c>
      <c r="AY2076" s="355">
        <v>3.218E-2</v>
      </c>
      <c r="AZ2076" s="624">
        <v>41229</v>
      </c>
      <c r="BA2076" s="355">
        <v>1.1299999999999999E-2</v>
      </c>
      <c r="BB2076" s="624">
        <v>41162</v>
      </c>
      <c r="BC2076" s="355">
        <v>0.31</v>
      </c>
      <c r="BD2076" s="624">
        <v>41162</v>
      </c>
      <c r="BE2076" s="355">
        <v>8.856E-2</v>
      </c>
      <c r="BF2076" s="624">
        <v>41283</v>
      </c>
      <c r="BG2076" s="355">
        <v>1.8242999999999999E-2</v>
      </c>
      <c r="BH2076" s="624">
        <v>41162</v>
      </c>
      <c r="BI2076" s="355">
        <v>0.104461</v>
      </c>
      <c r="BJ2076" s="624">
        <v>41159</v>
      </c>
      <c r="BK2076" s="355">
        <v>3.2196000000000002E-2</v>
      </c>
    </row>
    <row r="2077" spans="3:63" x14ac:dyDescent="0.15">
      <c r="C2077" s="624"/>
      <c r="D2077" s="355">
        <v>3.218E-2</v>
      </c>
      <c r="AV2077" s="624"/>
      <c r="AX2077" s="624">
        <v>41166</v>
      </c>
      <c r="AY2077" s="355">
        <v>3.2730000000000002E-2</v>
      </c>
      <c r="AZ2077" s="624">
        <v>41232</v>
      </c>
      <c r="BA2077" s="355">
        <v>1.14E-2</v>
      </c>
      <c r="BB2077" s="624">
        <v>41163</v>
      </c>
      <c r="BC2077" s="355">
        <v>0.3155</v>
      </c>
      <c r="BD2077" s="624">
        <v>41163</v>
      </c>
      <c r="BE2077" s="355">
        <v>8.8690000000000005E-2</v>
      </c>
      <c r="BF2077" s="624">
        <v>41284</v>
      </c>
      <c r="BG2077" s="355">
        <v>1.8332999999999999E-2</v>
      </c>
      <c r="BH2077" s="624">
        <v>41163</v>
      </c>
      <c r="BI2077" s="355">
        <v>0.104417</v>
      </c>
      <c r="BJ2077" s="624">
        <v>41162</v>
      </c>
      <c r="BK2077" s="355">
        <v>3.2154000000000002E-2</v>
      </c>
    </row>
    <row r="2078" spans="3:63" x14ac:dyDescent="0.15">
      <c r="C2078" s="624"/>
      <c r="D2078" s="355">
        <v>3.2730000000000002E-2</v>
      </c>
      <c r="AV2078" s="624"/>
      <c r="AX2078" s="624">
        <v>41169</v>
      </c>
      <c r="AY2078" s="355">
        <v>3.2530000000000003E-2</v>
      </c>
      <c r="AZ2078" s="624">
        <v>41233</v>
      </c>
      <c r="BA2078" s="355">
        <v>1.1299999999999999E-2</v>
      </c>
      <c r="BB2078" s="624">
        <v>41164</v>
      </c>
      <c r="BC2078" s="355">
        <v>0.315</v>
      </c>
      <c r="BD2078" s="624">
        <v>41164</v>
      </c>
      <c r="BE2078" s="355">
        <v>8.8760000000000006E-2</v>
      </c>
      <c r="BF2078" s="624">
        <v>41285</v>
      </c>
      <c r="BG2078" s="355">
        <v>1.8245000000000001E-2</v>
      </c>
      <c r="BH2078" s="624">
        <v>41164</v>
      </c>
      <c r="BI2078" s="355">
        <v>0.104417</v>
      </c>
      <c r="BJ2078" s="624">
        <v>41163</v>
      </c>
      <c r="BK2078" s="355">
        <v>3.2217000000000003E-2</v>
      </c>
    </row>
    <row r="2079" spans="3:63" x14ac:dyDescent="0.15">
      <c r="C2079" s="624"/>
      <c r="D2079" s="355">
        <v>3.2530000000000003E-2</v>
      </c>
      <c r="AV2079" s="624"/>
      <c r="AX2079" s="624">
        <v>41170</v>
      </c>
      <c r="AY2079" s="355">
        <v>3.2349999999999997E-2</v>
      </c>
      <c r="AZ2079" s="624">
        <v>41234</v>
      </c>
      <c r="BA2079" s="355">
        <v>1.1299999999999999E-2</v>
      </c>
      <c r="BB2079" s="624">
        <v>41165</v>
      </c>
      <c r="BC2079" s="355">
        <v>0.31859999999999999</v>
      </c>
      <c r="BD2079" s="624">
        <v>41165</v>
      </c>
      <c r="BE2079" s="355">
        <v>8.8859999999999995E-2</v>
      </c>
      <c r="BF2079" s="624">
        <v>41288</v>
      </c>
      <c r="BG2079" s="355">
        <v>1.8327E-2</v>
      </c>
      <c r="BH2079" s="624">
        <v>41165</v>
      </c>
      <c r="BI2079" s="355">
        <v>0.104368</v>
      </c>
      <c r="BJ2079" s="624">
        <v>41164</v>
      </c>
      <c r="BK2079" s="355">
        <v>3.2258000000000002E-2</v>
      </c>
    </row>
    <row r="2080" spans="3:63" x14ac:dyDescent="0.15">
      <c r="C2080" s="624"/>
      <c r="D2080" s="355">
        <v>3.2349999999999997E-2</v>
      </c>
      <c r="AV2080" s="624"/>
      <c r="AX2080" s="624">
        <v>41171</v>
      </c>
      <c r="AY2080" s="355">
        <v>3.211E-2</v>
      </c>
      <c r="AZ2080" s="624">
        <v>41235</v>
      </c>
      <c r="BA2080" s="355">
        <v>1.14E-2</v>
      </c>
      <c r="BB2080" s="624">
        <v>41166</v>
      </c>
      <c r="BC2080" s="355">
        <v>0.32329999999999998</v>
      </c>
      <c r="BD2080" s="624">
        <v>41166</v>
      </c>
      <c r="BE2080" s="355">
        <v>8.9560000000000001E-2</v>
      </c>
      <c r="BF2080" s="624">
        <v>41289</v>
      </c>
      <c r="BG2080" s="355">
        <v>1.8319999999999999E-2</v>
      </c>
      <c r="BH2080" s="624">
        <v>41166</v>
      </c>
      <c r="BI2080" s="355">
        <v>0.10571999999999999</v>
      </c>
      <c r="BJ2080" s="624">
        <v>41165</v>
      </c>
      <c r="BK2080" s="355">
        <v>3.2362000000000002E-2</v>
      </c>
    </row>
    <row r="2081" spans="3:63" x14ac:dyDescent="0.15">
      <c r="C2081" s="624"/>
      <c r="D2081" s="355">
        <v>3.211E-2</v>
      </c>
      <c r="AV2081" s="624"/>
      <c r="AX2081" s="624">
        <v>41172</v>
      </c>
      <c r="AY2081" s="355">
        <v>3.2099999999999997E-2</v>
      </c>
      <c r="AZ2081" s="624">
        <v>41236</v>
      </c>
      <c r="BA2081" s="355">
        <v>1.1599999999999999E-2</v>
      </c>
      <c r="BB2081" s="624">
        <v>41169</v>
      </c>
      <c r="BC2081" s="355">
        <v>0.31990000000000002</v>
      </c>
      <c r="BD2081" s="624">
        <v>41169</v>
      </c>
      <c r="BE2081" s="355">
        <v>8.9539999999999995E-2</v>
      </c>
      <c r="BF2081" s="624">
        <v>41290</v>
      </c>
      <c r="BG2081" s="355">
        <v>1.8273000000000001E-2</v>
      </c>
      <c r="BH2081" s="624">
        <v>41169</v>
      </c>
      <c r="BI2081" s="355">
        <v>0.10567500000000001</v>
      </c>
      <c r="BJ2081" s="624">
        <v>41166</v>
      </c>
      <c r="BK2081" s="355">
        <v>3.2499E-2</v>
      </c>
    </row>
    <row r="2082" spans="3:63" x14ac:dyDescent="0.15">
      <c r="C2082" s="624"/>
      <c r="D2082" s="355">
        <v>3.2099999999999997E-2</v>
      </c>
      <c r="AV2082" s="624"/>
      <c r="AX2082" s="624">
        <v>41173</v>
      </c>
      <c r="AY2082" s="355">
        <v>3.2280000000000003E-2</v>
      </c>
      <c r="AZ2082" s="624">
        <v>41239</v>
      </c>
      <c r="BA2082" s="355">
        <v>1.1599999999999999E-2</v>
      </c>
      <c r="BB2082" s="624">
        <v>41170</v>
      </c>
      <c r="BC2082" s="355">
        <v>0.31719999999999998</v>
      </c>
      <c r="BD2082" s="624">
        <v>41170</v>
      </c>
      <c r="BE2082" s="355">
        <v>8.9410000000000003E-2</v>
      </c>
      <c r="BF2082" s="624">
        <v>41291</v>
      </c>
      <c r="BG2082" s="355">
        <v>1.8485999999999999E-2</v>
      </c>
      <c r="BH2082" s="624">
        <v>41170</v>
      </c>
      <c r="BI2082" s="355">
        <v>0.105031</v>
      </c>
      <c r="BJ2082" s="624">
        <v>41169</v>
      </c>
      <c r="BK2082" s="355">
        <v>3.2446000000000003E-2</v>
      </c>
    </row>
    <row r="2083" spans="3:63" x14ac:dyDescent="0.15">
      <c r="C2083" s="624"/>
      <c r="D2083" s="355">
        <v>3.2280000000000003E-2</v>
      </c>
      <c r="AV2083" s="624"/>
      <c r="AX2083" s="624">
        <v>41176</v>
      </c>
      <c r="AY2083" s="355">
        <v>3.211E-2</v>
      </c>
      <c r="AZ2083" s="624">
        <v>41240</v>
      </c>
      <c r="BA2083" s="355">
        <v>1.14E-2</v>
      </c>
      <c r="BB2083" s="624">
        <v>41171</v>
      </c>
      <c r="BC2083" s="355">
        <v>0.315</v>
      </c>
      <c r="BD2083" s="624">
        <v>41171</v>
      </c>
      <c r="BE2083" s="355">
        <v>8.9649999999999994E-2</v>
      </c>
      <c r="BF2083" s="624">
        <v>41292</v>
      </c>
      <c r="BG2083" s="355">
        <v>1.8599000000000001E-2</v>
      </c>
      <c r="BH2083" s="624">
        <v>41171</v>
      </c>
      <c r="BI2083" s="355">
        <v>0.10484499999999999</v>
      </c>
      <c r="BJ2083" s="624">
        <v>41170</v>
      </c>
      <c r="BK2083" s="355">
        <v>3.2436E-2</v>
      </c>
    </row>
    <row r="2084" spans="3:63" x14ac:dyDescent="0.15">
      <c r="C2084" s="624"/>
      <c r="D2084" s="355">
        <v>3.211E-2</v>
      </c>
      <c r="AV2084" s="624"/>
      <c r="AX2084" s="624">
        <v>41177</v>
      </c>
      <c r="AY2084" s="355">
        <v>3.2169999999999997E-2</v>
      </c>
      <c r="AZ2084" s="624">
        <v>41241</v>
      </c>
      <c r="BA2084" s="355">
        <v>1.15E-2</v>
      </c>
      <c r="BB2084" s="624">
        <v>41172</v>
      </c>
      <c r="BC2084" s="355">
        <v>0.31259999999999999</v>
      </c>
      <c r="BD2084" s="624">
        <v>41172</v>
      </c>
      <c r="BE2084" s="355">
        <v>8.9359999999999995E-2</v>
      </c>
      <c r="BF2084" s="624">
        <v>41295</v>
      </c>
      <c r="BG2084" s="355">
        <v>1.866E-2</v>
      </c>
      <c r="BH2084" s="624">
        <v>41172</v>
      </c>
      <c r="BI2084" s="355">
        <v>0.104657</v>
      </c>
      <c r="BJ2084" s="624">
        <v>41171</v>
      </c>
      <c r="BK2084" s="355">
        <v>3.2473000000000002E-2</v>
      </c>
    </row>
    <row r="2085" spans="3:63" x14ac:dyDescent="0.15">
      <c r="C2085" s="624"/>
      <c r="D2085" s="355">
        <v>3.2169999999999997E-2</v>
      </c>
      <c r="AV2085" s="624"/>
      <c r="AX2085" s="624">
        <v>41178</v>
      </c>
      <c r="AY2085" s="355">
        <v>3.193E-2</v>
      </c>
      <c r="AZ2085" s="624">
        <v>41242</v>
      </c>
      <c r="BA2085" s="355">
        <v>1.14E-2</v>
      </c>
      <c r="BB2085" s="624">
        <v>41173</v>
      </c>
      <c r="BC2085" s="355">
        <v>0.31369999999999998</v>
      </c>
      <c r="BD2085" s="624">
        <v>41173</v>
      </c>
      <c r="BE2085" s="355">
        <v>8.9370000000000005E-2</v>
      </c>
      <c r="BF2085" s="624">
        <v>41296</v>
      </c>
      <c r="BG2085" s="355">
        <v>1.8651999999999998E-2</v>
      </c>
      <c r="BH2085" s="624">
        <v>41173</v>
      </c>
      <c r="BI2085" s="355">
        <v>0.10452599999999999</v>
      </c>
      <c r="BJ2085" s="624">
        <v>41172</v>
      </c>
      <c r="BK2085" s="355">
        <v>3.2393999999999999E-2</v>
      </c>
    </row>
    <row r="2086" spans="3:63" x14ac:dyDescent="0.15">
      <c r="C2086" s="624"/>
      <c r="D2086" s="355">
        <v>3.193E-2</v>
      </c>
      <c r="AV2086" s="624"/>
      <c r="AX2086" s="624">
        <v>41179</v>
      </c>
      <c r="AY2086" s="355">
        <v>3.2239999999999998E-2</v>
      </c>
      <c r="AZ2086" s="624">
        <v>41243</v>
      </c>
      <c r="BA2086" s="355">
        <v>1.15E-2</v>
      </c>
      <c r="BB2086" s="624">
        <v>41176</v>
      </c>
      <c r="BC2086" s="355">
        <v>0.3115</v>
      </c>
      <c r="BD2086" s="624">
        <v>41176</v>
      </c>
      <c r="BE2086" s="355">
        <v>8.9200000000000002E-2</v>
      </c>
      <c r="BF2086" s="624">
        <v>41297</v>
      </c>
      <c r="BG2086" s="355">
        <v>1.8629E-2</v>
      </c>
      <c r="BH2086" s="624">
        <v>41176</v>
      </c>
      <c r="BI2086" s="355">
        <v>0.10457</v>
      </c>
      <c r="BJ2086" s="624">
        <v>41173</v>
      </c>
      <c r="BK2086" s="355">
        <v>3.2452000000000002E-2</v>
      </c>
    </row>
    <row r="2087" spans="3:63" x14ac:dyDescent="0.15">
      <c r="C2087" s="624"/>
      <c r="D2087" s="355">
        <v>3.2239999999999998E-2</v>
      </c>
      <c r="AV2087" s="624"/>
      <c r="AX2087" s="624">
        <v>41180</v>
      </c>
      <c r="AY2087" s="355">
        <v>3.2070000000000001E-2</v>
      </c>
      <c r="AZ2087" s="624">
        <v>41246</v>
      </c>
      <c r="BA2087" s="355">
        <v>1.15E-2</v>
      </c>
      <c r="BB2087" s="624">
        <v>41177</v>
      </c>
      <c r="BC2087" s="355">
        <v>0.31140000000000001</v>
      </c>
      <c r="BD2087" s="624">
        <v>41177</v>
      </c>
      <c r="BE2087" s="355">
        <v>8.9340000000000003E-2</v>
      </c>
      <c r="BF2087" s="624">
        <v>41298</v>
      </c>
      <c r="BG2087" s="355">
        <v>1.8629E-2</v>
      </c>
      <c r="BH2087" s="624">
        <v>41177</v>
      </c>
      <c r="BI2087" s="355">
        <v>0.104439</v>
      </c>
      <c r="BJ2087" s="624">
        <v>41176</v>
      </c>
      <c r="BK2087" s="355">
        <v>3.2335000000000003E-2</v>
      </c>
    </row>
    <row r="2088" spans="3:63" x14ac:dyDescent="0.15">
      <c r="C2088" s="624"/>
      <c r="D2088" s="355">
        <v>3.2070000000000001E-2</v>
      </c>
      <c r="AV2088" s="624"/>
      <c r="AX2088" s="624">
        <v>41183</v>
      </c>
      <c r="AY2088" s="355">
        <v>3.2039999999999999E-2</v>
      </c>
      <c r="AZ2088" s="624">
        <v>41247</v>
      </c>
      <c r="BA2088" s="355">
        <v>1.15E-2</v>
      </c>
      <c r="BB2088" s="624">
        <v>41178</v>
      </c>
      <c r="BC2088" s="355">
        <v>0.30990000000000001</v>
      </c>
      <c r="BD2088" s="624">
        <v>41178</v>
      </c>
      <c r="BE2088" s="355">
        <v>8.9279999999999998E-2</v>
      </c>
      <c r="BF2088" s="624">
        <v>41299</v>
      </c>
      <c r="BG2088" s="355">
        <v>1.8584E-2</v>
      </c>
      <c r="BH2088" s="624">
        <v>41178</v>
      </c>
      <c r="BI2088" s="355">
        <v>0.104559</v>
      </c>
      <c r="BJ2088" s="624">
        <v>41177</v>
      </c>
      <c r="BK2088" s="355">
        <v>3.2326000000000001E-2</v>
      </c>
    </row>
    <row r="2089" spans="3:63" x14ac:dyDescent="0.15">
      <c r="C2089" s="624"/>
      <c r="D2089" s="355">
        <v>3.2039999999999999E-2</v>
      </c>
      <c r="AV2089" s="624"/>
      <c r="AX2089" s="624">
        <v>41184</v>
      </c>
      <c r="AY2089" s="355">
        <v>3.211E-2</v>
      </c>
      <c r="AZ2089" s="624">
        <v>41248</v>
      </c>
      <c r="BA2089" s="355">
        <v>1.14E-2</v>
      </c>
      <c r="BB2089" s="624">
        <v>41179</v>
      </c>
      <c r="BC2089" s="355">
        <v>0.31309999999999999</v>
      </c>
      <c r="BD2089" s="624">
        <v>41179</v>
      </c>
      <c r="BE2089" s="355">
        <v>8.9590000000000003E-2</v>
      </c>
      <c r="BF2089" s="624">
        <v>41302</v>
      </c>
      <c r="BG2089" s="355">
        <v>1.8499999999999999E-2</v>
      </c>
      <c r="BH2089" s="624">
        <v>41179</v>
      </c>
      <c r="BI2089" s="355">
        <v>0.104701</v>
      </c>
      <c r="BJ2089" s="624">
        <v>41178</v>
      </c>
      <c r="BK2089" s="355">
        <v>3.2231999999999997E-2</v>
      </c>
    </row>
    <row r="2090" spans="3:63" x14ac:dyDescent="0.15">
      <c r="C2090" s="624"/>
      <c r="D2090" s="355">
        <v>3.211E-2</v>
      </c>
      <c r="AV2090" s="624"/>
      <c r="AX2090" s="624">
        <v>41185</v>
      </c>
      <c r="AY2090" s="355">
        <v>3.209E-2</v>
      </c>
      <c r="AZ2090" s="624">
        <v>41249</v>
      </c>
      <c r="BA2090" s="355">
        <v>1.14E-2</v>
      </c>
      <c r="BB2090" s="624">
        <v>41180</v>
      </c>
      <c r="BC2090" s="355">
        <v>0.31230000000000002</v>
      </c>
      <c r="BD2090" s="624">
        <v>41180</v>
      </c>
      <c r="BE2090" s="355">
        <v>8.9870000000000005E-2</v>
      </c>
      <c r="BF2090" s="624">
        <v>41303</v>
      </c>
      <c r="BG2090" s="355">
        <v>1.8671E-2</v>
      </c>
      <c r="BH2090" s="624">
        <v>41180</v>
      </c>
      <c r="BI2090" s="355">
        <v>0.104395</v>
      </c>
      <c r="BJ2090" s="624">
        <v>41179</v>
      </c>
      <c r="BK2090" s="355">
        <v>3.2349000000000003E-2</v>
      </c>
    </row>
    <row r="2091" spans="3:63" x14ac:dyDescent="0.15">
      <c r="C2091" s="624"/>
      <c r="D2091" s="355">
        <v>3.209E-2</v>
      </c>
      <c r="AV2091" s="624"/>
      <c r="AX2091" s="624">
        <v>41186</v>
      </c>
      <c r="AY2091" s="355">
        <v>3.2289999999999999E-2</v>
      </c>
      <c r="AZ2091" s="624">
        <v>41250</v>
      </c>
      <c r="BA2091" s="355">
        <v>1.14E-2</v>
      </c>
      <c r="BB2091" s="624">
        <v>41183</v>
      </c>
      <c r="BC2091" s="355">
        <v>0.31380000000000002</v>
      </c>
      <c r="BD2091" s="624">
        <v>41183</v>
      </c>
      <c r="BE2091" s="355">
        <v>8.9859999999999995E-2</v>
      </c>
      <c r="BF2091" s="624">
        <v>41304</v>
      </c>
      <c r="BG2091" s="355">
        <v>1.8785E-2</v>
      </c>
      <c r="BH2091" s="624">
        <v>41183</v>
      </c>
      <c r="BI2091" s="355">
        <v>0.10438500000000001</v>
      </c>
      <c r="BJ2091" s="624">
        <v>41180</v>
      </c>
      <c r="BK2091" s="355">
        <v>3.2436E-2</v>
      </c>
    </row>
    <row r="2092" spans="3:63" x14ac:dyDescent="0.15">
      <c r="C2092" s="624"/>
      <c r="D2092" s="355">
        <v>3.2289999999999999E-2</v>
      </c>
      <c r="AV2092" s="624"/>
      <c r="AX2092" s="624">
        <v>41187</v>
      </c>
      <c r="AY2092" s="355">
        <v>3.2239999999999998E-2</v>
      </c>
      <c r="AZ2092" s="624">
        <v>41253</v>
      </c>
      <c r="BA2092" s="355">
        <v>1.1299999999999999E-2</v>
      </c>
      <c r="BB2092" s="624">
        <v>41184</v>
      </c>
      <c r="BC2092" s="355">
        <v>0.314</v>
      </c>
      <c r="BD2092" s="624">
        <v>41184</v>
      </c>
      <c r="BE2092" s="355">
        <v>8.9829999999999993E-2</v>
      </c>
      <c r="BF2092" s="624">
        <v>41305</v>
      </c>
      <c r="BG2092" s="355">
        <v>1.8748999999999998E-2</v>
      </c>
      <c r="BH2092" s="624">
        <v>41184</v>
      </c>
      <c r="BI2092" s="355">
        <v>0.10438500000000001</v>
      </c>
      <c r="BJ2092" s="624">
        <v>41183</v>
      </c>
      <c r="BK2092" s="355">
        <v>3.2509999999999997E-2</v>
      </c>
    </row>
    <row r="2093" spans="3:63" x14ac:dyDescent="0.15">
      <c r="C2093" s="624"/>
      <c r="D2093" s="355">
        <v>3.2239999999999998E-2</v>
      </c>
      <c r="AV2093" s="624"/>
      <c r="AX2093" s="624">
        <v>41190</v>
      </c>
      <c r="AY2093" s="355">
        <v>3.2059999999999998E-2</v>
      </c>
      <c r="AZ2093" s="624">
        <v>41254</v>
      </c>
      <c r="BA2093" s="355">
        <v>1.14E-2</v>
      </c>
      <c r="BB2093" s="624">
        <v>41185</v>
      </c>
      <c r="BC2093" s="355">
        <v>0.316</v>
      </c>
      <c r="BD2093" s="624">
        <v>41185</v>
      </c>
      <c r="BE2093" s="355">
        <v>8.9810000000000001E-2</v>
      </c>
      <c r="BF2093" s="624">
        <v>41306</v>
      </c>
      <c r="BG2093" s="355">
        <v>1.8841E-2</v>
      </c>
      <c r="BH2093" s="624">
        <v>41185</v>
      </c>
      <c r="BI2093" s="355">
        <v>0.10433000000000001</v>
      </c>
      <c r="BJ2093" s="624">
        <v>41184</v>
      </c>
      <c r="BK2093" s="355">
        <v>3.2563000000000002E-2</v>
      </c>
    </row>
    <row r="2094" spans="3:63" x14ac:dyDescent="0.15">
      <c r="C2094" s="624"/>
      <c r="D2094" s="355">
        <v>3.2059999999999998E-2</v>
      </c>
      <c r="AV2094" s="624"/>
      <c r="AX2094" s="624">
        <v>41191</v>
      </c>
      <c r="AY2094" s="355">
        <v>3.2099999999999997E-2</v>
      </c>
      <c r="AZ2094" s="624">
        <v>41255</v>
      </c>
      <c r="BA2094" s="355">
        <v>1.15E-2</v>
      </c>
      <c r="BB2094" s="624">
        <v>41186</v>
      </c>
      <c r="BC2094" s="355">
        <v>0.31859999999999999</v>
      </c>
      <c r="BD2094" s="624">
        <v>41186</v>
      </c>
      <c r="BE2094" s="355">
        <v>8.9880000000000002E-2</v>
      </c>
      <c r="BF2094" s="624">
        <v>41309</v>
      </c>
      <c r="BG2094" s="355">
        <v>1.8752999999999999E-2</v>
      </c>
      <c r="BH2094" s="624">
        <v>41186</v>
      </c>
      <c r="BI2094" s="355">
        <v>0.10427599999999999</v>
      </c>
      <c r="BJ2094" s="624">
        <v>41185</v>
      </c>
      <c r="BK2094" s="355">
        <v>3.2584000000000002E-2</v>
      </c>
    </row>
    <row r="2095" spans="3:63" x14ac:dyDescent="0.15">
      <c r="C2095" s="624"/>
      <c r="D2095" s="355">
        <v>3.2099999999999997E-2</v>
      </c>
      <c r="AV2095" s="624"/>
      <c r="AX2095" s="624">
        <v>41192</v>
      </c>
      <c r="AY2095" s="355">
        <v>3.211E-2</v>
      </c>
      <c r="AZ2095" s="624">
        <v>41256</v>
      </c>
      <c r="BA2095" s="355">
        <v>1.15E-2</v>
      </c>
      <c r="BB2095" s="624">
        <v>41187</v>
      </c>
      <c r="BC2095" s="355">
        <v>0.31950000000000001</v>
      </c>
      <c r="BD2095" s="624">
        <v>41187</v>
      </c>
      <c r="BE2095" s="355">
        <v>9.0029999999999999E-2</v>
      </c>
      <c r="BF2095" s="624">
        <v>41310</v>
      </c>
      <c r="BG2095" s="355">
        <v>1.8866000000000001E-2</v>
      </c>
      <c r="BH2095" s="624">
        <v>41187</v>
      </c>
      <c r="BI2095" s="355">
        <v>0.104188</v>
      </c>
      <c r="BJ2095" s="624">
        <v>41186</v>
      </c>
      <c r="BK2095" s="355">
        <v>3.2696000000000003E-2</v>
      </c>
    </row>
    <row r="2096" spans="3:63" x14ac:dyDescent="0.15">
      <c r="C2096" s="624"/>
      <c r="D2096" s="355">
        <v>3.211E-2</v>
      </c>
      <c r="AV2096" s="624"/>
      <c r="AX2096" s="624">
        <v>41193</v>
      </c>
      <c r="AY2096" s="355">
        <v>3.2219999999999999E-2</v>
      </c>
      <c r="AZ2096" s="624">
        <v>41257</v>
      </c>
      <c r="BA2096" s="355">
        <v>1.1599999999999999E-2</v>
      </c>
      <c r="BB2096" s="624">
        <v>41190</v>
      </c>
      <c r="BC2096" s="355">
        <v>0.31869999999999998</v>
      </c>
      <c r="BD2096" s="624">
        <v>41190</v>
      </c>
      <c r="BE2096" s="355">
        <v>8.9959999999999998E-2</v>
      </c>
      <c r="BF2096" s="624">
        <v>41311</v>
      </c>
      <c r="BG2096" s="355">
        <v>1.8832000000000002E-2</v>
      </c>
      <c r="BH2096" s="624">
        <v>41190</v>
      </c>
      <c r="BI2096" s="355">
        <v>0.104265</v>
      </c>
      <c r="BJ2096" s="624">
        <v>41187</v>
      </c>
      <c r="BK2096" s="355">
        <v>3.2711999999999998E-2</v>
      </c>
    </row>
    <row r="2097" spans="3:63" x14ac:dyDescent="0.15">
      <c r="C2097" s="624"/>
      <c r="D2097" s="355">
        <v>3.2219999999999999E-2</v>
      </c>
      <c r="AV2097" s="624"/>
      <c r="AX2097" s="624">
        <v>41194</v>
      </c>
      <c r="AY2097" s="355">
        <v>3.2140000000000002E-2</v>
      </c>
      <c r="AZ2097" s="624">
        <v>41260</v>
      </c>
      <c r="BA2097" s="355">
        <v>1.1599999999999999E-2</v>
      </c>
      <c r="BB2097" s="624">
        <v>41191</v>
      </c>
      <c r="BC2097" s="355">
        <v>0.31630000000000003</v>
      </c>
      <c r="BD2097" s="624">
        <v>41191</v>
      </c>
      <c r="BE2097" s="355">
        <v>8.9980000000000004E-2</v>
      </c>
      <c r="BF2097" s="624">
        <v>41312</v>
      </c>
      <c r="BG2097" s="355">
        <v>1.8672000000000001E-2</v>
      </c>
      <c r="BH2097" s="624">
        <v>41191</v>
      </c>
      <c r="BI2097" s="355">
        <v>0.104254</v>
      </c>
      <c r="BJ2097" s="624">
        <v>41190</v>
      </c>
      <c r="BK2097" s="355">
        <v>3.2648000000000003E-2</v>
      </c>
    </row>
    <row r="2098" spans="3:63" x14ac:dyDescent="0.15">
      <c r="C2098" s="624"/>
      <c r="D2098" s="355">
        <v>3.2140000000000002E-2</v>
      </c>
      <c r="AV2098" s="624"/>
      <c r="AX2098" s="624">
        <v>41197</v>
      </c>
      <c r="AY2098" s="355">
        <v>3.2250000000000001E-2</v>
      </c>
      <c r="AZ2098" s="624">
        <v>41261</v>
      </c>
      <c r="BA2098" s="355">
        <v>1.17E-2</v>
      </c>
      <c r="BB2098" s="624">
        <v>41192</v>
      </c>
      <c r="BC2098" s="355">
        <v>0.31419999999999998</v>
      </c>
      <c r="BD2098" s="624">
        <v>41192</v>
      </c>
      <c r="BE2098" s="355">
        <v>8.9690000000000006E-2</v>
      </c>
      <c r="BF2098" s="624">
        <v>41313</v>
      </c>
      <c r="BG2098" s="355">
        <v>1.8651000000000001E-2</v>
      </c>
      <c r="BH2098" s="624">
        <v>41192</v>
      </c>
      <c r="BI2098" s="355">
        <v>0.104254</v>
      </c>
      <c r="BJ2098" s="624">
        <v>41191</v>
      </c>
      <c r="BK2098" s="355">
        <v>3.2572999999999998E-2</v>
      </c>
    </row>
    <row r="2099" spans="3:63" x14ac:dyDescent="0.15">
      <c r="C2099" s="624"/>
      <c r="D2099" s="355">
        <v>3.2250000000000001E-2</v>
      </c>
      <c r="AV2099" s="624"/>
      <c r="AX2099" s="624">
        <v>41198</v>
      </c>
      <c r="AY2099" s="355">
        <v>3.2399999999999998E-2</v>
      </c>
      <c r="AZ2099" s="624">
        <v>41262</v>
      </c>
      <c r="BA2099" s="355">
        <v>1.17E-2</v>
      </c>
      <c r="BB2099" s="624">
        <v>41193</v>
      </c>
      <c r="BC2099" s="355">
        <v>0.31569999999999998</v>
      </c>
      <c r="BD2099" s="624">
        <v>41193</v>
      </c>
      <c r="BE2099" s="355">
        <v>8.9810000000000001E-2</v>
      </c>
      <c r="BF2099" s="624">
        <v>41316</v>
      </c>
      <c r="BG2099" s="355">
        <v>1.8546E-2</v>
      </c>
      <c r="BH2099" s="624">
        <v>41193</v>
      </c>
      <c r="BI2099" s="355">
        <v>0.104352</v>
      </c>
      <c r="BJ2099" s="624">
        <v>41192</v>
      </c>
      <c r="BK2099" s="355">
        <v>3.2549000000000002E-2</v>
      </c>
    </row>
    <row r="2100" spans="3:63" x14ac:dyDescent="0.15">
      <c r="C2100" s="624"/>
      <c r="D2100" s="355">
        <v>3.2399999999999998E-2</v>
      </c>
      <c r="AV2100" s="624"/>
      <c r="AX2100" s="624">
        <v>41199</v>
      </c>
      <c r="AY2100" s="355">
        <v>3.252E-2</v>
      </c>
      <c r="AZ2100" s="624">
        <v>41263</v>
      </c>
      <c r="BA2100" s="355">
        <v>1.17E-2</v>
      </c>
      <c r="BB2100" s="624">
        <v>41194</v>
      </c>
      <c r="BC2100" s="355">
        <v>0.31609999999999999</v>
      </c>
      <c r="BD2100" s="624">
        <v>41194</v>
      </c>
      <c r="BE2100" s="355">
        <v>8.9990000000000001E-2</v>
      </c>
      <c r="BF2100" s="624">
        <v>41317</v>
      </c>
      <c r="BG2100" s="355">
        <v>1.8610000000000002E-2</v>
      </c>
      <c r="BH2100" s="624">
        <v>41194</v>
      </c>
      <c r="BI2100" s="355">
        <v>0.10415000000000001</v>
      </c>
      <c r="BJ2100" s="624">
        <v>41193</v>
      </c>
      <c r="BK2100" s="355">
        <v>3.2563000000000002E-2</v>
      </c>
    </row>
    <row r="2101" spans="3:63" x14ac:dyDescent="0.15">
      <c r="C2101" s="624"/>
      <c r="D2101" s="355">
        <v>3.252E-2</v>
      </c>
      <c r="AV2101" s="624"/>
      <c r="AX2101" s="624">
        <v>41200</v>
      </c>
      <c r="AY2101" s="355">
        <v>3.2480000000000002E-2</v>
      </c>
      <c r="AZ2101" s="624">
        <v>41264</v>
      </c>
      <c r="BA2101" s="355">
        <v>1.17E-2</v>
      </c>
      <c r="BB2101" s="624">
        <v>41197</v>
      </c>
      <c r="BC2101" s="355">
        <v>0.3165</v>
      </c>
      <c r="BD2101" s="624">
        <v>41197</v>
      </c>
      <c r="BE2101" s="355">
        <v>9.0069999999999997E-2</v>
      </c>
      <c r="BF2101" s="624">
        <v>41318</v>
      </c>
      <c r="BG2101" s="355">
        <v>1.8582000000000001E-2</v>
      </c>
      <c r="BH2101" s="624">
        <v>41197</v>
      </c>
      <c r="BI2101" s="355">
        <v>0.10406899999999999</v>
      </c>
      <c r="BJ2101" s="624">
        <v>41194</v>
      </c>
      <c r="BK2101" s="355">
        <v>3.2584000000000002E-2</v>
      </c>
    </row>
    <row r="2102" spans="3:63" x14ac:dyDescent="0.15">
      <c r="C2102" s="624"/>
      <c r="D2102" s="355">
        <v>3.2480000000000002E-2</v>
      </c>
      <c r="AV2102" s="624"/>
      <c r="AX2102" s="624">
        <v>41201</v>
      </c>
      <c r="AY2102" s="355">
        <v>3.2379999999999999E-2</v>
      </c>
      <c r="AZ2102" s="624">
        <v>41267</v>
      </c>
      <c r="BA2102" s="355">
        <v>1.1599999999999999E-2</v>
      </c>
      <c r="BB2102" s="624">
        <v>41198</v>
      </c>
      <c r="BC2102" s="355">
        <v>0.3196</v>
      </c>
      <c r="BD2102" s="624">
        <v>41198</v>
      </c>
      <c r="BE2102" s="355">
        <v>9.0359999999999996E-2</v>
      </c>
      <c r="BF2102" s="624">
        <v>41319</v>
      </c>
      <c r="BG2102" s="355">
        <v>1.8526999999999998E-2</v>
      </c>
      <c r="BH2102" s="624">
        <v>41198</v>
      </c>
      <c r="BI2102" s="355">
        <v>0.10427599999999999</v>
      </c>
      <c r="BJ2102" s="624">
        <v>41197</v>
      </c>
      <c r="BK2102" s="355">
        <v>3.2551999999999998E-2</v>
      </c>
    </row>
    <row r="2103" spans="3:63" x14ac:dyDescent="0.15">
      <c r="C2103" s="624"/>
      <c r="D2103" s="355">
        <v>3.2379999999999999E-2</v>
      </c>
      <c r="AV2103" s="624"/>
      <c r="AX2103" s="624">
        <v>41204</v>
      </c>
      <c r="AY2103" s="355">
        <v>3.2129999999999999E-2</v>
      </c>
      <c r="AZ2103" s="624">
        <v>41268</v>
      </c>
      <c r="BA2103" s="355">
        <v>1.1599999999999999E-2</v>
      </c>
      <c r="BB2103" s="624">
        <v>41199</v>
      </c>
      <c r="BC2103" s="355">
        <v>0.3201</v>
      </c>
      <c r="BD2103" s="624">
        <v>41199</v>
      </c>
      <c r="BE2103" s="355">
        <v>9.0450000000000003E-2</v>
      </c>
      <c r="BF2103" s="624">
        <v>41320</v>
      </c>
      <c r="BG2103" s="355">
        <v>1.8394000000000001E-2</v>
      </c>
      <c r="BH2103" s="624">
        <v>41199</v>
      </c>
      <c r="BI2103" s="355">
        <v>0.10445</v>
      </c>
      <c r="BJ2103" s="624">
        <v>41198</v>
      </c>
      <c r="BK2103" s="355">
        <v>3.2620000000000003E-2</v>
      </c>
    </row>
    <row r="2104" spans="3:63" x14ac:dyDescent="0.15">
      <c r="C2104" s="624"/>
      <c r="D2104" s="355">
        <v>3.2129999999999999E-2</v>
      </c>
      <c r="AV2104" s="624"/>
      <c r="AX2104" s="624">
        <v>41205</v>
      </c>
      <c r="AY2104" s="355">
        <v>3.1859999999999999E-2</v>
      </c>
      <c r="AZ2104" s="624">
        <v>41269</v>
      </c>
      <c r="BA2104" s="355">
        <v>1.17E-2</v>
      </c>
      <c r="BB2104" s="624">
        <v>41200</v>
      </c>
      <c r="BC2104" s="355">
        <v>0.31890000000000002</v>
      </c>
      <c r="BD2104" s="624">
        <v>41200</v>
      </c>
      <c r="BE2104" s="355">
        <v>9.0509999999999993E-2</v>
      </c>
      <c r="BF2104" s="624">
        <v>41323</v>
      </c>
      <c r="BG2104" s="355">
        <v>1.8395999999999999E-2</v>
      </c>
      <c r="BH2104" s="624">
        <v>41200</v>
      </c>
      <c r="BI2104" s="355">
        <v>0.10433000000000001</v>
      </c>
      <c r="BJ2104" s="624">
        <v>41199</v>
      </c>
      <c r="BK2104" s="355">
        <v>3.2668999999999997E-2</v>
      </c>
    </row>
    <row r="2105" spans="3:63" x14ac:dyDescent="0.15">
      <c r="C2105" s="624"/>
      <c r="D2105" s="355">
        <v>3.1859999999999999E-2</v>
      </c>
      <c r="AV2105" s="624"/>
      <c r="AX2105" s="624">
        <v>41206</v>
      </c>
      <c r="AY2105" s="355">
        <v>3.1809999999999998E-2</v>
      </c>
      <c r="AZ2105" s="624">
        <v>41270</v>
      </c>
      <c r="BA2105" s="355">
        <v>1.1599999999999999E-2</v>
      </c>
      <c r="BB2105" s="624">
        <v>41201</v>
      </c>
      <c r="BC2105" s="355">
        <v>0.31709999999999999</v>
      </c>
      <c r="BD2105" s="624">
        <v>41201</v>
      </c>
      <c r="BE2105" s="355">
        <v>9.0529999999999999E-2</v>
      </c>
      <c r="BF2105" s="624">
        <v>41324</v>
      </c>
      <c r="BG2105" s="355">
        <v>1.8478999999999999E-2</v>
      </c>
      <c r="BH2105" s="624">
        <v>41201</v>
      </c>
      <c r="BI2105" s="355">
        <v>0.104243</v>
      </c>
      <c r="BJ2105" s="624">
        <v>41200</v>
      </c>
      <c r="BK2105" s="355">
        <v>3.2590000000000001E-2</v>
      </c>
    </row>
    <row r="2106" spans="3:63" x14ac:dyDescent="0.15">
      <c r="C2106" s="624"/>
      <c r="D2106" s="355">
        <v>3.1809999999999998E-2</v>
      </c>
      <c r="AV2106" s="624"/>
      <c r="AX2106" s="624">
        <v>41207</v>
      </c>
      <c r="AY2106" s="355">
        <v>3.1899999999999998E-2</v>
      </c>
      <c r="AZ2106" s="624">
        <v>41271</v>
      </c>
      <c r="BA2106" s="355">
        <v>1.17E-2</v>
      </c>
      <c r="BB2106" s="624">
        <v>41204</v>
      </c>
      <c r="BC2106" s="355">
        <v>0.31819999999999998</v>
      </c>
      <c r="BD2106" s="624">
        <v>41204</v>
      </c>
      <c r="BE2106" s="355">
        <v>9.0569999999999998E-2</v>
      </c>
      <c r="BF2106" s="624">
        <v>41325</v>
      </c>
      <c r="BG2106" s="355">
        <v>1.8415000000000001E-2</v>
      </c>
      <c r="BH2106" s="624">
        <v>41204</v>
      </c>
      <c r="BI2106" s="355">
        <v>0.10412299999999999</v>
      </c>
      <c r="BJ2106" s="624">
        <v>41201</v>
      </c>
      <c r="BK2106" s="355">
        <v>3.2557000000000003E-2</v>
      </c>
    </row>
    <row r="2107" spans="3:63" x14ac:dyDescent="0.15">
      <c r="C2107" s="624"/>
      <c r="D2107" s="355">
        <v>3.1899999999999998E-2</v>
      </c>
      <c r="AV2107" s="624"/>
      <c r="AX2107" s="624">
        <v>41208</v>
      </c>
      <c r="AY2107" s="355">
        <v>3.1850000000000003E-2</v>
      </c>
      <c r="AZ2107" s="624">
        <v>41274</v>
      </c>
      <c r="BA2107" s="355">
        <v>1.17E-2</v>
      </c>
      <c r="BB2107" s="624">
        <v>41205</v>
      </c>
      <c r="BC2107" s="355">
        <v>0.3145</v>
      </c>
      <c r="BD2107" s="624">
        <v>41205</v>
      </c>
      <c r="BE2107" s="355">
        <v>9.0539999999999995E-2</v>
      </c>
      <c r="BF2107" s="624">
        <v>41326</v>
      </c>
      <c r="BG2107" s="355">
        <v>1.8290000000000001E-2</v>
      </c>
      <c r="BH2107" s="624">
        <v>41205</v>
      </c>
      <c r="BI2107" s="355">
        <v>0.10408100000000001</v>
      </c>
      <c r="BJ2107" s="624">
        <v>41204</v>
      </c>
      <c r="BK2107" s="355">
        <v>3.2551999999999998E-2</v>
      </c>
    </row>
    <row r="2108" spans="3:63" x14ac:dyDescent="0.15">
      <c r="C2108" s="624"/>
      <c r="D2108" s="355">
        <v>3.1850000000000003E-2</v>
      </c>
      <c r="AV2108" s="624"/>
      <c r="AX2108" s="624">
        <v>41211</v>
      </c>
      <c r="AY2108" s="355">
        <v>3.1730000000000001E-2</v>
      </c>
      <c r="AZ2108" s="624">
        <v>41275</v>
      </c>
      <c r="BA2108" s="355">
        <v>1.18E-2</v>
      </c>
      <c r="BB2108" s="624">
        <v>41206</v>
      </c>
      <c r="BC2108" s="355">
        <v>0.31180000000000002</v>
      </c>
      <c r="BD2108" s="624">
        <v>41206</v>
      </c>
      <c r="BE2108" s="355">
        <v>9.0550000000000005E-2</v>
      </c>
      <c r="BF2108" s="624">
        <v>41327</v>
      </c>
      <c r="BG2108" s="355">
        <v>1.8422999999999998E-2</v>
      </c>
      <c r="BH2108" s="624">
        <v>41206</v>
      </c>
      <c r="BI2108" s="355">
        <v>0.104059</v>
      </c>
      <c r="BJ2108" s="624">
        <v>41205</v>
      </c>
      <c r="BK2108" s="355">
        <v>3.252E-2</v>
      </c>
    </row>
    <row r="2109" spans="3:63" x14ac:dyDescent="0.15">
      <c r="C2109" s="624"/>
      <c r="D2109" s="355">
        <v>3.1730000000000001E-2</v>
      </c>
      <c r="AV2109" s="624"/>
      <c r="AX2109" s="624">
        <v>41212</v>
      </c>
      <c r="AY2109" s="355">
        <v>3.1859999999999999E-2</v>
      </c>
      <c r="AZ2109" s="624">
        <v>41276</v>
      </c>
      <c r="BA2109" s="355">
        <v>1.17E-2</v>
      </c>
      <c r="BB2109" s="624">
        <v>41207</v>
      </c>
      <c r="BC2109" s="355">
        <v>0.31140000000000001</v>
      </c>
      <c r="BD2109" s="624">
        <v>41207</v>
      </c>
      <c r="BE2109" s="355">
        <v>9.1130000000000003E-2</v>
      </c>
      <c r="BF2109" s="624">
        <v>41330</v>
      </c>
      <c r="BG2109" s="355">
        <v>1.8485999999999999E-2</v>
      </c>
      <c r="BH2109" s="624">
        <v>41207</v>
      </c>
      <c r="BI2109" s="355">
        <v>0.10419399999999999</v>
      </c>
      <c r="BJ2109" s="624">
        <v>41206</v>
      </c>
      <c r="BK2109" s="355">
        <v>3.2547E-2</v>
      </c>
    </row>
    <row r="2110" spans="3:63" x14ac:dyDescent="0.15">
      <c r="C2110" s="624"/>
      <c r="D2110" s="355">
        <v>3.1859999999999999E-2</v>
      </c>
      <c r="AV2110" s="624"/>
      <c r="AX2110" s="624">
        <v>41213</v>
      </c>
      <c r="AY2110" s="355">
        <v>3.1899999999999998E-2</v>
      </c>
      <c r="AZ2110" s="624">
        <v>41277</v>
      </c>
      <c r="BA2110" s="355">
        <v>1.17E-2</v>
      </c>
      <c r="BB2110" s="624">
        <v>41208</v>
      </c>
      <c r="BC2110" s="355">
        <v>0.31309999999999999</v>
      </c>
      <c r="BD2110" s="624">
        <v>41208</v>
      </c>
      <c r="BE2110" s="355">
        <v>9.1139999999999999E-2</v>
      </c>
      <c r="BF2110" s="624">
        <v>41331</v>
      </c>
      <c r="BG2110" s="355">
        <v>1.8491E-2</v>
      </c>
      <c r="BH2110" s="624">
        <v>41208</v>
      </c>
      <c r="BI2110" s="355">
        <v>0.104048</v>
      </c>
      <c r="BJ2110" s="624">
        <v>41207</v>
      </c>
      <c r="BK2110" s="355">
        <v>3.2594999999999999E-2</v>
      </c>
    </row>
    <row r="2111" spans="3:63" x14ac:dyDescent="0.15">
      <c r="C2111" s="624"/>
      <c r="D2111" s="355">
        <v>3.1899999999999998E-2</v>
      </c>
      <c r="AV2111" s="624"/>
      <c r="AX2111" s="624">
        <v>41214</v>
      </c>
      <c r="AY2111" s="355">
        <v>3.1960000000000002E-2</v>
      </c>
      <c r="AZ2111" s="624">
        <v>41278</v>
      </c>
      <c r="BA2111" s="355">
        <v>1.1599999999999999E-2</v>
      </c>
      <c r="BB2111" s="624">
        <v>41211</v>
      </c>
      <c r="BC2111" s="355">
        <v>0.31109999999999999</v>
      </c>
      <c r="BD2111" s="624">
        <v>41211</v>
      </c>
      <c r="BE2111" s="355">
        <v>9.11E-2</v>
      </c>
      <c r="BF2111" s="624">
        <v>41332</v>
      </c>
      <c r="BG2111" s="355">
        <v>1.8610000000000002E-2</v>
      </c>
      <c r="BH2111" s="624">
        <v>41211</v>
      </c>
      <c r="BI2111" s="355">
        <v>0.104119</v>
      </c>
      <c r="BJ2111" s="624">
        <v>41208</v>
      </c>
      <c r="BK2111" s="355">
        <v>3.2572999999999998E-2</v>
      </c>
    </row>
    <row r="2112" spans="3:63" x14ac:dyDescent="0.15">
      <c r="C2112" s="624"/>
      <c r="D2112" s="355">
        <v>3.1960000000000002E-2</v>
      </c>
      <c r="AV2112" s="624"/>
      <c r="AX2112" s="624">
        <v>41215</v>
      </c>
      <c r="AY2112" s="355">
        <v>3.177E-2</v>
      </c>
      <c r="AZ2112" s="624">
        <v>41281</v>
      </c>
      <c r="BA2112" s="355">
        <v>1.1599999999999999E-2</v>
      </c>
      <c r="BB2112" s="624">
        <v>41212</v>
      </c>
      <c r="BC2112" s="355">
        <v>0.31390000000000001</v>
      </c>
      <c r="BD2112" s="624">
        <v>41212</v>
      </c>
      <c r="BE2112" s="355">
        <v>9.1649999999999995E-2</v>
      </c>
      <c r="BF2112" s="624">
        <v>41333</v>
      </c>
      <c r="BG2112" s="355">
        <v>1.8297000000000001E-2</v>
      </c>
      <c r="BH2112" s="624">
        <v>41212</v>
      </c>
      <c r="BI2112" s="355">
        <v>0.104005</v>
      </c>
      <c r="BJ2112" s="624">
        <v>41211</v>
      </c>
      <c r="BK2112" s="355">
        <v>3.2551999999999998E-2</v>
      </c>
    </row>
    <row r="2113" spans="3:63" x14ac:dyDescent="0.15">
      <c r="C2113" s="624"/>
      <c r="D2113" s="355">
        <v>3.177E-2</v>
      </c>
      <c r="AV2113" s="624"/>
      <c r="AX2113" s="624">
        <v>41218</v>
      </c>
      <c r="AY2113" s="355">
        <v>3.1660000000000001E-2</v>
      </c>
      <c r="AZ2113" s="624">
        <v>41282</v>
      </c>
      <c r="BA2113" s="355">
        <v>1.17E-2</v>
      </c>
      <c r="BB2113" s="624">
        <v>41213</v>
      </c>
      <c r="BC2113" s="355">
        <v>0.31309999999999999</v>
      </c>
      <c r="BD2113" s="624">
        <v>41213</v>
      </c>
      <c r="BE2113" s="355">
        <v>9.171E-2</v>
      </c>
      <c r="BF2113" s="624">
        <v>41334</v>
      </c>
      <c r="BG2113" s="355">
        <v>1.8159999999999999E-2</v>
      </c>
      <c r="BH2113" s="624">
        <v>41213</v>
      </c>
      <c r="BI2113" s="355">
        <v>0.104113</v>
      </c>
      <c r="BJ2113" s="624">
        <v>41212</v>
      </c>
      <c r="BK2113" s="355">
        <v>3.2563000000000002E-2</v>
      </c>
    </row>
    <row r="2114" spans="3:63" x14ac:dyDescent="0.15">
      <c r="C2114" s="624"/>
      <c r="D2114" s="355">
        <v>3.1660000000000001E-2</v>
      </c>
      <c r="AV2114" s="624"/>
      <c r="AX2114" s="624">
        <v>41219</v>
      </c>
      <c r="AY2114" s="355">
        <v>3.1850000000000003E-2</v>
      </c>
      <c r="AZ2114" s="624">
        <v>41283</v>
      </c>
      <c r="BA2114" s="355">
        <v>1.17E-2</v>
      </c>
      <c r="BB2114" s="624">
        <v>41214</v>
      </c>
      <c r="BC2114" s="355">
        <v>0.31419999999999998</v>
      </c>
      <c r="BD2114" s="624">
        <v>41214</v>
      </c>
      <c r="BE2114" s="355">
        <v>9.1619999999999993E-2</v>
      </c>
      <c r="BF2114" s="624">
        <v>41337</v>
      </c>
      <c r="BG2114" s="355">
        <v>1.8197999999999999E-2</v>
      </c>
      <c r="BH2114" s="624">
        <v>41214</v>
      </c>
      <c r="BI2114" s="355">
        <v>0.103993</v>
      </c>
      <c r="BJ2114" s="624">
        <v>41213</v>
      </c>
      <c r="BK2114" s="355">
        <v>3.2572999999999998E-2</v>
      </c>
    </row>
    <row r="2115" spans="3:63" x14ac:dyDescent="0.15">
      <c r="C2115" s="624"/>
      <c r="D2115" s="355">
        <v>3.1850000000000003E-2</v>
      </c>
      <c r="AV2115" s="624"/>
      <c r="AX2115" s="624">
        <v>41220</v>
      </c>
      <c r="AY2115" s="355">
        <v>3.168E-2</v>
      </c>
      <c r="AZ2115" s="624">
        <v>41284</v>
      </c>
      <c r="BA2115" s="355">
        <v>1.1900000000000001E-2</v>
      </c>
      <c r="BB2115" s="624">
        <v>41215</v>
      </c>
      <c r="BC2115" s="355">
        <v>0.3125</v>
      </c>
      <c r="BD2115" s="624">
        <v>41215</v>
      </c>
      <c r="BE2115" s="355">
        <v>9.1619999999999993E-2</v>
      </c>
      <c r="BF2115" s="624">
        <v>41338</v>
      </c>
      <c r="BG2115" s="355">
        <v>1.8201999999999999E-2</v>
      </c>
      <c r="BH2115" s="624">
        <v>41215</v>
      </c>
      <c r="BI2115" s="355">
        <v>0.104005</v>
      </c>
      <c r="BJ2115" s="624">
        <v>41214</v>
      </c>
      <c r="BK2115" s="355">
        <v>3.2551999999999998E-2</v>
      </c>
    </row>
    <row r="2116" spans="3:63" x14ac:dyDescent="0.15">
      <c r="C2116" s="624"/>
      <c r="D2116" s="355">
        <v>3.168E-2</v>
      </c>
      <c r="AV2116" s="624"/>
      <c r="AX2116" s="624">
        <v>41221</v>
      </c>
      <c r="AY2116" s="355">
        <v>3.175E-2</v>
      </c>
      <c r="AZ2116" s="624">
        <v>41285</v>
      </c>
      <c r="BA2116" s="355">
        <v>1.1900000000000001E-2</v>
      </c>
      <c r="BB2116" s="624">
        <v>41218</v>
      </c>
      <c r="BC2116" s="355">
        <v>0.31119999999999998</v>
      </c>
      <c r="BD2116" s="624">
        <v>41218</v>
      </c>
      <c r="BE2116" s="355">
        <v>9.1539999999999996E-2</v>
      </c>
      <c r="BF2116" s="624">
        <v>41339</v>
      </c>
      <c r="BG2116" s="355">
        <v>1.8242999999999999E-2</v>
      </c>
      <c r="BH2116" s="624">
        <v>41218</v>
      </c>
      <c r="BI2116" s="355">
        <v>0.103951</v>
      </c>
      <c r="BJ2116" s="624">
        <v>41215</v>
      </c>
      <c r="BK2116" s="355">
        <v>3.2509999999999997E-2</v>
      </c>
    </row>
    <row r="2117" spans="3:63" x14ac:dyDescent="0.15">
      <c r="C2117" s="624"/>
      <c r="D2117" s="355">
        <v>3.175E-2</v>
      </c>
      <c r="AV2117" s="624"/>
      <c r="AX2117" s="624">
        <v>41222</v>
      </c>
      <c r="AY2117" s="355">
        <v>3.1669999999999997E-2</v>
      </c>
      <c r="AZ2117" s="624">
        <v>41288</v>
      </c>
      <c r="BA2117" s="355">
        <v>1.2E-2</v>
      </c>
      <c r="BB2117" s="624">
        <v>41219</v>
      </c>
      <c r="BC2117" s="355">
        <v>0.31119999999999998</v>
      </c>
      <c r="BD2117" s="624">
        <v>41219</v>
      </c>
      <c r="BE2117" s="355">
        <v>9.171E-2</v>
      </c>
      <c r="BF2117" s="624">
        <v>41340</v>
      </c>
      <c r="BG2117" s="355">
        <v>1.8363999999999998E-2</v>
      </c>
      <c r="BH2117" s="624">
        <v>41219</v>
      </c>
      <c r="BI2117" s="355">
        <v>0.103951</v>
      </c>
      <c r="BJ2117" s="624">
        <v>41218</v>
      </c>
      <c r="BK2117" s="355">
        <v>3.2461999999999998E-2</v>
      </c>
    </row>
    <row r="2118" spans="3:63" x14ac:dyDescent="0.15">
      <c r="C2118" s="624"/>
      <c r="D2118" s="355">
        <v>3.1669999999999997E-2</v>
      </c>
      <c r="AV2118" s="624"/>
      <c r="AX2118" s="624">
        <v>41225</v>
      </c>
      <c r="AY2118" s="355">
        <v>3.1609999999999999E-2</v>
      </c>
      <c r="AZ2118" s="624">
        <v>41289</v>
      </c>
      <c r="BA2118" s="355">
        <v>1.1900000000000001E-2</v>
      </c>
      <c r="BB2118" s="624">
        <v>41220</v>
      </c>
      <c r="BC2118" s="355">
        <v>0.30840000000000001</v>
      </c>
      <c r="BD2118" s="624">
        <v>41220</v>
      </c>
      <c r="BE2118" s="355">
        <v>9.2060000000000003E-2</v>
      </c>
      <c r="BF2118" s="624">
        <v>41341</v>
      </c>
      <c r="BG2118" s="355">
        <v>1.8407E-2</v>
      </c>
      <c r="BH2118" s="624">
        <v>41220</v>
      </c>
      <c r="BI2118" s="355">
        <v>0.104113</v>
      </c>
      <c r="BJ2118" s="624">
        <v>41219</v>
      </c>
      <c r="BK2118" s="355">
        <v>3.2530999999999997E-2</v>
      </c>
    </row>
    <row r="2119" spans="3:63" x14ac:dyDescent="0.15">
      <c r="C2119" s="624"/>
      <c r="D2119" s="355">
        <v>3.1609999999999999E-2</v>
      </c>
      <c r="AV2119" s="624"/>
      <c r="AX2119" s="624">
        <v>41226</v>
      </c>
      <c r="AY2119" s="355">
        <v>3.1489999999999997E-2</v>
      </c>
      <c r="AZ2119" s="624">
        <v>41290</v>
      </c>
      <c r="BA2119" s="355">
        <v>1.18E-2</v>
      </c>
      <c r="BB2119" s="624">
        <v>41221</v>
      </c>
      <c r="BC2119" s="355">
        <v>0.30549999999999999</v>
      </c>
      <c r="BD2119" s="624">
        <v>41221</v>
      </c>
      <c r="BE2119" s="355">
        <v>9.1679999999999998E-2</v>
      </c>
      <c r="BF2119" s="624">
        <v>41344</v>
      </c>
      <c r="BG2119" s="355">
        <v>1.8402999999999999E-2</v>
      </c>
      <c r="BH2119" s="624">
        <v>41221</v>
      </c>
      <c r="BI2119" s="355">
        <v>0.103843</v>
      </c>
      <c r="BJ2119" s="624">
        <v>41220</v>
      </c>
      <c r="BK2119" s="355">
        <v>3.2557000000000003E-2</v>
      </c>
    </row>
    <row r="2120" spans="3:63" x14ac:dyDescent="0.15">
      <c r="C2120" s="624"/>
      <c r="D2120" s="355">
        <v>3.1489999999999997E-2</v>
      </c>
      <c r="AV2120" s="624"/>
      <c r="AX2120" s="624">
        <v>41227</v>
      </c>
      <c r="AY2120" s="355">
        <v>3.1539999999999999E-2</v>
      </c>
      <c r="AZ2120" s="624">
        <v>41291</v>
      </c>
      <c r="BA2120" s="355">
        <v>1.1900000000000001E-2</v>
      </c>
      <c r="BB2120" s="624">
        <v>41222</v>
      </c>
      <c r="BC2120" s="355">
        <v>0.30530000000000002</v>
      </c>
      <c r="BD2120" s="624">
        <v>41222</v>
      </c>
      <c r="BE2120" s="355">
        <v>9.1740000000000002E-2</v>
      </c>
      <c r="BF2120" s="624">
        <v>41345</v>
      </c>
      <c r="BG2120" s="355">
        <v>1.8447999999999999E-2</v>
      </c>
      <c r="BH2120" s="624">
        <v>41222</v>
      </c>
      <c r="BI2120" s="355">
        <v>0.103962</v>
      </c>
      <c r="BJ2120" s="624">
        <v>41221</v>
      </c>
      <c r="BK2120" s="355">
        <v>3.2571000000000003E-2</v>
      </c>
    </row>
    <row r="2121" spans="3:63" x14ac:dyDescent="0.15">
      <c r="C2121" s="624"/>
      <c r="D2121" s="355">
        <v>3.1539999999999999E-2</v>
      </c>
      <c r="AV2121" s="624"/>
      <c r="AX2121" s="624">
        <v>41228</v>
      </c>
      <c r="AY2121" s="355">
        <v>3.1570000000000001E-2</v>
      </c>
      <c r="AZ2121" s="624">
        <v>41292</v>
      </c>
      <c r="BA2121" s="355">
        <v>1.1900000000000001E-2</v>
      </c>
      <c r="BB2121" s="624">
        <v>41225</v>
      </c>
      <c r="BC2121" s="355">
        <v>0.30499999999999999</v>
      </c>
      <c r="BD2121" s="624">
        <v>41225</v>
      </c>
      <c r="BE2121" s="355">
        <v>9.1730000000000006E-2</v>
      </c>
      <c r="BF2121" s="624">
        <v>41346</v>
      </c>
      <c r="BG2121" s="355">
        <v>1.8370999999999998E-2</v>
      </c>
      <c r="BH2121" s="624">
        <v>41225</v>
      </c>
      <c r="BI2121" s="355">
        <v>0.103961</v>
      </c>
      <c r="BJ2121" s="624">
        <v>41222</v>
      </c>
      <c r="BK2121" s="355">
        <v>3.2641999999999997E-2</v>
      </c>
    </row>
    <row r="2122" spans="3:63" x14ac:dyDescent="0.15">
      <c r="C2122" s="624"/>
      <c r="D2122" s="355">
        <v>3.1570000000000001E-2</v>
      </c>
      <c r="AV2122" s="624"/>
      <c r="AX2122" s="624">
        <v>41229</v>
      </c>
      <c r="AY2122" s="355">
        <v>3.1530000000000002E-2</v>
      </c>
      <c r="AZ2122" s="624">
        <v>41295</v>
      </c>
      <c r="BA2122" s="355">
        <v>1.1900000000000001E-2</v>
      </c>
      <c r="BB2122" s="624">
        <v>41226</v>
      </c>
      <c r="BC2122" s="355">
        <v>0.3034</v>
      </c>
      <c r="BD2122" s="624">
        <v>41226</v>
      </c>
      <c r="BE2122" s="355">
        <v>9.1819999999999999E-2</v>
      </c>
      <c r="BF2122" s="624">
        <v>41347</v>
      </c>
      <c r="BG2122" s="355">
        <v>1.8478999999999999E-2</v>
      </c>
      <c r="BH2122" s="624">
        <v>41226</v>
      </c>
      <c r="BI2122" s="355">
        <v>0.10398300000000001</v>
      </c>
      <c r="BJ2122" s="624">
        <v>41225</v>
      </c>
      <c r="BK2122" s="355">
        <v>3.2626000000000002E-2</v>
      </c>
    </row>
    <row r="2123" spans="3:63" x14ac:dyDescent="0.15">
      <c r="C2123" s="624"/>
      <c r="D2123" s="355">
        <v>3.1530000000000002E-2</v>
      </c>
      <c r="AV2123" s="624"/>
      <c r="AX2123" s="624">
        <v>41232</v>
      </c>
      <c r="AY2123" s="355">
        <v>3.1850000000000003E-2</v>
      </c>
      <c r="AZ2123" s="624">
        <v>41296</v>
      </c>
      <c r="BA2123" s="355">
        <v>1.1900000000000001E-2</v>
      </c>
      <c r="BB2123" s="624">
        <v>41227</v>
      </c>
      <c r="BC2123" s="355">
        <v>0.30509999999999998</v>
      </c>
      <c r="BD2123" s="624">
        <v>41227</v>
      </c>
      <c r="BE2123" s="355">
        <v>9.1980000000000006E-2</v>
      </c>
      <c r="BF2123" s="624">
        <v>41348</v>
      </c>
      <c r="BG2123" s="355">
        <v>1.8492999999999999E-2</v>
      </c>
      <c r="BH2123" s="624">
        <v>41227</v>
      </c>
      <c r="BI2123" s="355">
        <v>0.103897</v>
      </c>
      <c r="BJ2123" s="624">
        <v>41226</v>
      </c>
      <c r="BK2123" s="355">
        <v>3.2589E-2</v>
      </c>
    </row>
    <row r="2124" spans="3:63" x14ac:dyDescent="0.15">
      <c r="C2124" s="624"/>
      <c r="D2124" s="355">
        <v>3.1850000000000003E-2</v>
      </c>
      <c r="AV2124" s="624"/>
      <c r="AX2124" s="624">
        <v>41233</v>
      </c>
      <c r="AY2124" s="355">
        <v>3.1940000000000003E-2</v>
      </c>
      <c r="AZ2124" s="624">
        <v>41297</v>
      </c>
      <c r="BA2124" s="355">
        <v>1.2E-2</v>
      </c>
      <c r="BB2124" s="624">
        <v>41228</v>
      </c>
      <c r="BC2124" s="355">
        <v>0.3075</v>
      </c>
      <c r="BD2124" s="624">
        <v>41228</v>
      </c>
      <c r="BE2124" s="355">
        <v>9.1859999999999997E-2</v>
      </c>
      <c r="BF2124" s="624">
        <v>41351</v>
      </c>
      <c r="BG2124" s="355">
        <v>1.8475999999999999E-2</v>
      </c>
      <c r="BH2124" s="624">
        <v>41228</v>
      </c>
      <c r="BI2124" s="355">
        <v>0.103897</v>
      </c>
      <c r="BJ2124" s="624">
        <v>41227</v>
      </c>
      <c r="BK2124" s="355">
        <v>3.2594999999999999E-2</v>
      </c>
    </row>
    <row r="2125" spans="3:63" x14ac:dyDescent="0.15">
      <c r="C2125" s="624"/>
      <c r="D2125" s="355">
        <v>3.1940000000000003E-2</v>
      </c>
      <c r="AV2125" s="624"/>
      <c r="AX2125" s="624">
        <v>41234</v>
      </c>
      <c r="AY2125" s="355">
        <v>3.2070000000000001E-2</v>
      </c>
      <c r="AZ2125" s="624">
        <v>41298</v>
      </c>
      <c r="BA2125" s="355">
        <v>1.2E-2</v>
      </c>
      <c r="BB2125" s="624">
        <v>41229</v>
      </c>
      <c r="BC2125" s="355">
        <v>0.30620000000000003</v>
      </c>
      <c r="BD2125" s="624">
        <v>41229</v>
      </c>
      <c r="BE2125" s="355">
        <v>9.1600000000000001E-2</v>
      </c>
      <c r="BF2125" s="624">
        <v>41352</v>
      </c>
      <c r="BG2125" s="355">
        <v>1.8350000000000002E-2</v>
      </c>
      <c r="BH2125" s="624">
        <v>41229</v>
      </c>
      <c r="BI2125" s="355">
        <v>0.103897</v>
      </c>
      <c r="BJ2125" s="624">
        <v>41228</v>
      </c>
      <c r="BK2125" s="355">
        <v>3.2551999999999998E-2</v>
      </c>
    </row>
    <row r="2126" spans="3:63" x14ac:dyDescent="0.15">
      <c r="C2126" s="624"/>
      <c r="D2126" s="355">
        <v>3.2070000000000001E-2</v>
      </c>
      <c r="AV2126" s="624"/>
      <c r="AX2126" s="624">
        <v>41235</v>
      </c>
      <c r="AY2126" s="355">
        <v>3.2079999999999997E-2</v>
      </c>
      <c r="AZ2126" s="624">
        <v>41299</v>
      </c>
      <c r="BA2126" s="355">
        <v>1.2E-2</v>
      </c>
      <c r="BB2126" s="624">
        <v>41232</v>
      </c>
      <c r="BC2126" s="355">
        <v>0.31069999999999998</v>
      </c>
      <c r="BD2126" s="624">
        <v>41232</v>
      </c>
      <c r="BE2126" s="355">
        <v>9.2109999999999997E-2</v>
      </c>
      <c r="BF2126" s="624">
        <v>41353</v>
      </c>
      <c r="BG2126" s="355">
        <v>1.8391000000000001E-2</v>
      </c>
      <c r="BH2126" s="624">
        <v>41232</v>
      </c>
      <c r="BI2126" s="355">
        <v>0.103843</v>
      </c>
      <c r="BJ2126" s="624">
        <v>41229</v>
      </c>
      <c r="BK2126" s="355">
        <v>3.2541E-2</v>
      </c>
    </row>
    <row r="2127" spans="3:63" x14ac:dyDescent="0.15">
      <c r="C2127" s="624"/>
      <c r="D2127" s="355">
        <v>3.2079999999999997E-2</v>
      </c>
      <c r="AV2127" s="624"/>
      <c r="AX2127" s="624">
        <v>41236</v>
      </c>
      <c r="AY2127" s="355">
        <v>3.2210000000000003E-2</v>
      </c>
      <c r="AZ2127" s="624">
        <v>41302</v>
      </c>
      <c r="BA2127" s="355">
        <v>1.2E-2</v>
      </c>
      <c r="BB2127" s="624">
        <v>41233</v>
      </c>
      <c r="BC2127" s="355">
        <v>0.31140000000000001</v>
      </c>
      <c r="BD2127" s="624">
        <v>41233</v>
      </c>
      <c r="BE2127" s="355">
        <v>9.2329999999999995E-2</v>
      </c>
      <c r="BF2127" s="624">
        <v>41354</v>
      </c>
      <c r="BG2127" s="355">
        <v>1.8387000000000001E-2</v>
      </c>
      <c r="BH2127" s="624">
        <v>41233</v>
      </c>
      <c r="BI2127" s="355">
        <v>0.103811</v>
      </c>
      <c r="BJ2127" s="624">
        <v>41232</v>
      </c>
      <c r="BK2127" s="355">
        <v>3.2572999999999998E-2</v>
      </c>
    </row>
    <row r="2128" spans="3:63" x14ac:dyDescent="0.15">
      <c r="C2128" s="624"/>
      <c r="D2128" s="355">
        <v>3.2210000000000003E-2</v>
      </c>
      <c r="AV2128" s="624"/>
      <c r="AX2128" s="624">
        <v>41239</v>
      </c>
      <c r="AY2128" s="355">
        <v>3.2239999999999998E-2</v>
      </c>
      <c r="AZ2128" s="624">
        <v>41303</v>
      </c>
      <c r="BA2128" s="355">
        <v>1.21E-2</v>
      </c>
      <c r="BB2128" s="624">
        <v>41234</v>
      </c>
      <c r="BC2128" s="355">
        <v>0.31169999999999998</v>
      </c>
      <c r="BD2128" s="624">
        <v>41234</v>
      </c>
      <c r="BE2128" s="355">
        <v>9.2410000000000006E-2</v>
      </c>
      <c r="BF2128" s="624">
        <v>41355</v>
      </c>
      <c r="BG2128" s="355">
        <v>1.8405999999999999E-2</v>
      </c>
      <c r="BH2128" s="624">
        <v>41234</v>
      </c>
      <c r="BI2128" s="355">
        <v>0.103778</v>
      </c>
      <c r="BJ2128" s="624">
        <v>41233</v>
      </c>
      <c r="BK2128" s="355">
        <v>3.2597000000000001E-2</v>
      </c>
    </row>
    <row r="2129" spans="3:63" x14ac:dyDescent="0.15">
      <c r="C2129" s="624"/>
      <c r="D2129" s="355">
        <v>3.2239999999999998E-2</v>
      </c>
      <c r="AV2129" s="624"/>
      <c r="AX2129" s="624">
        <v>41240</v>
      </c>
      <c r="AY2129" s="355">
        <v>3.2199999999999999E-2</v>
      </c>
      <c r="AZ2129" s="624">
        <v>41304</v>
      </c>
      <c r="BA2129" s="355">
        <v>1.2200000000000001E-2</v>
      </c>
      <c r="BB2129" s="624">
        <v>41235</v>
      </c>
      <c r="BC2129" s="355">
        <v>0.31369999999999998</v>
      </c>
      <c r="BD2129" s="624">
        <v>41235</v>
      </c>
      <c r="BE2129" s="355">
        <v>9.2109999999999997E-2</v>
      </c>
      <c r="BF2129" s="624">
        <v>41358</v>
      </c>
      <c r="BG2129" s="355">
        <v>1.8408000000000001E-2</v>
      </c>
      <c r="BH2129" s="624">
        <v>41235</v>
      </c>
      <c r="BI2129" s="355">
        <v>0.103961</v>
      </c>
      <c r="BJ2129" s="624">
        <v>41234</v>
      </c>
      <c r="BK2129" s="355">
        <v>3.2578999999999997E-2</v>
      </c>
    </row>
    <row r="2130" spans="3:63" x14ac:dyDescent="0.15">
      <c r="C2130" s="624"/>
      <c r="D2130" s="355">
        <v>3.2199999999999999E-2</v>
      </c>
      <c r="AV2130" s="624"/>
      <c r="AX2130" s="624">
        <v>41241</v>
      </c>
      <c r="AY2130" s="355">
        <v>3.218E-2</v>
      </c>
      <c r="AZ2130" s="624">
        <v>41305</v>
      </c>
      <c r="BA2130" s="355">
        <v>1.2200000000000001E-2</v>
      </c>
      <c r="BB2130" s="624">
        <v>41236</v>
      </c>
      <c r="BC2130" s="355">
        <v>0.31519999999999998</v>
      </c>
      <c r="BD2130" s="624">
        <v>41236</v>
      </c>
      <c r="BE2130" s="355">
        <v>9.214E-2</v>
      </c>
      <c r="BF2130" s="624">
        <v>41359</v>
      </c>
      <c r="BG2130" s="355">
        <v>1.8363999999999998E-2</v>
      </c>
      <c r="BH2130" s="624">
        <v>41236</v>
      </c>
      <c r="BI2130" s="355">
        <v>0.10402699999999999</v>
      </c>
      <c r="BJ2130" s="624">
        <v>41235</v>
      </c>
      <c r="BK2130" s="355">
        <v>3.2572999999999998E-2</v>
      </c>
    </row>
    <row r="2131" spans="3:63" x14ac:dyDescent="0.15">
      <c r="C2131" s="624"/>
      <c r="D2131" s="355">
        <v>3.218E-2</v>
      </c>
      <c r="AV2131" s="624"/>
      <c r="AX2131" s="624">
        <v>41242</v>
      </c>
      <c r="AY2131" s="355">
        <v>3.2370000000000003E-2</v>
      </c>
      <c r="AZ2131" s="624">
        <v>41306</v>
      </c>
      <c r="BA2131" s="355">
        <v>1.23E-2</v>
      </c>
      <c r="BB2131" s="624">
        <v>41239</v>
      </c>
      <c r="BC2131" s="355">
        <v>0.316</v>
      </c>
      <c r="BD2131" s="624">
        <v>41239</v>
      </c>
      <c r="BE2131" s="355">
        <v>9.2090000000000005E-2</v>
      </c>
      <c r="BF2131" s="624">
        <v>41361</v>
      </c>
      <c r="BG2131" s="355">
        <v>1.8356999999999998E-2</v>
      </c>
      <c r="BH2131" s="624">
        <v>41239</v>
      </c>
      <c r="BI2131" s="355">
        <v>0.104286</v>
      </c>
      <c r="BJ2131" s="624">
        <v>41236</v>
      </c>
      <c r="BK2131" s="355">
        <v>3.2557000000000003E-2</v>
      </c>
    </row>
    <row r="2132" spans="3:63" x14ac:dyDescent="0.15">
      <c r="C2132" s="624"/>
      <c r="D2132" s="355">
        <v>3.2370000000000003E-2</v>
      </c>
      <c r="AV2132" s="624"/>
      <c r="AX2132" s="624">
        <v>41243</v>
      </c>
      <c r="AY2132" s="355">
        <v>3.2370000000000003E-2</v>
      </c>
      <c r="AZ2132" s="624">
        <v>41309</v>
      </c>
      <c r="BA2132" s="355">
        <v>1.21E-2</v>
      </c>
      <c r="BB2132" s="624">
        <v>41240</v>
      </c>
      <c r="BC2132" s="355">
        <v>0.31569999999999998</v>
      </c>
      <c r="BD2132" s="624">
        <v>41240</v>
      </c>
      <c r="BE2132" s="355">
        <v>9.2050000000000007E-2</v>
      </c>
      <c r="BF2132" s="624">
        <v>41366</v>
      </c>
      <c r="BG2132" s="355">
        <v>1.8363999999999998E-2</v>
      </c>
      <c r="BH2132" s="624">
        <v>41240</v>
      </c>
      <c r="BI2132" s="355">
        <v>0.104102</v>
      </c>
      <c r="BJ2132" s="624">
        <v>41239</v>
      </c>
      <c r="BK2132" s="355">
        <v>3.2594999999999999E-2</v>
      </c>
    </row>
    <row r="2133" spans="3:63" x14ac:dyDescent="0.15">
      <c r="C2133" s="624"/>
      <c r="D2133" s="355">
        <v>3.2370000000000003E-2</v>
      </c>
      <c r="AV2133" s="624"/>
      <c r="AX2133" s="624">
        <v>41246</v>
      </c>
      <c r="AY2133" s="355">
        <v>3.2370000000000003E-2</v>
      </c>
      <c r="AZ2133" s="624">
        <v>41310</v>
      </c>
      <c r="BA2133" s="355">
        <v>1.2200000000000001E-2</v>
      </c>
      <c r="BB2133" s="624">
        <v>41241</v>
      </c>
      <c r="BC2133" s="355">
        <v>0.3155</v>
      </c>
      <c r="BD2133" s="624">
        <v>41241</v>
      </c>
      <c r="BE2133" s="355">
        <v>9.214E-2</v>
      </c>
      <c r="BF2133" s="624">
        <v>41367</v>
      </c>
      <c r="BG2133" s="355">
        <v>1.8336999999999999E-2</v>
      </c>
      <c r="BH2133" s="624">
        <v>41241</v>
      </c>
      <c r="BI2133" s="355">
        <v>0.104167</v>
      </c>
      <c r="BJ2133" s="624">
        <v>41240</v>
      </c>
      <c r="BK2133" s="355">
        <v>3.2584000000000002E-2</v>
      </c>
    </row>
    <row r="2134" spans="3:63" x14ac:dyDescent="0.15">
      <c r="C2134" s="624"/>
      <c r="D2134" s="355">
        <v>3.2370000000000003E-2</v>
      </c>
      <c r="AV2134" s="624"/>
      <c r="AX2134" s="624">
        <v>41247</v>
      </c>
      <c r="AY2134" s="355">
        <v>3.243E-2</v>
      </c>
      <c r="AZ2134" s="624">
        <v>41311</v>
      </c>
      <c r="BA2134" s="355">
        <v>1.2200000000000001E-2</v>
      </c>
      <c r="BB2134" s="624">
        <v>41242</v>
      </c>
      <c r="BC2134" s="355">
        <v>0.3175</v>
      </c>
      <c r="BD2134" s="624">
        <v>41242</v>
      </c>
      <c r="BE2134" s="355">
        <v>9.2329999999999995E-2</v>
      </c>
      <c r="BF2134" s="624">
        <v>41368</v>
      </c>
      <c r="BG2134" s="355">
        <v>1.8211000000000001E-2</v>
      </c>
      <c r="BH2134" s="624">
        <v>41242</v>
      </c>
      <c r="BI2134" s="355">
        <v>0.104167</v>
      </c>
      <c r="BJ2134" s="624">
        <v>41241</v>
      </c>
      <c r="BK2134" s="355">
        <v>3.2541E-2</v>
      </c>
    </row>
    <row r="2135" spans="3:63" x14ac:dyDescent="0.15">
      <c r="C2135" s="624"/>
      <c r="D2135" s="355">
        <v>3.243E-2</v>
      </c>
      <c r="AV2135" s="624"/>
      <c r="AX2135" s="624">
        <v>41248</v>
      </c>
      <c r="AY2135" s="355">
        <v>3.2469999999999999E-2</v>
      </c>
      <c r="AZ2135" s="624">
        <v>41312</v>
      </c>
      <c r="BA2135" s="355">
        <v>1.2E-2</v>
      </c>
      <c r="BB2135" s="624">
        <v>41243</v>
      </c>
      <c r="BC2135" s="355">
        <v>0.3165</v>
      </c>
      <c r="BD2135" s="624">
        <v>41243</v>
      </c>
      <c r="BE2135" s="355">
        <v>9.2399999999999996E-2</v>
      </c>
      <c r="BF2135" s="624">
        <v>41369</v>
      </c>
      <c r="BG2135" s="355">
        <v>1.8244E-2</v>
      </c>
      <c r="BH2135" s="624">
        <v>41243</v>
      </c>
      <c r="BI2135" s="355">
        <v>0.104243</v>
      </c>
      <c r="BJ2135" s="624">
        <v>41242</v>
      </c>
      <c r="BK2135" s="355">
        <v>3.2568E-2</v>
      </c>
    </row>
    <row r="2136" spans="3:63" x14ac:dyDescent="0.15">
      <c r="C2136" s="624"/>
      <c r="D2136" s="355">
        <v>3.2469999999999999E-2</v>
      </c>
      <c r="AV2136" s="624"/>
      <c r="AX2136" s="624">
        <v>41249</v>
      </c>
      <c r="AY2136" s="355">
        <v>3.2320000000000002E-2</v>
      </c>
      <c r="AZ2136" s="624">
        <v>41313</v>
      </c>
      <c r="BA2136" s="355">
        <v>1.1900000000000001E-2</v>
      </c>
      <c r="BB2136" s="624">
        <v>41246</v>
      </c>
      <c r="BC2136" s="355">
        <v>0.31590000000000001</v>
      </c>
      <c r="BD2136" s="624">
        <v>41246</v>
      </c>
      <c r="BE2136" s="355">
        <v>9.2299999999999993E-2</v>
      </c>
      <c r="BF2136" s="624">
        <v>41372</v>
      </c>
      <c r="BG2136" s="355">
        <v>1.831E-2</v>
      </c>
      <c r="BH2136" s="624">
        <v>41246</v>
      </c>
      <c r="BI2136" s="355">
        <v>0.104134</v>
      </c>
      <c r="BJ2136" s="624">
        <v>41243</v>
      </c>
      <c r="BK2136" s="355">
        <v>3.2563000000000002E-2</v>
      </c>
    </row>
    <row r="2137" spans="3:63" x14ac:dyDescent="0.15">
      <c r="C2137" s="624"/>
      <c r="D2137" s="355">
        <v>3.2320000000000002E-2</v>
      </c>
      <c r="AV2137" s="624"/>
      <c r="AX2137" s="624">
        <v>41250</v>
      </c>
      <c r="AY2137" s="355">
        <v>3.2439999999999997E-2</v>
      </c>
      <c r="AZ2137" s="624">
        <v>41316</v>
      </c>
      <c r="BA2137" s="355">
        <v>1.2E-2</v>
      </c>
      <c r="BB2137" s="624">
        <v>41247</v>
      </c>
      <c r="BC2137" s="355">
        <v>0.31680000000000003</v>
      </c>
      <c r="BD2137" s="624">
        <v>41247</v>
      </c>
      <c r="BE2137" s="355">
        <v>9.2280000000000001E-2</v>
      </c>
      <c r="BF2137" s="624">
        <v>41373</v>
      </c>
      <c r="BG2137" s="355">
        <v>1.8369E-2</v>
      </c>
      <c r="BH2137" s="624">
        <v>41247</v>
      </c>
      <c r="BI2137" s="355">
        <v>0.104167</v>
      </c>
      <c r="BJ2137" s="624">
        <v>41246</v>
      </c>
      <c r="BK2137" s="355">
        <v>3.2648000000000003E-2</v>
      </c>
    </row>
    <row r="2138" spans="3:63" x14ac:dyDescent="0.15">
      <c r="C2138" s="624"/>
      <c r="D2138" s="355">
        <v>3.2439999999999997E-2</v>
      </c>
      <c r="AV2138" s="624"/>
      <c r="AX2138" s="624">
        <v>41253</v>
      </c>
      <c r="AY2138" s="355">
        <v>3.2480000000000002E-2</v>
      </c>
      <c r="AZ2138" s="624">
        <v>41317</v>
      </c>
      <c r="BA2138" s="355">
        <v>1.21E-2</v>
      </c>
      <c r="BB2138" s="624">
        <v>41248</v>
      </c>
      <c r="BC2138" s="355">
        <v>0.31719999999999998</v>
      </c>
      <c r="BD2138" s="624">
        <v>41248</v>
      </c>
      <c r="BE2138" s="355">
        <v>9.2380000000000004E-2</v>
      </c>
      <c r="BF2138" s="624">
        <v>41374</v>
      </c>
      <c r="BG2138" s="355">
        <v>1.8343999999999999E-2</v>
      </c>
      <c r="BH2138" s="624">
        <v>41248</v>
      </c>
      <c r="BI2138" s="355">
        <v>0.104156</v>
      </c>
      <c r="BJ2138" s="624">
        <v>41247</v>
      </c>
      <c r="BK2138" s="355">
        <v>3.2605000000000002E-2</v>
      </c>
    </row>
    <row r="2139" spans="3:63" x14ac:dyDescent="0.15">
      <c r="C2139" s="624"/>
      <c r="D2139" s="355">
        <v>3.2480000000000002E-2</v>
      </c>
      <c r="AV2139" s="624"/>
      <c r="AX2139" s="624">
        <v>41254</v>
      </c>
      <c r="AY2139" s="355">
        <v>3.2570000000000002E-2</v>
      </c>
      <c r="AZ2139" s="624">
        <v>41318</v>
      </c>
      <c r="BA2139" s="355">
        <v>1.21E-2</v>
      </c>
      <c r="BB2139" s="624">
        <v>41249</v>
      </c>
      <c r="BC2139" s="355">
        <v>0.31419999999999998</v>
      </c>
      <c r="BD2139" s="624">
        <v>41249</v>
      </c>
      <c r="BE2139" s="355">
        <v>9.2270000000000005E-2</v>
      </c>
      <c r="BF2139" s="624">
        <v>41376</v>
      </c>
      <c r="BG2139" s="355">
        <v>1.8304999999999998E-2</v>
      </c>
      <c r="BH2139" s="624">
        <v>41249</v>
      </c>
      <c r="BI2139" s="355">
        <v>0.104047</v>
      </c>
      <c r="BJ2139" s="624">
        <v>41248</v>
      </c>
      <c r="BK2139" s="355">
        <v>3.2584000000000002E-2</v>
      </c>
    </row>
    <row r="2140" spans="3:63" x14ac:dyDescent="0.15">
      <c r="C2140" s="624"/>
      <c r="D2140" s="355">
        <v>3.2570000000000002E-2</v>
      </c>
      <c r="AV2140" s="624"/>
      <c r="AX2140" s="624">
        <v>41255</v>
      </c>
      <c r="AY2140" s="355">
        <v>3.2739999999999998E-2</v>
      </c>
      <c r="AZ2140" s="624">
        <v>41319</v>
      </c>
      <c r="BA2140" s="355">
        <v>1.2E-2</v>
      </c>
      <c r="BB2140" s="624">
        <v>41250</v>
      </c>
      <c r="BC2140" s="355">
        <v>0.31380000000000002</v>
      </c>
      <c r="BD2140" s="624">
        <v>41250</v>
      </c>
      <c r="BE2140" s="355">
        <v>9.2420000000000002E-2</v>
      </c>
      <c r="BF2140" s="624">
        <v>41379</v>
      </c>
      <c r="BG2140" s="355">
        <v>1.8332999999999999E-2</v>
      </c>
      <c r="BH2140" s="624">
        <v>41250</v>
      </c>
      <c r="BI2140" s="355">
        <v>0.10395</v>
      </c>
      <c r="BJ2140" s="624">
        <v>41249</v>
      </c>
      <c r="BK2140" s="355">
        <v>3.2605000000000002E-2</v>
      </c>
    </row>
    <row r="2141" spans="3:63" x14ac:dyDescent="0.15">
      <c r="C2141" s="624"/>
      <c r="D2141" s="355">
        <v>3.2739999999999998E-2</v>
      </c>
      <c r="AV2141" s="624"/>
      <c r="AX2141" s="624">
        <v>41256</v>
      </c>
      <c r="AY2141" s="355">
        <v>3.2530000000000003E-2</v>
      </c>
      <c r="AZ2141" s="624">
        <v>41320</v>
      </c>
      <c r="BA2141" s="355">
        <v>1.2E-2</v>
      </c>
      <c r="BB2141" s="624">
        <v>41253</v>
      </c>
      <c r="BC2141" s="355">
        <v>0.315</v>
      </c>
      <c r="BD2141" s="624">
        <v>41253</v>
      </c>
      <c r="BE2141" s="355">
        <v>9.2780000000000001E-2</v>
      </c>
      <c r="BF2141" s="624">
        <v>41380</v>
      </c>
      <c r="BG2141" s="355">
        <v>1.8508E-2</v>
      </c>
      <c r="BH2141" s="624">
        <v>41253</v>
      </c>
      <c r="BI2141" s="355">
        <v>0.103843</v>
      </c>
      <c r="BJ2141" s="624">
        <v>41250</v>
      </c>
      <c r="BK2141" s="355">
        <v>3.2626000000000002E-2</v>
      </c>
    </row>
    <row r="2142" spans="3:63" x14ac:dyDescent="0.15">
      <c r="C2142" s="624"/>
      <c r="D2142" s="355">
        <v>3.2530000000000003E-2</v>
      </c>
      <c r="AV2142" s="624"/>
      <c r="AX2142" s="624">
        <v>41257</v>
      </c>
      <c r="AY2142" s="355">
        <v>3.2599999999999997E-2</v>
      </c>
      <c r="AZ2142" s="624">
        <v>41323</v>
      </c>
      <c r="BA2142" s="355">
        <v>1.2E-2</v>
      </c>
      <c r="BB2142" s="624">
        <v>41254</v>
      </c>
      <c r="BC2142" s="355">
        <v>0.31840000000000002</v>
      </c>
      <c r="BD2142" s="624">
        <v>41254</v>
      </c>
      <c r="BE2142" s="355">
        <v>9.3009999999999995E-2</v>
      </c>
      <c r="BF2142" s="624">
        <v>41381</v>
      </c>
      <c r="BG2142" s="355">
        <v>1.8442E-2</v>
      </c>
      <c r="BH2142" s="624">
        <v>41254</v>
      </c>
      <c r="BI2142" s="355">
        <v>0.10378900000000001</v>
      </c>
      <c r="BJ2142" s="624">
        <v>41253</v>
      </c>
      <c r="BK2142" s="355">
        <v>3.2638E-2</v>
      </c>
    </row>
    <row r="2143" spans="3:63" x14ac:dyDescent="0.15">
      <c r="C2143" s="624"/>
      <c r="D2143" s="355">
        <v>3.2599999999999997E-2</v>
      </c>
      <c r="AV2143" s="624"/>
      <c r="AX2143" s="624">
        <v>41260</v>
      </c>
      <c r="AY2143" s="355">
        <v>3.2289999999999999E-2</v>
      </c>
      <c r="AZ2143" s="624">
        <v>41324</v>
      </c>
      <c r="BA2143" s="355">
        <v>1.2E-2</v>
      </c>
      <c r="BB2143" s="624">
        <v>41255</v>
      </c>
      <c r="BC2143" s="355">
        <v>0.3196</v>
      </c>
      <c r="BD2143" s="624">
        <v>41255</v>
      </c>
      <c r="BE2143" s="355">
        <v>9.3149999999999997E-2</v>
      </c>
      <c r="BF2143" s="624">
        <v>41382</v>
      </c>
      <c r="BG2143" s="355">
        <v>1.8537000000000001E-2</v>
      </c>
      <c r="BH2143" s="624">
        <v>41255</v>
      </c>
      <c r="BI2143" s="355">
        <v>0.10395</v>
      </c>
      <c r="BJ2143" s="624">
        <v>41254</v>
      </c>
      <c r="BK2143" s="355">
        <v>3.2658E-2</v>
      </c>
    </row>
    <row r="2144" spans="3:63" x14ac:dyDescent="0.15">
      <c r="C2144" s="624"/>
      <c r="D2144" s="355">
        <v>3.2289999999999999E-2</v>
      </c>
      <c r="AV2144" s="624"/>
      <c r="AX2144" s="624">
        <v>41261</v>
      </c>
      <c r="AY2144" s="355">
        <v>3.2539999999999999E-2</v>
      </c>
      <c r="AZ2144" s="624">
        <v>41325</v>
      </c>
      <c r="BA2144" s="355">
        <v>1.2E-2</v>
      </c>
      <c r="BB2144" s="624">
        <v>41256</v>
      </c>
      <c r="BC2144" s="355">
        <v>0.31919999999999998</v>
      </c>
      <c r="BD2144" s="624">
        <v>41256</v>
      </c>
      <c r="BE2144" s="355">
        <v>9.3079999999999996E-2</v>
      </c>
      <c r="BF2144" s="624">
        <v>41386</v>
      </c>
      <c r="BG2144" s="355">
        <v>1.8452E-2</v>
      </c>
      <c r="BH2144" s="624">
        <v>41256</v>
      </c>
      <c r="BI2144" s="355">
        <v>0.103576</v>
      </c>
      <c r="BJ2144" s="624">
        <v>41255</v>
      </c>
      <c r="BK2144" s="355">
        <v>3.2653000000000001E-2</v>
      </c>
    </row>
    <row r="2145" spans="3:63" x14ac:dyDescent="0.15">
      <c r="C2145" s="624"/>
      <c r="D2145" s="355">
        <v>3.2539999999999999E-2</v>
      </c>
      <c r="AV2145" s="624"/>
      <c r="AX2145" s="624">
        <v>41262</v>
      </c>
      <c r="AY2145" s="355">
        <v>3.2530000000000003E-2</v>
      </c>
      <c r="AZ2145" s="624">
        <v>41326</v>
      </c>
      <c r="BA2145" s="355">
        <v>1.18E-2</v>
      </c>
      <c r="BB2145" s="624">
        <v>41257</v>
      </c>
      <c r="BC2145" s="355">
        <v>0.32279999999999998</v>
      </c>
      <c r="BD2145" s="624">
        <v>41257</v>
      </c>
      <c r="BE2145" s="355">
        <v>9.2999999999999999E-2</v>
      </c>
      <c r="BF2145" s="624">
        <v>41387</v>
      </c>
      <c r="BG2145" s="355">
        <v>1.8391999999999999E-2</v>
      </c>
      <c r="BH2145" s="624">
        <v>41257</v>
      </c>
      <c r="BI2145" s="355">
        <v>0.103757</v>
      </c>
      <c r="BJ2145" s="624">
        <v>41256</v>
      </c>
      <c r="BK2145" s="355">
        <v>3.2626000000000002E-2</v>
      </c>
    </row>
    <row r="2146" spans="3:63" x14ac:dyDescent="0.15">
      <c r="C2146" s="624"/>
      <c r="D2146" s="355">
        <v>3.2530000000000003E-2</v>
      </c>
      <c r="AV2146" s="624"/>
      <c r="AX2146" s="624">
        <v>41263</v>
      </c>
      <c r="AY2146" s="355">
        <v>3.2590000000000001E-2</v>
      </c>
      <c r="AZ2146" s="624">
        <v>41327</v>
      </c>
      <c r="BA2146" s="355">
        <v>1.18E-2</v>
      </c>
      <c r="BB2146" s="624">
        <v>41260</v>
      </c>
      <c r="BC2146" s="355">
        <v>0.32169999999999999</v>
      </c>
      <c r="BD2146" s="624">
        <v>41260</v>
      </c>
      <c r="BE2146" s="355">
        <v>9.3240000000000003E-2</v>
      </c>
      <c r="BF2146" s="624">
        <v>41389</v>
      </c>
      <c r="BG2146" s="355">
        <v>1.8481000000000001E-2</v>
      </c>
      <c r="BH2146" s="624">
        <v>41260</v>
      </c>
      <c r="BI2146" s="355">
        <v>0.10373499999999999</v>
      </c>
      <c r="BJ2146" s="624">
        <v>41257</v>
      </c>
      <c r="BK2146" s="355">
        <v>3.2653000000000001E-2</v>
      </c>
    </row>
    <row r="2147" spans="3:63" x14ac:dyDescent="0.15">
      <c r="C2147" s="624"/>
      <c r="D2147" s="355">
        <v>3.2590000000000001E-2</v>
      </c>
      <c r="AV2147" s="624"/>
      <c r="AX2147" s="624">
        <v>41264</v>
      </c>
      <c r="AY2147" s="355">
        <v>3.2419999999999997E-2</v>
      </c>
      <c r="AZ2147" s="624">
        <v>41330</v>
      </c>
      <c r="BA2147" s="355">
        <v>1.17E-2</v>
      </c>
      <c r="BB2147" s="624">
        <v>41261</v>
      </c>
      <c r="BC2147" s="355">
        <v>0.32479999999999998</v>
      </c>
      <c r="BD2147" s="624">
        <v>41261</v>
      </c>
      <c r="BE2147" s="355">
        <v>9.3240000000000003E-2</v>
      </c>
      <c r="BF2147" s="624">
        <v>41390</v>
      </c>
      <c r="BG2147" s="355">
        <v>1.8377000000000001E-2</v>
      </c>
      <c r="BH2147" s="624">
        <v>41261</v>
      </c>
      <c r="BI2147" s="355">
        <v>0.103702</v>
      </c>
      <c r="BJ2147" s="624">
        <v>41260</v>
      </c>
      <c r="BK2147" s="355">
        <v>3.2696999999999997E-2</v>
      </c>
    </row>
    <row r="2148" spans="3:63" x14ac:dyDescent="0.15">
      <c r="C2148" s="624"/>
      <c r="D2148" s="355">
        <v>3.2419999999999997E-2</v>
      </c>
      <c r="AV2148" s="624"/>
      <c r="AX2148" s="624">
        <v>41267</v>
      </c>
      <c r="AY2148" s="355">
        <v>3.2660000000000002E-2</v>
      </c>
      <c r="AZ2148" s="624">
        <v>41331</v>
      </c>
      <c r="BA2148" s="355">
        <v>1.17E-2</v>
      </c>
      <c r="BB2148" s="624">
        <v>41262</v>
      </c>
      <c r="BC2148" s="355">
        <v>0.32469999999999999</v>
      </c>
      <c r="BD2148" s="624">
        <v>41262</v>
      </c>
      <c r="BE2148" s="355">
        <v>9.3229999999999993E-2</v>
      </c>
      <c r="BF2148" s="624">
        <v>41393</v>
      </c>
      <c r="BG2148" s="355">
        <v>1.8430999999999999E-2</v>
      </c>
      <c r="BH2148" s="624">
        <v>41262</v>
      </c>
      <c r="BI2148" s="355">
        <v>0.103628</v>
      </c>
      <c r="BJ2148" s="624">
        <v>41261</v>
      </c>
      <c r="BK2148" s="355">
        <v>3.2701000000000001E-2</v>
      </c>
    </row>
    <row r="2149" spans="3:63" x14ac:dyDescent="0.15">
      <c r="C2149" s="624"/>
      <c r="D2149" s="355">
        <v>3.2660000000000002E-2</v>
      </c>
      <c r="AV2149" s="624"/>
      <c r="AX2149" s="624">
        <v>41268</v>
      </c>
      <c r="AY2149" s="355">
        <v>3.2590000000000001E-2</v>
      </c>
      <c r="AZ2149" s="624">
        <v>41332</v>
      </c>
      <c r="BA2149" s="355">
        <v>1.18E-2</v>
      </c>
      <c r="BB2149" s="624">
        <v>41263</v>
      </c>
      <c r="BC2149" s="355">
        <v>0.32650000000000001</v>
      </c>
      <c r="BD2149" s="624">
        <v>41263</v>
      </c>
      <c r="BE2149" s="355">
        <v>9.3039999999999998E-2</v>
      </c>
      <c r="BF2149" s="624">
        <v>41394</v>
      </c>
      <c r="BG2149" s="355">
        <v>1.8631999999999999E-2</v>
      </c>
      <c r="BH2149" s="624">
        <v>41263</v>
      </c>
      <c r="BI2149" s="355">
        <v>0.10359500000000001</v>
      </c>
      <c r="BJ2149" s="624">
        <v>41262</v>
      </c>
      <c r="BK2149" s="355">
        <v>3.2668999999999997E-2</v>
      </c>
    </row>
    <row r="2150" spans="3:63" x14ac:dyDescent="0.15">
      <c r="C2150" s="624"/>
      <c r="D2150" s="355">
        <v>3.2590000000000001E-2</v>
      </c>
      <c r="AV2150" s="624"/>
      <c r="AX2150" s="624">
        <v>41269</v>
      </c>
      <c r="AY2150" s="355">
        <v>3.279E-2</v>
      </c>
      <c r="AZ2150" s="624">
        <v>41333</v>
      </c>
      <c r="BA2150" s="355">
        <v>1.17E-2</v>
      </c>
      <c r="BB2150" s="624">
        <v>41264</v>
      </c>
      <c r="BC2150" s="355">
        <v>0.32290000000000002</v>
      </c>
      <c r="BD2150" s="624">
        <v>41264</v>
      </c>
      <c r="BE2150" s="355">
        <v>9.2999999999999999E-2</v>
      </c>
      <c r="BF2150" s="624">
        <v>41395</v>
      </c>
      <c r="BG2150" s="355">
        <v>1.8631000000000002E-2</v>
      </c>
      <c r="BH2150" s="624">
        <v>41264</v>
      </c>
      <c r="BI2150" s="355">
        <v>0.103542</v>
      </c>
      <c r="BJ2150" s="624">
        <v>41263</v>
      </c>
      <c r="BK2150" s="355">
        <v>3.2641999999999997E-2</v>
      </c>
    </row>
    <row r="2151" spans="3:63" x14ac:dyDescent="0.15">
      <c r="C2151" s="624"/>
      <c r="D2151" s="355">
        <v>3.279E-2</v>
      </c>
      <c r="AV2151" s="624"/>
      <c r="AX2151" s="624">
        <v>41270</v>
      </c>
      <c r="AY2151" s="355">
        <v>3.3000000000000002E-2</v>
      </c>
      <c r="AZ2151" s="624">
        <v>41334</v>
      </c>
      <c r="BA2151" s="355">
        <v>1.17E-2</v>
      </c>
      <c r="BB2151" s="624">
        <v>41267</v>
      </c>
      <c r="BC2151" s="355">
        <v>0.32250000000000001</v>
      </c>
      <c r="BD2151" s="624">
        <v>41267</v>
      </c>
      <c r="BE2151" s="355">
        <v>9.3140000000000001E-2</v>
      </c>
      <c r="BF2151" s="624">
        <v>41396</v>
      </c>
      <c r="BG2151" s="355">
        <v>1.8584E-2</v>
      </c>
      <c r="BH2151" s="624">
        <v>41267</v>
      </c>
      <c r="BI2151" s="355">
        <v>0.102977</v>
      </c>
      <c r="BJ2151" s="624">
        <v>41264</v>
      </c>
      <c r="BK2151" s="355">
        <v>3.2668999999999997E-2</v>
      </c>
    </row>
    <row r="2152" spans="3:63" x14ac:dyDescent="0.15">
      <c r="C2152" s="624"/>
      <c r="D2152" s="355">
        <v>3.3000000000000002E-2</v>
      </c>
      <c r="AV2152" s="624"/>
      <c r="AX2152" s="624">
        <v>41271</v>
      </c>
      <c r="AY2152" s="355">
        <v>3.2930000000000001E-2</v>
      </c>
      <c r="AZ2152" s="624">
        <v>41337</v>
      </c>
      <c r="BA2152" s="355">
        <v>1.17E-2</v>
      </c>
      <c r="BB2152" s="624">
        <v>41268</v>
      </c>
      <c r="BC2152" s="355">
        <v>0.32290000000000002</v>
      </c>
      <c r="BD2152" s="624">
        <v>41268</v>
      </c>
      <c r="BE2152" s="355">
        <v>9.3119999999999994E-2</v>
      </c>
      <c r="BF2152" s="624">
        <v>41397</v>
      </c>
      <c r="BG2152" s="355">
        <v>1.8574E-2</v>
      </c>
      <c r="BH2152" s="624">
        <v>41268</v>
      </c>
      <c r="BI2152" s="355">
        <v>0.103542</v>
      </c>
      <c r="BJ2152" s="624">
        <v>41267</v>
      </c>
      <c r="BK2152" s="355">
        <v>3.2663999999999999E-2</v>
      </c>
    </row>
    <row r="2153" spans="3:63" x14ac:dyDescent="0.15">
      <c r="C2153" s="624"/>
      <c r="D2153" s="355">
        <v>3.2930000000000001E-2</v>
      </c>
      <c r="AV2153" s="624"/>
      <c r="AX2153" s="624">
        <v>41274</v>
      </c>
      <c r="AY2153" s="355">
        <v>3.2730000000000002E-2</v>
      </c>
      <c r="AZ2153" s="624">
        <v>41338</v>
      </c>
      <c r="BA2153" s="355">
        <v>1.17E-2</v>
      </c>
      <c r="BB2153" s="624">
        <v>41269</v>
      </c>
      <c r="BC2153" s="355">
        <v>0.32119999999999999</v>
      </c>
      <c r="BD2153" s="624">
        <v>41269</v>
      </c>
      <c r="BE2153" s="355">
        <v>9.3200000000000005E-2</v>
      </c>
      <c r="BF2153" s="624">
        <v>41400</v>
      </c>
      <c r="BG2153" s="355">
        <v>1.8443000000000001E-2</v>
      </c>
      <c r="BH2153" s="624">
        <v>41269</v>
      </c>
      <c r="BI2153" s="355">
        <v>0.103542</v>
      </c>
      <c r="BJ2153" s="624">
        <v>41268</v>
      </c>
      <c r="BK2153" s="355">
        <v>3.2658E-2</v>
      </c>
    </row>
    <row r="2154" spans="3:63" x14ac:dyDescent="0.15">
      <c r="C2154" s="624"/>
      <c r="D2154" s="355">
        <v>3.2730000000000002E-2</v>
      </c>
      <c r="AV2154" s="624"/>
      <c r="AX2154" s="624">
        <v>41275</v>
      </c>
      <c r="AY2154" s="355">
        <v>3.2719999999999999E-2</v>
      </c>
      <c r="AZ2154" s="624">
        <v>41339</v>
      </c>
      <c r="BA2154" s="355">
        <v>1.1599999999999999E-2</v>
      </c>
      <c r="BB2154" s="624">
        <v>41270</v>
      </c>
      <c r="BC2154" s="355">
        <v>0.32500000000000001</v>
      </c>
      <c r="BD2154" s="624">
        <v>41270</v>
      </c>
      <c r="BE2154" s="355">
        <v>9.325E-2</v>
      </c>
      <c r="BF2154" s="624">
        <v>41401</v>
      </c>
      <c r="BG2154" s="355">
        <v>1.8487E-2</v>
      </c>
      <c r="BH2154" s="624">
        <v>41270</v>
      </c>
      <c r="BI2154" s="355">
        <v>0.103488</v>
      </c>
      <c r="BJ2154" s="624">
        <v>41269</v>
      </c>
      <c r="BK2154" s="355">
        <v>3.2620999999999997E-2</v>
      </c>
    </row>
    <row r="2155" spans="3:63" x14ac:dyDescent="0.15">
      <c r="C2155" s="624"/>
      <c r="D2155" s="355">
        <v>3.2719999999999999E-2</v>
      </c>
      <c r="AV2155" s="624"/>
      <c r="AX2155" s="624">
        <v>41276</v>
      </c>
      <c r="AY2155" s="355">
        <v>3.3140000000000003E-2</v>
      </c>
      <c r="AZ2155" s="624">
        <v>41340</v>
      </c>
      <c r="BA2155" s="355">
        <v>1.17E-2</v>
      </c>
      <c r="BB2155" s="624">
        <v>41271</v>
      </c>
      <c r="BC2155" s="355">
        <v>0.32429999999999998</v>
      </c>
      <c r="BD2155" s="624">
        <v>41271</v>
      </c>
      <c r="BE2155" s="355">
        <v>9.3640000000000001E-2</v>
      </c>
      <c r="BF2155" s="624">
        <v>41402</v>
      </c>
      <c r="BG2155" s="355">
        <v>1.8499999999999999E-2</v>
      </c>
      <c r="BH2155" s="624">
        <v>41271</v>
      </c>
      <c r="BI2155" s="355">
        <v>0.103757</v>
      </c>
      <c r="BJ2155" s="624">
        <v>41270</v>
      </c>
      <c r="BK2155" s="355">
        <v>3.2640000000000002E-2</v>
      </c>
    </row>
    <row r="2156" spans="3:63" x14ac:dyDescent="0.15">
      <c r="C2156" s="624"/>
      <c r="D2156" s="355">
        <v>3.3140000000000003E-2</v>
      </c>
      <c r="AV2156" s="624"/>
      <c r="AX2156" s="624">
        <v>41277</v>
      </c>
      <c r="AY2156" s="355">
        <v>3.3020000000000001E-2</v>
      </c>
      <c r="AZ2156" s="624">
        <v>41341</v>
      </c>
      <c r="BA2156" s="355">
        <v>1.1599999999999999E-2</v>
      </c>
      <c r="BB2156" s="624">
        <v>41274</v>
      </c>
      <c r="BC2156" s="355">
        <v>0.32379999999999998</v>
      </c>
      <c r="BD2156" s="624">
        <v>41274</v>
      </c>
      <c r="BE2156" s="355">
        <v>9.4009999999999996E-2</v>
      </c>
      <c r="BF2156" s="624">
        <v>41403</v>
      </c>
      <c r="BG2156" s="355">
        <v>1.8307E-2</v>
      </c>
      <c r="BH2156" s="624">
        <v>41274</v>
      </c>
      <c r="BI2156" s="355">
        <v>0.103891</v>
      </c>
      <c r="BJ2156" s="624">
        <v>41271</v>
      </c>
      <c r="BK2156" s="355">
        <v>3.2668999999999997E-2</v>
      </c>
    </row>
    <row r="2157" spans="3:63" x14ac:dyDescent="0.15">
      <c r="C2157" s="624"/>
      <c r="D2157" s="355">
        <v>3.3020000000000001E-2</v>
      </c>
      <c r="AV2157" s="624"/>
      <c r="AX2157" s="624">
        <v>41278</v>
      </c>
      <c r="AY2157" s="355">
        <v>3.2930000000000001E-2</v>
      </c>
      <c r="AZ2157" s="624">
        <v>41344</v>
      </c>
      <c r="BA2157" s="355">
        <v>1.1599999999999999E-2</v>
      </c>
      <c r="BB2157" s="624">
        <v>41275</v>
      </c>
      <c r="BC2157" s="355">
        <v>0.3231</v>
      </c>
      <c r="BD2157" s="624">
        <v>41275</v>
      </c>
      <c r="BE2157" s="355">
        <v>9.4020000000000006E-2</v>
      </c>
      <c r="BF2157" s="624">
        <v>41404</v>
      </c>
      <c r="BG2157" s="355">
        <v>1.8200000000000001E-2</v>
      </c>
      <c r="BH2157" s="624">
        <v>41275</v>
      </c>
      <c r="BI2157" s="355">
        <v>0.103757</v>
      </c>
      <c r="BJ2157" s="624">
        <v>41274</v>
      </c>
      <c r="BK2157" s="355">
        <v>3.2711999999999998E-2</v>
      </c>
    </row>
    <row r="2158" spans="3:63" x14ac:dyDescent="0.15">
      <c r="C2158" s="624"/>
      <c r="D2158" s="355">
        <v>3.2930000000000001E-2</v>
      </c>
      <c r="AV2158" s="624"/>
      <c r="AX2158" s="624">
        <v>41281</v>
      </c>
      <c r="AY2158" s="355">
        <v>3.295E-2</v>
      </c>
      <c r="AZ2158" s="624">
        <v>41345</v>
      </c>
      <c r="BA2158" s="355">
        <v>1.1599999999999999E-2</v>
      </c>
      <c r="BB2158" s="624">
        <v>41276</v>
      </c>
      <c r="BC2158" s="355">
        <v>0.32429999999999998</v>
      </c>
      <c r="BD2158" s="624">
        <v>41276</v>
      </c>
      <c r="BE2158" s="355">
        <v>9.4049999999999995E-2</v>
      </c>
      <c r="BF2158" s="624">
        <v>41407</v>
      </c>
      <c r="BG2158" s="355">
        <v>1.8237E-2</v>
      </c>
      <c r="BH2158" s="624">
        <v>41276</v>
      </c>
      <c r="BI2158" s="355">
        <v>0.103628</v>
      </c>
      <c r="BJ2158" s="624">
        <v>41275</v>
      </c>
      <c r="BK2158" s="355">
        <v>3.2684999999999999E-2</v>
      </c>
    </row>
    <row r="2159" spans="3:63" x14ac:dyDescent="0.15">
      <c r="C2159" s="624"/>
      <c r="D2159" s="355">
        <v>3.295E-2</v>
      </c>
      <c r="AV2159" s="624"/>
      <c r="AX2159" s="624">
        <v>41282</v>
      </c>
      <c r="AY2159" s="355">
        <v>3.3000000000000002E-2</v>
      </c>
      <c r="AZ2159" s="624">
        <v>41346</v>
      </c>
      <c r="BA2159" s="355">
        <v>1.1599999999999999E-2</v>
      </c>
      <c r="BB2159" s="624">
        <v>41277</v>
      </c>
      <c r="BC2159" s="355">
        <v>0.31879999999999997</v>
      </c>
      <c r="BD2159" s="624">
        <v>41277</v>
      </c>
      <c r="BE2159" s="355">
        <v>9.4070000000000001E-2</v>
      </c>
      <c r="BF2159" s="624">
        <v>41408</v>
      </c>
      <c r="BG2159" s="355">
        <v>1.8263000000000001E-2</v>
      </c>
      <c r="BH2159" s="624">
        <v>41277</v>
      </c>
      <c r="BI2159" s="355">
        <v>0.103573</v>
      </c>
      <c r="BJ2159" s="624">
        <v>41276</v>
      </c>
      <c r="BK2159" s="355">
        <v>3.2975999999999998E-2</v>
      </c>
    </row>
    <row r="2160" spans="3:63" x14ac:dyDescent="0.15">
      <c r="C2160" s="624"/>
      <c r="D2160" s="355">
        <v>3.3000000000000002E-2</v>
      </c>
      <c r="AV2160" s="624"/>
      <c r="AX2160" s="624">
        <v>41283</v>
      </c>
      <c r="AY2160" s="355">
        <v>3.2980000000000002E-2</v>
      </c>
      <c r="AZ2160" s="624">
        <v>41347</v>
      </c>
      <c r="BA2160" s="355">
        <v>1.1599999999999999E-2</v>
      </c>
      <c r="BB2160" s="624">
        <v>41278</v>
      </c>
      <c r="BC2160" s="355">
        <v>0.31759999999999999</v>
      </c>
      <c r="BD2160" s="624">
        <v>41278</v>
      </c>
      <c r="BE2160" s="355">
        <v>9.4100000000000003E-2</v>
      </c>
      <c r="BF2160" s="624">
        <v>41409</v>
      </c>
      <c r="BG2160" s="355">
        <v>1.8246999999999999E-2</v>
      </c>
      <c r="BH2160" s="624">
        <v>41278</v>
      </c>
      <c r="BI2160" s="355">
        <v>0.10352</v>
      </c>
      <c r="BJ2160" s="624">
        <v>41277</v>
      </c>
      <c r="BK2160" s="355">
        <v>3.2911000000000003E-2</v>
      </c>
    </row>
    <row r="2161" spans="3:63" x14ac:dyDescent="0.15">
      <c r="C2161" s="624"/>
      <c r="D2161" s="355">
        <v>3.2980000000000002E-2</v>
      </c>
      <c r="AV2161" s="624"/>
      <c r="AX2161" s="624">
        <v>41284</v>
      </c>
      <c r="AY2161" s="355">
        <v>3.3110000000000001E-2</v>
      </c>
      <c r="AZ2161" s="624">
        <v>41348</v>
      </c>
      <c r="BA2161" s="355">
        <v>1.17E-2</v>
      </c>
      <c r="BB2161" s="624">
        <v>41281</v>
      </c>
      <c r="BC2161" s="355">
        <v>0.31809999999999999</v>
      </c>
      <c r="BD2161" s="624">
        <v>41281</v>
      </c>
      <c r="BE2161" s="355">
        <v>9.4039999999999999E-2</v>
      </c>
      <c r="BF2161" s="624">
        <v>41410</v>
      </c>
      <c r="BG2161" s="355">
        <v>1.8249999999999999E-2</v>
      </c>
      <c r="BH2161" s="624">
        <v>41281</v>
      </c>
      <c r="BI2161" s="355">
        <v>0.103435</v>
      </c>
      <c r="BJ2161" s="624">
        <v>41278</v>
      </c>
      <c r="BK2161" s="355">
        <v>3.2807999999999997E-2</v>
      </c>
    </row>
    <row r="2162" spans="3:63" x14ac:dyDescent="0.15">
      <c r="C2162" s="624"/>
      <c r="D2162" s="355">
        <v>3.3110000000000001E-2</v>
      </c>
      <c r="AV2162" s="624"/>
      <c r="AX2162" s="624">
        <v>41285</v>
      </c>
      <c r="AY2162" s="355">
        <v>3.2969999999999999E-2</v>
      </c>
      <c r="AZ2162" s="624">
        <v>41351</v>
      </c>
      <c r="BA2162" s="355">
        <v>1.1599999999999999E-2</v>
      </c>
      <c r="BB2162" s="624">
        <v>41282</v>
      </c>
      <c r="BC2162" s="355">
        <v>0.31859999999999999</v>
      </c>
      <c r="BD2162" s="624">
        <v>41282</v>
      </c>
      <c r="BE2162" s="355">
        <v>9.3979999999999994E-2</v>
      </c>
      <c r="BF2162" s="624">
        <v>41411</v>
      </c>
      <c r="BG2162" s="355">
        <v>1.8134000000000001E-2</v>
      </c>
      <c r="BH2162" s="624">
        <v>41282</v>
      </c>
      <c r="BI2162" s="355">
        <v>0.103413</v>
      </c>
      <c r="BJ2162" s="624">
        <v>41281</v>
      </c>
      <c r="BK2162" s="355">
        <v>3.2851999999999999E-2</v>
      </c>
    </row>
    <row r="2163" spans="3:63" x14ac:dyDescent="0.15">
      <c r="C2163" s="624"/>
      <c r="D2163" s="355">
        <v>3.2969999999999999E-2</v>
      </c>
      <c r="AV2163" s="624"/>
      <c r="AX2163" s="624">
        <v>41288</v>
      </c>
      <c r="AY2163" s="355">
        <v>3.3090000000000001E-2</v>
      </c>
      <c r="AZ2163" s="624">
        <v>41352</v>
      </c>
      <c r="BA2163" s="355">
        <v>1.1599999999999999E-2</v>
      </c>
      <c r="BB2163" s="624">
        <v>41283</v>
      </c>
      <c r="BC2163" s="355">
        <v>0.32040000000000002</v>
      </c>
      <c r="BD2163" s="624">
        <v>41283</v>
      </c>
      <c r="BE2163" s="355">
        <v>9.4299999999999995E-2</v>
      </c>
      <c r="BF2163" s="624">
        <v>41414</v>
      </c>
      <c r="BG2163" s="355">
        <v>1.8186999999999998E-2</v>
      </c>
      <c r="BH2163" s="624">
        <v>41283</v>
      </c>
      <c r="BI2163" s="355">
        <v>0.10352</v>
      </c>
      <c r="BJ2163" s="624">
        <v>41282</v>
      </c>
      <c r="BK2163" s="355">
        <v>3.2883999999999997E-2</v>
      </c>
    </row>
    <row r="2164" spans="3:63" x14ac:dyDescent="0.15">
      <c r="C2164" s="624"/>
      <c r="D2164" s="355">
        <v>3.3090000000000001E-2</v>
      </c>
      <c r="AV2164" s="624"/>
      <c r="AX2164" s="624">
        <v>41289</v>
      </c>
      <c r="AY2164" s="355">
        <v>3.2989999999999998E-2</v>
      </c>
      <c r="AZ2164" s="624">
        <v>41353</v>
      </c>
      <c r="BA2164" s="355">
        <v>1.1599999999999999E-2</v>
      </c>
      <c r="BB2164" s="624">
        <v>41284</v>
      </c>
      <c r="BC2164" s="355">
        <v>0.32429999999999998</v>
      </c>
      <c r="BD2164" s="624">
        <v>41284</v>
      </c>
      <c r="BE2164" s="355">
        <v>9.4479999999999995E-2</v>
      </c>
      <c r="BF2164" s="624">
        <v>41415</v>
      </c>
      <c r="BG2164" s="355">
        <v>1.8054000000000001E-2</v>
      </c>
      <c r="BH2164" s="624">
        <v>41284</v>
      </c>
      <c r="BI2164" s="355">
        <v>0.10352</v>
      </c>
      <c r="BJ2164" s="624">
        <v>41283</v>
      </c>
      <c r="BK2164" s="355">
        <v>3.2916000000000001E-2</v>
      </c>
    </row>
    <row r="2165" spans="3:63" x14ac:dyDescent="0.15">
      <c r="C2165" s="624"/>
      <c r="D2165" s="355">
        <v>3.2989999999999998E-2</v>
      </c>
      <c r="AV2165" s="624"/>
      <c r="AX2165" s="624">
        <v>41290</v>
      </c>
      <c r="AY2165" s="355">
        <v>3.2980000000000002E-2</v>
      </c>
      <c r="AZ2165" s="624">
        <v>41354</v>
      </c>
      <c r="BA2165" s="355">
        <v>1.15E-2</v>
      </c>
      <c r="BB2165" s="624">
        <v>41285</v>
      </c>
      <c r="BC2165" s="355">
        <v>0.32469999999999999</v>
      </c>
      <c r="BD2165" s="624">
        <v>41285</v>
      </c>
      <c r="BE2165" s="355">
        <v>9.4640000000000002E-2</v>
      </c>
      <c r="BF2165" s="624">
        <v>41416</v>
      </c>
      <c r="BG2165" s="355">
        <v>1.7992000000000001E-2</v>
      </c>
      <c r="BH2165" s="624">
        <v>41285</v>
      </c>
      <c r="BI2165" s="355">
        <v>0.10378800000000001</v>
      </c>
      <c r="BJ2165" s="624">
        <v>41284</v>
      </c>
      <c r="BK2165" s="355">
        <v>3.3050000000000003E-2</v>
      </c>
    </row>
    <row r="2166" spans="3:63" x14ac:dyDescent="0.15">
      <c r="C2166" s="624"/>
      <c r="D2166" s="355">
        <v>3.2980000000000002E-2</v>
      </c>
      <c r="AV2166" s="624"/>
      <c r="AX2166" s="624">
        <v>41291</v>
      </c>
      <c r="AY2166" s="355">
        <v>3.3140000000000003E-2</v>
      </c>
      <c r="AZ2166" s="624">
        <v>41355</v>
      </c>
      <c r="BA2166" s="355">
        <v>1.1599999999999999E-2</v>
      </c>
      <c r="BB2166" s="624">
        <v>41288</v>
      </c>
      <c r="BC2166" s="355">
        <v>0.32619999999999999</v>
      </c>
      <c r="BD2166" s="624">
        <v>41288</v>
      </c>
      <c r="BE2166" s="355">
        <v>9.468E-2</v>
      </c>
      <c r="BF2166" s="624">
        <v>41417</v>
      </c>
      <c r="BG2166" s="355">
        <v>1.7920999999999999E-2</v>
      </c>
      <c r="BH2166" s="624">
        <v>41288</v>
      </c>
      <c r="BI2166" s="355">
        <v>0.10378900000000001</v>
      </c>
      <c r="BJ2166" s="624">
        <v>41285</v>
      </c>
      <c r="BK2166" s="355">
        <v>3.3036000000000003E-2</v>
      </c>
    </row>
    <row r="2167" spans="3:63" x14ac:dyDescent="0.15">
      <c r="C2167" s="624"/>
      <c r="D2167" s="355">
        <v>3.3140000000000003E-2</v>
      </c>
      <c r="AV2167" s="624"/>
      <c r="AX2167" s="624">
        <v>41292</v>
      </c>
      <c r="AY2167" s="355">
        <v>3.304E-2</v>
      </c>
      <c r="AZ2167" s="624">
        <v>41358</v>
      </c>
      <c r="BA2167" s="355">
        <v>1.15E-2</v>
      </c>
      <c r="BB2167" s="624">
        <v>41289</v>
      </c>
      <c r="BC2167" s="355">
        <v>0.32350000000000001</v>
      </c>
      <c r="BD2167" s="624">
        <v>41289</v>
      </c>
      <c r="BE2167" s="355">
        <v>9.4539999999999999E-2</v>
      </c>
      <c r="BF2167" s="624">
        <v>41418</v>
      </c>
      <c r="BG2167" s="355">
        <v>1.7939E-2</v>
      </c>
      <c r="BH2167" s="624">
        <v>41289</v>
      </c>
      <c r="BI2167" s="355">
        <v>0.10352500000000001</v>
      </c>
      <c r="BJ2167" s="624">
        <v>41288</v>
      </c>
      <c r="BK2167" s="355">
        <v>3.3073999999999999E-2</v>
      </c>
    </row>
    <row r="2168" spans="3:63" x14ac:dyDescent="0.15">
      <c r="C2168" s="624"/>
      <c r="D2168" s="355">
        <v>3.304E-2</v>
      </c>
      <c r="AV2168" s="624"/>
      <c r="AX2168" s="624">
        <v>41295</v>
      </c>
      <c r="AY2168" s="355">
        <v>3.3050000000000003E-2</v>
      </c>
      <c r="AZ2168" s="624">
        <v>41359</v>
      </c>
      <c r="BA2168" s="355">
        <v>1.15E-2</v>
      </c>
      <c r="BB2168" s="624">
        <v>41290</v>
      </c>
      <c r="BC2168" s="355">
        <v>0.3226</v>
      </c>
      <c r="BD2168" s="624">
        <v>41290</v>
      </c>
      <c r="BE2168" s="355">
        <v>9.4509999999999997E-2</v>
      </c>
      <c r="BF2168" s="624">
        <v>41421</v>
      </c>
      <c r="BG2168" s="355">
        <v>1.7994E-2</v>
      </c>
      <c r="BH2168" s="624">
        <v>41290</v>
      </c>
      <c r="BI2168" s="355">
        <v>0.103574</v>
      </c>
      <c r="BJ2168" s="624">
        <v>41289</v>
      </c>
      <c r="BK2168" s="355">
        <v>3.3405999999999998E-2</v>
      </c>
    </row>
    <row r="2169" spans="3:63" x14ac:dyDescent="0.15">
      <c r="C2169" s="624"/>
      <c r="D2169" s="355">
        <v>3.3050000000000003E-2</v>
      </c>
      <c r="AV2169" s="624"/>
      <c r="AX2169" s="624">
        <v>41296</v>
      </c>
      <c r="AY2169" s="355">
        <v>3.3070000000000002E-2</v>
      </c>
      <c r="AZ2169" s="624">
        <v>41360</v>
      </c>
      <c r="BA2169" s="355">
        <v>1.14E-2</v>
      </c>
      <c r="BB2169" s="624">
        <v>41291</v>
      </c>
      <c r="BC2169" s="355">
        <v>0.3256</v>
      </c>
      <c r="BD2169" s="624">
        <v>41291</v>
      </c>
      <c r="BE2169" s="355">
        <v>9.4600000000000004E-2</v>
      </c>
      <c r="BF2169" s="624">
        <v>41422</v>
      </c>
      <c r="BG2169" s="355">
        <v>1.7838E-2</v>
      </c>
      <c r="BH2169" s="624">
        <v>41291</v>
      </c>
      <c r="BI2169" s="355">
        <v>0.103628</v>
      </c>
      <c r="BJ2169" s="624">
        <v>41290</v>
      </c>
      <c r="BK2169" s="355">
        <v>3.3547E-2</v>
      </c>
    </row>
    <row r="2170" spans="3:63" x14ac:dyDescent="0.15">
      <c r="C2170" s="624"/>
      <c r="D2170" s="355">
        <v>3.3070000000000002E-2</v>
      </c>
      <c r="AV2170" s="624"/>
      <c r="AX2170" s="624">
        <v>41297</v>
      </c>
      <c r="AY2170" s="355">
        <v>3.3160000000000002E-2</v>
      </c>
      <c r="AZ2170" s="624">
        <v>41361</v>
      </c>
      <c r="BA2170" s="355">
        <v>1.15E-2</v>
      </c>
      <c r="BB2170" s="624">
        <v>41292</v>
      </c>
      <c r="BC2170" s="355">
        <v>0.32090000000000002</v>
      </c>
      <c r="BD2170" s="624">
        <v>41292</v>
      </c>
      <c r="BE2170" s="355">
        <v>9.4500000000000001E-2</v>
      </c>
      <c r="BF2170" s="624">
        <v>41423</v>
      </c>
      <c r="BG2170" s="355">
        <v>1.7767000000000002E-2</v>
      </c>
      <c r="BH2170" s="624">
        <v>41292</v>
      </c>
      <c r="BI2170" s="355">
        <v>0.103843</v>
      </c>
      <c r="BJ2170" s="624">
        <v>41291</v>
      </c>
      <c r="BK2170" s="355">
        <v>3.3591000000000003E-2</v>
      </c>
    </row>
    <row r="2171" spans="3:63" x14ac:dyDescent="0.15">
      <c r="C2171" s="624"/>
      <c r="D2171" s="355">
        <v>3.3160000000000002E-2</v>
      </c>
      <c r="AV2171" s="624"/>
      <c r="AX2171" s="624">
        <v>41298</v>
      </c>
      <c r="AY2171" s="355">
        <v>3.3279999999999997E-2</v>
      </c>
      <c r="AZ2171" s="624">
        <v>41362</v>
      </c>
      <c r="BA2171" s="355">
        <v>1.15E-2</v>
      </c>
      <c r="BB2171" s="624">
        <v>41295</v>
      </c>
      <c r="BC2171" s="355">
        <v>0.31919999999999998</v>
      </c>
      <c r="BD2171" s="624">
        <v>41295</v>
      </c>
      <c r="BE2171" s="355">
        <v>9.4039999999999999E-2</v>
      </c>
      <c r="BF2171" s="624">
        <v>41424</v>
      </c>
      <c r="BG2171" s="355">
        <v>1.7669000000000001E-2</v>
      </c>
      <c r="BH2171" s="624">
        <v>41295</v>
      </c>
      <c r="BI2171" s="355">
        <v>0.10397199999999999</v>
      </c>
      <c r="BJ2171" s="624">
        <v>41292</v>
      </c>
      <c r="BK2171" s="355">
        <v>3.3612999999999997E-2</v>
      </c>
    </row>
    <row r="2172" spans="3:63" x14ac:dyDescent="0.15">
      <c r="C2172" s="624"/>
      <c r="D2172" s="355">
        <v>3.3279999999999997E-2</v>
      </c>
      <c r="AV2172" s="624"/>
      <c r="AX2172" s="624">
        <v>41299</v>
      </c>
      <c r="AY2172" s="355">
        <v>3.3300000000000003E-2</v>
      </c>
      <c r="AZ2172" s="624">
        <v>41365</v>
      </c>
      <c r="BA2172" s="355">
        <v>1.15E-2</v>
      </c>
      <c r="BB2172" s="624">
        <v>41296</v>
      </c>
      <c r="BC2172" s="355">
        <v>0.31919999999999998</v>
      </c>
      <c r="BD2172" s="624">
        <v>41296</v>
      </c>
      <c r="BE2172" s="355">
        <v>9.4020000000000006E-2</v>
      </c>
      <c r="BF2172" s="624">
        <v>41425</v>
      </c>
      <c r="BG2172" s="355">
        <v>1.7655000000000001E-2</v>
      </c>
      <c r="BH2172" s="624">
        <v>41296</v>
      </c>
      <c r="BI2172" s="355">
        <v>0.10402599999999999</v>
      </c>
      <c r="BJ2172" s="624">
        <v>41295</v>
      </c>
      <c r="BK2172" s="355">
        <v>3.3625000000000002E-2</v>
      </c>
    </row>
    <row r="2173" spans="3:63" x14ac:dyDescent="0.15">
      <c r="C2173" s="624"/>
      <c r="D2173" s="355">
        <v>3.3300000000000003E-2</v>
      </c>
      <c r="AV2173" s="624"/>
      <c r="AX2173" s="624">
        <v>41302</v>
      </c>
      <c r="AY2173" s="355">
        <v>3.3140000000000003E-2</v>
      </c>
      <c r="AZ2173" s="624">
        <v>41366</v>
      </c>
      <c r="BA2173" s="355">
        <v>1.15E-2</v>
      </c>
      <c r="BB2173" s="624">
        <v>41297</v>
      </c>
      <c r="BC2173" s="355">
        <v>0.31940000000000002</v>
      </c>
      <c r="BD2173" s="624">
        <v>41297</v>
      </c>
      <c r="BE2173" s="355">
        <v>9.3689999999999996E-2</v>
      </c>
      <c r="BF2173" s="624">
        <v>41428</v>
      </c>
      <c r="BG2173" s="355">
        <v>1.772E-2</v>
      </c>
      <c r="BH2173" s="624">
        <v>41297</v>
      </c>
      <c r="BI2173" s="355">
        <v>0.103897</v>
      </c>
      <c r="BJ2173" s="624">
        <v>41296</v>
      </c>
      <c r="BK2173" s="355">
        <v>3.3612999999999997E-2</v>
      </c>
    </row>
    <row r="2174" spans="3:63" x14ac:dyDescent="0.15">
      <c r="C2174" s="624"/>
      <c r="D2174" s="355">
        <v>3.3140000000000003E-2</v>
      </c>
      <c r="AV2174" s="624"/>
      <c r="AX2174" s="624">
        <v>41303</v>
      </c>
      <c r="AY2174" s="355">
        <v>3.329E-2</v>
      </c>
      <c r="AZ2174" s="624">
        <v>41367</v>
      </c>
      <c r="BA2174" s="355">
        <v>1.15E-2</v>
      </c>
      <c r="BB2174" s="624">
        <v>41298</v>
      </c>
      <c r="BC2174" s="355">
        <v>0.31940000000000002</v>
      </c>
      <c r="BD2174" s="624">
        <v>41298</v>
      </c>
      <c r="BE2174" s="355">
        <v>9.3530000000000002E-2</v>
      </c>
      <c r="BF2174" s="624">
        <v>41429</v>
      </c>
      <c r="BG2174" s="355">
        <v>1.7682E-2</v>
      </c>
      <c r="BH2174" s="624">
        <v>41298</v>
      </c>
      <c r="BI2174" s="355">
        <v>0.103907</v>
      </c>
      <c r="BJ2174" s="624">
        <v>41297</v>
      </c>
      <c r="BK2174" s="355">
        <v>3.3584999999999997E-2</v>
      </c>
    </row>
    <row r="2175" spans="3:63" x14ac:dyDescent="0.15">
      <c r="C2175" s="624"/>
      <c r="D2175" s="355">
        <v>3.329E-2</v>
      </c>
      <c r="AV2175" s="624"/>
      <c r="AX2175" s="624">
        <v>41304</v>
      </c>
      <c r="AY2175" s="355">
        <v>3.3309999999999999E-2</v>
      </c>
      <c r="AZ2175" s="624">
        <v>41368</v>
      </c>
      <c r="BA2175" s="355">
        <v>1.1599999999999999E-2</v>
      </c>
      <c r="BB2175" s="624">
        <v>41299</v>
      </c>
      <c r="BC2175" s="355">
        <v>0.32279999999999998</v>
      </c>
      <c r="BD2175" s="624">
        <v>41299</v>
      </c>
      <c r="BE2175" s="355">
        <v>9.2859999999999998E-2</v>
      </c>
      <c r="BF2175" s="624">
        <v>41430</v>
      </c>
      <c r="BG2175" s="355">
        <v>1.753E-2</v>
      </c>
      <c r="BH2175" s="624">
        <v>41299</v>
      </c>
      <c r="BI2175" s="355">
        <v>0.10359500000000001</v>
      </c>
      <c r="BJ2175" s="624">
        <v>41298</v>
      </c>
      <c r="BK2175" s="355">
        <v>3.3522999999999997E-2</v>
      </c>
    </row>
    <row r="2176" spans="3:63" x14ac:dyDescent="0.15">
      <c r="C2176" s="624"/>
      <c r="D2176" s="355">
        <v>3.3309999999999999E-2</v>
      </c>
      <c r="AV2176" s="624"/>
      <c r="AX2176" s="624">
        <v>41305</v>
      </c>
      <c r="AY2176" s="355">
        <v>3.3300000000000003E-2</v>
      </c>
      <c r="AZ2176" s="624">
        <v>41369</v>
      </c>
      <c r="BA2176" s="355">
        <v>1.1599999999999999E-2</v>
      </c>
      <c r="BB2176" s="624">
        <v>41302</v>
      </c>
      <c r="BC2176" s="355">
        <v>0.32050000000000001</v>
      </c>
      <c r="BD2176" s="624">
        <v>41302</v>
      </c>
      <c r="BE2176" s="355">
        <v>9.1619999999999993E-2</v>
      </c>
      <c r="BF2176" s="624">
        <v>41431</v>
      </c>
      <c r="BG2176" s="355">
        <v>1.7607000000000001E-2</v>
      </c>
      <c r="BH2176" s="624">
        <v>41302</v>
      </c>
      <c r="BI2176" s="355">
        <v>0.103349</v>
      </c>
      <c r="BJ2176" s="624">
        <v>41299</v>
      </c>
      <c r="BK2176" s="355">
        <v>3.3395000000000001E-2</v>
      </c>
    </row>
    <row r="2177" spans="3:63" x14ac:dyDescent="0.15">
      <c r="C2177" s="624"/>
      <c r="D2177" s="355">
        <v>3.3300000000000003E-2</v>
      </c>
      <c r="AV2177" s="624"/>
      <c r="AX2177" s="624">
        <v>41306</v>
      </c>
      <c r="AY2177" s="355">
        <v>3.3480000000000003E-2</v>
      </c>
      <c r="AZ2177" s="624">
        <v>41372</v>
      </c>
      <c r="BA2177" s="355">
        <v>1.1599999999999999E-2</v>
      </c>
      <c r="BB2177" s="624">
        <v>41303</v>
      </c>
      <c r="BC2177" s="355">
        <v>0.32240000000000002</v>
      </c>
      <c r="BD2177" s="624">
        <v>41303</v>
      </c>
      <c r="BE2177" s="355">
        <v>9.2310000000000003E-2</v>
      </c>
      <c r="BF2177" s="624">
        <v>41432</v>
      </c>
      <c r="BG2177" s="355">
        <v>1.7475999999999998E-2</v>
      </c>
      <c r="BH2177" s="624">
        <v>41303</v>
      </c>
      <c r="BI2177" s="355">
        <v>0.103328</v>
      </c>
      <c r="BJ2177" s="624">
        <v>41302</v>
      </c>
      <c r="BK2177" s="355">
        <v>3.3456E-2</v>
      </c>
    </row>
    <row r="2178" spans="3:63" x14ac:dyDescent="0.15">
      <c r="C2178" s="624"/>
      <c r="D2178" s="355">
        <v>3.3480000000000003E-2</v>
      </c>
      <c r="AV2178" s="624"/>
      <c r="AX2178" s="624">
        <v>41309</v>
      </c>
      <c r="AY2178" s="355">
        <v>3.3259999999999998E-2</v>
      </c>
      <c r="AZ2178" s="624">
        <v>41373</v>
      </c>
      <c r="BA2178" s="355">
        <v>1.17E-2</v>
      </c>
      <c r="BB2178" s="624">
        <v>41304</v>
      </c>
      <c r="BC2178" s="355">
        <v>0.32350000000000001</v>
      </c>
      <c r="BD2178" s="624">
        <v>41304</v>
      </c>
      <c r="BE2178" s="355">
        <v>9.1899999999999996E-2</v>
      </c>
      <c r="BF2178" s="624">
        <v>41435</v>
      </c>
      <c r="BG2178" s="355">
        <v>1.7174999999999999E-2</v>
      </c>
      <c r="BH2178" s="624">
        <v>41304</v>
      </c>
      <c r="BI2178" s="355">
        <v>0.10322099999999999</v>
      </c>
      <c r="BJ2178" s="624">
        <v>41303</v>
      </c>
      <c r="BK2178" s="355">
        <v>3.3591000000000003E-2</v>
      </c>
    </row>
    <row r="2179" spans="3:63" x14ac:dyDescent="0.15">
      <c r="C2179" s="624"/>
      <c r="D2179" s="355">
        <v>3.3259999999999998E-2</v>
      </c>
      <c r="AV2179" s="624"/>
      <c r="AX2179" s="624">
        <v>41310</v>
      </c>
      <c r="AY2179" s="355">
        <v>3.338E-2</v>
      </c>
      <c r="AZ2179" s="624">
        <v>41374</v>
      </c>
      <c r="BA2179" s="355">
        <v>1.17E-2</v>
      </c>
      <c r="BB2179" s="624">
        <v>41305</v>
      </c>
      <c r="BC2179" s="355">
        <v>0.32369999999999999</v>
      </c>
      <c r="BD2179" s="624">
        <v>41305</v>
      </c>
      <c r="BE2179" s="355">
        <v>9.1859999999999997E-2</v>
      </c>
      <c r="BF2179" s="624">
        <v>41436</v>
      </c>
      <c r="BG2179" s="355">
        <v>1.7141E-2</v>
      </c>
      <c r="BH2179" s="624">
        <v>41305</v>
      </c>
      <c r="BI2179" s="355">
        <v>0.103115</v>
      </c>
      <c r="BJ2179" s="624">
        <v>41304</v>
      </c>
      <c r="BK2179" s="355">
        <v>3.3647000000000003E-2</v>
      </c>
    </row>
    <row r="2180" spans="3:63" x14ac:dyDescent="0.15">
      <c r="C2180" s="624"/>
      <c r="D2180" s="355">
        <v>3.338E-2</v>
      </c>
      <c r="AV2180" s="624"/>
      <c r="AX2180" s="624">
        <v>41311</v>
      </c>
      <c r="AY2180" s="355">
        <v>3.3250000000000002E-2</v>
      </c>
      <c r="AZ2180" s="624">
        <v>41375</v>
      </c>
      <c r="BA2180" s="355">
        <v>1.17E-2</v>
      </c>
      <c r="BB2180" s="624">
        <v>41306</v>
      </c>
      <c r="BC2180" s="355">
        <v>0.32719999999999999</v>
      </c>
      <c r="BD2180" s="624">
        <v>41306</v>
      </c>
      <c r="BE2180" s="355">
        <v>9.1340000000000005E-2</v>
      </c>
      <c r="BF2180" s="624">
        <v>41437</v>
      </c>
      <c r="BG2180" s="355">
        <v>1.7287E-2</v>
      </c>
      <c r="BH2180" s="624">
        <v>41306</v>
      </c>
      <c r="BI2180" s="355">
        <v>0.102955</v>
      </c>
      <c r="BJ2180" s="624">
        <v>41305</v>
      </c>
      <c r="BK2180" s="355">
        <v>3.3494999999999997E-2</v>
      </c>
    </row>
    <row r="2181" spans="3:63" x14ac:dyDescent="0.15">
      <c r="C2181" s="624"/>
      <c r="D2181" s="355">
        <v>3.3250000000000002E-2</v>
      </c>
      <c r="AV2181" s="624"/>
      <c r="AX2181" s="624">
        <v>41312</v>
      </c>
      <c r="AY2181" s="355">
        <v>3.3070000000000002E-2</v>
      </c>
      <c r="AZ2181" s="624">
        <v>41376</v>
      </c>
      <c r="BA2181" s="355">
        <v>1.17E-2</v>
      </c>
      <c r="BB2181" s="624">
        <v>41309</v>
      </c>
      <c r="BC2181" s="355">
        <v>0.32340000000000002</v>
      </c>
      <c r="BD2181" s="624">
        <v>41309</v>
      </c>
      <c r="BE2181" s="355">
        <v>9.1749999999999998E-2</v>
      </c>
      <c r="BF2181" s="624">
        <v>41438</v>
      </c>
      <c r="BG2181" s="355">
        <v>1.7281999999999999E-2</v>
      </c>
      <c r="BH2181" s="624">
        <v>41309</v>
      </c>
      <c r="BI2181" s="355">
        <v>0.10340299999999999</v>
      </c>
      <c r="BJ2181" s="624">
        <v>41306</v>
      </c>
      <c r="BK2181" s="355">
        <v>3.3556999999999997E-2</v>
      </c>
    </row>
    <row r="2182" spans="3:63" x14ac:dyDescent="0.15">
      <c r="C2182" s="624"/>
      <c r="D2182" s="355">
        <v>3.3070000000000002E-2</v>
      </c>
      <c r="AV2182" s="624"/>
      <c r="AX2182" s="624">
        <v>41313</v>
      </c>
      <c r="AY2182" s="355">
        <v>3.3119999999999997E-2</v>
      </c>
      <c r="AZ2182" s="624">
        <v>41379</v>
      </c>
      <c r="BA2182" s="355">
        <v>1.17E-2</v>
      </c>
      <c r="BB2182" s="624">
        <v>41310</v>
      </c>
      <c r="BC2182" s="355">
        <v>0.32519999999999999</v>
      </c>
      <c r="BD2182" s="624">
        <v>41310</v>
      </c>
      <c r="BE2182" s="355">
        <v>9.2069999999999999E-2</v>
      </c>
      <c r="BF2182" s="624">
        <v>41439</v>
      </c>
      <c r="BG2182" s="355">
        <v>1.7339E-2</v>
      </c>
      <c r="BH2182" s="624">
        <v>41310</v>
      </c>
      <c r="BI2182" s="355">
        <v>0.103349</v>
      </c>
      <c r="BJ2182" s="624">
        <v>41309</v>
      </c>
      <c r="BK2182" s="355">
        <v>3.3602E-2</v>
      </c>
    </row>
    <row r="2183" spans="3:63" x14ac:dyDescent="0.15">
      <c r="C2183" s="624"/>
      <c r="D2183" s="355">
        <v>3.3119999999999997E-2</v>
      </c>
      <c r="AV2183" s="624"/>
      <c r="AX2183" s="624">
        <v>41316</v>
      </c>
      <c r="AY2183" s="355">
        <v>3.3180000000000001E-2</v>
      </c>
      <c r="AZ2183" s="624">
        <v>41380</v>
      </c>
      <c r="BA2183" s="355">
        <v>1.18E-2</v>
      </c>
      <c r="BB2183" s="624">
        <v>41311</v>
      </c>
      <c r="BC2183" s="355">
        <v>0.3236</v>
      </c>
      <c r="BD2183" s="624">
        <v>41311</v>
      </c>
      <c r="BE2183" s="355">
        <v>9.1719999999999996E-2</v>
      </c>
      <c r="BF2183" s="624">
        <v>41442</v>
      </c>
      <c r="BG2183" s="355">
        <v>1.7177999999999999E-2</v>
      </c>
      <c r="BH2183" s="624">
        <v>41311</v>
      </c>
      <c r="BI2183" s="355">
        <v>0.102987</v>
      </c>
      <c r="BJ2183" s="624">
        <v>41310</v>
      </c>
      <c r="BK2183" s="355">
        <v>3.3597000000000002E-2</v>
      </c>
    </row>
    <row r="2184" spans="3:63" x14ac:dyDescent="0.15">
      <c r="C2184" s="624"/>
      <c r="D2184" s="355">
        <v>3.3180000000000001E-2</v>
      </c>
      <c r="AV2184" s="624"/>
      <c r="AX2184" s="624">
        <v>41317</v>
      </c>
      <c r="AY2184" s="355">
        <v>3.329E-2</v>
      </c>
      <c r="AZ2184" s="624">
        <v>41381</v>
      </c>
      <c r="BA2184" s="355">
        <v>1.17E-2</v>
      </c>
      <c r="BB2184" s="624">
        <v>41312</v>
      </c>
      <c r="BC2184" s="355">
        <v>0.32100000000000001</v>
      </c>
      <c r="BD2184" s="624">
        <v>41312</v>
      </c>
      <c r="BE2184" s="355">
        <v>9.1590000000000005E-2</v>
      </c>
      <c r="BF2184" s="624">
        <v>41443</v>
      </c>
      <c r="BG2184" s="355">
        <v>1.6989000000000001E-2</v>
      </c>
      <c r="BH2184" s="624">
        <v>41312</v>
      </c>
      <c r="BI2184" s="355">
        <v>0.103189</v>
      </c>
      <c r="BJ2184" s="624">
        <v>41311</v>
      </c>
      <c r="BK2184" s="355">
        <v>3.3574E-2</v>
      </c>
    </row>
    <row r="2185" spans="3:63" x14ac:dyDescent="0.15">
      <c r="C2185" s="624"/>
      <c r="D2185" s="355">
        <v>3.329E-2</v>
      </c>
      <c r="AV2185" s="624"/>
      <c r="AX2185" s="624">
        <v>41318</v>
      </c>
      <c r="AY2185" s="355">
        <v>3.3309999999999999E-2</v>
      </c>
      <c r="AZ2185" s="624">
        <v>41382</v>
      </c>
      <c r="BA2185" s="355">
        <v>1.17E-2</v>
      </c>
      <c r="BB2185" s="624">
        <v>41313</v>
      </c>
      <c r="BC2185" s="355">
        <v>0.3221</v>
      </c>
      <c r="BD2185" s="624">
        <v>41313</v>
      </c>
      <c r="BE2185" s="355">
        <v>9.1380000000000003E-2</v>
      </c>
      <c r="BF2185" s="624">
        <v>41444</v>
      </c>
      <c r="BG2185" s="355">
        <v>1.6945000000000002E-2</v>
      </c>
      <c r="BH2185" s="624">
        <v>41313</v>
      </c>
      <c r="BI2185" s="355">
        <v>0.10345500000000001</v>
      </c>
      <c r="BJ2185" s="624">
        <v>41312</v>
      </c>
      <c r="BK2185" s="355">
        <v>3.3579999999999999E-2</v>
      </c>
    </row>
    <row r="2186" spans="3:63" x14ac:dyDescent="0.15">
      <c r="C2186" s="624"/>
      <c r="D2186" s="355">
        <v>3.3309999999999999E-2</v>
      </c>
      <c r="AV2186" s="624"/>
      <c r="AX2186" s="624">
        <v>41319</v>
      </c>
      <c r="AY2186" s="355">
        <v>3.322E-2</v>
      </c>
      <c r="AZ2186" s="624">
        <v>41383</v>
      </c>
      <c r="BA2186" s="355">
        <v>1.17E-2</v>
      </c>
      <c r="BB2186" s="624">
        <v>41316</v>
      </c>
      <c r="BC2186" s="355">
        <v>0.32290000000000002</v>
      </c>
      <c r="BD2186" s="624">
        <v>41316</v>
      </c>
      <c r="BE2186" s="355">
        <v>9.1289999999999996E-2</v>
      </c>
      <c r="BF2186" s="624">
        <v>41445</v>
      </c>
      <c r="BG2186" s="355">
        <v>1.6681999999999999E-2</v>
      </c>
      <c r="BH2186" s="624">
        <v>41316</v>
      </c>
      <c r="BI2186" s="355">
        <v>0.103939</v>
      </c>
      <c r="BJ2186" s="624">
        <v>41313</v>
      </c>
      <c r="BK2186" s="355">
        <v>3.3556999999999997E-2</v>
      </c>
    </row>
    <row r="2187" spans="3:63" x14ac:dyDescent="0.15">
      <c r="C2187" s="624"/>
      <c r="D2187" s="355">
        <v>3.322E-2</v>
      </c>
      <c r="AV2187" s="624"/>
      <c r="AX2187" s="624">
        <v>41320</v>
      </c>
      <c r="AY2187" s="355">
        <v>3.3239999999999999E-2</v>
      </c>
      <c r="AZ2187" s="624">
        <v>41386</v>
      </c>
      <c r="BA2187" s="355">
        <v>1.17E-2</v>
      </c>
      <c r="BB2187" s="624">
        <v>41317</v>
      </c>
      <c r="BC2187" s="355">
        <v>0.3221</v>
      </c>
      <c r="BD2187" s="624">
        <v>41317</v>
      </c>
      <c r="BE2187" s="355">
        <v>9.1670000000000001E-2</v>
      </c>
      <c r="BF2187" s="624">
        <v>41446</v>
      </c>
      <c r="BG2187" s="355">
        <v>1.6774000000000001E-2</v>
      </c>
      <c r="BH2187" s="624">
        <v>41317</v>
      </c>
      <c r="BI2187" s="355">
        <v>0.10367</v>
      </c>
      <c r="BJ2187" s="624">
        <v>41316</v>
      </c>
      <c r="BK2187" s="355">
        <v>3.3500000000000002E-2</v>
      </c>
    </row>
    <row r="2188" spans="3:63" x14ac:dyDescent="0.15">
      <c r="C2188" s="624"/>
      <c r="D2188" s="355">
        <v>3.3239999999999999E-2</v>
      </c>
      <c r="AV2188" s="624"/>
      <c r="AX2188" s="624">
        <v>41323</v>
      </c>
      <c r="AY2188" s="355">
        <v>3.32E-2</v>
      </c>
      <c r="AZ2188" s="624">
        <v>41387</v>
      </c>
      <c r="BA2188" s="355">
        <v>1.17E-2</v>
      </c>
      <c r="BB2188" s="624">
        <v>41318</v>
      </c>
      <c r="BC2188" s="355">
        <v>0.32390000000000002</v>
      </c>
      <c r="BD2188" s="624">
        <v>41318</v>
      </c>
      <c r="BE2188" s="355">
        <v>9.2050000000000007E-2</v>
      </c>
      <c r="BF2188" s="624">
        <v>41449</v>
      </c>
      <c r="BG2188" s="355">
        <v>1.6716999999999999E-2</v>
      </c>
      <c r="BH2188" s="624">
        <v>41318</v>
      </c>
      <c r="BI2188" s="355">
        <v>0.10366</v>
      </c>
      <c r="BJ2188" s="624">
        <v>41317</v>
      </c>
      <c r="BK2188" s="355">
        <v>3.3508999999999997E-2</v>
      </c>
    </row>
    <row r="2189" spans="3:63" x14ac:dyDescent="0.15">
      <c r="C2189" s="624"/>
      <c r="D2189" s="355">
        <v>3.32E-2</v>
      </c>
      <c r="AV2189" s="624"/>
      <c r="AX2189" s="624">
        <v>41324</v>
      </c>
      <c r="AY2189" s="355">
        <v>3.3250000000000002E-2</v>
      </c>
      <c r="AZ2189" s="624">
        <v>41388</v>
      </c>
      <c r="BA2189" s="355">
        <v>1.17E-2</v>
      </c>
      <c r="BB2189" s="624">
        <v>41319</v>
      </c>
      <c r="BC2189" s="355">
        <v>0.31990000000000002</v>
      </c>
      <c r="BD2189" s="624">
        <v>41319</v>
      </c>
      <c r="BE2189" s="355">
        <v>9.239E-2</v>
      </c>
      <c r="BF2189" s="624">
        <v>41450</v>
      </c>
      <c r="BG2189" s="355">
        <v>1.6749E-2</v>
      </c>
      <c r="BH2189" s="624">
        <v>41319</v>
      </c>
      <c r="BI2189" s="355">
        <v>0.10352</v>
      </c>
      <c r="BJ2189" s="624">
        <v>41318</v>
      </c>
      <c r="BK2189" s="355">
        <v>3.3522999999999997E-2</v>
      </c>
    </row>
    <row r="2190" spans="3:63" x14ac:dyDescent="0.15">
      <c r="C2190" s="624"/>
      <c r="D2190" s="355">
        <v>3.3250000000000002E-2</v>
      </c>
      <c r="AV2190" s="624"/>
      <c r="AX2190" s="624">
        <v>41325</v>
      </c>
      <c r="AY2190" s="355">
        <v>3.3079999999999998E-2</v>
      </c>
      <c r="AZ2190" s="624">
        <v>41389</v>
      </c>
      <c r="BA2190" s="355">
        <v>1.17E-2</v>
      </c>
      <c r="BB2190" s="624">
        <v>41320</v>
      </c>
      <c r="BC2190" s="355">
        <v>0.31900000000000001</v>
      </c>
      <c r="BD2190" s="624">
        <v>41320</v>
      </c>
      <c r="BE2190" s="355">
        <v>9.2539999999999997E-2</v>
      </c>
      <c r="BF2190" s="624">
        <v>41451</v>
      </c>
      <c r="BG2190" s="355">
        <v>1.6469000000000001E-2</v>
      </c>
      <c r="BH2190" s="624">
        <v>41320</v>
      </c>
      <c r="BI2190" s="355">
        <v>0.103413</v>
      </c>
      <c r="BJ2190" s="624">
        <v>41319</v>
      </c>
      <c r="BK2190" s="355">
        <v>3.3535000000000002E-2</v>
      </c>
    </row>
    <row r="2191" spans="3:63" x14ac:dyDescent="0.15">
      <c r="C2191" s="624"/>
      <c r="D2191" s="355">
        <v>3.3079999999999998E-2</v>
      </c>
      <c r="AV2191" s="624"/>
      <c r="AX2191" s="624">
        <v>41326</v>
      </c>
      <c r="AY2191" s="355">
        <v>3.2849999999999997E-2</v>
      </c>
      <c r="AZ2191" s="624">
        <v>41390</v>
      </c>
      <c r="BA2191" s="355">
        <v>1.17E-2</v>
      </c>
      <c r="BB2191" s="624">
        <v>41323</v>
      </c>
      <c r="BC2191" s="355">
        <v>0.31900000000000001</v>
      </c>
      <c r="BD2191" s="624">
        <v>41323</v>
      </c>
      <c r="BE2191" s="355">
        <v>9.2319999999999999E-2</v>
      </c>
      <c r="BF2191" s="624">
        <v>41452</v>
      </c>
      <c r="BG2191" s="355">
        <v>1.6615000000000001E-2</v>
      </c>
      <c r="BH2191" s="624">
        <v>41323</v>
      </c>
      <c r="BI2191" s="355">
        <v>0.103296</v>
      </c>
      <c r="BJ2191" s="624">
        <v>41320</v>
      </c>
      <c r="BK2191" s="355">
        <v>3.3489999999999999E-2</v>
      </c>
    </row>
    <row r="2192" spans="3:63" x14ac:dyDescent="0.15">
      <c r="C2192" s="624"/>
      <c r="D2192" s="355">
        <v>3.2849999999999997E-2</v>
      </c>
      <c r="AV2192" s="624"/>
      <c r="AX2192" s="624">
        <v>41327</v>
      </c>
      <c r="AY2192" s="355">
        <v>3.2910000000000002E-2</v>
      </c>
      <c r="AZ2192" s="624">
        <v>41393</v>
      </c>
      <c r="BA2192" s="355">
        <v>1.18E-2</v>
      </c>
      <c r="BB2192" s="624">
        <v>41324</v>
      </c>
      <c r="BC2192" s="355">
        <v>0.3211</v>
      </c>
      <c r="BD2192" s="624">
        <v>41324</v>
      </c>
      <c r="BE2192" s="355">
        <v>9.264E-2</v>
      </c>
      <c r="BF2192" s="624">
        <v>41453</v>
      </c>
      <c r="BG2192" s="355">
        <v>1.6754999999999999E-2</v>
      </c>
      <c r="BH2192" s="624">
        <v>41324</v>
      </c>
      <c r="BI2192" s="355">
        <v>0.103062</v>
      </c>
      <c r="BJ2192" s="624">
        <v>41323</v>
      </c>
      <c r="BK2192" s="355">
        <v>3.3445000000000003E-2</v>
      </c>
    </row>
    <row r="2193" spans="3:63" x14ac:dyDescent="0.15">
      <c r="C2193" s="624"/>
      <c r="D2193" s="355">
        <v>3.2910000000000002E-2</v>
      </c>
      <c r="AV2193" s="624"/>
      <c r="AX2193" s="624">
        <v>41330</v>
      </c>
      <c r="AY2193" s="355">
        <v>3.2599999999999997E-2</v>
      </c>
      <c r="AZ2193" s="624">
        <v>41394</v>
      </c>
      <c r="BA2193" s="355">
        <v>1.1900000000000001E-2</v>
      </c>
      <c r="BB2193" s="624">
        <v>41325</v>
      </c>
      <c r="BC2193" s="355">
        <v>0.31909999999999999</v>
      </c>
      <c r="BD2193" s="624">
        <v>41325</v>
      </c>
      <c r="BE2193" s="355">
        <v>9.2480000000000007E-2</v>
      </c>
      <c r="BF2193" s="624">
        <v>41456</v>
      </c>
      <c r="BG2193" s="355">
        <v>1.6833000000000001E-2</v>
      </c>
      <c r="BH2193" s="624">
        <v>41325</v>
      </c>
      <c r="BI2193" s="355">
        <v>0.10326299999999999</v>
      </c>
      <c r="BJ2193" s="624">
        <v>41324</v>
      </c>
      <c r="BK2193" s="355">
        <v>3.3478000000000001E-2</v>
      </c>
    </row>
    <row r="2194" spans="3:63" x14ac:dyDescent="0.15">
      <c r="C2194" s="624"/>
      <c r="D2194" s="355">
        <v>3.2599999999999997E-2</v>
      </c>
      <c r="AV2194" s="624"/>
      <c r="AX2194" s="624">
        <v>41331</v>
      </c>
      <c r="AY2194" s="355">
        <v>3.2660000000000002E-2</v>
      </c>
      <c r="AZ2194" s="624">
        <v>41395</v>
      </c>
      <c r="BA2194" s="355">
        <v>1.1900000000000001E-2</v>
      </c>
      <c r="BB2194" s="624">
        <v>41326</v>
      </c>
      <c r="BC2194" s="355">
        <v>0.3165</v>
      </c>
      <c r="BD2194" s="624">
        <v>41326</v>
      </c>
      <c r="BE2194" s="355">
        <v>9.1689999999999994E-2</v>
      </c>
      <c r="BF2194" s="624">
        <v>41457</v>
      </c>
      <c r="BG2194" s="355">
        <v>1.6712999999999999E-2</v>
      </c>
      <c r="BH2194" s="624">
        <v>41326</v>
      </c>
      <c r="BI2194" s="355">
        <v>0.103072</v>
      </c>
      <c r="BJ2194" s="624">
        <v>41325</v>
      </c>
      <c r="BK2194" s="355">
        <v>3.3501000000000003E-2</v>
      </c>
    </row>
    <row r="2195" spans="3:63" x14ac:dyDescent="0.15">
      <c r="C2195" s="624"/>
      <c r="D2195" s="355">
        <v>3.2660000000000002E-2</v>
      </c>
      <c r="AV2195" s="624"/>
      <c r="AX2195" s="624">
        <v>41332</v>
      </c>
      <c r="AY2195" s="355">
        <v>3.2849999999999997E-2</v>
      </c>
      <c r="AZ2195" s="624">
        <v>41396</v>
      </c>
      <c r="BA2195" s="355">
        <v>1.18E-2</v>
      </c>
      <c r="BB2195" s="624">
        <v>41327</v>
      </c>
      <c r="BC2195" s="355">
        <v>0.317</v>
      </c>
      <c r="BD2195" s="624">
        <v>41327</v>
      </c>
      <c r="BE2195" s="355">
        <v>9.2130000000000004E-2</v>
      </c>
      <c r="BF2195" s="624">
        <v>41458</v>
      </c>
      <c r="BG2195" s="355">
        <v>1.6604000000000001E-2</v>
      </c>
      <c r="BH2195" s="624">
        <v>41327</v>
      </c>
      <c r="BI2195" s="355">
        <v>0.102987</v>
      </c>
      <c r="BJ2195" s="624">
        <v>41326</v>
      </c>
      <c r="BK2195" s="355">
        <v>3.3512E-2</v>
      </c>
    </row>
    <row r="2196" spans="3:63" x14ac:dyDescent="0.15">
      <c r="C2196" s="624"/>
      <c r="D2196" s="355">
        <v>3.2849999999999997E-2</v>
      </c>
      <c r="AV2196" s="624"/>
      <c r="AX2196" s="624">
        <v>41333</v>
      </c>
      <c r="AY2196" s="355">
        <v>3.2640000000000002E-2</v>
      </c>
      <c r="AZ2196" s="624">
        <v>41397</v>
      </c>
      <c r="BA2196" s="355">
        <v>1.18E-2</v>
      </c>
      <c r="BB2196" s="624">
        <v>41330</v>
      </c>
      <c r="BC2196" s="355">
        <v>0.31409999999999999</v>
      </c>
      <c r="BD2196" s="624">
        <v>41330</v>
      </c>
      <c r="BE2196" s="355">
        <v>9.1889999999999999E-2</v>
      </c>
      <c r="BF2196" s="624">
        <v>41459</v>
      </c>
      <c r="BG2196" s="355">
        <v>1.6636000000000001E-2</v>
      </c>
      <c r="BH2196" s="624">
        <v>41330</v>
      </c>
      <c r="BI2196" s="355">
        <v>0.10304000000000001</v>
      </c>
      <c r="BJ2196" s="624">
        <v>41327</v>
      </c>
      <c r="BK2196" s="355">
        <v>3.3512E-2</v>
      </c>
    </row>
    <row r="2197" spans="3:63" x14ac:dyDescent="0.15">
      <c r="C2197" s="624"/>
      <c r="D2197" s="355">
        <v>3.2640000000000002E-2</v>
      </c>
      <c r="AV2197" s="624"/>
      <c r="AX2197" s="624">
        <v>41334</v>
      </c>
      <c r="AY2197" s="355">
        <v>3.2599999999999997E-2</v>
      </c>
      <c r="AZ2197" s="624">
        <v>41400</v>
      </c>
      <c r="BA2197" s="355">
        <v>1.18E-2</v>
      </c>
      <c r="BB2197" s="624">
        <v>41331</v>
      </c>
      <c r="BC2197" s="355">
        <v>0.31409999999999999</v>
      </c>
      <c r="BD2197" s="624">
        <v>41331</v>
      </c>
      <c r="BE2197" s="355">
        <v>9.1749999999999998E-2</v>
      </c>
      <c r="BF2197" s="624">
        <v>41460</v>
      </c>
      <c r="BG2197" s="355">
        <v>1.6473000000000002E-2</v>
      </c>
      <c r="BH2197" s="624">
        <v>41331</v>
      </c>
      <c r="BI2197" s="355">
        <v>0.103019</v>
      </c>
      <c r="BJ2197" s="624">
        <v>41330</v>
      </c>
      <c r="BK2197" s="355">
        <v>3.3522999999999997E-2</v>
      </c>
    </row>
    <row r="2198" spans="3:63" x14ac:dyDescent="0.15">
      <c r="C2198" s="624"/>
      <c r="D2198" s="355">
        <v>3.2599999999999997E-2</v>
      </c>
      <c r="AV2198" s="624"/>
      <c r="AX2198" s="624">
        <v>41337</v>
      </c>
      <c r="AY2198" s="355">
        <v>3.2509999999999997E-2</v>
      </c>
      <c r="AZ2198" s="624">
        <v>41401</v>
      </c>
      <c r="BA2198" s="355">
        <v>1.18E-2</v>
      </c>
      <c r="BB2198" s="624">
        <v>41332</v>
      </c>
      <c r="BC2198" s="355">
        <v>0.31590000000000001</v>
      </c>
      <c r="BD2198" s="624">
        <v>41332</v>
      </c>
      <c r="BE2198" s="355">
        <v>9.221E-2</v>
      </c>
      <c r="BF2198" s="624">
        <v>41463</v>
      </c>
      <c r="BG2198" s="355">
        <v>1.6628E-2</v>
      </c>
      <c r="BH2198" s="624">
        <v>41332</v>
      </c>
      <c r="BI2198" s="355">
        <v>0.103242</v>
      </c>
      <c r="BJ2198" s="624">
        <v>41331</v>
      </c>
      <c r="BK2198" s="355">
        <v>3.3536000000000003E-2</v>
      </c>
    </row>
    <row r="2199" spans="3:63" x14ac:dyDescent="0.15">
      <c r="C2199" s="624"/>
      <c r="D2199" s="355">
        <v>3.2509999999999997E-2</v>
      </c>
      <c r="AV2199" s="624"/>
      <c r="AX2199" s="624">
        <v>41338</v>
      </c>
      <c r="AY2199" s="355">
        <v>3.2660000000000002E-2</v>
      </c>
      <c r="AZ2199" s="624">
        <v>41402</v>
      </c>
      <c r="BA2199" s="355">
        <v>1.1900000000000001E-2</v>
      </c>
      <c r="BB2199" s="624">
        <v>41333</v>
      </c>
      <c r="BC2199" s="355">
        <v>0.31459999999999999</v>
      </c>
      <c r="BD2199" s="624">
        <v>41333</v>
      </c>
      <c r="BE2199" s="355">
        <v>9.2090000000000005E-2</v>
      </c>
      <c r="BF2199" s="624">
        <v>41464</v>
      </c>
      <c r="BG2199" s="355">
        <v>1.6639999999999999E-2</v>
      </c>
      <c r="BH2199" s="624">
        <v>41333</v>
      </c>
      <c r="BI2199" s="355">
        <v>0.103478</v>
      </c>
      <c r="BJ2199" s="624">
        <v>41332</v>
      </c>
      <c r="BK2199" s="355">
        <v>3.3522999999999997E-2</v>
      </c>
    </row>
    <row r="2200" spans="3:63" x14ac:dyDescent="0.15">
      <c r="C2200" s="624"/>
      <c r="D2200" s="355">
        <v>3.2660000000000002E-2</v>
      </c>
      <c r="AV2200" s="624"/>
      <c r="AX2200" s="624">
        <v>41339</v>
      </c>
      <c r="AY2200" s="355">
        <v>3.2509999999999997E-2</v>
      </c>
      <c r="AZ2200" s="624">
        <v>41403</v>
      </c>
      <c r="BA2200" s="355">
        <v>1.17E-2</v>
      </c>
      <c r="BB2200" s="624">
        <v>41334</v>
      </c>
      <c r="BC2200" s="355">
        <v>0.31480000000000002</v>
      </c>
      <c r="BD2200" s="624">
        <v>41334</v>
      </c>
      <c r="BE2200" s="355">
        <v>9.2009999999999995E-2</v>
      </c>
      <c r="BF2200" s="624">
        <v>41465</v>
      </c>
      <c r="BG2200" s="355">
        <v>1.6660000000000001E-2</v>
      </c>
      <c r="BH2200" s="624">
        <v>41334</v>
      </c>
      <c r="BI2200" s="355">
        <v>0.103328</v>
      </c>
      <c r="BJ2200" s="624">
        <v>41333</v>
      </c>
      <c r="BK2200" s="355">
        <v>3.3579999999999999E-2</v>
      </c>
    </row>
    <row r="2201" spans="3:63" x14ac:dyDescent="0.15">
      <c r="C2201" s="624"/>
      <c r="D2201" s="355">
        <v>3.2509999999999997E-2</v>
      </c>
      <c r="AV2201" s="624"/>
      <c r="AX2201" s="624">
        <v>41340</v>
      </c>
      <c r="AY2201" s="355">
        <v>3.2559999999999999E-2</v>
      </c>
      <c r="AZ2201" s="624">
        <v>41404</v>
      </c>
      <c r="BA2201" s="355">
        <v>1.17E-2</v>
      </c>
      <c r="BB2201" s="624">
        <v>41337</v>
      </c>
      <c r="BC2201" s="355">
        <v>0.31480000000000002</v>
      </c>
      <c r="BD2201" s="624">
        <v>41337</v>
      </c>
      <c r="BE2201" s="355">
        <v>9.1660000000000005E-2</v>
      </c>
      <c r="BF2201" s="624">
        <v>41466</v>
      </c>
      <c r="BG2201" s="355">
        <v>1.6715000000000001E-2</v>
      </c>
      <c r="BH2201" s="624">
        <v>41337</v>
      </c>
      <c r="BI2201" s="355">
        <v>0.10303</v>
      </c>
      <c r="BJ2201" s="624">
        <v>41334</v>
      </c>
      <c r="BK2201" s="355">
        <v>3.3591000000000003E-2</v>
      </c>
    </row>
    <row r="2202" spans="3:63" x14ac:dyDescent="0.15">
      <c r="C2202" s="624"/>
      <c r="D2202" s="355">
        <v>3.2559999999999999E-2</v>
      </c>
      <c r="AV2202" s="624"/>
      <c r="AX2202" s="624">
        <v>41341</v>
      </c>
      <c r="AY2202" s="355">
        <v>3.2469999999999999E-2</v>
      </c>
      <c r="AZ2202" s="624">
        <v>41407</v>
      </c>
      <c r="BA2202" s="355">
        <v>1.17E-2</v>
      </c>
      <c r="BB2202" s="624">
        <v>41338</v>
      </c>
      <c r="BC2202" s="355">
        <v>0.31640000000000001</v>
      </c>
      <c r="BD2202" s="624">
        <v>41338</v>
      </c>
      <c r="BE2202" s="355">
        <v>9.2050000000000007E-2</v>
      </c>
      <c r="BF2202" s="624">
        <v>41467</v>
      </c>
      <c r="BG2202" s="355">
        <v>1.6684999999999998E-2</v>
      </c>
      <c r="BH2202" s="624">
        <v>41338</v>
      </c>
      <c r="BI2202" s="355">
        <v>0.10317800000000001</v>
      </c>
      <c r="BJ2202" s="624">
        <v>41337</v>
      </c>
      <c r="BK2202" s="355">
        <v>3.3529000000000003E-2</v>
      </c>
    </row>
    <row r="2203" spans="3:63" x14ac:dyDescent="0.15">
      <c r="C2203" s="624"/>
      <c r="D2203" s="355">
        <v>3.2469999999999999E-2</v>
      </c>
      <c r="AV2203" s="624"/>
      <c r="AX2203" s="624">
        <v>41344</v>
      </c>
      <c r="AY2203" s="355">
        <v>3.2550000000000003E-2</v>
      </c>
      <c r="AZ2203" s="624">
        <v>41408</v>
      </c>
      <c r="BA2203" s="355">
        <v>1.17E-2</v>
      </c>
      <c r="BB2203" s="624">
        <v>41339</v>
      </c>
      <c r="BC2203" s="355">
        <v>0.31259999999999999</v>
      </c>
      <c r="BD2203" s="624">
        <v>41339</v>
      </c>
      <c r="BE2203" s="355">
        <v>9.2079999999999995E-2</v>
      </c>
      <c r="BF2203" s="624">
        <v>41470</v>
      </c>
      <c r="BG2203" s="355">
        <v>1.6923000000000001E-2</v>
      </c>
      <c r="BH2203" s="624">
        <v>41339</v>
      </c>
      <c r="BI2203" s="355">
        <v>0.10322099999999999</v>
      </c>
      <c r="BJ2203" s="624">
        <v>41338</v>
      </c>
      <c r="BK2203" s="355">
        <v>3.3605000000000003E-2</v>
      </c>
    </row>
    <row r="2204" spans="3:63" x14ac:dyDescent="0.15">
      <c r="C2204" s="624"/>
      <c r="D2204" s="355">
        <v>3.2550000000000003E-2</v>
      </c>
      <c r="AV2204" s="624"/>
      <c r="AX2204" s="624">
        <v>41345</v>
      </c>
      <c r="AY2204" s="355">
        <v>3.2579999999999998E-2</v>
      </c>
      <c r="AZ2204" s="624">
        <v>41409</v>
      </c>
      <c r="BA2204" s="355">
        <v>1.17E-2</v>
      </c>
      <c r="BB2204" s="624">
        <v>41340</v>
      </c>
      <c r="BC2204" s="355">
        <v>0.31580000000000003</v>
      </c>
      <c r="BD2204" s="624">
        <v>41340</v>
      </c>
      <c r="BE2204" s="355">
        <v>9.2009999999999995E-2</v>
      </c>
      <c r="BF2204" s="624">
        <v>41471</v>
      </c>
      <c r="BG2204" s="355">
        <v>1.6964E-2</v>
      </c>
      <c r="BH2204" s="624">
        <v>41340</v>
      </c>
      <c r="BI2204" s="355">
        <v>0.103168</v>
      </c>
      <c r="BJ2204" s="624">
        <v>41339</v>
      </c>
      <c r="BK2204" s="355">
        <v>3.3556999999999997E-2</v>
      </c>
    </row>
    <row r="2205" spans="3:63" x14ac:dyDescent="0.15">
      <c r="C2205" s="624"/>
      <c r="D2205" s="355">
        <v>3.2579999999999998E-2</v>
      </c>
      <c r="AV2205" s="624"/>
      <c r="AX2205" s="624">
        <v>41346</v>
      </c>
      <c r="AY2205" s="355">
        <v>3.2469999999999999E-2</v>
      </c>
      <c r="AZ2205" s="624">
        <v>41410</v>
      </c>
      <c r="BA2205" s="355">
        <v>1.1599999999999999E-2</v>
      </c>
      <c r="BB2205" s="624">
        <v>41341</v>
      </c>
      <c r="BC2205" s="355">
        <v>0.31490000000000001</v>
      </c>
      <c r="BD2205" s="624">
        <v>41341</v>
      </c>
      <c r="BE2205" s="355">
        <v>9.1600000000000001E-2</v>
      </c>
      <c r="BF2205" s="624">
        <v>41472</v>
      </c>
      <c r="BG2205" s="355">
        <v>1.6854999999999998E-2</v>
      </c>
      <c r="BH2205" s="624">
        <v>41341</v>
      </c>
      <c r="BI2205" s="355">
        <v>0.10326299999999999</v>
      </c>
      <c r="BJ2205" s="624">
        <v>41340</v>
      </c>
      <c r="BK2205" s="355">
        <v>3.3633999999999997E-2</v>
      </c>
    </row>
    <row r="2206" spans="3:63" x14ac:dyDescent="0.15">
      <c r="C2206" s="624"/>
      <c r="D2206" s="355">
        <v>3.2469999999999999E-2</v>
      </c>
      <c r="AV2206" s="624"/>
      <c r="AX2206" s="624">
        <v>41347</v>
      </c>
      <c r="AY2206" s="355">
        <v>3.2550000000000003E-2</v>
      </c>
      <c r="AZ2206" s="624">
        <v>41411</v>
      </c>
      <c r="BA2206" s="355">
        <v>1.1599999999999999E-2</v>
      </c>
      <c r="BB2206" s="624">
        <v>41344</v>
      </c>
      <c r="BC2206" s="355">
        <v>0.315</v>
      </c>
      <c r="BD2206" s="624">
        <v>41344</v>
      </c>
      <c r="BE2206" s="355">
        <v>9.1079999999999994E-2</v>
      </c>
      <c r="BF2206" s="624">
        <v>41473</v>
      </c>
      <c r="BG2206" s="355">
        <v>1.6740000000000001E-2</v>
      </c>
      <c r="BH2206" s="624">
        <v>41344</v>
      </c>
      <c r="BI2206" s="355">
        <v>0.103135</v>
      </c>
      <c r="BJ2206" s="624">
        <v>41341</v>
      </c>
      <c r="BK2206" s="355">
        <v>3.3633000000000003E-2</v>
      </c>
    </row>
    <row r="2207" spans="3:63" x14ac:dyDescent="0.15">
      <c r="C2207" s="624"/>
      <c r="D2207" s="355">
        <v>3.2550000000000003E-2</v>
      </c>
      <c r="AV2207" s="624"/>
      <c r="AX2207" s="624">
        <v>41348</v>
      </c>
      <c r="AY2207" s="355">
        <v>3.2660000000000002E-2</v>
      </c>
      <c r="AZ2207" s="624">
        <v>41414</v>
      </c>
      <c r="BA2207" s="355">
        <v>1.1599999999999999E-2</v>
      </c>
      <c r="BB2207" s="624">
        <v>41345</v>
      </c>
      <c r="BC2207" s="355">
        <v>0.31490000000000001</v>
      </c>
      <c r="BD2207" s="624">
        <v>41345</v>
      </c>
      <c r="BE2207" s="355">
        <v>9.1120000000000007E-2</v>
      </c>
      <c r="BF2207" s="624">
        <v>41474</v>
      </c>
      <c r="BG2207" s="355">
        <v>1.6837999999999999E-2</v>
      </c>
      <c r="BH2207" s="624">
        <v>41345</v>
      </c>
      <c r="BI2207" s="355">
        <v>0.10312499999999999</v>
      </c>
      <c r="BJ2207" s="624">
        <v>41344</v>
      </c>
      <c r="BK2207" s="355">
        <v>3.3646000000000002E-2</v>
      </c>
    </row>
    <row r="2208" spans="3:63" x14ac:dyDescent="0.15">
      <c r="C2208" s="624"/>
      <c r="D2208" s="355">
        <v>3.2660000000000002E-2</v>
      </c>
      <c r="AV2208" s="624"/>
      <c r="AX2208" s="624">
        <v>41351</v>
      </c>
      <c r="AY2208" s="355">
        <v>3.2469999999999999E-2</v>
      </c>
      <c r="AZ2208" s="624">
        <v>41415</v>
      </c>
      <c r="BA2208" s="355">
        <v>1.1599999999999999E-2</v>
      </c>
      <c r="BB2208" s="624">
        <v>41346</v>
      </c>
      <c r="BC2208" s="355">
        <v>0.31309999999999999</v>
      </c>
      <c r="BD2208" s="624">
        <v>41346</v>
      </c>
      <c r="BE2208" s="355">
        <v>9.103E-2</v>
      </c>
      <c r="BF2208" s="624">
        <v>41477</v>
      </c>
      <c r="BG2208" s="355">
        <v>1.6844999999999999E-2</v>
      </c>
      <c r="BH2208" s="624">
        <v>41346</v>
      </c>
      <c r="BI2208" s="355">
        <v>0.103189</v>
      </c>
      <c r="BJ2208" s="624">
        <v>41345</v>
      </c>
      <c r="BK2208" s="355">
        <v>3.3784000000000002E-2</v>
      </c>
    </row>
    <row r="2209" spans="3:63" x14ac:dyDescent="0.15">
      <c r="C2209" s="624"/>
      <c r="D2209" s="355">
        <v>3.2469999999999999E-2</v>
      </c>
      <c r="AV2209" s="624"/>
      <c r="AX2209" s="624">
        <v>41352</v>
      </c>
      <c r="AY2209" s="355">
        <v>3.227E-2</v>
      </c>
      <c r="AZ2209" s="624">
        <v>41416</v>
      </c>
      <c r="BA2209" s="355">
        <v>1.1599999999999999E-2</v>
      </c>
      <c r="BB2209" s="624">
        <v>41347</v>
      </c>
      <c r="BC2209" s="355">
        <v>0.31290000000000001</v>
      </c>
      <c r="BD2209" s="624">
        <v>41347</v>
      </c>
      <c r="BE2209" s="355">
        <v>9.0240000000000001E-2</v>
      </c>
      <c r="BF2209" s="624">
        <v>41478</v>
      </c>
      <c r="BG2209" s="355">
        <v>1.6833999999999998E-2</v>
      </c>
      <c r="BH2209" s="624">
        <v>41347</v>
      </c>
      <c r="BI2209" s="355">
        <v>0.103061</v>
      </c>
      <c r="BJ2209" s="624">
        <v>41346</v>
      </c>
      <c r="BK2209" s="355">
        <v>3.3753999999999999E-2</v>
      </c>
    </row>
    <row r="2210" spans="3:63" x14ac:dyDescent="0.15">
      <c r="C2210" s="624"/>
      <c r="D2210" s="355">
        <v>3.227E-2</v>
      </c>
      <c r="AV2210" s="624"/>
      <c r="AX2210" s="624">
        <v>41353</v>
      </c>
      <c r="AY2210" s="355">
        <v>3.2390000000000002E-2</v>
      </c>
      <c r="AZ2210" s="624">
        <v>41417</v>
      </c>
      <c r="BA2210" s="355">
        <v>1.1599999999999999E-2</v>
      </c>
      <c r="BB2210" s="624">
        <v>41348</v>
      </c>
      <c r="BC2210" s="355">
        <v>0.31540000000000001</v>
      </c>
      <c r="BD2210" s="624">
        <v>41348</v>
      </c>
      <c r="BE2210" s="355">
        <v>9.0050000000000005E-2</v>
      </c>
      <c r="BF2210" s="624">
        <v>41479</v>
      </c>
      <c r="BG2210" s="355">
        <v>1.6874E-2</v>
      </c>
      <c r="BH2210" s="624">
        <v>41348</v>
      </c>
      <c r="BI2210" s="355">
        <v>0.10304000000000001</v>
      </c>
      <c r="BJ2210" s="624">
        <v>41347</v>
      </c>
      <c r="BK2210" s="355">
        <v>3.3737999999999997E-2</v>
      </c>
    </row>
    <row r="2211" spans="3:63" x14ac:dyDescent="0.15">
      <c r="C2211" s="624"/>
      <c r="D2211" s="355">
        <v>3.2390000000000002E-2</v>
      </c>
      <c r="AV2211" s="624"/>
      <c r="AX2211" s="624">
        <v>41354</v>
      </c>
      <c r="AY2211" s="355">
        <v>3.2329999999999998E-2</v>
      </c>
      <c r="AZ2211" s="624">
        <v>41418</v>
      </c>
      <c r="BA2211" s="355">
        <v>1.17E-2</v>
      </c>
      <c r="BB2211" s="624">
        <v>41351</v>
      </c>
      <c r="BC2211" s="355">
        <v>0.31209999999999999</v>
      </c>
      <c r="BD2211" s="624">
        <v>41351</v>
      </c>
      <c r="BE2211" s="355">
        <v>8.9779999999999999E-2</v>
      </c>
      <c r="BF2211" s="624">
        <v>41480</v>
      </c>
      <c r="BG2211" s="355">
        <v>1.6961E-2</v>
      </c>
      <c r="BH2211" s="624">
        <v>41351</v>
      </c>
      <c r="BI2211" s="355">
        <v>0.102976</v>
      </c>
      <c r="BJ2211" s="624">
        <v>41348</v>
      </c>
      <c r="BK2211" s="355">
        <v>3.3852E-2</v>
      </c>
    </row>
    <row r="2212" spans="3:63" x14ac:dyDescent="0.15">
      <c r="C2212" s="624"/>
      <c r="D2212" s="355">
        <v>3.2329999999999998E-2</v>
      </c>
      <c r="AV2212" s="624"/>
      <c r="AX2212" s="624">
        <v>41355</v>
      </c>
      <c r="AY2212" s="355">
        <v>3.245E-2</v>
      </c>
      <c r="AZ2212" s="624">
        <v>41421</v>
      </c>
      <c r="BA2212" s="355">
        <v>1.17E-2</v>
      </c>
      <c r="BB2212" s="624">
        <v>41352</v>
      </c>
      <c r="BC2212" s="355">
        <v>0.30930000000000002</v>
      </c>
      <c r="BD2212" s="624">
        <v>41352</v>
      </c>
      <c r="BE2212" s="355">
        <v>8.9789999999999995E-2</v>
      </c>
      <c r="BF2212" s="624">
        <v>41481</v>
      </c>
      <c r="BG2212" s="355">
        <v>1.6938000000000002E-2</v>
      </c>
      <c r="BH2212" s="624">
        <v>41352</v>
      </c>
      <c r="BI2212" s="355">
        <v>0.102966</v>
      </c>
      <c r="BJ2212" s="624">
        <v>41351</v>
      </c>
      <c r="BK2212" s="355">
        <v>3.3881000000000001E-2</v>
      </c>
    </row>
    <row r="2213" spans="3:63" x14ac:dyDescent="0.15">
      <c r="C2213" s="624"/>
      <c r="D2213" s="355">
        <v>3.245E-2</v>
      </c>
      <c r="AV2213" s="624"/>
      <c r="AX2213" s="624">
        <v>41358</v>
      </c>
      <c r="AY2213" s="355">
        <v>3.2329999999999998E-2</v>
      </c>
      <c r="AZ2213" s="624">
        <v>41422</v>
      </c>
      <c r="BA2213" s="355">
        <v>1.1599999999999999E-2</v>
      </c>
      <c r="BB2213" s="624">
        <v>41353</v>
      </c>
      <c r="BC2213" s="355">
        <v>0.30980000000000002</v>
      </c>
      <c r="BD2213" s="624">
        <v>41353</v>
      </c>
      <c r="BE2213" s="355">
        <v>8.9609999999999995E-2</v>
      </c>
      <c r="BF2213" s="624">
        <v>41484</v>
      </c>
      <c r="BG2213" s="355">
        <v>1.6792999999999999E-2</v>
      </c>
      <c r="BH2213" s="624">
        <v>41353</v>
      </c>
      <c r="BI2213" s="355">
        <v>0.10285999999999999</v>
      </c>
      <c r="BJ2213" s="624">
        <v>41352</v>
      </c>
      <c r="BK2213" s="355">
        <v>3.4172000000000001E-2</v>
      </c>
    </row>
    <row r="2214" spans="3:63" x14ac:dyDescent="0.15">
      <c r="C2214" s="624"/>
      <c r="D2214" s="355">
        <v>3.2329999999999998E-2</v>
      </c>
      <c r="AV2214" s="624"/>
      <c r="AX2214" s="624">
        <v>41359</v>
      </c>
      <c r="AY2214" s="355">
        <v>3.2390000000000002E-2</v>
      </c>
      <c r="AZ2214" s="624">
        <v>41423</v>
      </c>
      <c r="BA2214" s="355">
        <v>1.1599999999999999E-2</v>
      </c>
      <c r="BB2214" s="624">
        <v>41354</v>
      </c>
      <c r="BC2214" s="355">
        <v>0.3075</v>
      </c>
      <c r="BD2214" s="624">
        <v>41354</v>
      </c>
      <c r="BE2214" s="355">
        <v>8.9609999999999995E-2</v>
      </c>
      <c r="BF2214" s="624">
        <v>41485</v>
      </c>
      <c r="BG2214" s="355">
        <v>1.6442999999999999E-2</v>
      </c>
      <c r="BH2214" s="624">
        <v>41354</v>
      </c>
      <c r="BI2214" s="355">
        <v>0.102744</v>
      </c>
      <c r="BJ2214" s="624">
        <v>41353</v>
      </c>
      <c r="BK2214" s="355">
        <v>3.4335999999999998E-2</v>
      </c>
    </row>
    <row r="2215" spans="3:63" x14ac:dyDescent="0.15">
      <c r="C2215" s="624"/>
      <c r="D2215" s="355">
        <v>3.2390000000000002E-2</v>
      </c>
      <c r="AV2215" s="624"/>
      <c r="AX2215" s="624">
        <v>41360</v>
      </c>
      <c r="AY2215" s="355">
        <v>3.2219999999999999E-2</v>
      </c>
      <c r="AZ2215" s="624">
        <v>41424</v>
      </c>
      <c r="BA2215" s="355">
        <v>1.1599999999999999E-2</v>
      </c>
      <c r="BB2215" s="624">
        <v>41355</v>
      </c>
      <c r="BC2215" s="355">
        <v>0.31140000000000001</v>
      </c>
      <c r="BD2215" s="624">
        <v>41355</v>
      </c>
      <c r="BE2215" s="355">
        <v>8.9410000000000003E-2</v>
      </c>
      <c r="BF2215" s="624">
        <v>41486</v>
      </c>
      <c r="BG2215" s="355">
        <v>1.6492E-2</v>
      </c>
      <c r="BH2215" s="624">
        <v>41355</v>
      </c>
      <c r="BI2215" s="355">
        <v>0.102627</v>
      </c>
      <c r="BJ2215" s="624">
        <v>41354</v>
      </c>
      <c r="BK2215" s="355">
        <v>3.4261E-2</v>
      </c>
    </row>
    <row r="2216" spans="3:63" x14ac:dyDescent="0.15">
      <c r="C2216" s="624"/>
      <c r="D2216" s="355">
        <v>3.2219999999999999E-2</v>
      </c>
      <c r="AV2216" s="624"/>
      <c r="AX2216" s="624">
        <v>41361</v>
      </c>
      <c r="AY2216" s="355">
        <v>3.2149999999999998E-2</v>
      </c>
      <c r="AZ2216" s="624">
        <v>41425</v>
      </c>
      <c r="BA2216" s="355">
        <v>1.15E-2</v>
      </c>
      <c r="BB2216" s="624">
        <v>41358</v>
      </c>
      <c r="BC2216" s="355">
        <v>0.30830000000000002</v>
      </c>
      <c r="BD2216" s="624">
        <v>41358</v>
      </c>
      <c r="BE2216" s="355">
        <v>8.9829999999999993E-2</v>
      </c>
      <c r="BF2216" s="624">
        <v>41487</v>
      </c>
      <c r="BG2216" s="355">
        <v>1.6518000000000001E-2</v>
      </c>
      <c r="BH2216" s="624">
        <v>41358</v>
      </c>
      <c r="BI2216" s="355">
        <v>0.102743</v>
      </c>
      <c r="BJ2216" s="624">
        <v>41355</v>
      </c>
      <c r="BK2216" s="355">
        <v>3.4143E-2</v>
      </c>
    </row>
    <row r="2217" spans="3:63" x14ac:dyDescent="0.15">
      <c r="C2217" s="624"/>
      <c r="D2217" s="355">
        <v>3.2149999999999998E-2</v>
      </c>
      <c r="AV2217" s="624"/>
      <c r="AX2217" s="624">
        <v>41362</v>
      </c>
      <c r="AY2217" s="355">
        <v>3.218E-2</v>
      </c>
      <c r="AZ2217" s="624">
        <v>41428</v>
      </c>
      <c r="BA2217" s="355">
        <v>1.15E-2</v>
      </c>
      <c r="BB2217" s="624">
        <v>41359</v>
      </c>
      <c r="BC2217" s="355">
        <v>0.30769999999999997</v>
      </c>
      <c r="BD2217" s="624">
        <v>41359</v>
      </c>
      <c r="BE2217" s="355">
        <v>9.0279999999999999E-2</v>
      </c>
      <c r="BF2217" s="624">
        <v>41488</v>
      </c>
      <c r="BG2217" s="355">
        <v>1.6364E-2</v>
      </c>
      <c r="BH2217" s="624">
        <v>41359</v>
      </c>
      <c r="BI2217" s="355">
        <v>0.10276399999999999</v>
      </c>
      <c r="BJ2217" s="624">
        <v>41358</v>
      </c>
      <c r="BK2217" s="355">
        <v>3.4140999999999998E-2</v>
      </c>
    </row>
    <row r="2218" spans="3:63" x14ac:dyDescent="0.15">
      <c r="C2218" s="624"/>
      <c r="D2218" s="355">
        <v>3.218E-2</v>
      </c>
      <c r="AV2218" s="624"/>
      <c r="AX2218" s="624">
        <v>41365</v>
      </c>
      <c r="AY2218" s="355">
        <v>3.218E-2</v>
      </c>
      <c r="AZ2218" s="624">
        <v>41429</v>
      </c>
      <c r="BA2218" s="355">
        <v>1.15E-2</v>
      </c>
      <c r="BB2218" s="624">
        <v>41360</v>
      </c>
      <c r="BC2218" s="355">
        <v>0.30559999999999998</v>
      </c>
      <c r="BD2218" s="624">
        <v>41360</v>
      </c>
      <c r="BE2218" s="355">
        <v>9.0039999999999995E-2</v>
      </c>
      <c r="BF2218" s="624">
        <v>41491</v>
      </c>
      <c r="BG2218" s="355">
        <v>1.6424000000000001E-2</v>
      </c>
      <c r="BH2218" s="624">
        <v>41360</v>
      </c>
      <c r="BI2218" s="355">
        <v>0.102828</v>
      </c>
      <c r="BJ2218" s="624">
        <v>41359</v>
      </c>
      <c r="BK2218" s="355">
        <v>3.4112000000000003E-2</v>
      </c>
    </row>
    <row r="2219" spans="3:63" x14ac:dyDescent="0.15">
      <c r="C2219" s="624"/>
      <c r="D2219" s="355">
        <v>3.218E-2</v>
      </c>
      <c r="AV2219" s="624"/>
      <c r="AX2219" s="624">
        <v>41366</v>
      </c>
      <c r="AY2219" s="355">
        <v>3.1960000000000002E-2</v>
      </c>
      <c r="AZ2219" s="624">
        <v>41430</v>
      </c>
      <c r="BA2219" s="355">
        <v>1.15E-2</v>
      </c>
      <c r="BB2219" s="624">
        <v>41361</v>
      </c>
      <c r="BC2219" s="355">
        <v>0.307</v>
      </c>
      <c r="BD2219" s="624">
        <v>41361</v>
      </c>
      <c r="BE2219" s="355">
        <v>8.9719999999999994E-2</v>
      </c>
      <c r="BF2219" s="624">
        <v>41492</v>
      </c>
      <c r="BG2219" s="355">
        <v>1.6447E-2</v>
      </c>
      <c r="BH2219" s="624">
        <v>41361</v>
      </c>
      <c r="BI2219" s="355">
        <v>0.10290299999999999</v>
      </c>
      <c r="BJ2219" s="624">
        <v>41360</v>
      </c>
      <c r="BK2219" s="355">
        <v>3.4165000000000001E-2</v>
      </c>
    </row>
    <row r="2220" spans="3:63" x14ac:dyDescent="0.15">
      <c r="C2220" s="624"/>
      <c r="D2220" s="355">
        <v>3.1960000000000002E-2</v>
      </c>
      <c r="AV2220" s="624"/>
      <c r="AX2220" s="624">
        <v>41367</v>
      </c>
      <c r="AY2220" s="355">
        <v>3.159E-2</v>
      </c>
      <c r="AZ2220" s="624">
        <v>41431</v>
      </c>
      <c r="BA2220" s="355">
        <v>1.1599999999999999E-2</v>
      </c>
      <c r="BB2220" s="624">
        <v>41362</v>
      </c>
      <c r="BC2220" s="355">
        <v>0.30680000000000002</v>
      </c>
      <c r="BD2220" s="624">
        <v>41362</v>
      </c>
      <c r="BE2220" s="355">
        <v>8.9899999999999994E-2</v>
      </c>
      <c r="BF2220" s="624">
        <v>41493</v>
      </c>
      <c r="BG2220" s="355">
        <v>1.6313000000000001E-2</v>
      </c>
      <c r="BH2220" s="624">
        <v>41362</v>
      </c>
      <c r="BI2220" s="355">
        <v>0.10290199999999999</v>
      </c>
      <c r="BJ2220" s="624">
        <v>41361</v>
      </c>
      <c r="BK2220" s="355">
        <v>3.4112000000000003E-2</v>
      </c>
    </row>
    <row r="2221" spans="3:63" x14ac:dyDescent="0.15">
      <c r="C2221" s="624"/>
      <c r="D2221" s="355">
        <v>3.159E-2</v>
      </c>
      <c r="AV2221" s="624"/>
      <c r="AX2221" s="624">
        <v>41368</v>
      </c>
      <c r="AY2221" s="355">
        <v>3.1649999999999998E-2</v>
      </c>
      <c r="AZ2221" s="624">
        <v>41432</v>
      </c>
      <c r="BA2221" s="355">
        <v>1.1599999999999999E-2</v>
      </c>
      <c r="BB2221" s="624">
        <v>41365</v>
      </c>
      <c r="BC2221" s="355">
        <v>0.308</v>
      </c>
      <c r="BD2221" s="624">
        <v>41365</v>
      </c>
      <c r="BE2221" s="355">
        <v>8.9749999999999996E-2</v>
      </c>
      <c r="BF2221" s="624">
        <v>41494</v>
      </c>
      <c r="BG2221" s="355">
        <v>1.6507000000000001E-2</v>
      </c>
      <c r="BH2221" s="624">
        <v>41365</v>
      </c>
      <c r="BI2221" s="355">
        <v>0.102838</v>
      </c>
      <c r="BJ2221" s="624">
        <v>41362</v>
      </c>
      <c r="BK2221" s="355">
        <v>3.4178E-2</v>
      </c>
    </row>
    <row r="2222" spans="3:63" x14ac:dyDescent="0.15">
      <c r="C2222" s="624"/>
      <c r="D2222" s="355">
        <v>3.1649999999999998E-2</v>
      </c>
      <c r="AV2222" s="624"/>
      <c r="AX2222" s="624">
        <v>41369</v>
      </c>
      <c r="AY2222" s="355">
        <v>3.1699999999999999E-2</v>
      </c>
      <c r="AZ2222" s="624">
        <v>41435</v>
      </c>
      <c r="BA2222" s="355">
        <v>1.1599999999999999E-2</v>
      </c>
      <c r="BB2222" s="624">
        <v>41366</v>
      </c>
      <c r="BC2222" s="355">
        <v>0.30609999999999998</v>
      </c>
      <c r="BD2222" s="624">
        <v>41366</v>
      </c>
      <c r="BE2222" s="355">
        <v>8.9429999999999996E-2</v>
      </c>
      <c r="BF2222" s="624">
        <v>41495</v>
      </c>
      <c r="BG2222" s="355">
        <v>1.6482E-2</v>
      </c>
      <c r="BH2222" s="624">
        <v>41366</v>
      </c>
      <c r="BI2222" s="355">
        <v>0.102702</v>
      </c>
      <c r="BJ2222" s="624">
        <v>41365</v>
      </c>
      <c r="BK2222" s="355">
        <v>3.4129E-2</v>
      </c>
    </row>
    <row r="2223" spans="3:63" x14ac:dyDescent="0.15">
      <c r="C2223" s="624"/>
      <c r="D2223" s="355">
        <v>3.1699999999999999E-2</v>
      </c>
      <c r="AV2223" s="624"/>
      <c r="AX2223" s="624">
        <v>41372</v>
      </c>
      <c r="AY2223" s="355">
        <v>3.2039999999999999E-2</v>
      </c>
      <c r="AZ2223" s="624">
        <v>41436</v>
      </c>
      <c r="BA2223" s="355">
        <v>1.1599999999999999E-2</v>
      </c>
      <c r="BB2223" s="624">
        <v>41367</v>
      </c>
      <c r="BC2223" s="355">
        <v>0.30590000000000001</v>
      </c>
      <c r="BD2223" s="624">
        <v>41367</v>
      </c>
      <c r="BE2223" s="355">
        <v>8.9260000000000006E-2</v>
      </c>
      <c r="BF2223" s="624">
        <v>41498</v>
      </c>
      <c r="BG2223" s="355">
        <v>1.6289000000000001E-2</v>
      </c>
      <c r="BH2223" s="624">
        <v>41367</v>
      </c>
      <c r="BI2223" s="355">
        <v>0.10259600000000001</v>
      </c>
      <c r="BJ2223" s="624">
        <v>41366</v>
      </c>
      <c r="BK2223" s="355">
        <v>3.3979000000000002E-2</v>
      </c>
    </row>
    <row r="2224" spans="3:63" x14ac:dyDescent="0.15">
      <c r="C2224" s="624"/>
      <c r="D2224" s="355">
        <v>3.2039999999999999E-2</v>
      </c>
      <c r="AV2224" s="624"/>
      <c r="AX2224" s="624">
        <v>41373</v>
      </c>
      <c r="AY2224" s="355">
        <v>3.2239999999999998E-2</v>
      </c>
      <c r="AZ2224" s="624">
        <v>41437</v>
      </c>
      <c r="BA2224" s="355">
        <v>1.17E-2</v>
      </c>
      <c r="BB2224" s="624">
        <v>41368</v>
      </c>
      <c r="BC2224" s="355">
        <v>0.30959999999999999</v>
      </c>
      <c r="BD2224" s="624">
        <v>41368</v>
      </c>
      <c r="BE2224" s="355">
        <v>8.8900000000000007E-2</v>
      </c>
      <c r="BF2224" s="624">
        <v>41499</v>
      </c>
      <c r="BG2224" s="355">
        <v>1.6275000000000001E-2</v>
      </c>
      <c r="BH2224" s="624">
        <v>41368</v>
      </c>
      <c r="BI2224" s="355">
        <v>0.102564</v>
      </c>
      <c r="BJ2224" s="624">
        <v>41367</v>
      </c>
      <c r="BK2224" s="355">
        <v>3.4071999999999998E-2</v>
      </c>
    </row>
    <row r="2225" spans="3:63" x14ac:dyDescent="0.15">
      <c r="C2225" s="624"/>
      <c r="D2225" s="355">
        <v>3.2239999999999998E-2</v>
      </c>
      <c r="AV2225" s="624"/>
      <c r="AX2225" s="624">
        <v>41374</v>
      </c>
      <c r="AY2225" s="355">
        <v>3.2410000000000001E-2</v>
      </c>
      <c r="AZ2225" s="624">
        <v>41438</v>
      </c>
      <c r="BA2225" s="355">
        <v>1.17E-2</v>
      </c>
      <c r="BB2225" s="624">
        <v>41369</v>
      </c>
      <c r="BC2225" s="355">
        <v>0.31259999999999999</v>
      </c>
      <c r="BD2225" s="624">
        <v>41369</v>
      </c>
      <c r="BE2225" s="355">
        <v>8.8029999999999997E-2</v>
      </c>
      <c r="BF2225" s="624">
        <v>41500</v>
      </c>
      <c r="BG2225" s="355">
        <v>1.6310999999999999E-2</v>
      </c>
      <c r="BH2225" s="624">
        <v>41369</v>
      </c>
      <c r="BI2225" s="355">
        <v>0.10259600000000001</v>
      </c>
      <c r="BJ2225" s="624">
        <v>41368</v>
      </c>
      <c r="BK2225" s="355">
        <v>3.4114999999999999E-2</v>
      </c>
    </row>
    <row r="2226" spans="3:63" x14ac:dyDescent="0.15">
      <c r="C2226" s="624"/>
      <c r="D2226" s="355">
        <v>3.2410000000000001E-2</v>
      </c>
      <c r="AV2226" s="624"/>
      <c r="AX2226" s="624">
        <v>41375</v>
      </c>
      <c r="AY2226" s="355">
        <v>3.2399999999999998E-2</v>
      </c>
      <c r="AZ2226" s="624">
        <v>41439</v>
      </c>
      <c r="BA2226" s="355">
        <v>1.17E-2</v>
      </c>
      <c r="BB2226" s="624">
        <v>41372</v>
      </c>
      <c r="BC2226" s="355">
        <v>0.31559999999999999</v>
      </c>
      <c r="BD2226" s="624">
        <v>41372</v>
      </c>
      <c r="BE2226" s="355">
        <v>8.7529999999999997E-2</v>
      </c>
      <c r="BF2226" s="624">
        <v>41501</v>
      </c>
      <c r="BG2226" s="355">
        <v>1.6282000000000001E-2</v>
      </c>
      <c r="BH2226" s="624">
        <v>41372</v>
      </c>
      <c r="BI2226" s="355">
        <v>0.102585</v>
      </c>
      <c r="BJ2226" s="624">
        <v>41369</v>
      </c>
      <c r="BK2226" s="355">
        <v>3.4192E-2</v>
      </c>
    </row>
    <row r="2227" spans="3:63" x14ac:dyDescent="0.15">
      <c r="C2227" s="624"/>
      <c r="D2227" s="355">
        <v>3.2399999999999998E-2</v>
      </c>
      <c r="AV2227" s="624"/>
      <c r="AX2227" s="624">
        <v>41376</v>
      </c>
      <c r="AY2227" s="355">
        <v>3.2190000000000003E-2</v>
      </c>
      <c r="AZ2227" s="624">
        <v>41442</v>
      </c>
      <c r="BA2227" s="355">
        <v>1.17E-2</v>
      </c>
      <c r="BB2227" s="624">
        <v>41373</v>
      </c>
      <c r="BC2227" s="355">
        <v>0.31809999999999999</v>
      </c>
      <c r="BD2227" s="624">
        <v>41373</v>
      </c>
      <c r="BE2227" s="355">
        <v>8.7889999999999996E-2</v>
      </c>
      <c r="BF2227" s="624">
        <v>41502</v>
      </c>
      <c r="BG2227" s="355">
        <v>1.5990000000000001E-2</v>
      </c>
      <c r="BH2227" s="624">
        <v>41373</v>
      </c>
      <c r="BI2227" s="355">
        <v>0.102881</v>
      </c>
      <c r="BJ2227" s="624">
        <v>41372</v>
      </c>
      <c r="BK2227" s="355">
        <v>3.4208000000000002E-2</v>
      </c>
    </row>
    <row r="2228" spans="3:63" x14ac:dyDescent="0.15">
      <c r="C2228" s="624"/>
      <c r="D2228" s="355">
        <v>3.2190000000000003E-2</v>
      </c>
      <c r="AV2228" s="624"/>
      <c r="AX2228" s="624">
        <v>41379</v>
      </c>
      <c r="AY2228" s="355">
        <v>3.1730000000000001E-2</v>
      </c>
      <c r="AZ2228" s="624">
        <v>41443</v>
      </c>
      <c r="BA2228" s="355">
        <v>1.18E-2</v>
      </c>
      <c r="BB2228" s="624">
        <v>41374</v>
      </c>
      <c r="BC2228" s="355">
        <v>0.31879999999999997</v>
      </c>
      <c r="BD2228" s="624">
        <v>41374</v>
      </c>
      <c r="BE2228" s="355">
        <v>8.8099999999999998E-2</v>
      </c>
      <c r="BF2228" s="624">
        <v>41505</v>
      </c>
      <c r="BG2228" s="355">
        <v>1.5654000000000001E-2</v>
      </c>
      <c r="BH2228" s="624">
        <v>41374</v>
      </c>
      <c r="BI2228" s="355">
        <v>0.1032</v>
      </c>
      <c r="BJ2228" s="624">
        <v>41373</v>
      </c>
      <c r="BK2228" s="355">
        <v>3.4550999999999998E-2</v>
      </c>
    </row>
    <row r="2229" spans="3:63" x14ac:dyDescent="0.15">
      <c r="C2229" s="624"/>
      <c r="D2229" s="355">
        <v>3.1730000000000001E-2</v>
      </c>
      <c r="AV2229" s="624"/>
      <c r="AX2229" s="624">
        <v>41380</v>
      </c>
      <c r="AY2229" s="355">
        <v>3.2000000000000001E-2</v>
      </c>
      <c r="AZ2229" s="624">
        <v>41444</v>
      </c>
      <c r="BA2229" s="355">
        <v>1.17E-2</v>
      </c>
      <c r="BB2229" s="624">
        <v>41375</v>
      </c>
      <c r="BC2229" s="355">
        <v>0.31859999999999999</v>
      </c>
      <c r="BD2229" s="624">
        <v>41375</v>
      </c>
      <c r="BE2229" s="355">
        <v>8.8510000000000005E-2</v>
      </c>
      <c r="BF2229" s="624">
        <v>41506</v>
      </c>
      <c r="BG2229" s="355">
        <v>1.583E-2</v>
      </c>
      <c r="BH2229" s="624">
        <v>41375</v>
      </c>
      <c r="BI2229" s="355">
        <v>0.103066</v>
      </c>
      <c r="BJ2229" s="624">
        <v>41374</v>
      </c>
      <c r="BK2229" s="355">
        <v>3.4432999999999998E-2</v>
      </c>
    </row>
    <row r="2230" spans="3:63" x14ac:dyDescent="0.15">
      <c r="C2230" s="624"/>
      <c r="D2230" s="355">
        <v>3.2000000000000001E-2</v>
      </c>
      <c r="AV2230" s="624"/>
      <c r="AX2230" s="624">
        <v>41381</v>
      </c>
      <c r="AY2230" s="355">
        <v>3.1370000000000002E-2</v>
      </c>
      <c r="AZ2230" s="624">
        <v>41445</v>
      </c>
      <c r="BA2230" s="355">
        <v>1.15E-2</v>
      </c>
      <c r="BB2230" s="624">
        <v>41376</v>
      </c>
      <c r="BC2230" s="355">
        <v>0.3196</v>
      </c>
      <c r="BD2230" s="624">
        <v>41376</v>
      </c>
      <c r="BE2230" s="355">
        <v>8.8550000000000004E-2</v>
      </c>
      <c r="BF2230" s="624">
        <v>41507</v>
      </c>
      <c r="BG2230" s="355">
        <v>1.5413E-2</v>
      </c>
      <c r="BH2230" s="624">
        <v>41376</v>
      </c>
      <c r="BI2230" s="355">
        <v>0.102955</v>
      </c>
      <c r="BJ2230" s="624">
        <v>41375</v>
      </c>
      <c r="BK2230" s="355">
        <v>3.4438999999999997E-2</v>
      </c>
    </row>
    <row r="2231" spans="3:63" x14ac:dyDescent="0.15">
      <c r="C2231" s="624"/>
      <c r="D2231" s="355">
        <v>3.1370000000000002E-2</v>
      </c>
      <c r="AV2231" s="624"/>
      <c r="AX2231" s="624">
        <v>41382</v>
      </c>
      <c r="AY2231" s="355">
        <v>3.168E-2</v>
      </c>
      <c r="AZ2231" s="624">
        <v>41446</v>
      </c>
      <c r="BA2231" s="355">
        <v>1.14E-2</v>
      </c>
      <c r="BB2231" s="624">
        <v>41379</v>
      </c>
      <c r="BC2231" s="355">
        <v>0.31730000000000003</v>
      </c>
      <c r="BD2231" s="624">
        <v>41379</v>
      </c>
      <c r="BE2231" s="355">
        <v>8.8999999999999996E-2</v>
      </c>
      <c r="BF2231" s="624">
        <v>41508</v>
      </c>
      <c r="BG2231" s="355">
        <v>1.5492000000000001E-2</v>
      </c>
      <c r="BH2231" s="624">
        <v>41379</v>
      </c>
      <c r="BI2231" s="355">
        <v>0.102807</v>
      </c>
      <c r="BJ2231" s="624">
        <v>41376</v>
      </c>
      <c r="BK2231" s="355">
        <v>3.4410000000000003E-2</v>
      </c>
    </row>
    <row r="2232" spans="3:63" x14ac:dyDescent="0.15">
      <c r="C2232" s="624"/>
      <c r="D2232" s="355">
        <v>3.168E-2</v>
      </c>
      <c r="AV2232" s="624"/>
      <c r="AX2232" s="624">
        <v>41383</v>
      </c>
      <c r="AY2232" s="355">
        <v>3.1519999999999999E-2</v>
      </c>
      <c r="AZ2232" s="624">
        <v>41449</v>
      </c>
      <c r="BA2232" s="355">
        <v>1.15E-2</v>
      </c>
      <c r="BB2232" s="624">
        <v>41380</v>
      </c>
      <c r="BC2232" s="355">
        <v>0.32090000000000002</v>
      </c>
      <c r="BD2232" s="624">
        <v>41380</v>
      </c>
      <c r="BE2232" s="355">
        <v>8.9749999999999996E-2</v>
      </c>
      <c r="BF2232" s="624">
        <v>41509</v>
      </c>
      <c r="BG2232" s="355">
        <v>1.5599E-2</v>
      </c>
      <c r="BH2232" s="624">
        <v>41380</v>
      </c>
      <c r="BI2232" s="355">
        <v>0.102912</v>
      </c>
      <c r="BJ2232" s="624">
        <v>41379</v>
      </c>
      <c r="BK2232" s="355">
        <v>3.4317E-2</v>
      </c>
    </row>
    <row r="2233" spans="3:63" x14ac:dyDescent="0.15">
      <c r="C2233" s="624"/>
      <c r="D2233" s="355">
        <v>3.1519999999999999E-2</v>
      </c>
      <c r="AV2233" s="624"/>
      <c r="AX2233" s="624">
        <v>41386</v>
      </c>
      <c r="AY2233" s="355">
        <v>3.1699999999999999E-2</v>
      </c>
      <c r="AZ2233" s="624">
        <v>41450</v>
      </c>
      <c r="BA2233" s="355">
        <v>1.14E-2</v>
      </c>
      <c r="BB2233" s="624">
        <v>41381</v>
      </c>
      <c r="BC2233" s="355">
        <v>0.31619999999999998</v>
      </c>
      <c r="BD2233" s="624">
        <v>41381</v>
      </c>
      <c r="BE2233" s="355">
        <v>8.9209999999999998E-2</v>
      </c>
      <c r="BF2233" s="624">
        <v>41512</v>
      </c>
      <c r="BG2233" s="355">
        <v>1.5443E-2</v>
      </c>
      <c r="BH2233" s="624">
        <v>41381</v>
      </c>
      <c r="BI2233" s="355">
        <v>0.102934</v>
      </c>
      <c r="BJ2233" s="624">
        <v>41380</v>
      </c>
      <c r="BK2233" s="355">
        <v>3.4529999999999998E-2</v>
      </c>
    </row>
    <row r="2234" spans="3:63" x14ac:dyDescent="0.15">
      <c r="C2234" s="624"/>
      <c r="D2234" s="355">
        <v>3.1699999999999999E-2</v>
      </c>
      <c r="AV2234" s="624"/>
      <c r="AX2234" s="624">
        <v>41387</v>
      </c>
      <c r="AY2234" s="355">
        <v>3.1609999999999999E-2</v>
      </c>
      <c r="AZ2234" s="624">
        <v>41451</v>
      </c>
      <c r="BA2234" s="355">
        <v>1.14E-2</v>
      </c>
      <c r="BB2234" s="624">
        <v>41382</v>
      </c>
      <c r="BC2234" s="355">
        <v>0.31709999999999999</v>
      </c>
      <c r="BD2234" s="624">
        <v>41382</v>
      </c>
      <c r="BE2234" s="355">
        <v>8.9109999999999995E-2</v>
      </c>
      <c r="BF2234" s="624">
        <v>41513</v>
      </c>
      <c r="BG2234" s="355">
        <v>1.4959999999999999E-2</v>
      </c>
      <c r="BH2234" s="624">
        <v>41382</v>
      </c>
      <c r="BI2234" s="355">
        <v>0.102881</v>
      </c>
      <c r="BJ2234" s="624">
        <v>41381</v>
      </c>
      <c r="BK2234" s="355">
        <v>3.4675999999999998E-2</v>
      </c>
    </row>
    <row r="2235" spans="3:63" x14ac:dyDescent="0.15">
      <c r="C2235" s="624"/>
      <c r="D2235" s="355">
        <v>3.1609999999999999E-2</v>
      </c>
      <c r="AV2235" s="624"/>
      <c r="AX2235" s="624">
        <v>41388</v>
      </c>
      <c r="AY2235" s="355">
        <v>3.175E-2</v>
      </c>
      <c r="AZ2235" s="624">
        <v>41452</v>
      </c>
      <c r="BA2235" s="355">
        <v>1.14E-2</v>
      </c>
      <c r="BB2235" s="624">
        <v>41383</v>
      </c>
      <c r="BC2235" s="355">
        <v>0.318</v>
      </c>
      <c r="BD2235" s="624">
        <v>41383</v>
      </c>
      <c r="BE2235" s="355">
        <v>8.9330000000000007E-2</v>
      </c>
      <c r="BF2235" s="624">
        <v>41514</v>
      </c>
      <c r="BG2235" s="355">
        <v>1.4834E-2</v>
      </c>
      <c r="BH2235" s="624">
        <v>41383</v>
      </c>
      <c r="BI2235" s="355">
        <v>0.102987</v>
      </c>
      <c r="BJ2235" s="624">
        <v>41382</v>
      </c>
      <c r="BK2235" s="355">
        <v>3.4870999999999999E-2</v>
      </c>
    </row>
    <row r="2236" spans="3:63" x14ac:dyDescent="0.15">
      <c r="C2236" s="624"/>
      <c r="D2236" s="355">
        <v>3.175E-2</v>
      </c>
      <c r="AV2236" s="624"/>
      <c r="AX2236" s="624">
        <v>41389</v>
      </c>
      <c r="AY2236" s="355">
        <v>3.2140000000000002E-2</v>
      </c>
      <c r="AZ2236" s="624">
        <v>41453</v>
      </c>
      <c r="BA2236" s="355">
        <v>1.14E-2</v>
      </c>
      <c r="BB2236" s="624">
        <v>41386</v>
      </c>
      <c r="BC2236" s="355">
        <v>0.31830000000000003</v>
      </c>
      <c r="BD2236" s="624">
        <v>41386</v>
      </c>
      <c r="BE2236" s="355">
        <v>8.931E-2</v>
      </c>
      <c r="BF2236" s="624">
        <v>41515</v>
      </c>
      <c r="BG2236" s="355">
        <v>1.4838E-2</v>
      </c>
      <c r="BH2236" s="624">
        <v>41386</v>
      </c>
      <c r="BI2236" s="355">
        <v>0.102912</v>
      </c>
      <c r="BJ2236" s="624">
        <v>41383</v>
      </c>
      <c r="BK2236" s="355">
        <v>3.4944999999999997E-2</v>
      </c>
    </row>
    <row r="2237" spans="3:63" x14ac:dyDescent="0.15">
      <c r="C2237" s="624"/>
      <c r="D2237" s="355">
        <v>3.2140000000000002E-2</v>
      </c>
      <c r="AV2237" s="624"/>
      <c r="AX2237" s="624">
        <v>41390</v>
      </c>
      <c r="AY2237" s="355">
        <v>3.1969999999999998E-2</v>
      </c>
      <c r="AZ2237" s="624">
        <v>41456</v>
      </c>
      <c r="BA2237" s="355">
        <v>1.15E-2</v>
      </c>
      <c r="BB2237" s="624">
        <v>41387</v>
      </c>
      <c r="BC2237" s="355">
        <v>0.31419999999999998</v>
      </c>
      <c r="BD2237" s="624">
        <v>41387</v>
      </c>
      <c r="BE2237" s="355">
        <v>8.9330000000000007E-2</v>
      </c>
      <c r="BF2237" s="624">
        <v>41516</v>
      </c>
      <c r="BG2237" s="355">
        <v>1.4995E-2</v>
      </c>
      <c r="BH2237" s="624">
        <v>41387</v>
      </c>
      <c r="BI2237" s="355">
        <v>0.102839</v>
      </c>
      <c r="BJ2237" s="624">
        <v>41386</v>
      </c>
      <c r="BK2237" s="355">
        <v>3.4848999999999998E-2</v>
      </c>
    </row>
    <row r="2238" spans="3:63" x14ac:dyDescent="0.15">
      <c r="C2238" s="624"/>
      <c r="D2238" s="355">
        <v>3.1969999999999998E-2</v>
      </c>
      <c r="AV2238" s="624"/>
      <c r="AX2238" s="624">
        <v>41393</v>
      </c>
      <c r="AY2238" s="355">
        <v>3.2320000000000002E-2</v>
      </c>
      <c r="AZ2238" s="624">
        <v>41457</v>
      </c>
      <c r="BA2238" s="355">
        <v>1.14E-2</v>
      </c>
      <c r="BB2238" s="624">
        <v>41388</v>
      </c>
      <c r="BC2238" s="355">
        <v>0.31359999999999999</v>
      </c>
      <c r="BD2238" s="624">
        <v>41388</v>
      </c>
      <c r="BE2238" s="355">
        <v>8.9539999999999995E-2</v>
      </c>
      <c r="BF2238" s="624">
        <v>41519</v>
      </c>
      <c r="BG2238" s="355">
        <v>1.5029000000000001E-2</v>
      </c>
      <c r="BH2238" s="624">
        <v>41388</v>
      </c>
      <c r="BI2238" s="355">
        <v>0.10290299999999999</v>
      </c>
      <c r="BJ2238" s="624">
        <v>41387</v>
      </c>
      <c r="BK2238" s="355">
        <v>3.4703999999999999E-2</v>
      </c>
    </row>
    <row r="2239" spans="3:63" x14ac:dyDescent="0.15">
      <c r="C2239" s="624"/>
      <c r="D2239" s="355">
        <v>3.2320000000000002E-2</v>
      </c>
      <c r="AV2239" s="624"/>
      <c r="AX2239" s="624">
        <v>41394</v>
      </c>
      <c r="AY2239" s="355">
        <v>3.2129999999999999E-2</v>
      </c>
      <c r="AZ2239" s="624">
        <v>41458</v>
      </c>
      <c r="BA2239" s="355">
        <v>1.14E-2</v>
      </c>
      <c r="BB2239" s="624">
        <v>41389</v>
      </c>
      <c r="BC2239" s="355">
        <v>0.31309999999999999</v>
      </c>
      <c r="BD2239" s="624">
        <v>41389</v>
      </c>
      <c r="BE2239" s="355">
        <v>8.9959999999999998E-2</v>
      </c>
      <c r="BF2239" s="624">
        <v>41520</v>
      </c>
      <c r="BG2239" s="355">
        <v>1.4574E-2</v>
      </c>
      <c r="BH2239" s="624">
        <v>41389</v>
      </c>
      <c r="BI2239" s="355">
        <v>0.10290199999999999</v>
      </c>
      <c r="BJ2239" s="624">
        <v>41388</v>
      </c>
      <c r="BK2239" s="355">
        <v>3.4540000000000001E-2</v>
      </c>
    </row>
    <row r="2240" spans="3:63" x14ac:dyDescent="0.15">
      <c r="C2240" s="624"/>
      <c r="D2240" s="355">
        <v>3.2129999999999999E-2</v>
      </c>
      <c r="AV2240" s="624"/>
      <c r="AX2240" s="624">
        <v>41395</v>
      </c>
      <c r="AY2240" s="355">
        <v>3.1910000000000001E-2</v>
      </c>
      <c r="AZ2240" s="624">
        <v>41459</v>
      </c>
      <c r="BA2240" s="355">
        <v>1.1299999999999999E-2</v>
      </c>
      <c r="BB2240" s="624">
        <v>41390</v>
      </c>
      <c r="BC2240" s="355">
        <v>0.31319999999999998</v>
      </c>
      <c r="BD2240" s="624">
        <v>41390</v>
      </c>
      <c r="BE2240" s="355">
        <v>0.09</v>
      </c>
      <c r="BF2240" s="624">
        <v>41521</v>
      </c>
      <c r="BG2240" s="355">
        <v>1.5089E-2</v>
      </c>
      <c r="BH2240" s="624">
        <v>41390</v>
      </c>
      <c r="BI2240" s="355">
        <v>0.102881</v>
      </c>
      <c r="BJ2240" s="624">
        <v>41389</v>
      </c>
      <c r="BK2240" s="355">
        <v>3.4264999999999997E-2</v>
      </c>
    </row>
    <row r="2241" spans="3:63" x14ac:dyDescent="0.15">
      <c r="C2241" s="624"/>
      <c r="D2241" s="355">
        <v>3.1910000000000001E-2</v>
      </c>
      <c r="AV2241" s="624"/>
      <c r="AX2241" s="624">
        <v>41396</v>
      </c>
      <c r="AY2241" s="355">
        <v>3.209E-2</v>
      </c>
      <c r="AZ2241" s="624">
        <v>41460</v>
      </c>
      <c r="BA2241" s="355">
        <v>1.12E-2</v>
      </c>
      <c r="BB2241" s="624">
        <v>41393</v>
      </c>
      <c r="BC2241" s="355">
        <v>0.3165</v>
      </c>
      <c r="BD2241" s="624">
        <v>41393</v>
      </c>
      <c r="BE2241" s="355">
        <v>9.0560000000000002E-2</v>
      </c>
      <c r="BF2241" s="624">
        <v>41522</v>
      </c>
      <c r="BG2241" s="355">
        <v>1.5139E-2</v>
      </c>
      <c r="BH2241" s="624">
        <v>41393</v>
      </c>
      <c r="BI2241" s="355">
        <v>0.10287</v>
      </c>
      <c r="BJ2241" s="624">
        <v>41390</v>
      </c>
      <c r="BK2241" s="355">
        <v>3.4159000000000002E-2</v>
      </c>
    </row>
    <row r="2242" spans="3:63" x14ac:dyDescent="0.15">
      <c r="C2242" s="624"/>
      <c r="D2242" s="355">
        <v>3.209E-2</v>
      </c>
      <c r="AV2242" s="624"/>
      <c r="AX2242" s="624">
        <v>41397</v>
      </c>
      <c r="AY2242" s="355">
        <v>3.2149999999999998E-2</v>
      </c>
      <c r="AZ2242" s="624">
        <v>41463</v>
      </c>
      <c r="BA2242" s="355">
        <v>1.1299999999999999E-2</v>
      </c>
      <c r="BB2242" s="624">
        <v>41394</v>
      </c>
      <c r="BC2242" s="355">
        <v>0.31630000000000003</v>
      </c>
      <c r="BD2242" s="624">
        <v>41394</v>
      </c>
      <c r="BE2242" s="355">
        <v>9.0829999999999994E-2</v>
      </c>
      <c r="BF2242" s="624">
        <v>41523</v>
      </c>
      <c r="BG2242" s="355">
        <v>1.5325999999999999E-2</v>
      </c>
      <c r="BH2242" s="624">
        <v>41394</v>
      </c>
      <c r="BI2242" s="355">
        <v>0.10285</v>
      </c>
      <c r="BJ2242" s="624">
        <v>41393</v>
      </c>
      <c r="BK2242" s="355">
        <v>3.4168999999999998E-2</v>
      </c>
    </row>
    <row r="2243" spans="3:63" x14ac:dyDescent="0.15">
      <c r="C2243" s="624"/>
      <c r="D2243" s="355">
        <v>3.2149999999999998E-2</v>
      </c>
      <c r="AV2243" s="624"/>
      <c r="AX2243" s="624">
        <v>41400</v>
      </c>
      <c r="AY2243" s="355">
        <v>3.2239999999999998E-2</v>
      </c>
      <c r="AZ2243" s="624">
        <v>41464</v>
      </c>
      <c r="BA2243" s="355">
        <v>1.12E-2</v>
      </c>
      <c r="BB2243" s="624">
        <v>41395</v>
      </c>
      <c r="BC2243" s="355">
        <v>0.31630000000000003</v>
      </c>
      <c r="BD2243" s="624">
        <v>41395</v>
      </c>
      <c r="BE2243" s="355">
        <v>9.085E-2</v>
      </c>
      <c r="BF2243" s="624">
        <v>41526</v>
      </c>
      <c r="BG2243" s="355">
        <v>1.5602E-2</v>
      </c>
      <c r="BH2243" s="624">
        <v>41395</v>
      </c>
      <c r="BI2243" s="355">
        <v>0.10281700000000001</v>
      </c>
      <c r="BJ2243" s="624">
        <v>41394</v>
      </c>
      <c r="BK2243" s="355">
        <v>3.4167999999999997E-2</v>
      </c>
    </row>
    <row r="2244" spans="3:63" x14ac:dyDescent="0.15">
      <c r="C2244" s="624"/>
      <c r="D2244" s="355">
        <v>3.2239999999999998E-2</v>
      </c>
      <c r="AV2244" s="624"/>
      <c r="AX2244" s="624">
        <v>41401</v>
      </c>
      <c r="AY2244" s="355">
        <v>3.2190000000000003E-2</v>
      </c>
      <c r="AZ2244" s="624">
        <v>41465</v>
      </c>
      <c r="BA2244" s="355">
        <v>1.14E-2</v>
      </c>
      <c r="BB2244" s="624">
        <v>41396</v>
      </c>
      <c r="BC2244" s="355">
        <v>0.31559999999999999</v>
      </c>
      <c r="BD2244" s="624">
        <v>41396</v>
      </c>
      <c r="BE2244" s="355">
        <v>9.078E-2</v>
      </c>
      <c r="BF2244" s="624">
        <v>41527</v>
      </c>
      <c r="BG2244" s="355">
        <v>1.5681E-2</v>
      </c>
      <c r="BH2244" s="624">
        <v>41396</v>
      </c>
      <c r="BI2244" s="355">
        <v>0.102702</v>
      </c>
      <c r="BJ2244" s="624">
        <v>41395</v>
      </c>
      <c r="BK2244" s="355">
        <v>3.4086999999999999E-2</v>
      </c>
    </row>
    <row r="2245" spans="3:63" x14ac:dyDescent="0.15">
      <c r="C2245" s="624"/>
      <c r="D2245" s="355">
        <v>3.2190000000000003E-2</v>
      </c>
      <c r="AV2245" s="624"/>
      <c r="AX2245" s="624">
        <v>41402</v>
      </c>
      <c r="AY2245" s="355">
        <v>3.211E-2</v>
      </c>
      <c r="AZ2245" s="624">
        <v>41466</v>
      </c>
      <c r="BA2245" s="355">
        <v>1.15E-2</v>
      </c>
      <c r="BB2245" s="624">
        <v>41397</v>
      </c>
      <c r="BC2245" s="355">
        <v>0.31640000000000001</v>
      </c>
      <c r="BD2245" s="624">
        <v>41397</v>
      </c>
      <c r="BE2245" s="355">
        <v>9.1120000000000007E-2</v>
      </c>
      <c r="BF2245" s="624">
        <v>41528</v>
      </c>
      <c r="BG2245" s="355">
        <v>1.5824999999999999E-2</v>
      </c>
      <c r="BH2245" s="624">
        <v>41397</v>
      </c>
      <c r="BI2245" s="355">
        <v>0.10272299999999999</v>
      </c>
      <c r="BJ2245" s="624">
        <v>41396</v>
      </c>
      <c r="BK2245" s="355">
        <v>3.3951000000000002E-2</v>
      </c>
    </row>
    <row r="2246" spans="3:63" x14ac:dyDescent="0.15">
      <c r="C2246" s="624"/>
      <c r="D2246" s="355">
        <v>3.211E-2</v>
      </c>
      <c r="AV2246" s="624"/>
      <c r="AX2246" s="624">
        <v>41403</v>
      </c>
      <c r="AY2246" s="355">
        <v>3.2059999999999998E-2</v>
      </c>
      <c r="AZ2246" s="624">
        <v>41467</v>
      </c>
      <c r="BA2246" s="355">
        <v>1.15E-2</v>
      </c>
      <c r="BB2246" s="624">
        <v>41400</v>
      </c>
      <c r="BC2246" s="355">
        <v>0.31509999999999999</v>
      </c>
      <c r="BD2246" s="624">
        <v>41400</v>
      </c>
      <c r="BE2246" s="355">
        <v>9.1310000000000002E-2</v>
      </c>
      <c r="BF2246" s="624">
        <v>41529</v>
      </c>
      <c r="BG2246" s="355">
        <v>1.5724999999999999E-2</v>
      </c>
      <c r="BH2246" s="624">
        <v>41400</v>
      </c>
      <c r="BI2246" s="355">
        <v>0.10272299999999999</v>
      </c>
      <c r="BJ2246" s="624">
        <v>41397</v>
      </c>
      <c r="BK2246" s="355">
        <v>3.3646000000000002E-2</v>
      </c>
    </row>
    <row r="2247" spans="3:63" x14ac:dyDescent="0.15">
      <c r="C2247" s="624"/>
      <c r="D2247" s="355">
        <v>3.2059999999999998E-2</v>
      </c>
      <c r="AV2247" s="624"/>
      <c r="AX2247" s="624">
        <v>41404</v>
      </c>
      <c r="AY2247" s="355">
        <v>3.1890000000000002E-2</v>
      </c>
      <c r="AZ2247" s="624">
        <v>41470</v>
      </c>
      <c r="BA2247" s="355">
        <v>1.15E-2</v>
      </c>
      <c r="BB2247" s="624">
        <v>41401</v>
      </c>
      <c r="BC2247" s="355">
        <v>0.31590000000000001</v>
      </c>
      <c r="BD2247" s="624">
        <v>41401</v>
      </c>
      <c r="BE2247" s="355">
        <v>9.171E-2</v>
      </c>
      <c r="BF2247" s="624">
        <v>41530</v>
      </c>
      <c r="BG2247" s="355">
        <v>1.5793000000000001E-2</v>
      </c>
      <c r="BH2247" s="624">
        <v>41401</v>
      </c>
      <c r="BI2247" s="355">
        <v>0.10272199999999999</v>
      </c>
      <c r="BJ2247" s="624">
        <v>41400</v>
      </c>
      <c r="BK2247" s="355">
        <v>3.3760999999999999E-2</v>
      </c>
    </row>
    <row r="2248" spans="3:63" x14ac:dyDescent="0.15">
      <c r="C2248" s="624"/>
      <c r="D2248" s="355">
        <v>3.1890000000000002E-2</v>
      </c>
      <c r="AV2248" s="624"/>
      <c r="AX2248" s="624">
        <v>41407</v>
      </c>
      <c r="AY2248" s="355">
        <v>3.1919999999999997E-2</v>
      </c>
      <c r="AZ2248" s="624">
        <v>41471</v>
      </c>
      <c r="BA2248" s="355">
        <v>1.1599999999999999E-2</v>
      </c>
      <c r="BB2248" s="624">
        <v>41402</v>
      </c>
      <c r="BC2248" s="355">
        <v>0.31850000000000001</v>
      </c>
      <c r="BD2248" s="624">
        <v>41402</v>
      </c>
      <c r="BE2248" s="355">
        <v>9.2069999999999999E-2</v>
      </c>
      <c r="BF2248" s="624">
        <v>41533</v>
      </c>
      <c r="BG2248" s="355">
        <v>1.5790999999999999E-2</v>
      </c>
      <c r="BH2248" s="624">
        <v>41402</v>
      </c>
      <c r="BI2248" s="355">
        <v>0.10277600000000001</v>
      </c>
      <c r="BJ2248" s="624">
        <v>41401</v>
      </c>
      <c r="BK2248" s="355">
        <v>3.3796E-2</v>
      </c>
    </row>
    <row r="2249" spans="3:63" x14ac:dyDescent="0.15">
      <c r="C2249" s="624"/>
      <c r="D2249" s="355">
        <v>3.1919999999999997E-2</v>
      </c>
      <c r="AV2249" s="624"/>
      <c r="AX2249" s="624">
        <v>41408</v>
      </c>
      <c r="AY2249" s="355">
        <v>3.1859999999999999E-2</v>
      </c>
      <c r="AZ2249" s="624">
        <v>41472</v>
      </c>
      <c r="BA2249" s="355">
        <v>1.15E-2</v>
      </c>
      <c r="BB2249" s="624">
        <v>41403</v>
      </c>
      <c r="BC2249" s="355">
        <v>0.31619999999999998</v>
      </c>
      <c r="BD2249" s="624">
        <v>41403</v>
      </c>
      <c r="BE2249" s="355">
        <v>9.1579999999999995E-2</v>
      </c>
      <c r="BF2249" s="624">
        <v>41534</v>
      </c>
      <c r="BG2249" s="355">
        <v>1.5820000000000001E-2</v>
      </c>
      <c r="BH2249" s="624">
        <v>41403</v>
      </c>
      <c r="BI2249" s="355">
        <v>0.102743</v>
      </c>
      <c r="BJ2249" s="624">
        <v>41402</v>
      </c>
      <c r="BK2249" s="355">
        <v>3.4105999999999997E-2</v>
      </c>
    </row>
    <row r="2250" spans="3:63" x14ac:dyDescent="0.15">
      <c r="C2250" s="624"/>
      <c r="D2250" s="355">
        <v>3.1859999999999999E-2</v>
      </c>
      <c r="AV2250" s="624"/>
      <c r="AX2250" s="624">
        <v>41409</v>
      </c>
      <c r="AY2250" s="355">
        <v>3.1800000000000002E-2</v>
      </c>
      <c r="AZ2250" s="624">
        <v>41473</v>
      </c>
      <c r="BA2250" s="355">
        <v>1.15E-2</v>
      </c>
      <c r="BB2250" s="624">
        <v>41404</v>
      </c>
      <c r="BC2250" s="355">
        <v>0.3135</v>
      </c>
      <c r="BD2250" s="624">
        <v>41404</v>
      </c>
      <c r="BE2250" s="355">
        <v>9.0399999999999994E-2</v>
      </c>
      <c r="BF2250" s="624">
        <v>41535</v>
      </c>
      <c r="BG2250" s="355">
        <v>1.5720999999999999E-2</v>
      </c>
      <c r="BH2250" s="624">
        <v>41404</v>
      </c>
      <c r="BI2250" s="355">
        <v>0.10267999999999999</v>
      </c>
      <c r="BJ2250" s="624">
        <v>41403</v>
      </c>
      <c r="BK2250" s="355">
        <v>3.3921E-2</v>
      </c>
    </row>
    <row r="2251" spans="3:63" x14ac:dyDescent="0.15">
      <c r="C2251" s="624"/>
      <c r="D2251" s="355">
        <v>3.1800000000000002E-2</v>
      </c>
      <c r="AV2251" s="624"/>
      <c r="AX2251" s="624">
        <v>41410</v>
      </c>
      <c r="AY2251" s="355">
        <v>3.1850000000000003E-2</v>
      </c>
      <c r="AZ2251" s="624">
        <v>41474</v>
      </c>
      <c r="BA2251" s="355">
        <v>1.1599999999999999E-2</v>
      </c>
      <c r="BB2251" s="624">
        <v>41407</v>
      </c>
      <c r="BC2251" s="355">
        <v>0.31180000000000002</v>
      </c>
      <c r="BD2251" s="624">
        <v>41407</v>
      </c>
      <c r="BE2251" s="355">
        <v>8.9690000000000006E-2</v>
      </c>
      <c r="BF2251" s="624">
        <v>41536</v>
      </c>
      <c r="BG2251" s="355">
        <v>1.6070000000000001E-2</v>
      </c>
      <c r="BH2251" s="624">
        <v>41407</v>
      </c>
      <c r="BI2251" s="355">
        <v>0.102691</v>
      </c>
      <c r="BJ2251" s="624">
        <v>41404</v>
      </c>
      <c r="BK2251" s="355">
        <v>3.3535000000000002E-2</v>
      </c>
    </row>
    <row r="2252" spans="3:63" x14ac:dyDescent="0.15">
      <c r="C2252" s="624"/>
      <c r="D2252" s="355">
        <v>3.1850000000000003E-2</v>
      </c>
      <c r="AV2252" s="624"/>
      <c r="AX2252" s="624">
        <v>41411</v>
      </c>
      <c r="AY2252" s="355">
        <v>3.1800000000000002E-2</v>
      </c>
      <c r="AZ2252" s="624">
        <v>41477</v>
      </c>
      <c r="BA2252" s="355">
        <v>1.1599999999999999E-2</v>
      </c>
      <c r="BB2252" s="624">
        <v>41408</v>
      </c>
      <c r="BC2252" s="355">
        <v>0.31019999999999998</v>
      </c>
      <c r="BD2252" s="624">
        <v>41408</v>
      </c>
      <c r="BE2252" s="355">
        <v>8.9969999999999994E-2</v>
      </c>
      <c r="BF2252" s="624">
        <v>41537</v>
      </c>
      <c r="BG2252" s="355">
        <v>1.5934E-2</v>
      </c>
      <c r="BH2252" s="624">
        <v>41408</v>
      </c>
      <c r="BI2252" s="355">
        <v>0.10267999999999999</v>
      </c>
      <c r="BJ2252" s="624">
        <v>41407</v>
      </c>
      <c r="BK2252" s="355">
        <v>3.3706E-2</v>
      </c>
    </row>
    <row r="2253" spans="3:63" x14ac:dyDescent="0.15">
      <c r="C2253" s="624"/>
      <c r="D2253" s="355">
        <v>3.1800000000000002E-2</v>
      </c>
      <c r="AV2253" s="624"/>
      <c r="AX2253" s="624">
        <v>41414</v>
      </c>
      <c r="AY2253" s="355">
        <v>3.202E-2</v>
      </c>
      <c r="AZ2253" s="624">
        <v>41478</v>
      </c>
      <c r="BA2253" s="355">
        <v>1.1599999999999999E-2</v>
      </c>
      <c r="BB2253" s="624">
        <v>41409</v>
      </c>
      <c r="BC2253" s="355">
        <v>0.30840000000000001</v>
      </c>
      <c r="BD2253" s="624">
        <v>41409</v>
      </c>
      <c r="BE2253" s="355">
        <v>8.9560000000000001E-2</v>
      </c>
      <c r="BF2253" s="624">
        <v>41540</v>
      </c>
      <c r="BG2253" s="355">
        <v>1.5970000000000002E-2</v>
      </c>
      <c r="BH2253" s="624">
        <v>41409</v>
      </c>
      <c r="BI2253" s="355">
        <v>0.10259600000000001</v>
      </c>
      <c r="BJ2253" s="624">
        <v>41408</v>
      </c>
      <c r="BK2253" s="355">
        <v>3.3717999999999998E-2</v>
      </c>
    </row>
    <row r="2254" spans="3:63" x14ac:dyDescent="0.15">
      <c r="C2254" s="624"/>
      <c r="D2254" s="355">
        <v>3.202E-2</v>
      </c>
      <c r="AV2254" s="624"/>
      <c r="AX2254" s="624">
        <v>41415</v>
      </c>
      <c r="AY2254" s="355">
        <v>3.202E-2</v>
      </c>
      <c r="AZ2254" s="624">
        <v>41479</v>
      </c>
      <c r="BA2254" s="355">
        <v>1.1599999999999999E-2</v>
      </c>
      <c r="BB2254" s="624">
        <v>41410</v>
      </c>
      <c r="BC2254" s="355">
        <v>0.30769999999999997</v>
      </c>
      <c r="BD2254" s="624">
        <v>41410</v>
      </c>
      <c r="BE2254" s="355">
        <v>8.9469999999999994E-2</v>
      </c>
      <c r="BF2254" s="624">
        <v>41541</v>
      </c>
      <c r="BG2254" s="355">
        <v>1.5935999999999999E-2</v>
      </c>
      <c r="BH2254" s="624">
        <v>41410</v>
      </c>
      <c r="BI2254" s="355">
        <v>0.102565</v>
      </c>
      <c r="BJ2254" s="624">
        <v>41409</v>
      </c>
      <c r="BK2254" s="355">
        <v>3.3613999999999998E-2</v>
      </c>
    </row>
    <row r="2255" spans="3:63" x14ac:dyDescent="0.15">
      <c r="C2255" s="624"/>
      <c r="D2255" s="355">
        <v>3.202E-2</v>
      </c>
      <c r="AV2255" s="624"/>
      <c r="AX2255" s="624">
        <v>41416</v>
      </c>
      <c r="AY2255" s="355">
        <v>3.184E-2</v>
      </c>
      <c r="AZ2255" s="624">
        <v>41480</v>
      </c>
      <c r="BA2255" s="355">
        <v>1.1599999999999999E-2</v>
      </c>
      <c r="BB2255" s="624">
        <v>41411</v>
      </c>
      <c r="BC2255" s="355">
        <v>0.30769999999999997</v>
      </c>
      <c r="BD2255" s="624">
        <v>41411</v>
      </c>
      <c r="BE2255" s="355">
        <v>8.9099999999999999E-2</v>
      </c>
      <c r="BF2255" s="624">
        <v>41542</v>
      </c>
      <c r="BG2255" s="355">
        <v>1.6063000000000001E-2</v>
      </c>
      <c r="BH2255" s="624">
        <v>41411</v>
      </c>
      <c r="BI2255" s="355">
        <v>0.102502</v>
      </c>
      <c r="BJ2255" s="624">
        <v>41410</v>
      </c>
      <c r="BK2255" s="355">
        <v>3.3659000000000001E-2</v>
      </c>
    </row>
    <row r="2256" spans="3:63" x14ac:dyDescent="0.15">
      <c r="C2256" s="624"/>
      <c r="D2256" s="355">
        <v>3.184E-2</v>
      </c>
      <c r="AV2256" s="624"/>
      <c r="AX2256" s="624">
        <v>41417</v>
      </c>
      <c r="AY2256" s="355">
        <v>3.1780000000000003E-2</v>
      </c>
      <c r="AZ2256" s="624">
        <v>41481</v>
      </c>
      <c r="BA2256" s="355">
        <v>1.1599999999999999E-2</v>
      </c>
      <c r="BB2256" s="624">
        <v>41414</v>
      </c>
      <c r="BC2256" s="355">
        <v>0.30780000000000002</v>
      </c>
      <c r="BD2256" s="624">
        <v>41414</v>
      </c>
      <c r="BE2256" s="355">
        <v>8.9700000000000002E-2</v>
      </c>
      <c r="BF2256" s="624">
        <v>41543</v>
      </c>
      <c r="BG2256" s="355">
        <v>1.6185000000000001E-2</v>
      </c>
      <c r="BH2256" s="624">
        <v>41414</v>
      </c>
      <c r="BI2256" s="355">
        <v>0.102481</v>
      </c>
      <c r="BJ2256" s="624">
        <v>41411</v>
      </c>
      <c r="BK2256" s="355">
        <v>3.3489999999999999E-2</v>
      </c>
    </row>
    <row r="2257" spans="3:63" x14ac:dyDescent="0.15">
      <c r="C2257" s="624"/>
      <c r="D2257" s="355">
        <v>3.1780000000000003E-2</v>
      </c>
      <c r="AV2257" s="624"/>
      <c r="AX2257" s="624">
        <v>41418</v>
      </c>
      <c r="AY2257" s="355">
        <v>3.1919999999999997E-2</v>
      </c>
      <c r="AZ2257" s="624">
        <v>41484</v>
      </c>
      <c r="BA2257" s="355">
        <v>1.1599999999999999E-2</v>
      </c>
      <c r="BB2257" s="624">
        <v>41415</v>
      </c>
      <c r="BC2257" s="355">
        <v>0.30880000000000002</v>
      </c>
      <c r="BD2257" s="624">
        <v>41415</v>
      </c>
      <c r="BE2257" s="355">
        <v>8.9980000000000004E-2</v>
      </c>
      <c r="BF2257" s="624">
        <v>41544</v>
      </c>
      <c r="BG2257" s="355">
        <v>1.5866000000000002E-2</v>
      </c>
      <c r="BH2257" s="624">
        <v>41415</v>
      </c>
      <c r="BI2257" s="355">
        <v>0.10241699999999999</v>
      </c>
      <c r="BJ2257" s="624">
        <v>41414</v>
      </c>
      <c r="BK2257" s="355">
        <v>3.3545999999999999E-2</v>
      </c>
    </row>
    <row r="2258" spans="3:63" x14ac:dyDescent="0.15">
      <c r="C2258" s="624"/>
      <c r="D2258" s="355">
        <v>3.1919999999999997E-2</v>
      </c>
      <c r="AV2258" s="624"/>
      <c r="AX2258" s="624">
        <v>41421</v>
      </c>
      <c r="AY2258" s="355">
        <v>3.1899999999999998E-2</v>
      </c>
      <c r="AZ2258" s="624">
        <v>41485</v>
      </c>
      <c r="BA2258" s="355">
        <v>1.17E-2</v>
      </c>
      <c r="BB2258" s="624">
        <v>41416</v>
      </c>
      <c r="BC2258" s="355">
        <v>0.307</v>
      </c>
      <c r="BD2258" s="624">
        <v>41416</v>
      </c>
      <c r="BE2258" s="355">
        <v>8.9380000000000001E-2</v>
      </c>
      <c r="BF2258" s="624">
        <v>41547</v>
      </c>
      <c r="BG2258" s="355">
        <v>1.5987999999999999E-2</v>
      </c>
      <c r="BH2258" s="624">
        <v>41416</v>
      </c>
      <c r="BI2258" s="355">
        <v>0.102397</v>
      </c>
      <c r="BJ2258" s="624">
        <v>41415</v>
      </c>
      <c r="BK2258" s="355">
        <v>3.3574E-2</v>
      </c>
    </row>
    <row r="2259" spans="3:63" x14ac:dyDescent="0.15">
      <c r="C2259" s="624"/>
      <c r="D2259" s="355">
        <v>3.1899999999999998E-2</v>
      </c>
      <c r="AV2259" s="624"/>
      <c r="AX2259" s="624">
        <v>41422</v>
      </c>
      <c r="AY2259" s="355">
        <v>3.1739999999999997E-2</v>
      </c>
      <c r="AZ2259" s="624">
        <v>41486</v>
      </c>
      <c r="BA2259" s="355">
        <v>1.17E-2</v>
      </c>
      <c r="BB2259" s="624">
        <v>41417</v>
      </c>
      <c r="BC2259" s="355">
        <v>0.30790000000000001</v>
      </c>
      <c r="BD2259" s="624">
        <v>41417</v>
      </c>
      <c r="BE2259" s="355">
        <v>8.8580000000000006E-2</v>
      </c>
      <c r="BF2259" s="624">
        <v>41548</v>
      </c>
      <c r="BG2259" s="355">
        <v>1.5976000000000001E-2</v>
      </c>
      <c r="BH2259" s="624">
        <v>41417</v>
      </c>
      <c r="BI2259" s="355">
        <v>0.102438</v>
      </c>
      <c r="BJ2259" s="624">
        <v>41416</v>
      </c>
      <c r="BK2259" s="355">
        <v>3.3459000000000003E-2</v>
      </c>
    </row>
    <row r="2260" spans="3:63" x14ac:dyDescent="0.15">
      <c r="C2260" s="624"/>
      <c r="D2260" s="355">
        <v>3.1739999999999997E-2</v>
      </c>
      <c r="AV2260" s="624"/>
      <c r="AX2260" s="624">
        <v>41423</v>
      </c>
      <c r="AY2260" s="355">
        <v>3.1609999999999999E-2</v>
      </c>
      <c r="AZ2260" s="624">
        <v>41487</v>
      </c>
      <c r="BA2260" s="355">
        <v>1.1599999999999999E-2</v>
      </c>
      <c r="BB2260" s="624">
        <v>41418</v>
      </c>
      <c r="BC2260" s="355">
        <v>0.30819999999999997</v>
      </c>
      <c r="BD2260" s="624">
        <v>41418</v>
      </c>
      <c r="BE2260" s="355">
        <v>8.8620000000000004E-2</v>
      </c>
      <c r="BF2260" s="624">
        <v>41549</v>
      </c>
      <c r="BG2260" s="355">
        <v>1.6074000000000001E-2</v>
      </c>
      <c r="BH2260" s="624">
        <v>41418</v>
      </c>
      <c r="BI2260" s="355">
        <v>0.102323</v>
      </c>
      <c r="BJ2260" s="624">
        <v>41417</v>
      </c>
      <c r="BK2260" s="355">
        <v>3.3429E-2</v>
      </c>
    </row>
    <row r="2261" spans="3:63" x14ac:dyDescent="0.15">
      <c r="C2261" s="624"/>
      <c r="D2261" s="355">
        <v>3.1609999999999999E-2</v>
      </c>
      <c r="AV2261" s="624"/>
      <c r="AX2261" s="624">
        <v>41424</v>
      </c>
      <c r="AY2261" s="355">
        <v>3.1530000000000002E-2</v>
      </c>
      <c r="AZ2261" s="624">
        <v>41488</v>
      </c>
      <c r="BA2261" s="355">
        <v>1.1599999999999999E-2</v>
      </c>
      <c r="BB2261" s="624">
        <v>41421</v>
      </c>
      <c r="BC2261" s="355">
        <v>0.30809999999999998</v>
      </c>
      <c r="BD2261" s="624">
        <v>41421</v>
      </c>
      <c r="BE2261" s="355">
        <v>8.9080000000000006E-2</v>
      </c>
      <c r="BF2261" s="624">
        <v>41550</v>
      </c>
      <c r="BG2261" s="355">
        <v>1.6178999999999999E-2</v>
      </c>
      <c r="BH2261" s="624">
        <v>41421</v>
      </c>
      <c r="BI2261" s="355">
        <v>0.102146</v>
      </c>
      <c r="BJ2261" s="624">
        <v>41418</v>
      </c>
      <c r="BK2261" s="355">
        <v>3.3383000000000003E-2</v>
      </c>
    </row>
    <row r="2262" spans="3:63" x14ac:dyDescent="0.15">
      <c r="C2262" s="624"/>
      <c r="D2262" s="355">
        <v>3.1530000000000002E-2</v>
      </c>
      <c r="AV2262" s="624"/>
      <c r="AX2262" s="624">
        <v>41425</v>
      </c>
      <c r="AY2262" s="355">
        <v>3.1320000000000001E-2</v>
      </c>
      <c r="AZ2262" s="624">
        <v>41491</v>
      </c>
      <c r="BA2262" s="355">
        <v>1.17E-2</v>
      </c>
      <c r="BB2262" s="624">
        <v>41422</v>
      </c>
      <c r="BC2262" s="355">
        <v>0.30559999999999998</v>
      </c>
      <c r="BD2262" s="624">
        <v>41422</v>
      </c>
      <c r="BE2262" s="355">
        <v>8.8660000000000003E-2</v>
      </c>
      <c r="BF2262" s="624">
        <v>41551</v>
      </c>
      <c r="BG2262" s="355">
        <v>1.6284E-2</v>
      </c>
      <c r="BH2262" s="624">
        <v>41422</v>
      </c>
      <c r="BI2262" s="355">
        <v>0.101368</v>
      </c>
      <c r="BJ2262" s="624">
        <v>41421</v>
      </c>
      <c r="BK2262" s="355">
        <v>3.3485000000000001E-2</v>
      </c>
    </row>
    <row r="2263" spans="3:63" x14ac:dyDescent="0.15">
      <c r="C2263" s="624"/>
      <c r="D2263" s="355">
        <v>3.1320000000000001E-2</v>
      </c>
      <c r="AV2263" s="624"/>
      <c r="AX2263" s="624">
        <v>41428</v>
      </c>
      <c r="AY2263" s="355">
        <v>3.1449999999999999E-2</v>
      </c>
      <c r="AZ2263" s="624">
        <v>41492</v>
      </c>
      <c r="BA2263" s="355">
        <v>1.17E-2</v>
      </c>
      <c r="BB2263" s="624">
        <v>41423</v>
      </c>
      <c r="BC2263" s="355">
        <v>0.30480000000000002</v>
      </c>
      <c r="BD2263" s="624">
        <v>41423</v>
      </c>
      <c r="BE2263" s="355">
        <v>8.831E-2</v>
      </c>
      <c r="BF2263" s="624">
        <v>41554</v>
      </c>
      <c r="BG2263" s="355">
        <v>1.6212000000000001E-2</v>
      </c>
      <c r="BH2263" s="624">
        <v>41423</v>
      </c>
      <c r="BI2263" s="355">
        <v>0.10201</v>
      </c>
      <c r="BJ2263" s="624">
        <v>41422</v>
      </c>
      <c r="BK2263" s="355">
        <v>3.3244999999999997E-2</v>
      </c>
    </row>
    <row r="2264" spans="3:63" x14ac:dyDescent="0.15">
      <c r="C2264" s="624"/>
      <c r="D2264" s="355">
        <v>3.1449999999999999E-2</v>
      </c>
      <c r="AV2264" s="624"/>
      <c r="AX2264" s="624">
        <v>41429</v>
      </c>
      <c r="AY2264" s="355">
        <v>3.1309999999999998E-2</v>
      </c>
      <c r="AZ2264" s="624">
        <v>41493</v>
      </c>
      <c r="BA2264" s="355">
        <v>1.17E-2</v>
      </c>
      <c r="BB2264" s="624">
        <v>41424</v>
      </c>
      <c r="BC2264" s="355">
        <v>0.30520000000000003</v>
      </c>
      <c r="BD2264" s="624">
        <v>41424</v>
      </c>
      <c r="BE2264" s="355">
        <v>8.8800000000000004E-2</v>
      </c>
      <c r="BF2264" s="624">
        <v>41555</v>
      </c>
      <c r="BG2264" s="355">
        <v>1.6112000000000001E-2</v>
      </c>
      <c r="BH2264" s="624">
        <v>41424</v>
      </c>
      <c r="BI2264" s="355">
        <v>0.10201</v>
      </c>
      <c r="BJ2264" s="624">
        <v>41423</v>
      </c>
      <c r="BK2264" s="355">
        <v>3.3151E-2</v>
      </c>
    </row>
    <row r="2265" spans="3:63" x14ac:dyDescent="0.15">
      <c r="C2265" s="624"/>
      <c r="D2265" s="355">
        <v>3.1309999999999998E-2</v>
      </c>
      <c r="AV2265" s="624"/>
      <c r="AX2265" s="624">
        <v>41430</v>
      </c>
      <c r="AY2265" s="355">
        <v>3.1099999999999999E-2</v>
      </c>
      <c r="AZ2265" s="624">
        <v>41494</v>
      </c>
      <c r="BA2265" s="355">
        <v>1.18E-2</v>
      </c>
      <c r="BB2265" s="624">
        <v>41425</v>
      </c>
      <c r="BC2265" s="355">
        <v>0.30409999999999998</v>
      </c>
      <c r="BD2265" s="624">
        <v>41425</v>
      </c>
      <c r="BE2265" s="355">
        <v>8.8400000000000006E-2</v>
      </c>
      <c r="BF2265" s="624">
        <v>41556</v>
      </c>
      <c r="BG2265" s="355">
        <v>1.6168999999999999E-2</v>
      </c>
      <c r="BH2265" s="624">
        <v>41425</v>
      </c>
      <c r="BI2265" s="355">
        <v>0.102094</v>
      </c>
      <c r="BJ2265" s="624">
        <v>41424</v>
      </c>
      <c r="BK2265" s="355">
        <v>3.3191999999999999E-2</v>
      </c>
    </row>
    <row r="2266" spans="3:63" x14ac:dyDescent="0.15">
      <c r="C2266" s="624"/>
      <c r="D2266" s="355">
        <v>3.1099999999999999E-2</v>
      </c>
      <c r="AV2266" s="624"/>
      <c r="AX2266" s="624">
        <v>41431</v>
      </c>
      <c r="AY2266" s="355">
        <v>3.1130000000000001E-2</v>
      </c>
      <c r="AZ2266" s="624">
        <v>41495</v>
      </c>
      <c r="BA2266" s="355">
        <v>1.17E-2</v>
      </c>
      <c r="BB2266" s="624">
        <v>41428</v>
      </c>
      <c r="BC2266" s="355">
        <v>0.3075</v>
      </c>
      <c r="BD2266" s="624">
        <v>41428</v>
      </c>
      <c r="BE2266" s="355">
        <v>8.9279999999999998E-2</v>
      </c>
      <c r="BF2266" s="624">
        <v>41557</v>
      </c>
      <c r="BG2266" s="355">
        <v>1.6378E-2</v>
      </c>
      <c r="BH2266" s="624">
        <v>41428</v>
      </c>
      <c r="BI2266" s="355">
        <v>0.101989</v>
      </c>
      <c r="BJ2266" s="624">
        <v>41425</v>
      </c>
      <c r="BK2266" s="355">
        <v>3.2883999999999997E-2</v>
      </c>
    </row>
    <row r="2267" spans="3:63" x14ac:dyDescent="0.15">
      <c r="C2267" s="624"/>
      <c r="D2267" s="355">
        <v>3.1130000000000001E-2</v>
      </c>
      <c r="AV2267" s="624"/>
      <c r="AX2267" s="624">
        <v>41432</v>
      </c>
      <c r="AY2267" s="355">
        <v>3.1050000000000001E-2</v>
      </c>
      <c r="AZ2267" s="624">
        <v>41498</v>
      </c>
      <c r="BA2267" s="355">
        <v>1.17E-2</v>
      </c>
      <c r="BB2267" s="624">
        <v>41429</v>
      </c>
      <c r="BC2267" s="355">
        <v>0.30869999999999997</v>
      </c>
      <c r="BD2267" s="624">
        <v>41429</v>
      </c>
      <c r="BE2267" s="355">
        <v>8.8999999999999996E-2</v>
      </c>
      <c r="BF2267" s="624">
        <v>41558</v>
      </c>
      <c r="BG2267" s="355">
        <v>1.6396000000000001E-2</v>
      </c>
      <c r="BH2267" s="624">
        <v>41429</v>
      </c>
      <c r="BI2267" s="355">
        <v>0.10204100000000001</v>
      </c>
      <c r="BJ2267" s="624">
        <v>41428</v>
      </c>
      <c r="BK2267" s="355">
        <v>3.2939999999999997E-2</v>
      </c>
    </row>
    <row r="2268" spans="3:63" x14ac:dyDescent="0.15">
      <c r="C2268" s="624"/>
      <c r="D2268" s="355">
        <v>3.1050000000000001E-2</v>
      </c>
      <c r="AV2268" s="624"/>
      <c r="AX2268" s="624">
        <v>41435</v>
      </c>
      <c r="AY2268" s="355">
        <v>3.0929999999999999E-2</v>
      </c>
      <c r="AZ2268" s="624">
        <v>41499</v>
      </c>
      <c r="BA2268" s="355">
        <v>1.1599999999999999E-2</v>
      </c>
      <c r="BB2268" s="624">
        <v>41430</v>
      </c>
      <c r="BC2268" s="355">
        <v>0.30590000000000001</v>
      </c>
      <c r="BD2268" s="624">
        <v>41430</v>
      </c>
      <c r="BE2268" s="355">
        <v>8.9370000000000005E-2</v>
      </c>
      <c r="BF2268" s="624">
        <v>41561</v>
      </c>
      <c r="BG2268" s="355">
        <v>1.6268000000000001E-2</v>
      </c>
      <c r="BH2268" s="624">
        <v>41430</v>
      </c>
      <c r="BI2268" s="355">
        <v>0.102103</v>
      </c>
      <c r="BJ2268" s="624">
        <v>41429</v>
      </c>
      <c r="BK2268" s="355">
        <v>3.2836999999999998E-2</v>
      </c>
    </row>
    <row r="2269" spans="3:63" x14ac:dyDescent="0.15">
      <c r="C2269" s="624"/>
      <c r="D2269" s="355">
        <v>3.0929999999999999E-2</v>
      </c>
      <c r="AV2269" s="624"/>
      <c r="AX2269" s="624">
        <v>41436</v>
      </c>
      <c r="AY2269" s="355">
        <v>3.0870000000000002E-2</v>
      </c>
      <c r="AZ2269" s="624">
        <v>41500</v>
      </c>
      <c r="BA2269" s="355">
        <v>1.17E-2</v>
      </c>
      <c r="BB2269" s="624">
        <v>41431</v>
      </c>
      <c r="BC2269" s="355">
        <v>0.30819999999999997</v>
      </c>
      <c r="BD2269" s="624">
        <v>41431</v>
      </c>
      <c r="BE2269" s="355">
        <v>8.9349999999999999E-2</v>
      </c>
      <c r="BF2269" s="624">
        <v>41562</v>
      </c>
      <c r="BG2269" s="355">
        <v>1.6185999999999999E-2</v>
      </c>
      <c r="BH2269" s="624">
        <v>41431</v>
      </c>
      <c r="BI2269" s="355">
        <v>0.102103</v>
      </c>
      <c r="BJ2269" s="624">
        <v>41430</v>
      </c>
      <c r="BK2269" s="355">
        <v>3.2732999999999998E-2</v>
      </c>
    </row>
    <row r="2270" spans="3:63" x14ac:dyDescent="0.15">
      <c r="C2270" s="624"/>
      <c r="D2270" s="355">
        <v>3.0870000000000002E-2</v>
      </c>
      <c r="AV2270" s="624"/>
      <c r="AX2270" s="624">
        <v>41437</v>
      </c>
      <c r="AY2270" s="355">
        <v>3.1040000000000002E-2</v>
      </c>
      <c r="AZ2270" s="624">
        <v>41501</v>
      </c>
      <c r="BA2270" s="355">
        <v>1.17E-2</v>
      </c>
      <c r="BB2270" s="624">
        <v>41432</v>
      </c>
      <c r="BC2270" s="355">
        <v>0.31180000000000002</v>
      </c>
      <c r="BD2270" s="624">
        <v>41432</v>
      </c>
      <c r="BE2270" s="355">
        <v>8.9480000000000004E-2</v>
      </c>
      <c r="BF2270" s="624">
        <v>41563</v>
      </c>
      <c r="BG2270" s="355">
        <v>1.6306000000000001E-2</v>
      </c>
      <c r="BH2270" s="624">
        <v>41432</v>
      </c>
      <c r="BI2270" s="355">
        <v>0.101989</v>
      </c>
      <c r="BJ2270" s="624">
        <v>41431</v>
      </c>
      <c r="BK2270" s="355">
        <v>3.2705999999999999E-2</v>
      </c>
    </row>
    <row r="2271" spans="3:63" x14ac:dyDescent="0.15">
      <c r="C2271" s="624"/>
      <c r="D2271" s="355">
        <v>3.1040000000000002E-2</v>
      </c>
      <c r="AV2271" s="624"/>
      <c r="AX2271" s="624">
        <v>41438</v>
      </c>
      <c r="AY2271" s="355">
        <v>3.1260000000000003E-2</v>
      </c>
      <c r="AZ2271" s="624">
        <v>41502</v>
      </c>
      <c r="BA2271" s="355">
        <v>1.17E-2</v>
      </c>
      <c r="BB2271" s="624">
        <v>41435</v>
      </c>
      <c r="BC2271" s="355">
        <v>0.31030000000000002</v>
      </c>
      <c r="BD2271" s="624">
        <v>41435</v>
      </c>
      <c r="BE2271" s="355">
        <v>8.8650000000000007E-2</v>
      </c>
      <c r="BF2271" s="624">
        <v>41564</v>
      </c>
      <c r="BG2271" s="355">
        <v>1.6374E-2</v>
      </c>
      <c r="BH2271" s="624">
        <v>41435</v>
      </c>
      <c r="BI2271" s="355">
        <v>9.9290000000000003E-2</v>
      </c>
      <c r="BJ2271" s="624">
        <v>41432</v>
      </c>
      <c r="BK2271" s="355">
        <v>3.2641999999999997E-2</v>
      </c>
    </row>
    <row r="2272" spans="3:63" x14ac:dyDescent="0.15">
      <c r="C2272" s="624"/>
      <c r="D2272" s="355">
        <v>3.1260000000000003E-2</v>
      </c>
      <c r="AV2272" s="624"/>
      <c r="AX2272" s="624">
        <v>41439</v>
      </c>
      <c r="AY2272" s="355">
        <v>3.1570000000000001E-2</v>
      </c>
      <c r="AZ2272" s="624">
        <v>41505</v>
      </c>
      <c r="BA2272" s="355">
        <v>1.17E-2</v>
      </c>
      <c r="BB2272" s="624">
        <v>41436</v>
      </c>
      <c r="BC2272" s="355">
        <v>0.31140000000000001</v>
      </c>
      <c r="BD2272" s="624">
        <v>41436</v>
      </c>
      <c r="BE2272" s="355">
        <v>8.8279999999999997E-2</v>
      </c>
      <c r="BF2272" s="624">
        <v>41565</v>
      </c>
      <c r="BG2272" s="355">
        <v>1.6343E-2</v>
      </c>
      <c r="BH2272" s="624">
        <v>41436</v>
      </c>
      <c r="BI2272" s="355">
        <v>9.9641999999999994E-2</v>
      </c>
      <c r="BJ2272" s="624">
        <v>41435</v>
      </c>
      <c r="BK2272" s="355">
        <v>3.2488999999999997E-2</v>
      </c>
    </row>
    <row r="2273" spans="3:63" x14ac:dyDescent="0.15">
      <c r="C2273" s="624"/>
      <c r="D2273" s="355">
        <v>3.1570000000000001E-2</v>
      </c>
      <c r="AV2273" s="624"/>
      <c r="AX2273" s="624">
        <v>41442</v>
      </c>
      <c r="AY2273" s="355">
        <v>3.1460000000000002E-2</v>
      </c>
      <c r="AZ2273" s="624">
        <v>41506</v>
      </c>
      <c r="BA2273" s="355">
        <v>1.17E-2</v>
      </c>
      <c r="BB2273" s="624">
        <v>41437</v>
      </c>
      <c r="BC2273" s="355">
        <v>0.31290000000000001</v>
      </c>
      <c r="BD2273" s="624">
        <v>41437</v>
      </c>
      <c r="BE2273" s="355">
        <v>8.8440000000000005E-2</v>
      </c>
      <c r="BF2273" s="624">
        <v>41568</v>
      </c>
      <c r="BG2273" s="355">
        <v>1.6232E-2</v>
      </c>
      <c r="BH2273" s="624">
        <v>41437</v>
      </c>
      <c r="BI2273" s="355">
        <v>0.101523</v>
      </c>
      <c r="BJ2273" s="624">
        <v>41436</v>
      </c>
      <c r="BK2273" s="355">
        <v>3.2342999999999997E-2</v>
      </c>
    </row>
    <row r="2274" spans="3:63" x14ac:dyDescent="0.15">
      <c r="C2274" s="624"/>
      <c r="D2274" s="355">
        <v>3.1460000000000002E-2</v>
      </c>
      <c r="AV2274" s="624"/>
      <c r="AX2274" s="624">
        <v>41443</v>
      </c>
      <c r="AY2274" s="355">
        <v>3.125E-2</v>
      </c>
      <c r="AZ2274" s="624">
        <v>41507</v>
      </c>
      <c r="BA2274" s="355">
        <v>1.17E-2</v>
      </c>
      <c r="BB2274" s="624">
        <v>41438</v>
      </c>
      <c r="BC2274" s="355">
        <v>0.31659999999999999</v>
      </c>
      <c r="BD2274" s="624">
        <v>41438</v>
      </c>
      <c r="BE2274" s="355">
        <v>8.8510000000000005E-2</v>
      </c>
      <c r="BF2274" s="624">
        <v>41569</v>
      </c>
      <c r="BG2274" s="355">
        <v>1.6357E-2</v>
      </c>
      <c r="BH2274" s="624">
        <v>41438</v>
      </c>
      <c r="BI2274" s="355">
        <v>0.101302</v>
      </c>
      <c r="BJ2274" s="624">
        <v>41437</v>
      </c>
      <c r="BK2274" s="355">
        <v>3.2300000000000002E-2</v>
      </c>
    </row>
    <row r="2275" spans="3:63" x14ac:dyDescent="0.15">
      <c r="C2275" s="624"/>
      <c r="D2275" s="355">
        <v>3.125E-2</v>
      </c>
      <c r="AV2275" s="624"/>
      <c r="AX2275" s="624">
        <v>41444</v>
      </c>
      <c r="AY2275" s="355">
        <v>3.0790000000000001E-2</v>
      </c>
      <c r="AZ2275" s="624">
        <v>41508</v>
      </c>
      <c r="BA2275" s="355">
        <v>1.17E-2</v>
      </c>
      <c r="BB2275" s="624">
        <v>41439</v>
      </c>
      <c r="BC2275" s="355">
        <v>0.31459999999999999</v>
      </c>
      <c r="BD2275" s="624">
        <v>41439</v>
      </c>
      <c r="BE2275" s="355">
        <v>8.8709999999999997E-2</v>
      </c>
      <c r="BF2275" s="624">
        <v>41570</v>
      </c>
      <c r="BG2275" s="355">
        <v>1.6227999999999999E-2</v>
      </c>
      <c r="BH2275" s="624">
        <v>41439</v>
      </c>
      <c r="BI2275" s="355">
        <v>0.101379</v>
      </c>
      <c r="BJ2275" s="624">
        <v>41438</v>
      </c>
      <c r="BK2275" s="355">
        <v>3.2523999999999997E-2</v>
      </c>
    </row>
    <row r="2276" spans="3:63" x14ac:dyDescent="0.15">
      <c r="C2276" s="624"/>
      <c r="D2276" s="355">
        <v>3.0790000000000001E-2</v>
      </c>
      <c r="AV2276" s="624"/>
      <c r="AX2276" s="624">
        <v>41445</v>
      </c>
      <c r="AY2276" s="355">
        <v>3.0269999999999998E-2</v>
      </c>
      <c r="AZ2276" s="624">
        <v>41509</v>
      </c>
      <c r="BA2276" s="355">
        <v>1.17E-2</v>
      </c>
      <c r="BB2276" s="624">
        <v>41442</v>
      </c>
      <c r="BC2276" s="355">
        <v>0.31590000000000001</v>
      </c>
      <c r="BD2276" s="624">
        <v>41442</v>
      </c>
      <c r="BE2276" s="355">
        <v>8.8609999999999994E-2</v>
      </c>
      <c r="BF2276" s="624">
        <v>41571</v>
      </c>
      <c r="BG2276" s="355">
        <v>1.6267E-2</v>
      </c>
      <c r="BH2276" s="624">
        <v>41442</v>
      </c>
      <c r="BI2276" s="355">
        <v>0.10125099999999999</v>
      </c>
      <c r="BJ2276" s="624">
        <v>41439</v>
      </c>
      <c r="BK2276" s="355">
        <v>3.2701000000000001E-2</v>
      </c>
    </row>
    <row r="2277" spans="3:63" x14ac:dyDescent="0.15">
      <c r="C2277" s="624"/>
      <c r="D2277" s="355">
        <v>3.0269999999999998E-2</v>
      </c>
      <c r="AV2277" s="624"/>
      <c r="AX2277" s="624">
        <v>41446</v>
      </c>
      <c r="AY2277" s="355">
        <v>3.049E-2</v>
      </c>
      <c r="AZ2277" s="624">
        <v>41512</v>
      </c>
      <c r="BA2277" s="355">
        <v>1.17E-2</v>
      </c>
      <c r="BB2277" s="624">
        <v>41443</v>
      </c>
      <c r="BC2277" s="355">
        <v>0.31390000000000001</v>
      </c>
      <c r="BD2277" s="624">
        <v>41443</v>
      </c>
      <c r="BE2277" s="355">
        <v>8.8340000000000002E-2</v>
      </c>
      <c r="BF2277" s="624">
        <v>41572</v>
      </c>
      <c r="BG2277" s="355">
        <v>1.6272999999999999E-2</v>
      </c>
      <c r="BH2277" s="624">
        <v>41443</v>
      </c>
      <c r="BI2277" s="355">
        <v>0.10043299999999999</v>
      </c>
      <c r="BJ2277" s="624">
        <v>41442</v>
      </c>
      <c r="BK2277" s="355">
        <v>3.2605000000000002E-2</v>
      </c>
    </row>
    <row r="2278" spans="3:63" x14ac:dyDescent="0.15">
      <c r="C2278" s="624"/>
      <c r="D2278" s="355">
        <v>3.049E-2</v>
      </c>
      <c r="AV2278" s="624"/>
      <c r="AX2278" s="624">
        <v>41449</v>
      </c>
      <c r="AY2278" s="355">
        <v>3.049E-2</v>
      </c>
      <c r="AZ2278" s="624">
        <v>41513</v>
      </c>
      <c r="BA2278" s="355">
        <v>1.17E-2</v>
      </c>
      <c r="BB2278" s="624">
        <v>41444</v>
      </c>
      <c r="BC2278" s="355">
        <v>0.31</v>
      </c>
      <c r="BD2278" s="624">
        <v>41444</v>
      </c>
      <c r="BE2278" s="355">
        <v>8.7910000000000002E-2</v>
      </c>
      <c r="BF2278" s="624">
        <v>41575</v>
      </c>
      <c r="BG2278" s="355">
        <v>1.6251000000000002E-2</v>
      </c>
      <c r="BH2278" s="624">
        <v>41444</v>
      </c>
      <c r="BI2278" s="355">
        <v>9.8595000000000002E-2</v>
      </c>
      <c r="BJ2278" s="624">
        <v>41443</v>
      </c>
      <c r="BK2278" s="355">
        <v>3.2393999999999999E-2</v>
      </c>
    </row>
    <row r="2279" spans="3:63" x14ac:dyDescent="0.15">
      <c r="C2279" s="624"/>
      <c r="D2279" s="355">
        <v>3.049E-2</v>
      </c>
      <c r="AV2279" s="624"/>
      <c r="AX2279" s="624">
        <v>41450</v>
      </c>
      <c r="AY2279" s="355">
        <v>3.0519999999999999E-2</v>
      </c>
      <c r="AZ2279" s="624">
        <v>41514</v>
      </c>
      <c r="BA2279" s="355">
        <v>1.1599999999999999E-2</v>
      </c>
      <c r="BB2279" s="624">
        <v>41445</v>
      </c>
      <c r="BC2279" s="355">
        <v>0.30430000000000001</v>
      </c>
      <c r="BD2279" s="624">
        <v>41445</v>
      </c>
      <c r="BE2279" s="355">
        <v>8.6679999999999993E-2</v>
      </c>
      <c r="BF2279" s="624">
        <v>41576</v>
      </c>
      <c r="BG2279" s="355">
        <v>1.6281E-2</v>
      </c>
      <c r="BH2279" s="624">
        <v>41445</v>
      </c>
      <c r="BI2279" s="355">
        <v>0.100756</v>
      </c>
      <c r="BJ2279" s="624">
        <v>41444</v>
      </c>
      <c r="BK2279" s="355">
        <v>3.2250000000000001E-2</v>
      </c>
    </row>
    <row r="2280" spans="3:63" x14ac:dyDescent="0.15">
      <c r="C2280" s="624"/>
      <c r="D2280" s="355">
        <v>3.0519999999999999E-2</v>
      </c>
      <c r="AV2280" s="624"/>
      <c r="AX2280" s="624">
        <v>41451</v>
      </c>
      <c r="AY2280" s="355">
        <v>3.032E-2</v>
      </c>
      <c r="AZ2280" s="624">
        <v>41515</v>
      </c>
      <c r="BA2280" s="355">
        <v>1.1599999999999999E-2</v>
      </c>
      <c r="BB2280" s="624">
        <v>41446</v>
      </c>
      <c r="BC2280" s="355">
        <v>0.30170000000000002</v>
      </c>
      <c r="BD2280" s="624">
        <v>41446</v>
      </c>
      <c r="BE2280" s="355">
        <v>8.6489999999999997E-2</v>
      </c>
      <c r="BF2280" s="624">
        <v>41577</v>
      </c>
      <c r="BG2280" s="355">
        <v>1.6308E-2</v>
      </c>
      <c r="BH2280" s="624">
        <v>41446</v>
      </c>
      <c r="BI2280" s="355">
        <v>9.9305000000000004E-2</v>
      </c>
      <c r="BJ2280" s="624">
        <v>41445</v>
      </c>
      <c r="BK2280" s="355">
        <v>3.2070000000000001E-2</v>
      </c>
    </row>
    <row r="2281" spans="3:63" x14ac:dyDescent="0.15">
      <c r="C2281" s="624"/>
      <c r="D2281" s="355">
        <v>3.032E-2</v>
      </c>
      <c r="AV2281" s="624"/>
      <c r="AX2281" s="624">
        <v>41452</v>
      </c>
      <c r="AY2281" s="355">
        <v>3.0499999999999999E-2</v>
      </c>
      <c r="AZ2281" s="624">
        <v>41516</v>
      </c>
      <c r="BA2281" s="355">
        <v>1.1599999999999999E-2</v>
      </c>
      <c r="BB2281" s="624">
        <v>41449</v>
      </c>
      <c r="BC2281" s="355">
        <v>0.30280000000000001</v>
      </c>
      <c r="BD2281" s="624">
        <v>41449</v>
      </c>
      <c r="BE2281" s="355">
        <v>8.6169999999999997E-2</v>
      </c>
      <c r="BF2281" s="624">
        <v>41578</v>
      </c>
      <c r="BG2281" s="355">
        <v>1.6094000000000001E-2</v>
      </c>
      <c r="BH2281" s="624">
        <v>41449</v>
      </c>
      <c r="BI2281" s="355">
        <v>0.100452</v>
      </c>
      <c r="BJ2281" s="624">
        <v>41446</v>
      </c>
      <c r="BK2281" s="355">
        <v>3.2135999999999998E-2</v>
      </c>
    </row>
    <row r="2282" spans="3:63" x14ac:dyDescent="0.15">
      <c r="C2282" s="624"/>
      <c r="D2282" s="355">
        <v>3.0499999999999999E-2</v>
      </c>
      <c r="AV2282" s="624"/>
      <c r="AX2282" s="624">
        <v>41453</v>
      </c>
      <c r="AY2282" s="355">
        <v>3.0460000000000001E-2</v>
      </c>
      <c r="AZ2282" s="624">
        <v>41519</v>
      </c>
      <c r="BA2282" s="355">
        <v>1.15E-2</v>
      </c>
      <c r="BB2282" s="624">
        <v>41450</v>
      </c>
      <c r="BC2282" s="355">
        <v>0.30180000000000001</v>
      </c>
      <c r="BD2282" s="624">
        <v>41450</v>
      </c>
      <c r="BE2282" s="355">
        <v>8.6679999999999993E-2</v>
      </c>
      <c r="BF2282" s="624">
        <v>41579</v>
      </c>
      <c r="BG2282" s="355">
        <v>1.6070999999999998E-2</v>
      </c>
      <c r="BH2282" s="624">
        <v>41450</v>
      </c>
      <c r="BI2282" s="355">
        <v>9.9207000000000004E-2</v>
      </c>
      <c r="BJ2282" s="624">
        <v>41449</v>
      </c>
      <c r="BK2282" s="355">
        <v>3.2177999999999998E-2</v>
      </c>
    </row>
    <row r="2283" spans="3:63" x14ac:dyDescent="0.15">
      <c r="C2283" s="624"/>
      <c r="D2283" s="355">
        <v>3.0460000000000001E-2</v>
      </c>
      <c r="AV2283" s="624"/>
      <c r="AX2283" s="624">
        <v>41456</v>
      </c>
      <c r="AY2283" s="355">
        <v>3.0329999999999999E-2</v>
      </c>
      <c r="AZ2283" s="624">
        <v>41520</v>
      </c>
      <c r="BA2283" s="355">
        <v>1.15E-2</v>
      </c>
      <c r="BB2283" s="624">
        <v>41451</v>
      </c>
      <c r="BC2283" s="355">
        <v>0.29949999999999999</v>
      </c>
      <c r="BD2283" s="624">
        <v>41451</v>
      </c>
      <c r="BE2283" s="355">
        <v>8.6550000000000002E-2</v>
      </c>
      <c r="BF2283" s="624">
        <v>41582</v>
      </c>
      <c r="BG2283" s="355">
        <v>1.6131E-2</v>
      </c>
      <c r="BH2283" s="624">
        <v>41451</v>
      </c>
      <c r="BI2283" s="355">
        <v>0.100756</v>
      </c>
      <c r="BJ2283" s="624">
        <v>41450</v>
      </c>
      <c r="BK2283" s="355">
        <v>3.2303999999999999E-2</v>
      </c>
    </row>
    <row r="2284" spans="3:63" x14ac:dyDescent="0.15">
      <c r="C2284" s="624"/>
      <c r="D2284" s="355">
        <v>3.0329999999999999E-2</v>
      </c>
      <c r="AV2284" s="624"/>
      <c r="AX2284" s="624">
        <v>41457</v>
      </c>
      <c r="AY2284" s="355">
        <v>3.0120000000000001E-2</v>
      </c>
      <c r="AZ2284" s="624">
        <v>41521</v>
      </c>
      <c r="BA2284" s="355">
        <v>1.15E-2</v>
      </c>
      <c r="BB2284" s="624">
        <v>41452</v>
      </c>
      <c r="BC2284" s="355">
        <v>0.3019</v>
      </c>
      <c r="BD2284" s="624">
        <v>41452</v>
      </c>
      <c r="BE2284" s="355">
        <v>8.7239999999999998E-2</v>
      </c>
      <c r="BF2284" s="624">
        <v>41583</v>
      </c>
      <c r="BG2284" s="355">
        <v>1.6077000000000001E-2</v>
      </c>
      <c r="BH2284" s="624">
        <v>41452</v>
      </c>
      <c r="BI2284" s="355">
        <v>0.100756</v>
      </c>
      <c r="BJ2284" s="624">
        <v>41451</v>
      </c>
      <c r="BK2284" s="355">
        <v>3.2143999999999999E-2</v>
      </c>
    </row>
    <row r="2285" spans="3:63" x14ac:dyDescent="0.15">
      <c r="C2285" s="624"/>
      <c r="D2285" s="355">
        <v>3.0120000000000001E-2</v>
      </c>
      <c r="AV2285" s="624"/>
      <c r="AX2285" s="624">
        <v>41458</v>
      </c>
      <c r="AY2285" s="355">
        <v>3.0159999999999999E-2</v>
      </c>
      <c r="AZ2285" s="624">
        <v>41522</v>
      </c>
      <c r="BA2285" s="355">
        <v>1.15E-2</v>
      </c>
      <c r="BB2285" s="624">
        <v>41453</v>
      </c>
      <c r="BC2285" s="355">
        <v>0.30070000000000002</v>
      </c>
      <c r="BD2285" s="624">
        <v>41453</v>
      </c>
      <c r="BE2285" s="355">
        <v>8.7540000000000007E-2</v>
      </c>
      <c r="BF2285" s="624">
        <v>41584</v>
      </c>
      <c r="BG2285" s="355">
        <v>1.6025999999999999E-2</v>
      </c>
      <c r="BH2285" s="624">
        <v>41453</v>
      </c>
      <c r="BI2285" s="355">
        <v>0.100756</v>
      </c>
      <c r="BJ2285" s="624">
        <v>41452</v>
      </c>
      <c r="BK2285" s="355">
        <v>3.2100999999999998E-2</v>
      </c>
    </row>
    <row r="2286" spans="3:63" x14ac:dyDescent="0.15">
      <c r="C2286" s="624"/>
      <c r="D2286" s="355">
        <v>3.0159999999999999E-2</v>
      </c>
      <c r="AV2286" s="624"/>
      <c r="AX2286" s="624">
        <v>41459</v>
      </c>
      <c r="AY2286" s="355">
        <v>3.0110000000000001E-2</v>
      </c>
      <c r="AZ2286" s="624">
        <v>41523</v>
      </c>
      <c r="BA2286" s="355">
        <v>1.15E-2</v>
      </c>
      <c r="BB2286" s="624">
        <v>41456</v>
      </c>
      <c r="BC2286" s="355">
        <v>0.30159999999999998</v>
      </c>
      <c r="BD2286" s="624">
        <v>41456</v>
      </c>
      <c r="BE2286" s="355">
        <v>8.8050000000000003E-2</v>
      </c>
      <c r="BF2286" s="624">
        <v>41585</v>
      </c>
      <c r="BG2286" s="355">
        <v>1.5916E-2</v>
      </c>
      <c r="BH2286" s="624">
        <v>41456</v>
      </c>
      <c r="BI2286" s="355">
        <v>0.100553</v>
      </c>
      <c r="BJ2286" s="624">
        <v>41453</v>
      </c>
      <c r="BK2286" s="355">
        <v>3.2254999999999999E-2</v>
      </c>
    </row>
    <row r="2287" spans="3:63" x14ac:dyDescent="0.15">
      <c r="C2287" s="624"/>
      <c r="D2287" s="355">
        <v>3.0110000000000001E-2</v>
      </c>
      <c r="AV2287" s="624"/>
      <c r="AX2287" s="624">
        <v>41460</v>
      </c>
      <c r="AY2287" s="355">
        <v>2.9989999999999999E-2</v>
      </c>
      <c r="AZ2287" s="624">
        <v>41526</v>
      </c>
      <c r="BA2287" s="355">
        <v>1.15E-2</v>
      </c>
      <c r="BB2287" s="624">
        <v>41457</v>
      </c>
      <c r="BC2287" s="355">
        <v>0.29909999999999998</v>
      </c>
      <c r="BD2287" s="624">
        <v>41457</v>
      </c>
      <c r="BE2287" s="355">
        <v>8.8109999999999994E-2</v>
      </c>
      <c r="BF2287" s="624">
        <v>41586</v>
      </c>
      <c r="BG2287" s="355">
        <v>1.5782000000000001E-2</v>
      </c>
      <c r="BH2287" s="624">
        <v>41457</v>
      </c>
      <c r="BI2287" s="355">
        <v>0.10015</v>
      </c>
      <c r="BJ2287" s="624">
        <v>41456</v>
      </c>
      <c r="BK2287" s="355">
        <v>3.2320000000000002E-2</v>
      </c>
    </row>
    <row r="2288" spans="3:63" x14ac:dyDescent="0.15">
      <c r="C2288" s="624"/>
      <c r="D2288" s="355">
        <v>2.9989999999999999E-2</v>
      </c>
      <c r="AV2288" s="624"/>
      <c r="AX2288" s="624">
        <v>41463</v>
      </c>
      <c r="AY2288" s="355">
        <v>3.014E-2</v>
      </c>
      <c r="AZ2288" s="624">
        <v>41527</v>
      </c>
      <c r="BA2288" s="355">
        <v>1.15E-2</v>
      </c>
      <c r="BB2288" s="624">
        <v>41458</v>
      </c>
      <c r="BC2288" s="355">
        <v>0.30230000000000001</v>
      </c>
      <c r="BD2288" s="624">
        <v>41458</v>
      </c>
      <c r="BE2288" s="355">
        <v>8.7620000000000003E-2</v>
      </c>
      <c r="BF2288" s="624">
        <v>41589</v>
      </c>
      <c r="BG2288" s="355">
        <v>1.5743E-2</v>
      </c>
      <c r="BH2288" s="624">
        <v>41458</v>
      </c>
      <c r="BI2288" s="355">
        <v>0.100429</v>
      </c>
      <c r="BJ2288" s="624">
        <v>41457</v>
      </c>
      <c r="BK2288" s="355">
        <v>3.2288999999999998E-2</v>
      </c>
    </row>
    <row r="2289" spans="3:63" x14ac:dyDescent="0.15">
      <c r="C2289" s="624"/>
      <c r="D2289" s="355">
        <v>3.014E-2</v>
      </c>
      <c r="AV2289" s="624"/>
      <c r="AX2289" s="624">
        <v>41464</v>
      </c>
      <c r="AY2289" s="355">
        <v>3.031E-2</v>
      </c>
      <c r="AZ2289" s="624">
        <v>41528</v>
      </c>
      <c r="BA2289" s="355">
        <v>1.1599999999999999E-2</v>
      </c>
      <c r="BB2289" s="624">
        <v>41459</v>
      </c>
      <c r="BC2289" s="355">
        <v>0.30209999999999998</v>
      </c>
      <c r="BD2289" s="624">
        <v>41459</v>
      </c>
      <c r="BE2289" s="355">
        <v>8.7730000000000002E-2</v>
      </c>
      <c r="BF2289" s="624">
        <v>41590</v>
      </c>
      <c r="BG2289" s="355">
        <v>1.5633000000000001E-2</v>
      </c>
      <c r="BH2289" s="624">
        <v>41459</v>
      </c>
      <c r="BI2289" s="355">
        <v>0.1002</v>
      </c>
      <c r="BJ2289" s="624">
        <v>41458</v>
      </c>
      <c r="BK2289" s="355">
        <v>3.2185999999999999E-2</v>
      </c>
    </row>
    <row r="2290" spans="3:63" x14ac:dyDescent="0.15">
      <c r="C2290" s="624"/>
      <c r="D2290" s="355">
        <v>3.031E-2</v>
      </c>
      <c r="AV2290" s="624"/>
      <c r="AX2290" s="624">
        <v>41465</v>
      </c>
      <c r="AY2290" s="355">
        <v>3.0349999999999999E-2</v>
      </c>
      <c r="AZ2290" s="624">
        <v>41529</v>
      </c>
      <c r="BA2290" s="355">
        <v>1.1599999999999999E-2</v>
      </c>
      <c r="BB2290" s="624">
        <v>41460</v>
      </c>
      <c r="BC2290" s="355">
        <v>0.29820000000000002</v>
      </c>
      <c r="BD2290" s="624">
        <v>41460</v>
      </c>
      <c r="BE2290" s="355">
        <v>8.7540000000000007E-2</v>
      </c>
      <c r="BF2290" s="624">
        <v>41591</v>
      </c>
      <c r="BG2290" s="355">
        <v>1.5809E-2</v>
      </c>
      <c r="BH2290" s="624">
        <v>41460</v>
      </c>
      <c r="BI2290" s="355">
        <v>0.100574</v>
      </c>
      <c r="BJ2290" s="624">
        <v>41459</v>
      </c>
      <c r="BK2290" s="355">
        <v>3.2169999999999997E-2</v>
      </c>
    </row>
    <row r="2291" spans="3:63" x14ac:dyDescent="0.15">
      <c r="C2291" s="624"/>
      <c r="D2291" s="355">
        <v>3.0349999999999999E-2</v>
      </c>
      <c r="AV2291" s="624"/>
      <c r="AX2291" s="624">
        <v>41466</v>
      </c>
      <c r="AY2291" s="355">
        <v>3.0779999999999998E-2</v>
      </c>
      <c r="AZ2291" s="624">
        <v>41530</v>
      </c>
      <c r="BA2291" s="355">
        <v>1.1599999999999999E-2</v>
      </c>
      <c r="BB2291" s="624">
        <v>41463</v>
      </c>
      <c r="BC2291" s="355">
        <v>0.29820000000000002</v>
      </c>
      <c r="BD2291" s="624">
        <v>41463</v>
      </c>
      <c r="BE2291" s="355">
        <v>8.7340000000000001E-2</v>
      </c>
      <c r="BF2291" s="624">
        <v>41592</v>
      </c>
      <c r="BG2291" s="355">
        <v>1.5855000000000001E-2</v>
      </c>
      <c r="BH2291" s="624">
        <v>41463</v>
      </c>
      <c r="BI2291" s="355">
        <v>0.100352</v>
      </c>
      <c r="BJ2291" s="624">
        <v>41460</v>
      </c>
      <c r="BK2291" s="355">
        <v>3.1959000000000001E-2</v>
      </c>
    </row>
    <row r="2292" spans="3:63" x14ac:dyDescent="0.15">
      <c r="C2292" s="624"/>
      <c r="D2292" s="355">
        <v>3.0779999999999998E-2</v>
      </c>
      <c r="AV2292" s="624"/>
      <c r="AX2292" s="624">
        <v>41467</v>
      </c>
      <c r="AY2292" s="355">
        <v>3.0669999999999999E-2</v>
      </c>
      <c r="AZ2292" s="624">
        <v>41533</v>
      </c>
      <c r="BA2292" s="355">
        <v>1.1599999999999999E-2</v>
      </c>
      <c r="BB2292" s="624">
        <v>41464</v>
      </c>
      <c r="BC2292" s="355">
        <v>0.29559999999999997</v>
      </c>
      <c r="BD2292" s="624">
        <v>41464</v>
      </c>
      <c r="BE2292" s="355">
        <v>8.7599999999999997E-2</v>
      </c>
      <c r="BF2292" s="624">
        <v>41593</v>
      </c>
      <c r="BG2292" s="355">
        <v>1.593E-2</v>
      </c>
      <c r="BH2292" s="624">
        <v>41464</v>
      </c>
      <c r="BI2292" s="355">
        <v>0.100422</v>
      </c>
      <c r="BJ2292" s="624">
        <v>41463</v>
      </c>
      <c r="BK2292" s="355">
        <v>3.1836999999999997E-2</v>
      </c>
    </row>
    <row r="2293" spans="3:63" x14ac:dyDescent="0.15">
      <c r="C2293" s="624"/>
      <c r="D2293" s="355">
        <v>3.0669999999999999E-2</v>
      </c>
      <c r="AV2293" s="624"/>
      <c r="AX2293" s="624">
        <v>41470</v>
      </c>
      <c r="AY2293" s="355">
        <v>3.0689999999999999E-2</v>
      </c>
      <c r="AZ2293" s="624">
        <v>41534</v>
      </c>
      <c r="BA2293" s="355">
        <v>1.1599999999999999E-2</v>
      </c>
      <c r="BB2293" s="624">
        <v>41465</v>
      </c>
      <c r="BC2293" s="355">
        <v>0.29899999999999999</v>
      </c>
      <c r="BD2293" s="624">
        <v>41465</v>
      </c>
      <c r="BE2293" s="355">
        <v>8.8190000000000004E-2</v>
      </c>
      <c r="BF2293" s="624">
        <v>41596</v>
      </c>
      <c r="BG2293" s="355">
        <v>1.6081999999999999E-2</v>
      </c>
      <c r="BH2293" s="624">
        <v>41465</v>
      </c>
      <c r="BI2293" s="355">
        <v>0.100151</v>
      </c>
      <c r="BJ2293" s="624">
        <v>41464</v>
      </c>
      <c r="BK2293" s="355">
        <v>3.2015000000000002E-2</v>
      </c>
    </row>
    <row r="2294" spans="3:63" x14ac:dyDescent="0.15">
      <c r="C2294" s="624"/>
      <c r="D2294" s="355">
        <v>3.0689999999999999E-2</v>
      </c>
      <c r="AV2294" s="624"/>
      <c r="AX2294" s="624">
        <v>41471</v>
      </c>
      <c r="AY2294" s="355">
        <v>3.0839999999999999E-2</v>
      </c>
      <c r="AZ2294" s="624">
        <v>41535</v>
      </c>
      <c r="BA2294" s="355">
        <v>1.18E-2</v>
      </c>
      <c r="BB2294" s="624">
        <v>41466</v>
      </c>
      <c r="BC2294" s="355">
        <v>0.3034</v>
      </c>
      <c r="BD2294" s="624">
        <v>41466</v>
      </c>
      <c r="BE2294" s="355">
        <v>8.8849999999999998E-2</v>
      </c>
      <c r="BF2294" s="624">
        <v>41597</v>
      </c>
      <c r="BG2294" s="355">
        <v>1.6055E-2</v>
      </c>
      <c r="BH2294" s="624">
        <v>41466</v>
      </c>
      <c r="BI2294" s="355">
        <v>0.100151</v>
      </c>
      <c r="BJ2294" s="624">
        <v>41465</v>
      </c>
      <c r="BK2294" s="355">
        <v>3.2000000000000001E-2</v>
      </c>
    </row>
    <row r="2295" spans="3:63" x14ac:dyDescent="0.15">
      <c r="C2295" s="624"/>
      <c r="D2295" s="355">
        <v>3.0839999999999999E-2</v>
      </c>
      <c r="AV2295" s="624"/>
      <c r="AX2295" s="624">
        <v>41472</v>
      </c>
      <c r="AY2295" s="355">
        <v>3.0939999999999999E-2</v>
      </c>
      <c r="AZ2295" s="624">
        <v>41536</v>
      </c>
      <c r="BA2295" s="355">
        <v>1.18E-2</v>
      </c>
      <c r="BB2295" s="624">
        <v>41467</v>
      </c>
      <c r="BC2295" s="355">
        <v>0.30399999999999999</v>
      </c>
      <c r="BD2295" s="624">
        <v>41467</v>
      </c>
      <c r="BE2295" s="355">
        <v>8.8940000000000005E-2</v>
      </c>
      <c r="BF2295" s="624">
        <v>41598</v>
      </c>
      <c r="BG2295" s="355">
        <v>1.5980000000000001E-2</v>
      </c>
      <c r="BH2295" s="624">
        <v>41467</v>
      </c>
      <c r="BI2295" s="355">
        <v>0.10021099999999999</v>
      </c>
      <c r="BJ2295" s="624">
        <v>41466</v>
      </c>
      <c r="BK2295" s="355">
        <v>3.2149999999999998E-2</v>
      </c>
    </row>
    <row r="2296" spans="3:63" x14ac:dyDescent="0.15">
      <c r="C2296" s="624"/>
      <c r="D2296" s="355">
        <v>3.0939999999999999E-2</v>
      </c>
      <c r="AV2296" s="624"/>
      <c r="AX2296" s="624">
        <v>41473</v>
      </c>
      <c r="AY2296" s="355">
        <v>3.0779999999999998E-2</v>
      </c>
      <c r="AZ2296" s="624">
        <v>41537</v>
      </c>
      <c r="BA2296" s="355">
        <v>1.18E-2</v>
      </c>
      <c r="BB2296" s="624">
        <v>41470</v>
      </c>
      <c r="BC2296" s="355">
        <v>0.30480000000000002</v>
      </c>
      <c r="BD2296" s="624">
        <v>41470</v>
      </c>
      <c r="BE2296" s="355">
        <v>8.9160000000000003E-2</v>
      </c>
      <c r="BF2296" s="624">
        <v>41599</v>
      </c>
      <c r="BG2296" s="355">
        <v>1.5876999999999999E-2</v>
      </c>
      <c r="BH2296" s="624">
        <v>41470</v>
      </c>
      <c r="BI2296" s="355">
        <v>9.9676000000000001E-2</v>
      </c>
      <c r="BJ2296" s="624">
        <v>41467</v>
      </c>
      <c r="BK2296" s="355">
        <v>3.211E-2</v>
      </c>
    </row>
    <row r="2297" spans="3:63" x14ac:dyDescent="0.15">
      <c r="C2297" s="624"/>
      <c r="D2297" s="355">
        <v>3.0779999999999998E-2</v>
      </c>
      <c r="AV2297" s="624"/>
      <c r="AX2297" s="624">
        <v>41474</v>
      </c>
      <c r="AY2297" s="355">
        <v>3.0890000000000001E-2</v>
      </c>
      <c r="AZ2297" s="624">
        <v>41540</v>
      </c>
      <c r="BA2297" s="355">
        <v>1.18E-2</v>
      </c>
      <c r="BB2297" s="624">
        <v>41471</v>
      </c>
      <c r="BC2297" s="355">
        <v>0.30940000000000001</v>
      </c>
      <c r="BD2297" s="624">
        <v>41471</v>
      </c>
      <c r="BE2297" s="355">
        <v>8.9690000000000006E-2</v>
      </c>
      <c r="BF2297" s="624">
        <v>41600</v>
      </c>
      <c r="BG2297" s="355">
        <v>1.6001000000000001E-2</v>
      </c>
      <c r="BH2297" s="624">
        <v>41471</v>
      </c>
      <c r="BI2297" s="355">
        <v>9.9405999999999994E-2</v>
      </c>
      <c r="BJ2297" s="624">
        <v>41470</v>
      </c>
      <c r="BK2297" s="355">
        <v>3.2134999999999997E-2</v>
      </c>
    </row>
    <row r="2298" spans="3:63" x14ac:dyDescent="0.15">
      <c r="C2298" s="624"/>
      <c r="D2298" s="355">
        <v>3.0890000000000001E-2</v>
      </c>
      <c r="AV2298" s="624"/>
      <c r="AX2298" s="624">
        <v>41477</v>
      </c>
      <c r="AY2298" s="355">
        <v>3.0939999999999999E-2</v>
      </c>
      <c r="AZ2298" s="624">
        <v>41541</v>
      </c>
      <c r="BA2298" s="355">
        <v>1.18E-2</v>
      </c>
      <c r="BB2298" s="624">
        <v>41472</v>
      </c>
      <c r="BC2298" s="355">
        <v>0.30909999999999999</v>
      </c>
      <c r="BD2298" s="624">
        <v>41472</v>
      </c>
      <c r="BE2298" s="355">
        <v>8.9499999999999996E-2</v>
      </c>
      <c r="BF2298" s="624">
        <v>41603</v>
      </c>
      <c r="BG2298" s="355">
        <v>1.5998999999999999E-2</v>
      </c>
      <c r="BH2298" s="624">
        <v>41472</v>
      </c>
      <c r="BI2298" s="355">
        <v>9.9553000000000003E-2</v>
      </c>
      <c r="BJ2298" s="624">
        <v>41471</v>
      </c>
      <c r="BK2298" s="355">
        <v>3.2184999999999998E-2</v>
      </c>
    </row>
    <row r="2299" spans="3:63" x14ac:dyDescent="0.15">
      <c r="C2299" s="624"/>
      <c r="D2299" s="355">
        <v>3.0939999999999999E-2</v>
      </c>
      <c r="AV2299" s="624"/>
      <c r="AX2299" s="624">
        <v>41478</v>
      </c>
      <c r="AY2299" s="355">
        <v>3.0980000000000001E-2</v>
      </c>
      <c r="AZ2299" s="624">
        <v>41542</v>
      </c>
      <c r="BA2299" s="355">
        <v>1.18E-2</v>
      </c>
      <c r="BB2299" s="624">
        <v>41473</v>
      </c>
      <c r="BC2299" s="355">
        <v>0.309</v>
      </c>
      <c r="BD2299" s="624">
        <v>41473</v>
      </c>
      <c r="BE2299" s="355">
        <v>8.8870000000000005E-2</v>
      </c>
      <c r="BF2299" s="624">
        <v>41604</v>
      </c>
      <c r="BG2299" s="355">
        <v>1.5998999999999999E-2</v>
      </c>
      <c r="BH2299" s="624">
        <v>41473</v>
      </c>
      <c r="BI2299" s="355">
        <v>9.9404000000000006E-2</v>
      </c>
      <c r="BJ2299" s="624">
        <v>41472</v>
      </c>
      <c r="BK2299" s="355">
        <v>3.2277E-2</v>
      </c>
    </row>
    <row r="2300" spans="3:63" x14ac:dyDescent="0.15">
      <c r="C2300" s="624"/>
      <c r="D2300" s="355">
        <v>3.0980000000000001E-2</v>
      </c>
      <c r="AV2300" s="624"/>
      <c r="AX2300" s="624">
        <v>41479</v>
      </c>
      <c r="AY2300" s="355">
        <v>3.0800000000000001E-2</v>
      </c>
      <c r="AZ2300" s="624">
        <v>41543</v>
      </c>
      <c r="BA2300" s="355">
        <v>1.18E-2</v>
      </c>
      <c r="BB2300" s="624">
        <v>41474</v>
      </c>
      <c r="BC2300" s="355">
        <v>0.31040000000000001</v>
      </c>
      <c r="BD2300" s="624">
        <v>41474</v>
      </c>
      <c r="BE2300" s="355">
        <v>8.9209999999999998E-2</v>
      </c>
      <c r="BF2300" s="624">
        <v>41605</v>
      </c>
      <c r="BG2300" s="355">
        <v>1.6001999999999999E-2</v>
      </c>
      <c r="BH2300" s="624">
        <v>41474</v>
      </c>
      <c r="BI2300" s="355">
        <v>9.8716999999999999E-2</v>
      </c>
      <c r="BJ2300" s="624">
        <v>41473</v>
      </c>
      <c r="BK2300" s="355">
        <v>3.2229000000000001E-2</v>
      </c>
    </row>
    <row r="2301" spans="3:63" x14ac:dyDescent="0.15">
      <c r="C2301" s="624"/>
      <c r="D2301" s="355">
        <v>3.0800000000000001E-2</v>
      </c>
      <c r="AV2301" s="624"/>
      <c r="AX2301" s="624">
        <v>41480</v>
      </c>
      <c r="AY2301" s="355">
        <v>3.065E-2</v>
      </c>
      <c r="AZ2301" s="624">
        <v>41544</v>
      </c>
      <c r="BA2301" s="355">
        <v>1.18E-2</v>
      </c>
      <c r="BB2301" s="624">
        <v>41477</v>
      </c>
      <c r="BC2301" s="355">
        <v>0.31290000000000001</v>
      </c>
      <c r="BD2301" s="624">
        <v>41477</v>
      </c>
      <c r="BE2301" s="355">
        <v>8.9370000000000005E-2</v>
      </c>
      <c r="BF2301" s="624">
        <v>41606</v>
      </c>
      <c r="BG2301" s="355">
        <v>1.6066E-2</v>
      </c>
      <c r="BH2301" s="624">
        <v>41477</v>
      </c>
      <c r="BI2301" s="355">
        <v>9.9354999999999999E-2</v>
      </c>
      <c r="BJ2301" s="624">
        <v>41474</v>
      </c>
      <c r="BK2301" s="355">
        <v>3.2226999999999999E-2</v>
      </c>
    </row>
    <row r="2302" spans="3:63" x14ac:dyDescent="0.15">
      <c r="C2302" s="624"/>
      <c r="D2302" s="355">
        <v>3.065E-2</v>
      </c>
      <c r="AV2302" s="624"/>
      <c r="AX2302" s="624">
        <v>41481</v>
      </c>
      <c r="AY2302" s="355">
        <v>3.0470000000000001E-2</v>
      </c>
      <c r="AZ2302" s="624">
        <v>41547</v>
      </c>
      <c r="BA2302" s="355">
        <v>1.18E-2</v>
      </c>
      <c r="BB2302" s="624">
        <v>41478</v>
      </c>
      <c r="BC2302" s="355">
        <v>0.31459999999999999</v>
      </c>
      <c r="BD2302" s="624">
        <v>41478</v>
      </c>
      <c r="BE2302" s="355">
        <v>8.9499999999999996E-2</v>
      </c>
      <c r="BF2302" s="624">
        <v>41607</v>
      </c>
      <c r="BG2302" s="355">
        <v>1.6007E-2</v>
      </c>
      <c r="BH2302" s="624">
        <v>41478</v>
      </c>
      <c r="BI2302" s="355">
        <v>9.8091999999999999E-2</v>
      </c>
      <c r="BJ2302" s="624">
        <v>41477</v>
      </c>
      <c r="BK2302" s="355">
        <v>3.2328000000000003E-2</v>
      </c>
    </row>
    <row r="2303" spans="3:63" x14ac:dyDescent="0.15">
      <c r="C2303" s="624"/>
      <c r="D2303" s="355">
        <v>3.0470000000000001E-2</v>
      </c>
      <c r="AV2303" s="624"/>
      <c r="AX2303" s="624">
        <v>41484</v>
      </c>
      <c r="AY2303" s="355">
        <v>3.041E-2</v>
      </c>
      <c r="AZ2303" s="624">
        <v>41548</v>
      </c>
      <c r="BA2303" s="355">
        <v>1.18E-2</v>
      </c>
      <c r="BB2303" s="624">
        <v>41479</v>
      </c>
      <c r="BC2303" s="355">
        <v>0.31209999999999999</v>
      </c>
      <c r="BD2303" s="624">
        <v>41479</v>
      </c>
      <c r="BE2303" s="355">
        <v>8.9599999999999999E-2</v>
      </c>
      <c r="BF2303" s="624">
        <v>41610</v>
      </c>
      <c r="BG2303" s="355">
        <v>1.6048E-2</v>
      </c>
      <c r="BH2303" s="624">
        <v>41479</v>
      </c>
      <c r="BI2303" s="355">
        <v>9.7465999999999997E-2</v>
      </c>
      <c r="BJ2303" s="624">
        <v>41478</v>
      </c>
      <c r="BK2303" s="355">
        <v>3.2332E-2</v>
      </c>
    </row>
    <row r="2304" spans="3:63" x14ac:dyDescent="0.15">
      <c r="C2304" s="624"/>
      <c r="D2304" s="355">
        <v>3.041E-2</v>
      </c>
      <c r="AV2304" s="624"/>
      <c r="AX2304" s="624">
        <v>41485</v>
      </c>
      <c r="AY2304" s="355">
        <v>3.0339999999999999E-2</v>
      </c>
      <c r="AZ2304" s="624">
        <v>41549</v>
      </c>
      <c r="BA2304" s="355">
        <v>1.1900000000000001E-2</v>
      </c>
      <c r="BB2304" s="624">
        <v>41480</v>
      </c>
      <c r="BC2304" s="355">
        <v>0.31380000000000002</v>
      </c>
      <c r="BD2304" s="624">
        <v>41480</v>
      </c>
      <c r="BE2304" s="355">
        <v>8.9580000000000007E-2</v>
      </c>
      <c r="BF2304" s="624">
        <v>41611</v>
      </c>
      <c r="BG2304" s="355">
        <v>1.6025000000000001E-2</v>
      </c>
      <c r="BH2304" s="624">
        <v>41480</v>
      </c>
      <c r="BI2304" s="355">
        <v>9.7391000000000005E-2</v>
      </c>
      <c r="BJ2304" s="624">
        <v>41479</v>
      </c>
      <c r="BK2304" s="355">
        <v>3.2247999999999999E-2</v>
      </c>
    </row>
    <row r="2305" spans="3:63" x14ac:dyDescent="0.15">
      <c r="C2305" s="624"/>
      <c r="D2305" s="355">
        <v>3.0339999999999999E-2</v>
      </c>
      <c r="AV2305" s="624"/>
      <c r="AX2305" s="624">
        <v>41486</v>
      </c>
      <c r="AY2305" s="355">
        <v>3.0339999999999999E-2</v>
      </c>
      <c r="AZ2305" s="624">
        <v>41550</v>
      </c>
      <c r="BA2305" s="355">
        <v>1.1900000000000001E-2</v>
      </c>
      <c r="BB2305" s="624">
        <v>41481</v>
      </c>
      <c r="BC2305" s="355">
        <v>0.31369999999999998</v>
      </c>
      <c r="BD2305" s="624">
        <v>41481</v>
      </c>
      <c r="BE2305" s="355">
        <v>8.9959999999999998E-2</v>
      </c>
      <c r="BF2305" s="624">
        <v>41612</v>
      </c>
      <c r="BG2305" s="355">
        <v>1.6209999999999999E-2</v>
      </c>
      <c r="BH2305" s="624">
        <v>41481</v>
      </c>
      <c r="BI2305" s="355">
        <v>9.7514000000000003E-2</v>
      </c>
      <c r="BJ2305" s="624">
        <v>41480</v>
      </c>
      <c r="BK2305" s="355">
        <v>3.2226999999999999E-2</v>
      </c>
    </row>
    <row r="2306" spans="3:63" x14ac:dyDescent="0.15">
      <c r="C2306" s="624"/>
      <c r="D2306" s="355">
        <v>3.0339999999999999E-2</v>
      </c>
      <c r="AV2306" s="624"/>
      <c r="AX2306" s="624">
        <v>41487</v>
      </c>
      <c r="AY2306" s="355">
        <v>3.0200000000000001E-2</v>
      </c>
      <c r="AZ2306" s="624">
        <v>41551</v>
      </c>
      <c r="BA2306" s="355">
        <v>1.18E-2</v>
      </c>
      <c r="BB2306" s="624">
        <v>41484</v>
      </c>
      <c r="BC2306" s="355">
        <v>0.31559999999999999</v>
      </c>
      <c r="BD2306" s="624">
        <v>41484</v>
      </c>
      <c r="BE2306" s="355">
        <v>8.9889999999999998E-2</v>
      </c>
      <c r="BF2306" s="624">
        <v>41613</v>
      </c>
      <c r="BG2306" s="355">
        <v>1.6230000000000001E-2</v>
      </c>
      <c r="BH2306" s="624">
        <v>41484</v>
      </c>
      <c r="BI2306" s="355">
        <v>9.7134999999999999E-2</v>
      </c>
      <c r="BJ2306" s="624">
        <v>41481</v>
      </c>
      <c r="BK2306" s="355">
        <v>3.2113000000000003E-2</v>
      </c>
    </row>
    <row r="2307" spans="3:63" x14ac:dyDescent="0.15">
      <c r="C2307" s="624"/>
      <c r="D2307" s="355">
        <v>3.0200000000000001E-2</v>
      </c>
      <c r="AV2307" s="624"/>
      <c r="AX2307" s="624">
        <v>41488</v>
      </c>
      <c r="AY2307" s="355">
        <v>3.0450000000000001E-2</v>
      </c>
      <c r="AZ2307" s="624">
        <v>41554</v>
      </c>
      <c r="BA2307" s="355">
        <v>1.1900000000000001E-2</v>
      </c>
      <c r="BB2307" s="624">
        <v>41485</v>
      </c>
      <c r="BC2307" s="355">
        <v>0.3135</v>
      </c>
      <c r="BD2307" s="624">
        <v>41485</v>
      </c>
      <c r="BE2307" s="355">
        <v>8.9569999999999997E-2</v>
      </c>
      <c r="BF2307" s="624">
        <v>41614</v>
      </c>
      <c r="BG2307" s="355">
        <v>1.6351999999999998E-2</v>
      </c>
      <c r="BH2307" s="624">
        <v>41485</v>
      </c>
      <c r="BI2307" s="355">
        <v>9.6922999999999995E-2</v>
      </c>
      <c r="BJ2307" s="624">
        <v>41484</v>
      </c>
      <c r="BK2307" s="355">
        <v>3.2084000000000001E-2</v>
      </c>
    </row>
    <row r="2308" spans="3:63" x14ac:dyDescent="0.15">
      <c r="C2308" s="624"/>
      <c r="D2308" s="355">
        <v>3.0450000000000001E-2</v>
      </c>
      <c r="AV2308" s="624"/>
      <c r="AX2308" s="624">
        <v>41491</v>
      </c>
      <c r="AY2308" s="355">
        <v>3.0380000000000001E-2</v>
      </c>
      <c r="AZ2308" s="624">
        <v>41555</v>
      </c>
      <c r="BA2308" s="355">
        <v>1.1900000000000001E-2</v>
      </c>
      <c r="BB2308" s="624">
        <v>41486</v>
      </c>
      <c r="BC2308" s="355">
        <v>0.31290000000000001</v>
      </c>
      <c r="BD2308" s="624">
        <v>41486</v>
      </c>
      <c r="BE2308" s="355">
        <v>8.9080000000000006E-2</v>
      </c>
      <c r="BF2308" s="624">
        <v>41617</v>
      </c>
      <c r="BG2308" s="355">
        <v>1.6433E-2</v>
      </c>
      <c r="BH2308" s="624">
        <v>41486</v>
      </c>
      <c r="BI2308" s="355">
        <v>9.7295999999999994E-2</v>
      </c>
      <c r="BJ2308" s="624">
        <v>41485</v>
      </c>
      <c r="BK2308" s="355">
        <v>3.1988999999999997E-2</v>
      </c>
    </row>
    <row r="2309" spans="3:63" x14ac:dyDescent="0.15">
      <c r="C2309" s="624"/>
      <c r="D2309" s="355">
        <v>3.0380000000000001E-2</v>
      </c>
      <c r="AV2309" s="624"/>
      <c r="AX2309" s="624">
        <v>41492</v>
      </c>
      <c r="AY2309" s="355">
        <v>3.032E-2</v>
      </c>
      <c r="AZ2309" s="624">
        <v>41556</v>
      </c>
      <c r="BA2309" s="355">
        <v>1.1900000000000001E-2</v>
      </c>
      <c r="BB2309" s="624">
        <v>41487</v>
      </c>
      <c r="BC2309" s="355">
        <v>0.30980000000000002</v>
      </c>
      <c r="BD2309" s="624">
        <v>41487</v>
      </c>
      <c r="BE2309" s="355">
        <v>8.9010000000000006E-2</v>
      </c>
      <c r="BF2309" s="624">
        <v>41618</v>
      </c>
      <c r="BG2309" s="355">
        <v>1.6367E-2</v>
      </c>
      <c r="BH2309" s="624">
        <v>41487</v>
      </c>
      <c r="BI2309" s="355">
        <v>9.7382999999999997E-2</v>
      </c>
      <c r="BJ2309" s="624">
        <v>41486</v>
      </c>
      <c r="BK2309" s="355">
        <v>3.1995000000000003E-2</v>
      </c>
    </row>
    <row r="2310" spans="3:63" x14ac:dyDescent="0.15">
      <c r="C2310" s="624"/>
      <c r="D2310" s="355">
        <v>3.032E-2</v>
      </c>
      <c r="AV2310" s="624"/>
      <c r="AX2310" s="624">
        <v>41493</v>
      </c>
      <c r="AY2310" s="355">
        <v>3.0339999999999999E-2</v>
      </c>
      <c r="AZ2310" s="624">
        <v>41557</v>
      </c>
      <c r="BA2310" s="355">
        <v>1.1900000000000001E-2</v>
      </c>
      <c r="BB2310" s="624">
        <v>41488</v>
      </c>
      <c r="BC2310" s="355">
        <v>0.31369999999999998</v>
      </c>
      <c r="BD2310" s="624">
        <v>41488</v>
      </c>
      <c r="BE2310" s="355">
        <v>8.931E-2</v>
      </c>
      <c r="BF2310" s="624">
        <v>41619</v>
      </c>
      <c r="BG2310" s="355">
        <v>1.6324999999999999E-2</v>
      </c>
      <c r="BH2310" s="624">
        <v>41488</v>
      </c>
      <c r="BI2310" s="355">
        <v>9.7229999999999997E-2</v>
      </c>
      <c r="BJ2310" s="624">
        <v>41487</v>
      </c>
      <c r="BK2310" s="355">
        <v>3.1958E-2</v>
      </c>
    </row>
    <row r="2311" spans="3:63" x14ac:dyDescent="0.15">
      <c r="C2311" s="624"/>
      <c r="D2311" s="355">
        <v>3.0339999999999999E-2</v>
      </c>
      <c r="AV2311" s="624"/>
      <c r="AX2311" s="624">
        <v>41494</v>
      </c>
      <c r="AY2311" s="355">
        <v>3.0429999999999999E-2</v>
      </c>
      <c r="AZ2311" s="624">
        <v>41558</v>
      </c>
      <c r="BA2311" s="355">
        <v>1.1900000000000001E-2</v>
      </c>
      <c r="BB2311" s="624">
        <v>41491</v>
      </c>
      <c r="BC2311" s="355">
        <v>0.31469999999999998</v>
      </c>
      <c r="BD2311" s="624">
        <v>41491</v>
      </c>
      <c r="BE2311" s="355">
        <v>8.9620000000000005E-2</v>
      </c>
      <c r="BF2311" s="624">
        <v>41620</v>
      </c>
      <c r="BG2311" s="355">
        <v>1.6081000000000002E-2</v>
      </c>
      <c r="BH2311" s="624">
        <v>41491</v>
      </c>
      <c r="BI2311" s="355">
        <v>9.7370999999999999E-2</v>
      </c>
      <c r="BJ2311" s="624">
        <v>41488</v>
      </c>
      <c r="BK2311" s="355">
        <v>3.1995999999999997E-2</v>
      </c>
    </row>
    <row r="2312" spans="3:63" x14ac:dyDescent="0.15">
      <c r="C2312" s="624"/>
      <c r="D2312" s="355">
        <v>3.0429999999999999E-2</v>
      </c>
      <c r="AV2312" s="624"/>
      <c r="AX2312" s="624">
        <v>41495</v>
      </c>
      <c r="AY2312" s="355">
        <v>3.0419999999999999E-2</v>
      </c>
      <c r="AZ2312" s="624">
        <v>41561</v>
      </c>
      <c r="BA2312" s="355">
        <v>1.1900000000000001E-2</v>
      </c>
      <c r="BB2312" s="624">
        <v>41492</v>
      </c>
      <c r="BC2312" s="355">
        <v>0.31630000000000003</v>
      </c>
      <c r="BD2312" s="624">
        <v>41492</v>
      </c>
      <c r="BE2312" s="355">
        <v>8.9760000000000006E-2</v>
      </c>
      <c r="BF2312" s="624">
        <v>41621</v>
      </c>
      <c r="BG2312" s="355">
        <v>1.6095000000000002E-2</v>
      </c>
      <c r="BH2312" s="624">
        <v>41492</v>
      </c>
      <c r="BI2312" s="355">
        <v>9.7323999999999994E-2</v>
      </c>
      <c r="BJ2312" s="624">
        <v>41491</v>
      </c>
      <c r="BK2312" s="355">
        <v>3.1868E-2</v>
      </c>
    </row>
    <row r="2313" spans="3:63" x14ac:dyDescent="0.15">
      <c r="C2313" s="624"/>
      <c r="D2313" s="355">
        <v>3.0419999999999999E-2</v>
      </c>
      <c r="AV2313" s="624"/>
      <c r="AX2313" s="624">
        <v>41498</v>
      </c>
      <c r="AY2313" s="355">
        <v>3.031E-2</v>
      </c>
      <c r="AZ2313" s="624">
        <v>41562</v>
      </c>
      <c r="BA2313" s="355">
        <v>1.1900000000000001E-2</v>
      </c>
      <c r="BB2313" s="624">
        <v>41493</v>
      </c>
      <c r="BC2313" s="355">
        <v>0.31669999999999998</v>
      </c>
      <c r="BD2313" s="624">
        <v>41493</v>
      </c>
      <c r="BE2313" s="355">
        <v>8.967E-2</v>
      </c>
      <c r="BF2313" s="624">
        <v>41624</v>
      </c>
      <c r="BG2313" s="355">
        <v>1.6199999999999999E-2</v>
      </c>
      <c r="BH2313" s="624">
        <v>41493</v>
      </c>
      <c r="BI2313" s="355">
        <v>9.7158999999999995E-2</v>
      </c>
      <c r="BJ2313" s="624">
        <v>41492</v>
      </c>
      <c r="BK2313" s="355">
        <v>3.1843999999999997E-2</v>
      </c>
    </row>
    <row r="2314" spans="3:63" x14ac:dyDescent="0.15">
      <c r="C2314" s="624"/>
      <c r="D2314" s="355">
        <v>3.031E-2</v>
      </c>
      <c r="AV2314" s="624"/>
      <c r="AX2314" s="624">
        <v>41499</v>
      </c>
      <c r="AY2314" s="355">
        <v>3.024E-2</v>
      </c>
      <c r="AZ2314" s="624">
        <v>41563</v>
      </c>
      <c r="BA2314" s="355">
        <v>1.1900000000000001E-2</v>
      </c>
      <c r="BB2314" s="624">
        <v>41494</v>
      </c>
      <c r="BC2314" s="355">
        <v>0.31919999999999998</v>
      </c>
      <c r="BD2314" s="624">
        <v>41494</v>
      </c>
      <c r="BE2314" s="355">
        <v>9.0230000000000005E-2</v>
      </c>
      <c r="BF2314" s="624">
        <v>41625</v>
      </c>
      <c r="BG2314" s="355">
        <v>1.6188000000000001E-2</v>
      </c>
      <c r="BH2314" s="624">
        <v>41494</v>
      </c>
      <c r="BI2314" s="355">
        <v>9.7323999999999994E-2</v>
      </c>
      <c r="BJ2314" s="624">
        <v>41493</v>
      </c>
      <c r="BK2314" s="355">
        <v>3.1865999999999998E-2</v>
      </c>
    </row>
    <row r="2315" spans="3:63" x14ac:dyDescent="0.15">
      <c r="C2315" s="624"/>
      <c r="D2315" s="355">
        <v>3.024E-2</v>
      </c>
      <c r="AV2315" s="624"/>
      <c r="AX2315" s="624">
        <v>41500</v>
      </c>
      <c r="AY2315" s="355">
        <v>3.023E-2</v>
      </c>
      <c r="AZ2315" s="624">
        <v>41564</v>
      </c>
      <c r="BA2315" s="355">
        <v>1.2E-2</v>
      </c>
      <c r="BB2315" s="624">
        <v>41495</v>
      </c>
      <c r="BC2315" s="355">
        <v>0.31869999999999998</v>
      </c>
      <c r="BD2315" s="624">
        <v>41495</v>
      </c>
      <c r="BE2315" s="355">
        <v>8.9950000000000002E-2</v>
      </c>
      <c r="BF2315" s="624">
        <v>41626</v>
      </c>
      <c r="BG2315" s="355">
        <v>1.6115000000000001E-2</v>
      </c>
      <c r="BH2315" s="624">
        <v>41495</v>
      </c>
      <c r="BI2315" s="355">
        <v>9.7305000000000003E-2</v>
      </c>
      <c r="BJ2315" s="624">
        <v>41494</v>
      </c>
      <c r="BK2315" s="355">
        <v>3.2065000000000003E-2</v>
      </c>
    </row>
    <row r="2316" spans="3:63" x14ac:dyDescent="0.15">
      <c r="C2316" s="624"/>
      <c r="D2316" s="355">
        <v>3.023E-2</v>
      </c>
      <c r="AV2316" s="624"/>
      <c r="AX2316" s="624">
        <v>41501</v>
      </c>
      <c r="AY2316" s="355">
        <v>3.04E-2</v>
      </c>
      <c r="AZ2316" s="624">
        <v>41565</v>
      </c>
      <c r="BA2316" s="355">
        <v>1.2E-2</v>
      </c>
      <c r="BB2316" s="624">
        <v>41498</v>
      </c>
      <c r="BC2316" s="355">
        <v>0.31709999999999999</v>
      </c>
      <c r="BD2316" s="624">
        <v>41498</v>
      </c>
      <c r="BE2316" s="355">
        <v>8.9730000000000004E-2</v>
      </c>
      <c r="BF2316" s="624">
        <v>41627</v>
      </c>
      <c r="BG2316" s="355">
        <v>1.6008000000000001E-2</v>
      </c>
      <c r="BH2316" s="624">
        <v>41498</v>
      </c>
      <c r="BI2316" s="355">
        <v>9.7146999999999997E-2</v>
      </c>
      <c r="BJ2316" s="624">
        <v>41495</v>
      </c>
      <c r="BK2316" s="355">
        <v>3.2021000000000001E-2</v>
      </c>
    </row>
    <row r="2317" spans="3:63" x14ac:dyDescent="0.15">
      <c r="C2317" s="624"/>
      <c r="D2317" s="355">
        <v>3.04E-2</v>
      </c>
      <c r="AV2317" s="624"/>
      <c r="AX2317" s="624">
        <v>41502</v>
      </c>
      <c r="AY2317" s="355">
        <v>3.0300000000000001E-2</v>
      </c>
      <c r="AZ2317" s="624">
        <v>41568</v>
      </c>
      <c r="BA2317" s="355">
        <v>1.2E-2</v>
      </c>
      <c r="BB2317" s="624">
        <v>41499</v>
      </c>
      <c r="BC2317" s="355">
        <v>0.31609999999999999</v>
      </c>
      <c r="BD2317" s="624">
        <v>41499</v>
      </c>
      <c r="BE2317" s="355">
        <v>8.9359999999999995E-2</v>
      </c>
      <c r="BF2317" s="624">
        <v>41628</v>
      </c>
      <c r="BG2317" s="355">
        <v>1.6125E-2</v>
      </c>
      <c r="BH2317" s="624">
        <v>41499</v>
      </c>
      <c r="BI2317" s="355">
        <v>9.7182000000000004E-2</v>
      </c>
      <c r="BJ2317" s="624">
        <v>41498</v>
      </c>
      <c r="BK2317" s="355">
        <v>3.1988000000000003E-2</v>
      </c>
    </row>
    <row r="2318" spans="3:63" x14ac:dyDescent="0.15">
      <c r="C2318" s="624"/>
      <c r="D2318" s="355">
        <v>3.0300000000000001E-2</v>
      </c>
      <c r="AV2318" s="624"/>
      <c r="AX2318" s="624">
        <v>41505</v>
      </c>
      <c r="AY2318" s="355">
        <v>3.032E-2</v>
      </c>
      <c r="AZ2318" s="624">
        <v>41569</v>
      </c>
      <c r="BA2318" s="355">
        <v>1.21E-2</v>
      </c>
      <c r="BB2318" s="624">
        <v>41500</v>
      </c>
      <c r="BC2318" s="355">
        <v>0.31509999999999999</v>
      </c>
      <c r="BD2318" s="624">
        <v>41500</v>
      </c>
      <c r="BE2318" s="355">
        <v>8.9399999999999993E-2</v>
      </c>
      <c r="BF2318" s="624">
        <v>41631</v>
      </c>
      <c r="BG2318" s="355">
        <v>1.6187E-2</v>
      </c>
      <c r="BH2318" s="624">
        <v>41500</v>
      </c>
      <c r="BI2318" s="355">
        <v>9.6970000000000001E-2</v>
      </c>
      <c r="BJ2318" s="624">
        <v>41499</v>
      </c>
      <c r="BK2318" s="355">
        <v>3.1986000000000001E-2</v>
      </c>
    </row>
    <row r="2319" spans="3:63" x14ac:dyDescent="0.15">
      <c r="C2319" s="624"/>
      <c r="D2319" s="355">
        <v>3.032E-2</v>
      </c>
      <c r="AV2319" s="624"/>
      <c r="AX2319" s="624">
        <v>41506</v>
      </c>
      <c r="AY2319" s="355">
        <v>3.0360000000000002E-2</v>
      </c>
      <c r="AZ2319" s="624">
        <v>41570</v>
      </c>
      <c r="BA2319" s="355">
        <v>1.2E-2</v>
      </c>
      <c r="BB2319" s="624">
        <v>41501</v>
      </c>
      <c r="BC2319" s="355">
        <v>0.31590000000000001</v>
      </c>
      <c r="BD2319" s="624">
        <v>41501</v>
      </c>
      <c r="BE2319" s="355">
        <v>8.9469999999999994E-2</v>
      </c>
      <c r="BF2319" s="624">
        <v>41632</v>
      </c>
      <c r="BG2319" s="355">
        <v>1.6174999999999998E-2</v>
      </c>
      <c r="BH2319" s="624">
        <v>41501</v>
      </c>
      <c r="BI2319" s="355">
        <v>9.6130999999999994E-2</v>
      </c>
      <c r="BJ2319" s="624">
        <v>41500</v>
      </c>
      <c r="BK2319" s="355">
        <v>3.2006E-2</v>
      </c>
    </row>
    <row r="2320" spans="3:63" x14ac:dyDescent="0.15">
      <c r="C2320" s="624"/>
      <c r="D2320" s="355">
        <v>3.0360000000000002E-2</v>
      </c>
      <c r="AV2320" s="624"/>
      <c r="AX2320" s="624">
        <v>41507</v>
      </c>
      <c r="AY2320" s="355">
        <v>3.0159999999999999E-2</v>
      </c>
      <c r="AZ2320" s="624">
        <v>41571</v>
      </c>
      <c r="BA2320" s="355">
        <v>1.21E-2</v>
      </c>
      <c r="BB2320" s="624">
        <v>41502</v>
      </c>
      <c r="BC2320" s="355">
        <v>0.31490000000000001</v>
      </c>
      <c r="BD2320" s="624">
        <v>41502</v>
      </c>
      <c r="BE2320" s="355">
        <v>8.9810000000000001E-2</v>
      </c>
      <c r="BF2320" s="624">
        <v>41634</v>
      </c>
      <c r="BG2320" s="355">
        <v>1.6152E-2</v>
      </c>
      <c r="BH2320" s="624">
        <v>41502</v>
      </c>
      <c r="BI2320" s="355">
        <v>9.6293000000000004E-2</v>
      </c>
      <c r="BJ2320" s="624">
        <v>41501</v>
      </c>
      <c r="BK2320" s="355">
        <v>3.1988000000000003E-2</v>
      </c>
    </row>
    <row r="2321" spans="3:63" x14ac:dyDescent="0.15">
      <c r="C2321" s="624"/>
      <c r="D2321" s="355">
        <v>3.0159999999999999E-2</v>
      </c>
      <c r="AV2321" s="624"/>
      <c r="AX2321" s="624">
        <v>41508</v>
      </c>
      <c r="AY2321" s="355">
        <v>3.0269999999999998E-2</v>
      </c>
      <c r="AZ2321" s="624">
        <v>41572</v>
      </c>
      <c r="BA2321" s="355">
        <v>1.21E-2</v>
      </c>
      <c r="BB2321" s="624">
        <v>41505</v>
      </c>
      <c r="BC2321" s="355">
        <v>0.31359999999999999</v>
      </c>
      <c r="BD2321" s="624">
        <v>41505</v>
      </c>
      <c r="BE2321" s="355">
        <v>8.9359999999999995E-2</v>
      </c>
      <c r="BF2321" s="624">
        <v>41635</v>
      </c>
      <c r="BG2321" s="355">
        <v>1.6139000000000001E-2</v>
      </c>
      <c r="BH2321" s="624">
        <v>41505</v>
      </c>
      <c r="BI2321" s="355">
        <v>9.4450999999999993E-2</v>
      </c>
      <c r="BJ2321" s="624">
        <v>41502</v>
      </c>
      <c r="BK2321" s="355">
        <v>3.1963999999999999E-2</v>
      </c>
    </row>
    <row r="2322" spans="3:63" x14ac:dyDescent="0.15">
      <c r="C2322" s="624"/>
      <c r="D2322" s="355">
        <v>3.0269999999999998E-2</v>
      </c>
      <c r="AV2322" s="624"/>
      <c r="AX2322" s="624">
        <v>41509</v>
      </c>
      <c r="AY2322" s="355">
        <v>3.031E-2</v>
      </c>
      <c r="AZ2322" s="624">
        <v>41575</v>
      </c>
      <c r="BA2322" s="355">
        <v>1.21E-2</v>
      </c>
      <c r="BB2322" s="624">
        <v>41506</v>
      </c>
      <c r="BC2322" s="355">
        <v>0.31709999999999999</v>
      </c>
      <c r="BD2322" s="624">
        <v>41506</v>
      </c>
      <c r="BE2322" s="355">
        <v>8.9209999999999998E-2</v>
      </c>
      <c r="BF2322" s="624">
        <v>41638</v>
      </c>
      <c r="BG2322" s="355">
        <v>1.6152E-2</v>
      </c>
      <c r="BH2322" s="624">
        <v>41506</v>
      </c>
      <c r="BI2322" s="355">
        <v>9.3045000000000003E-2</v>
      </c>
      <c r="BJ2322" s="624">
        <v>41505</v>
      </c>
      <c r="BK2322" s="355">
        <v>3.1820000000000001E-2</v>
      </c>
    </row>
    <row r="2323" spans="3:63" x14ac:dyDescent="0.15">
      <c r="C2323" s="624"/>
      <c r="D2323" s="355">
        <v>3.031E-2</v>
      </c>
      <c r="AV2323" s="624"/>
      <c r="AX2323" s="624">
        <v>41512</v>
      </c>
      <c r="AY2323" s="355">
        <v>3.0190000000000002E-2</v>
      </c>
      <c r="AZ2323" s="624">
        <v>41576</v>
      </c>
      <c r="BA2323" s="355">
        <v>1.21E-2</v>
      </c>
      <c r="BB2323" s="624">
        <v>41507</v>
      </c>
      <c r="BC2323" s="355">
        <v>0.31409999999999999</v>
      </c>
      <c r="BD2323" s="624">
        <v>41507</v>
      </c>
      <c r="BE2323" s="355">
        <v>8.9319999999999997E-2</v>
      </c>
      <c r="BF2323" s="624">
        <v>41639</v>
      </c>
      <c r="BG2323" s="355">
        <v>1.6164999999999999E-2</v>
      </c>
      <c r="BH2323" s="624">
        <v>41507</v>
      </c>
      <c r="BI2323" s="355">
        <v>9.1345999999999997E-2</v>
      </c>
      <c r="BJ2323" s="624">
        <v>41506</v>
      </c>
      <c r="BK2323" s="355">
        <v>3.1607000000000003E-2</v>
      </c>
    </row>
    <row r="2324" spans="3:63" x14ac:dyDescent="0.15">
      <c r="C2324" s="624"/>
      <c r="D2324" s="355">
        <v>3.0190000000000002E-2</v>
      </c>
      <c r="AV2324" s="624"/>
      <c r="AX2324" s="624">
        <v>41513</v>
      </c>
      <c r="AY2324" s="355">
        <v>3.0159999999999999E-2</v>
      </c>
      <c r="AZ2324" s="624">
        <v>41577</v>
      </c>
      <c r="BA2324" s="355">
        <v>1.21E-2</v>
      </c>
      <c r="BB2324" s="624">
        <v>41508</v>
      </c>
      <c r="BC2324" s="355">
        <v>0.31440000000000001</v>
      </c>
      <c r="BD2324" s="624">
        <v>41508</v>
      </c>
      <c r="BE2324" s="355">
        <v>8.9270000000000002E-2</v>
      </c>
      <c r="BF2324" s="624">
        <v>41640</v>
      </c>
      <c r="BG2324" s="355">
        <v>1.6157999999999999E-2</v>
      </c>
      <c r="BH2324" s="624">
        <v>41508</v>
      </c>
      <c r="BI2324" s="355">
        <v>9.0764999999999998E-2</v>
      </c>
      <c r="BJ2324" s="624">
        <v>41507</v>
      </c>
      <c r="BK2324" s="355">
        <v>3.134E-2</v>
      </c>
    </row>
    <row r="2325" spans="3:63" x14ac:dyDescent="0.15">
      <c r="C2325" s="624"/>
      <c r="D2325" s="355">
        <v>3.0159999999999999E-2</v>
      </c>
      <c r="AV2325" s="624"/>
      <c r="AX2325" s="624">
        <v>41514</v>
      </c>
      <c r="AY2325" s="355">
        <v>3.014E-2</v>
      </c>
      <c r="AZ2325" s="624">
        <v>41578</v>
      </c>
      <c r="BA2325" s="355">
        <v>1.1900000000000001E-2</v>
      </c>
      <c r="BB2325" s="624">
        <v>41509</v>
      </c>
      <c r="BC2325" s="355">
        <v>0.31680000000000003</v>
      </c>
      <c r="BD2325" s="624">
        <v>41509</v>
      </c>
      <c r="BE2325" s="355">
        <v>8.9779999999999999E-2</v>
      </c>
      <c r="BF2325" s="624">
        <v>41641</v>
      </c>
      <c r="BG2325" s="355">
        <v>1.6046000000000001E-2</v>
      </c>
      <c r="BH2325" s="624">
        <v>41509</v>
      </c>
      <c r="BI2325" s="355">
        <v>9.2763999999999999E-2</v>
      </c>
      <c r="BJ2325" s="624">
        <v>41508</v>
      </c>
      <c r="BK2325" s="355">
        <v>3.1208E-2</v>
      </c>
    </row>
    <row r="2326" spans="3:63" x14ac:dyDescent="0.15">
      <c r="C2326" s="624"/>
      <c r="D2326" s="355">
        <v>3.014E-2</v>
      </c>
      <c r="AV2326" s="624"/>
      <c r="AX2326" s="624">
        <v>41515</v>
      </c>
      <c r="AY2326" s="355">
        <v>3.007E-2</v>
      </c>
      <c r="AZ2326" s="624">
        <v>41579</v>
      </c>
      <c r="BA2326" s="355">
        <v>1.18E-2</v>
      </c>
      <c r="BB2326" s="624">
        <v>41512</v>
      </c>
      <c r="BC2326" s="355">
        <v>0.31569999999999998</v>
      </c>
      <c r="BD2326" s="624">
        <v>41512</v>
      </c>
      <c r="BE2326" s="355">
        <v>8.9840000000000003E-2</v>
      </c>
      <c r="BF2326" s="624">
        <v>41642</v>
      </c>
      <c r="BG2326" s="355">
        <v>1.6056000000000001E-2</v>
      </c>
      <c r="BH2326" s="624">
        <v>41512</v>
      </c>
      <c r="BI2326" s="355">
        <v>8.9626999999999998E-2</v>
      </c>
      <c r="BJ2326" s="624">
        <v>41509</v>
      </c>
      <c r="BK2326" s="355">
        <v>3.1384000000000002E-2</v>
      </c>
    </row>
    <row r="2327" spans="3:63" x14ac:dyDescent="0.15">
      <c r="C2327" s="624"/>
      <c r="D2327" s="355">
        <v>3.007E-2</v>
      </c>
      <c r="AV2327" s="624"/>
      <c r="AX2327" s="624">
        <v>41516</v>
      </c>
      <c r="AY2327" s="355">
        <v>3.0020000000000002E-2</v>
      </c>
      <c r="AZ2327" s="624">
        <v>41582</v>
      </c>
      <c r="BA2327" s="355">
        <v>1.18E-2</v>
      </c>
      <c r="BB2327" s="624">
        <v>41513</v>
      </c>
      <c r="BC2327" s="355">
        <v>0.31509999999999999</v>
      </c>
      <c r="BD2327" s="624">
        <v>41513</v>
      </c>
      <c r="BE2327" s="355">
        <v>8.9480000000000004E-2</v>
      </c>
      <c r="BF2327" s="624">
        <v>41645</v>
      </c>
      <c r="BG2327" s="355">
        <v>1.6048E-2</v>
      </c>
      <c r="BH2327" s="624">
        <v>41513</v>
      </c>
      <c r="BI2327" s="355">
        <v>8.8049000000000002E-2</v>
      </c>
      <c r="BJ2327" s="624">
        <v>41512</v>
      </c>
      <c r="BK2327" s="355">
        <v>3.1264E-2</v>
      </c>
    </row>
    <row r="2328" spans="3:63" x14ac:dyDescent="0.15">
      <c r="C2328" s="624"/>
      <c r="D2328" s="355">
        <v>3.0020000000000002E-2</v>
      </c>
      <c r="AV2328" s="624"/>
      <c r="AX2328" s="624">
        <v>41519</v>
      </c>
      <c r="AY2328" s="355">
        <v>2.9950000000000001E-2</v>
      </c>
      <c r="AZ2328" s="624">
        <v>41583</v>
      </c>
      <c r="BA2328" s="355">
        <v>1.18E-2</v>
      </c>
      <c r="BB2328" s="624">
        <v>41514</v>
      </c>
      <c r="BC2328" s="355">
        <v>0.31109999999999999</v>
      </c>
      <c r="BD2328" s="624">
        <v>41514</v>
      </c>
      <c r="BE2328" s="355">
        <v>8.9649999999999994E-2</v>
      </c>
      <c r="BF2328" s="624">
        <v>41646</v>
      </c>
      <c r="BG2328" s="355">
        <v>1.6102000000000002E-2</v>
      </c>
      <c r="BH2328" s="624">
        <v>41514</v>
      </c>
      <c r="BI2328" s="355">
        <v>8.9566000000000007E-2</v>
      </c>
      <c r="BJ2328" s="624">
        <v>41513</v>
      </c>
      <c r="BK2328" s="355">
        <v>3.1091000000000001E-2</v>
      </c>
    </row>
    <row r="2329" spans="3:63" x14ac:dyDescent="0.15">
      <c r="C2329" s="624"/>
      <c r="D2329" s="355">
        <v>2.9950000000000001E-2</v>
      </c>
      <c r="AV2329" s="624"/>
      <c r="AX2329" s="624">
        <v>41520</v>
      </c>
      <c r="AY2329" s="355">
        <v>2.9870000000000001E-2</v>
      </c>
      <c r="AZ2329" s="624">
        <v>41584</v>
      </c>
      <c r="BA2329" s="355">
        <v>1.1900000000000001E-2</v>
      </c>
      <c r="BB2329" s="624">
        <v>41515</v>
      </c>
      <c r="BC2329" s="355">
        <v>0.30890000000000001</v>
      </c>
      <c r="BD2329" s="624">
        <v>41515</v>
      </c>
      <c r="BE2329" s="355">
        <v>8.9870000000000005E-2</v>
      </c>
      <c r="BF2329" s="624">
        <v>41647</v>
      </c>
      <c r="BG2329" s="355">
        <v>1.6098000000000001E-2</v>
      </c>
      <c r="BH2329" s="624">
        <v>41515</v>
      </c>
      <c r="BI2329" s="355">
        <v>8.9228000000000002E-2</v>
      </c>
      <c r="BJ2329" s="624">
        <v>41514</v>
      </c>
      <c r="BK2329" s="355">
        <v>3.1087E-2</v>
      </c>
    </row>
    <row r="2330" spans="3:63" x14ac:dyDescent="0.15">
      <c r="C2330" s="624"/>
      <c r="D2330" s="355">
        <v>2.9870000000000001E-2</v>
      </c>
      <c r="AV2330" s="624"/>
      <c r="AX2330" s="624">
        <v>41521</v>
      </c>
      <c r="AY2330" s="355">
        <v>3.005E-2</v>
      </c>
      <c r="AZ2330" s="624">
        <v>41585</v>
      </c>
      <c r="BA2330" s="355">
        <v>1.18E-2</v>
      </c>
      <c r="BB2330" s="624">
        <v>41516</v>
      </c>
      <c r="BC2330" s="355">
        <v>0.30959999999999999</v>
      </c>
      <c r="BD2330" s="624">
        <v>41516</v>
      </c>
      <c r="BE2330" s="355">
        <v>9.0090000000000003E-2</v>
      </c>
      <c r="BF2330" s="624">
        <v>41648</v>
      </c>
      <c r="BG2330" s="355">
        <v>1.6129999999999999E-2</v>
      </c>
      <c r="BH2330" s="624">
        <v>41516</v>
      </c>
      <c r="BI2330" s="355">
        <v>8.8554999999999995E-2</v>
      </c>
      <c r="BJ2330" s="624">
        <v>41515</v>
      </c>
      <c r="BK2330" s="355">
        <v>3.1140999999999999E-2</v>
      </c>
    </row>
    <row r="2331" spans="3:63" x14ac:dyDescent="0.15">
      <c r="C2331" s="624"/>
      <c r="D2331" s="355">
        <v>3.005E-2</v>
      </c>
      <c r="AV2331" s="624"/>
      <c r="AX2331" s="624">
        <v>41522</v>
      </c>
      <c r="AY2331" s="355">
        <v>2.9909999999999999E-2</v>
      </c>
      <c r="AZ2331" s="624">
        <v>41586</v>
      </c>
      <c r="BA2331" s="355">
        <v>1.17E-2</v>
      </c>
      <c r="BB2331" s="624">
        <v>41519</v>
      </c>
      <c r="BC2331" s="355">
        <v>0.30969999999999998</v>
      </c>
      <c r="BD2331" s="624">
        <v>41519</v>
      </c>
      <c r="BE2331" s="355">
        <v>9.1050000000000006E-2</v>
      </c>
      <c r="BF2331" s="624">
        <v>41649</v>
      </c>
      <c r="BG2331" s="355">
        <v>1.6258999999999999E-2</v>
      </c>
      <c r="BH2331" s="624">
        <v>41519</v>
      </c>
      <c r="BI2331" s="355">
        <v>8.8417999999999997E-2</v>
      </c>
      <c r="BJ2331" s="624">
        <v>41516</v>
      </c>
      <c r="BK2331" s="355">
        <v>3.109E-2</v>
      </c>
    </row>
    <row r="2332" spans="3:63" x14ac:dyDescent="0.15">
      <c r="C2332" s="624"/>
      <c r="D2332" s="355">
        <v>2.9909999999999999E-2</v>
      </c>
      <c r="AV2332" s="624"/>
      <c r="AX2332" s="624">
        <v>41523</v>
      </c>
      <c r="AY2332" s="355">
        <v>2.9960000000000001E-2</v>
      </c>
      <c r="AZ2332" s="624">
        <v>41589</v>
      </c>
      <c r="BA2332" s="355">
        <v>1.18E-2</v>
      </c>
      <c r="BB2332" s="624">
        <v>41520</v>
      </c>
      <c r="BC2332" s="355">
        <v>0.30819999999999997</v>
      </c>
      <c r="BD2332" s="624">
        <v>41520</v>
      </c>
      <c r="BE2332" s="355">
        <v>9.0740000000000001E-2</v>
      </c>
      <c r="BF2332" s="624">
        <v>41652</v>
      </c>
      <c r="BG2332" s="355">
        <v>1.6263E-2</v>
      </c>
      <c r="BH2332" s="624">
        <v>41520</v>
      </c>
      <c r="BI2332" s="355">
        <v>8.7585999999999997E-2</v>
      </c>
      <c r="BJ2332" s="624">
        <v>41519</v>
      </c>
      <c r="BK2332" s="355">
        <v>3.1201E-2</v>
      </c>
    </row>
    <row r="2333" spans="3:63" x14ac:dyDescent="0.15">
      <c r="C2333" s="624"/>
      <c r="D2333" s="355">
        <v>2.9960000000000001E-2</v>
      </c>
      <c r="AV2333" s="624"/>
      <c r="AX2333" s="624">
        <v>41526</v>
      </c>
      <c r="AY2333" s="355">
        <v>3.0159999999999999E-2</v>
      </c>
      <c r="AZ2333" s="624">
        <v>41590</v>
      </c>
      <c r="BA2333" s="355">
        <v>1.18E-2</v>
      </c>
      <c r="BB2333" s="624">
        <v>41521</v>
      </c>
      <c r="BC2333" s="355">
        <v>0.309</v>
      </c>
      <c r="BD2333" s="624">
        <v>41521</v>
      </c>
      <c r="BE2333" s="355">
        <v>9.1380000000000003E-2</v>
      </c>
      <c r="BF2333" s="624">
        <v>41653</v>
      </c>
      <c r="BG2333" s="355">
        <v>1.6263E-2</v>
      </c>
      <c r="BH2333" s="624">
        <v>41521</v>
      </c>
      <c r="BI2333" s="355">
        <v>8.7623999999999994E-2</v>
      </c>
      <c r="BJ2333" s="624">
        <v>41520</v>
      </c>
      <c r="BK2333" s="355">
        <v>3.1077E-2</v>
      </c>
    </row>
    <row r="2334" spans="3:63" x14ac:dyDescent="0.15">
      <c r="C2334" s="624"/>
      <c r="D2334" s="355">
        <v>3.0159999999999999E-2</v>
      </c>
      <c r="AV2334" s="624"/>
      <c r="AX2334" s="624">
        <v>41527</v>
      </c>
      <c r="AY2334" s="355">
        <v>3.0339999999999999E-2</v>
      </c>
      <c r="AZ2334" s="624">
        <v>41591</v>
      </c>
      <c r="BA2334" s="355">
        <v>1.18E-2</v>
      </c>
      <c r="BB2334" s="624">
        <v>41522</v>
      </c>
      <c r="BC2334" s="355">
        <v>0.30509999999999998</v>
      </c>
      <c r="BD2334" s="624">
        <v>41522</v>
      </c>
      <c r="BE2334" s="355">
        <v>9.1050000000000006E-2</v>
      </c>
      <c r="BF2334" s="624">
        <v>41654</v>
      </c>
      <c r="BG2334" s="355">
        <v>1.6254000000000001E-2</v>
      </c>
      <c r="BH2334" s="624">
        <v>41522</v>
      </c>
      <c r="BI2334" s="355">
        <v>8.5947999999999997E-2</v>
      </c>
      <c r="BJ2334" s="624">
        <v>41521</v>
      </c>
      <c r="BK2334" s="355">
        <v>3.1094E-2</v>
      </c>
    </row>
    <row r="2335" spans="3:63" x14ac:dyDescent="0.15">
      <c r="C2335" s="624"/>
      <c r="D2335" s="355">
        <v>3.0339999999999999E-2</v>
      </c>
      <c r="AV2335" s="624"/>
      <c r="AX2335" s="624">
        <v>41528</v>
      </c>
      <c r="AY2335" s="355">
        <v>3.0499999999999999E-2</v>
      </c>
      <c r="AZ2335" s="624">
        <v>41592</v>
      </c>
      <c r="BA2335" s="355">
        <v>1.18E-2</v>
      </c>
      <c r="BB2335" s="624">
        <v>41523</v>
      </c>
      <c r="BC2335" s="355">
        <v>0.308</v>
      </c>
      <c r="BD2335" s="624">
        <v>41523</v>
      </c>
      <c r="BE2335" s="355">
        <v>9.153E-2</v>
      </c>
      <c r="BF2335" s="624">
        <v>41655</v>
      </c>
      <c r="BG2335" s="355">
        <v>1.6291E-2</v>
      </c>
      <c r="BH2335" s="624">
        <v>41523</v>
      </c>
      <c r="BI2335" s="355">
        <v>8.7183999999999998E-2</v>
      </c>
      <c r="BJ2335" s="624">
        <v>41522</v>
      </c>
      <c r="BK2335" s="355">
        <v>3.0960999999999999E-2</v>
      </c>
    </row>
    <row r="2336" spans="3:63" x14ac:dyDescent="0.15">
      <c r="C2336" s="624"/>
      <c r="D2336" s="355">
        <v>3.0499999999999999E-2</v>
      </c>
      <c r="AV2336" s="624"/>
      <c r="AX2336" s="624">
        <v>41529</v>
      </c>
      <c r="AY2336" s="355">
        <v>3.0640000000000001E-2</v>
      </c>
      <c r="AZ2336" s="624">
        <v>41593</v>
      </c>
      <c r="BA2336" s="355">
        <v>1.18E-2</v>
      </c>
      <c r="BB2336" s="624">
        <v>41526</v>
      </c>
      <c r="BC2336" s="355">
        <v>0.31040000000000001</v>
      </c>
      <c r="BD2336" s="624">
        <v>41526</v>
      </c>
      <c r="BE2336" s="355">
        <v>9.2410000000000006E-2</v>
      </c>
      <c r="BF2336" s="624">
        <v>41656</v>
      </c>
      <c r="BG2336" s="355">
        <v>1.6226000000000001E-2</v>
      </c>
      <c r="BH2336" s="624">
        <v>41526</v>
      </c>
      <c r="BI2336" s="355">
        <v>8.7989999999999999E-2</v>
      </c>
      <c r="BJ2336" s="624">
        <v>41523</v>
      </c>
      <c r="BK2336" s="355">
        <v>3.1022000000000001E-2</v>
      </c>
    </row>
    <row r="2337" spans="3:63" x14ac:dyDescent="0.15">
      <c r="C2337" s="624"/>
      <c r="D2337" s="355">
        <v>3.0640000000000001E-2</v>
      </c>
      <c r="AV2337" s="624"/>
      <c r="AX2337" s="624">
        <v>41530</v>
      </c>
      <c r="AY2337" s="355">
        <v>3.0800000000000001E-2</v>
      </c>
      <c r="AZ2337" s="624">
        <v>41596</v>
      </c>
      <c r="BA2337" s="355">
        <v>1.1900000000000001E-2</v>
      </c>
      <c r="BB2337" s="624">
        <v>41527</v>
      </c>
      <c r="BC2337" s="355">
        <v>0.31280000000000002</v>
      </c>
      <c r="BD2337" s="624">
        <v>41527</v>
      </c>
      <c r="BE2337" s="355">
        <v>9.2060000000000003E-2</v>
      </c>
      <c r="BF2337" s="624">
        <v>41659</v>
      </c>
      <c r="BG2337" s="355">
        <v>1.6251000000000002E-2</v>
      </c>
      <c r="BH2337" s="624">
        <v>41527</v>
      </c>
      <c r="BI2337" s="355">
        <v>8.8183999999999998E-2</v>
      </c>
      <c r="BJ2337" s="624">
        <v>41526</v>
      </c>
      <c r="BK2337" s="355">
        <v>3.1158999999999999E-2</v>
      </c>
    </row>
    <row r="2338" spans="3:63" x14ac:dyDescent="0.15">
      <c r="C2338" s="624"/>
      <c r="D2338" s="355">
        <v>3.0800000000000001E-2</v>
      </c>
      <c r="AV2338" s="624"/>
      <c r="AX2338" s="624">
        <v>41533</v>
      </c>
      <c r="AY2338" s="355">
        <v>3.0960000000000001E-2</v>
      </c>
      <c r="AZ2338" s="624">
        <v>41597</v>
      </c>
      <c r="BA2338" s="355">
        <v>1.1900000000000001E-2</v>
      </c>
      <c r="BB2338" s="624">
        <v>41528</v>
      </c>
      <c r="BC2338" s="355">
        <v>0.31580000000000003</v>
      </c>
      <c r="BD2338" s="624">
        <v>41528</v>
      </c>
      <c r="BE2338" s="355">
        <v>9.2060000000000003E-2</v>
      </c>
      <c r="BF2338" s="624">
        <v>41660</v>
      </c>
      <c r="BG2338" s="355">
        <v>1.6107E-2</v>
      </c>
      <c r="BH2338" s="624">
        <v>41528</v>
      </c>
      <c r="BI2338" s="355">
        <v>8.8732000000000005E-2</v>
      </c>
      <c r="BJ2338" s="624">
        <v>41527</v>
      </c>
      <c r="BK2338" s="355">
        <v>3.1133000000000001E-2</v>
      </c>
    </row>
    <row r="2339" spans="3:63" x14ac:dyDescent="0.15">
      <c r="C2339" s="624"/>
      <c r="D2339" s="355">
        <v>3.0960000000000001E-2</v>
      </c>
      <c r="AV2339" s="624"/>
      <c r="AX2339" s="624">
        <v>41534</v>
      </c>
      <c r="AY2339" s="355">
        <v>3.1029999999999999E-2</v>
      </c>
      <c r="AZ2339" s="624">
        <v>41598</v>
      </c>
      <c r="BA2339" s="355">
        <v>1.18E-2</v>
      </c>
      <c r="BB2339" s="624">
        <v>41529</v>
      </c>
      <c r="BC2339" s="355">
        <v>0.31509999999999999</v>
      </c>
      <c r="BD2339" s="624">
        <v>41529</v>
      </c>
      <c r="BE2339" s="355">
        <v>9.2299999999999993E-2</v>
      </c>
      <c r="BF2339" s="624">
        <v>41661</v>
      </c>
      <c r="BG2339" s="355">
        <v>1.6174000000000001E-2</v>
      </c>
      <c r="BH2339" s="624">
        <v>41529</v>
      </c>
      <c r="BI2339" s="355">
        <v>9.0241000000000002E-2</v>
      </c>
      <c r="BJ2339" s="624">
        <v>41528</v>
      </c>
      <c r="BK2339" s="355">
        <v>3.1329000000000003E-2</v>
      </c>
    </row>
    <row r="2340" spans="3:63" x14ac:dyDescent="0.15">
      <c r="C2340" s="624"/>
      <c r="D2340" s="355">
        <v>3.1029999999999999E-2</v>
      </c>
      <c r="AV2340" s="624"/>
      <c r="AX2340" s="624">
        <v>41535</v>
      </c>
      <c r="AY2340" s="355">
        <v>3.1530000000000002E-2</v>
      </c>
      <c r="AZ2340" s="624">
        <v>41599</v>
      </c>
      <c r="BA2340" s="355">
        <v>1.18E-2</v>
      </c>
      <c r="BB2340" s="624">
        <v>41530</v>
      </c>
      <c r="BC2340" s="355">
        <v>0.31619999999999998</v>
      </c>
      <c r="BD2340" s="624">
        <v>41530</v>
      </c>
      <c r="BE2340" s="355">
        <v>9.2060000000000003E-2</v>
      </c>
      <c r="BF2340" s="624">
        <v>41662</v>
      </c>
      <c r="BG2340" s="355">
        <v>1.6087000000000001E-2</v>
      </c>
      <c r="BH2340" s="624">
        <v>41530</v>
      </c>
      <c r="BI2340" s="355">
        <v>8.9445999999999998E-2</v>
      </c>
      <c r="BJ2340" s="624">
        <v>41529</v>
      </c>
      <c r="BK2340" s="355">
        <v>3.1543000000000002E-2</v>
      </c>
    </row>
    <row r="2341" spans="3:63" x14ac:dyDescent="0.15">
      <c r="C2341" s="624"/>
      <c r="D2341" s="355">
        <v>3.1530000000000002E-2</v>
      </c>
      <c r="AV2341" s="624"/>
      <c r="AX2341" s="624">
        <v>41536</v>
      </c>
      <c r="AY2341" s="355">
        <v>3.159E-2</v>
      </c>
      <c r="AZ2341" s="624">
        <v>41600</v>
      </c>
      <c r="BA2341" s="355">
        <v>1.1900000000000001E-2</v>
      </c>
      <c r="BB2341" s="624">
        <v>41533</v>
      </c>
      <c r="BC2341" s="355">
        <v>0.31730000000000003</v>
      </c>
      <c r="BD2341" s="624">
        <v>41533</v>
      </c>
      <c r="BE2341" s="355">
        <v>9.2429999999999998E-2</v>
      </c>
      <c r="BF2341" s="624">
        <v>41663</v>
      </c>
      <c r="BG2341" s="355">
        <v>1.5942999999999999E-2</v>
      </c>
      <c r="BH2341" s="624">
        <v>41533</v>
      </c>
      <c r="BI2341" s="355">
        <v>8.9367000000000002E-2</v>
      </c>
      <c r="BJ2341" s="624">
        <v>41530</v>
      </c>
      <c r="BK2341" s="355">
        <v>3.1413999999999997E-2</v>
      </c>
    </row>
    <row r="2342" spans="3:63" x14ac:dyDescent="0.15">
      <c r="C2342" s="624"/>
      <c r="D2342" s="355">
        <v>3.159E-2</v>
      </c>
      <c r="AV2342" s="624"/>
      <c r="AX2342" s="624">
        <v>41537</v>
      </c>
      <c r="AY2342" s="355">
        <v>3.1390000000000001E-2</v>
      </c>
      <c r="AZ2342" s="624">
        <v>41603</v>
      </c>
      <c r="BA2342" s="355">
        <v>1.1900000000000001E-2</v>
      </c>
      <c r="BB2342" s="624">
        <v>41534</v>
      </c>
      <c r="BC2342" s="355">
        <v>0.31669999999999998</v>
      </c>
      <c r="BD2342" s="624">
        <v>41534</v>
      </c>
      <c r="BE2342" s="355">
        <v>9.2329999999999995E-2</v>
      </c>
      <c r="BF2342" s="624">
        <v>41666</v>
      </c>
      <c r="BG2342" s="355">
        <v>1.5767E-2</v>
      </c>
      <c r="BH2342" s="624">
        <v>41534</v>
      </c>
      <c r="BI2342" s="355">
        <v>8.9566000000000007E-2</v>
      </c>
      <c r="BJ2342" s="624">
        <v>41533</v>
      </c>
      <c r="BK2342" s="355">
        <v>3.15E-2</v>
      </c>
    </row>
    <row r="2343" spans="3:63" x14ac:dyDescent="0.15">
      <c r="C2343" s="624"/>
      <c r="D2343" s="355">
        <v>3.1390000000000001E-2</v>
      </c>
      <c r="AV2343" s="624"/>
      <c r="AX2343" s="624">
        <v>41540</v>
      </c>
      <c r="AY2343" s="355">
        <v>3.1449999999999999E-2</v>
      </c>
      <c r="AZ2343" s="624">
        <v>41604</v>
      </c>
      <c r="BA2343" s="355">
        <v>1.1900000000000001E-2</v>
      </c>
      <c r="BB2343" s="624">
        <v>41535</v>
      </c>
      <c r="BC2343" s="355">
        <v>0.32479999999999998</v>
      </c>
      <c r="BD2343" s="624">
        <v>41535</v>
      </c>
      <c r="BE2343" s="355">
        <v>9.2810000000000004E-2</v>
      </c>
      <c r="BF2343" s="624">
        <v>41667</v>
      </c>
      <c r="BG2343" s="355">
        <v>1.5934E-2</v>
      </c>
      <c r="BH2343" s="624">
        <v>41535</v>
      </c>
      <c r="BI2343" s="355">
        <v>9.2915999999999999E-2</v>
      </c>
      <c r="BJ2343" s="624">
        <v>41534</v>
      </c>
      <c r="BK2343" s="355">
        <v>3.1538999999999998E-2</v>
      </c>
    </row>
    <row r="2344" spans="3:63" x14ac:dyDescent="0.15">
      <c r="C2344" s="624"/>
      <c r="D2344" s="355">
        <v>3.1449999999999999E-2</v>
      </c>
      <c r="AV2344" s="624"/>
      <c r="AX2344" s="624">
        <v>41541</v>
      </c>
      <c r="AY2344" s="355">
        <v>3.1370000000000002E-2</v>
      </c>
      <c r="AZ2344" s="624">
        <v>41605</v>
      </c>
      <c r="BA2344" s="355">
        <v>1.1900000000000001E-2</v>
      </c>
      <c r="BB2344" s="624">
        <v>41536</v>
      </c>
      <c r="BC2344" s="355">
        <v>0.32190000000000002</v>
      </c>
      <c r="BD2344" s="624">
        <v>41536</v>
      </c>
      <c r="BE2344" s="355">
        <v>9.3140000000000001E-2</v>
      </c>
      <c r="BF2344" s="624">
        <v>41668</v>
      </c>
      <c r="BG2344" s="355">
        <v>1.5886000000000001E-2</v>
      </c>
      <c r="BH2344" s="624">
        <v>41536</v>
      </c>
      <c r="BI2344" s="355">
        <v>9.1953999999999994E-2</v>
      </c>
      <c r="BJ2344" s="624">
        <v>41535</v>
      </c>
      <c r="BK2344" s="355">
        <v>3.1973000000000001E-2</v>
      </c>
    </row>
    <row r="2345" spans="3:63" x14ac:dyDescent="0.15">
      <c r="C2345" s="624"/>
      <c r="D2345" s="355">
        <v>3.1370000000000002E-2</v>
      </c>
      <c r="AV2345" s="624"/>
      <c r="AX2345" s="624">
        <v>41542</v>
      </c>
      <c r="AY2345" s="355">
        <v>3.117E-2</v>
      </c>
      <c r="AZ2345" s="624">
        <v>41606</v>
      </c>
      <c r="BA2345" s="355">
        <v>1.1900000000000001E-2</v>
      </c>
      <c r="BB2345" s="624">
        <v>41537</v>
      </c>
      <c r="BC2345" s="355">
        <v>0.3196</v>
      </c>
      <c r="BD2345" s="624">
        <v>41537</v>
      </c>
      <c r="BE2345" s="355">
        <v>9.282E-2</v>
      </c>
      <c r="BF2345" s="624">
        <v>41669</v>
      </c>
      <c r="BG2345" s="355">
        <v>1.601E-2</v>
      </c>
      <c r="BH2345" s="624">
        <v>41537</v>
      </c>
      <c r="BI2345" s="355">
        <v>8.9847999999999997E-2</v>
      </c>
      <c r="BJ2345" s="624">
        <v>41536</v>
      </c>
      <c r="BK2345" s="355">
        <v>3.2204000000000003E-2</v>
      </c>
    </row>
    <row r="2346" spans="3:63" x14ac:dyDescent="0.15">
      <c r="C2346" s="624"/>
      <c r="D2346" s="355">
        <v>3.117E-2</v>
      </c>
      <c r="AV2346" s="624"/>
      <c r="AX2346" s="624">
        <v>41543</v>
      </c>
      <c r="AY2346" s="355">
        <v>3.092E-2</v>
      </c>
      <c r="AZ2346" s="624">
        <v>41607</v>
      </c>
      <c r="BA2346" s="355">
        <v>1.1900000000000001E-2</v>
      </c>
      <c r="BB2346" s="624">
        <v>41540</v>
      </c>
      <c r="BC2346" s="355">
        <v>0.31929999999999997</v>
      </c>
      <c r="BD2346" s="624">
        <v>41540</v>
      </c>
      <c r="BE2346" s="355">
        <v>9.3090000000000006E-2</v>
      </c>
      <c r="BF2346" s="624">
        <v>41670</v>
      </c>
      <c r="BG2346" s="355">
        <v>1.5993E-2</v>
      </c>
      <c r="BH2346" s="624">
        <v>41540</v>
      </c>
      <c r="BI2346" s="355">
        <v>8.9562000000000003E-2</v>
      </c>
      <c r="BJ2346" s="624">
        <v>41537</v>
      </c>
      <c r="BK2346" s="355">
        <v>3.2143999999999999E-2</v>
      </c>
    </row>
    <row r="2347" spans="3:63" x14ac:dyDescent="0.15">
      <c r="C2347" s="624"/>
      <c r="D2347" s="355">
        <v>3.092E-2</v>
      </c>
      <c r="AV2347" s="624"/>
      <c r="AX2347" s="624">
        <v>41544</v>
      </c>
      <c r="AY2347" s="355">
        <v>3.092E-2</v>
      </c>
      <c r="AZ2347" s="624">
        <v>41610</v>
      </c>
      <c r="BA2347" s="355">
        <v>1.1900000000000001E-2</v>
      </c>
      <c r="BB2347" s="624">
        <v>41541</v>
      </c>
      <c r="BC2347" s="355">
        <v>0.31990000000000002</v>
      </c>
      <c r="BD2347" s="624">
        <v>41541</v>
      </c>
      <c r="BE2347" s="355">
        <v>9.3049999999999994E-2</v>
      </c>
      <c r="BF2347" s="624">
        <v>41673</v>
      </c>
      <c r="BG2347" s="355">
        <v>1.5893999999999998E-2</v>
      </c>
      <c r="BH2347" s="624">
        <v>41541</v>
      </c>
      <c r="BI2347" s="355">
        <v>8.8732000000000005E-2</v>
      </c>
      <c r="BJ2347" s="624">
        <v>41540</v>
      </c>
      <c r="BK2347" s="355">
        <v>3.2062E-2</v>
      </c>
    </row>
    <row r="2348" spans="3:63" x14ac:dyDescent="0.15">
      <c r="C2348" s="624"/>
      <c r="D2348" s="355">
        <v>3.092E-2</v>
      </c>
      <c r="AV2348" s="624"/>
      <c r="AX2348" s="624">
        <v>41547</v>
      </c>
      <c r="AY2348" s="355">
        <v>3.09E-2</v>
      </c>
      <c r="AZ2348" s="624">
        <v>41611</v>
      </c>
      <c r="BA2348" s="355">
        <v>1.1900000000000001E-2</v>
      </c>
      <c r="BB2348" s="624">
        <v>41542</v>
      </c>
      <c r="BC2348" s="355">
        <v>0.3206</v>
      </c>
      <c r="BD2348" s="624">
        <v>41542</v>
      </c>
      <c r="BE2348" s="355">
        <v>9.2910000000000006E-2</v>
      </c>
      <c r="BF2348" s="624">
        <v>41674</v>
      </c>
      <c r="BG2348" s="355">
        <v>1.6060000000000001E-2</v>
      </c>
      <c r="BH2348" s="624">
        <v>41542</v>
      </c>
      <c r="BI2348" s="355">
        <v>8.9036000000000004E-2</v>
      </c>
      <c r="BJ2348" s="624">
        <v>41541</v>
      </c>
      <c r="BK2348" s="355">
        <v>3.1932000000000002E-2</v>
      </c>
    </row>
    <row r="2349" spans="3:63" x14ac:dyDescent="0.15">
      <c r="C2349" s="624"/>
      <c r="D2349" s="355">
        <v>3.09E-2</v>
      </c>
      <c r="AV2349" s="624"/>
      <c r="AX2349" s="624">
        <v>41548</v>
      </c>
      <c r="AY2349" s="355">
        <v>3.1050000000000001E-2</v>
      </c>
      <c r="AZ2349" s="624">
        <v>41612</v>
      </c>
      <c r="BA2349" s="355">
        <v>1.1900000000000001E-2</v>
      </c>
      <c r="BB2349" s="624">
        <v>41543</v>
      </c>
      <c r="BC2349" s="355">
        <v>0.31890000000000002</v>
      </c>
      <c r="BD2349" s="624">
        <v>41543</v>
      </c>
      <c r="BE2349" s="355">
        <v>9.2869999999999994E-2</v>
      </c>
      <c r="BF2349" s="624">
        <v>41675</v>
      </c>
      <c r="BG2349" s="355">
        <v>1.6018000000000001E-2</v>
      </c>
      <c r="BH2349" s="624">
        <v>41543</v>
      </c>
      <c r="BI2349" s="355">
        <v>8.8888999999999996E-2</v>
      </c>
      <c r="BJ2349" s="624">
        <v>41542</v>
      </c>
      <c r="BK2349" s="355">
        <v>3.1989999999999998E-2</v>
      </c>
    </row>
    <row r="2350" spans="3:63" x14ac:dyDescent="0.15">
      <c r="C2350" s="624"/>
      <c r="D2350" s="355">
        <v>3.1050000000000001E-2</v>
      </c>
      <c r="AV2350" s="624"/>
      <c r="AX2350" s="624">
        <v>41549</v>
      </c>
      <c r="AY2350" s="355">
        <v>3.1050000000000001E-2</v>
      </c>
      <c r="AZ2350" s="624">
        <v>41613</v>
      </c>
      <c r="BA2350" s="355">
        <v>1.2E-2</v>
      </c>
      <c r="BB2350" s="624">
        <v>41544</v>
      </c>
      <c r="BC2350" s="355">
        <v>0.32029999999999997</v>
      </c>
      <c r="BD2350" s="624">
        <v>41544</v>
      </c>
      <c r="BE2350" s="355">
        <v>9.3030000000000002E-2</v>
      </c>
      <c r="BF2350" s="624">
        <v>41676</v>
      </c>
      <c r="BG2350" s="355">
        <v>1.6077999999999999E-2</v>
      </c>
      <c r="BH2350" s="624">
        <v>41544</v>
      </c>
      <c r="BI2350" s="355">
        <v>8.8378999999999999E-2</v>
      </c>
      <c r="BJ2350" s="624">
        <v>41543</v>
      </c>
      <c r="BK2350" s="355">
        <v>3.2050000000000002E-2</v>
      </c>
    </row>
    <row r="2351" spans="3:63" x14ac:dyDescent="0.15">
      <c r="C2351" s="624"/>
      <c r="D2351" s="355">
        <v>3.1050000000000001E-2</v>
      </c>
      <c r="AV2351" s="624"/>
      <c r="AX2351" s="624">
        <v>41550</v>
      </c>
      <c r="AY2351" s="355">
        <v>3.1099999999999999E-2</v>
      </c>
      <c r="AZ2351" s="624">
        <v>41614</v>
      </c>
      <c r="BA2351" s="355">
        <v>1.1900000000000001E-2</v>
      </c>
      <c r="BB2351" s="624">
        <v>41547</v>
      </c>
      <c r="BC2351" s="355">
        <v>0.32040000000000002</v>
      </c>
      <c r="BD2351" s="624">
        <v>41547</v>
      </c>
      <c r="BE2351" s="355">
        <v>9.2960000000000001E-2</v>
      </c>
      <c r="BF2351" s="624">
        <v>41677</v>
      </c>
      <c r="BG2351" s="355">
        <v>1.61E-2</v>
      </c>
      <c r="BH2351" s="624">
        <v>41547</v>
      </c>
      <c r="BI2351" s="355">
        <v>8.6820999999999995E-2</v>
      </c>
      <c r="BJ2351" s="624">
        <v>41544</v>
      </c>
      <c r="BK2351" s="355">
        <v>3.1918000000000002E-2</v>
      </c>
    </row>
    <row r="2352" spans="3:63" x14ac:dyDescent="0.15">
      <c r="C2352" s="624"/>
      <c r="D2352" s="355">
        <v>3.1099999999999999E-2</v>
      </c>
      <c r="AV2352" s="624"/>
      <c r="AX2352" s="624">
        <v>41551</v>
      </c>
      <c r="AY2352" s="355">
        <v>3.108E-2</v>
      </c>
      <c r="AZ2352" s="624">
        <v>41617</v>
      </c>
      <c r="BA2352" s="355">
        <v>1.2E-2</v>
      </c>
      <c r="BB2352" s="624">
        <v>41548</v>
      </c>
      <c r="BC2352" s="355">
        <v>0.32050000000000001</v>
      </c>
      <c r="BD2352" s="624">
        <v>41548</v>
      </c>
      <c r="BE2352" s="355">
        <v>9.3130000000000004E-2</v>
      </c>
      <c r="BF2352" s="624">
        <v>41680</v>
      </c>
      <c r="BG2352" s="355">
        <v>1.6046999999999999E-2</v>
      </c>
      <c r="BH2352" s="624">
        <v>41548</v>
      </c>
      <c r="BI2352" s="355">
        <v>8.7983000000000006E-2</v>
      </c>
      <c r="BJ2352" s="624">
        <v>41547</v>
      </c>
      <c r="BK2352" s="355">
        <v>3.2009999999999997E-2</v>
      </c>
    </row>
    <row r="2353" spans="3:63" x14ac:dyDescent="0.15">
      <c r="C2353" s="624"/>
      <c r="D2353" s="355">
        <v>3.108E-2</v>
      </c>
      <c r="AV2353" s="624"/>
      <c r="AX2353" s="624">
        <v>41554</v>
      </c>
      <c r="AY2353" s="355">
        <v>3.1029999999999999E-2</v>
      </c>
      <c r="AZ2353" s="624">
        <v>41618</v>
      </c>
      <c r="BA2353" s="355">
        <v>1.2E-2</v>
      </c>
      <c r="BB2353" s="624">
        <v>41549</v>
      </c>
      <c r="BC2353" s="355">
        <v>0.32200000000000001</v>
      </c>
      <c r="BD2353" s="624">
        <v>41549</v>
      </c>
      <c r="BE2353" s="355">
        <v>9.3179999999999999E-2</v>
      </c>
      <c r="BF2353" s="624">
        <v>41681</v>
      </c>
      <c r="BG2353" s="355">
        <v>1.6121E-2</v>
      </c>
      <c r="BH2353" s="624">
        <v>41549</v>
      </c>
      <c r="BI2353" s="355">
        <v>8.8496000000000005E-2</v>
      </c>
      <c r="BJ2353" s="624">
        <v>41548</v>
      </c>
      <c r="BK2353" s="355">
        <v>3.2042000000000001E-2</v>
      </c>
    </row>
    <row r="2354" spans="3:63" x14ac:dyDescent="0.15">
      <c r="C2354" s="624"/>
      <c r="D2354" s="355">
        <v>3.1029999999999999E-2</v>
      </c>
      <c r="AV2354" s="624"/>
      <c r="AX2354" s="624">
        <v>41555</v>
      </c>
      <c r="AY2354" s="355">
        <v>3.0859999999999999E-2</v>
      </c>
      <c r="AZ2354" s="624">
        <v>41619</v>
      </c>
      <c r="BA2354" s="355">
        <v>1.2E-2</v>
      </c>
      <c r="BB2354" s="624">
        <v>41550</v>
      </c>
      <c r="BC2354" s="355">
        <v>0.32429999999999998</v>
      </c>
      <c r="BD2354" s="624">
        <v>41550</v>
      </c>
      <c r="BE2354" s="355">
        <v>9.3259999999999996E-2</v>
      </c>
      <c r="BF2354" s="624">
        <v>41682</v>
      </c>
      <c r="BG2354" s="355">
        <v>1.6160999999999998E-2</v>
      </c>
      <c r="BH2354" s="624">
        <v>41550</v>
      </c>
      <c r="BI2354" s="355">
        <v>8.8521000000000002E-2</v>
      </c>
      <c r="BJ2354" s="624">
        <v>41549</v>
      </c>
      <c r="BK2354" s="355">
        <v>3.1980000000000001E-2</v>
      </c>
    </row>
    <row r="2355" spans="3:63" x14ac:dyDescent="0.15">
      <c r="C2355" s="624"/>
      <c r="D2355" s="355">
        <v>3.0859999999999999E-2</v>
      </c>
      <c r="AV2355" s="624"/>
      <c r="AX2355" s="624">
        <v>41556</v>
      </c>
      <c r="AY2355" s="355">
        <v>3.092E-2</v>
      </c>
      <c r="AZ2355" s="624">
        <v>41620</v>
      </c>
      <c r="BA2355" s="355">
        <v>1.2E-2</v>
      </c>
      <c r="BB2355" s="624">
        <v>41551</v>
      </c>
      <c r="BC2355" s="355">
        <v>0.32279999999999998</v>
      </c>
      <c r="BD2355" s="624">
        <v>41551</v>
      </c>
      <c r="BE2355" s="355">
        <v>9.3329999999999996E-2</v>
      </c>
      <c r="BF2355" s="624">
        <v>41683</v>
      </c>
      <c r="BG2355" s="355">
        <v>1.6087000000000001E-2</v>
      </c>
      <c r="BH2355" s="624">
        <v>41551</v>
      </c>
      <c r="BI2355" s="355">
        <v>8.9625999999999997E-2</v>
      </c>
      <c r="BJ2355" s="624">
        <v>41550</v>
      </c>
      <c r="BK2355" s="355">
        <v>3.1959000000000001E-2</v>
      </c>
    </row>
    <row r="2356" spans="3:63" x14ac:dyDescent="0.15">
      <c r="C2356" s="624"/>
      <c r="D2356" s="355">
        <v>3.092E-2</v>
      </c>
      <c r="AV2356" s="624"/>
      <c r="AX2356" s="624">
        <v>41557</v>
      </c>
      <c r="AY2356" s="355">
        <v>3.107E-2</v>
      </c>
      <c r="AZ2356" s="624">
        <v>41621</v>
      </c>
      <c r="BA2356" s="355">
        <v>1.2E-2</v>
      </c>
      <c r="BB2356" s="624">
        <v>41554</v>
      </c>
      <c r="BC2356" s="355">
        <v>0.32340000000000002</v>
      </c>
      <c r="BD2356" s="624">
        <v>41554</v>
      </c>
      <c r="BE2356" s="355">
        <v>9.3289999999999998E-2</v>
      </c>
      <c r="BF2356" s="624">
        <v>41684</v>
      </c>
      <c r="BG2356" s="355">
        <v>1.6167000000000001E-2</v>
      </c>
      <c r="BH2356" s="624">
        <v>41554</v>
      </c>
      <c r="BI2356" s="355">
        <v>8.9287000000000005E-2</v>
      </c>
      <c r="BJ2356" s="624">
        <v>41551</v>
      </c>
      <c r="BK2356" s="355">
        <v>3.1974000000000002E-2</v>
      </c>
    </row>
    <row r="2357" spans="3:63" x14ac:dyDescent="0.15">
      <c r="C2357" s="624"/>
      <c r="D2357" s="355">
        <v>3.107E-2</v>
      </c>
      <c r="AV2357" s="624"/>
      <c r="AX2357" s="624">
        <v>41558</v>
      </c>
      <c r="AY2357" s="355">
        <v>3.1029999999999999E-2</v>
      </c>
      <c r="AZ2357" s="624">
        <v>41624</v>
      </c>
      <c r="BA2357" s="355">
        <v>1.2E-2</v>
      </c>
      <c r="BB2357" s="624">
        <v>41555</v>
      </c>
      <c r="BC2357" s="355">
        <v>0.32340000000000002</v>
      </c>
      <c r="BD2357" s="624">
        <v>41555</v>
      </c>
      <c r="BE2357" s="355">
        <v>9.3030000000000002E-2</v>
      </c>
      <c r="BF2357" s="624">
        <v>41687</v>
      </c>
      <c r="BG2357" s="355">
        <v>1.6191000000000001E-2</v>
      </c>
      <c r="BH2357" s="624">
        <v>41555</v>
      </c>
      <c r="BI2357" s="355">
        <v>8.9525999999999994E-2</v>
      </c>
      <c r="BJ2357" s="624">
        <v>41554</v>
      </c>
      <c r="BK2357" s="355">
        <v>3.1857999999999997E-2</v>
      </c>
    </row>
    <row r="2358" spans="3:63" x14ac:dyDescent="0.15">
      <c r="C2358" s="624"/>
      <c r="D2358" s="355">
        <v>3.1029999999999999E-2</v>
      </c>
      <c r="AV2358" s="624"/>
      <c r="AX2358" s="624">
        <v>41561</v>
      </c>
      <c r="AY2358" s="355">
        <v>3.1019999999999999E-2</v>
      </c>
      <c r="AZ2358" s="624">
        <v>41625</v>
      </c>
      <c r="BA2358" s="355">
        <v>1.2E-2</v>
      </c>
      <c r="BB2358" s="624">
        <v>41556</v>
      </c>
      <c r="BC2358" s="355">
        <v>0.32229999999999998</v>
      </c>
      <c r="BD2358" s="624">
        <v>41556</v>
      </c>
      <c r="BE2358" s="355">
        <v>9.2950000000000005E-2</v>
      </c>
      <c r="BF2358" s="624">
        <v>41688</v>
      </c>
      <c r="BG2358" s="355">
        <v>1.6086E-2</v>
      </c>
      <c r="BH2358" s="624">
        <v>41556</v>
      </c>
      <c r="BI2358" s="355">
        <v>8.9815999999999993E-2</v>
      </c>
      <c r="BJ2358" s="624">
        <v>41555</v>
      </c>
      <c r="BK2358" s="355">
        <v>3.1866999999999999E-2</v>
      </c>
    </row>
    <row r="2359" spans="3:63" x14ac:dyDescent="0.15">
      <c r="C2359" s="624"/>
      <c r="D2359" s="355">
        <v>3.1019999999999999E-2</v>
      </c>
      <c r="AV2359" s="624"/>
      <c r="AX2359" s="624">
        <v>41562</v>
      </c>
      <c r="AY2359" s="355">
        <v>3.091E-2</v>
      </c>
      <c r="AZ2359" s="624">
        <v>41626</v>
      </c>
      <c r="BA2359" s="355">
        <v>1.1900000000000001E-2</v>
      </c>
      <c r="BB2359" s="624">
        <v>41557</v>
      </c>
      <c r="BC2359" s="355">
        <v>0.32319999999999999</v>
      </c>
      <c r="BD2359" s="624">
        <v>41557</v>
      </c>
      <c r="BE2359" s="355">
        <v>9.332E-2</v>
      </c>
      <c r="BF2359" s="624">
        <v>41689</v>
      </c>
      <c r="BG2359" s="355">
        <v>1.6028000000000001E-2</v>
      </c>
      <c r="BH2359" s="624">
        <v>41557</v>
      </c>
      <c r="BI2359" s="355">
        <v>9.0465000000000004E-2</v>
      </c>
      <c r="BJ2359" s="624">
        <v>41556</v>
      </c>
      <c r="BK2359" s="355">
        <v>3.1833E-2</v>
      </c>
    </row>
    <row r="2360" spans="3:63" x14ac:dyDescent="0.15">
      <c r="C2360" s="624"/>
      <c r="D2360" s="355">
        <v>3.091E-2</v>
      </c>
      <c r="AV2360" s="624"/>
      <c r="AX2360" s="624">
        <v>41563</v>
      </c>
      <c r="AY2360" s="355">
        <v>3.1210000000000002E-2</v>
      </c>
      <c r="AZ2360" s="624">
        <v>41627</v>
      </c>
      <c r="BA2360" s="355">
        <v>1.1900000000000001E-2</v>
      </c>
      <c r="BB2360" s="624">
        <v>41558</v>
      </c>
      <c r="BC2360" s="355">
        <v>0.32329999999999998</v>
      </c>
      <c r="BD2360" s="624">
        <v>41558</v>
      </c>
      <c r="BE2360" s="355">
        <v>9.3329999999999996E-2</v>
      </c>
      <c r="BF2360" s="624">
        <v>41690</v>
      </c>
      <c r="BG2360" s="355">
        <v>1.6102999999999999E-2</v>
      </c>
      <c r="BH2360" s="624">
        <v>41558</v>
      </c>
      <c r="BI2360" s="355">
        <v>9.1283000000000003E-2</v>
      </c>
      <c r="BJ2360" s="624">
        <v>41557</v>
      </c>
      <c r="BK2360" s="355">
        <v>3.1905999999999997E-2</v>
      </c>
    </row>
    <row r="2361" spans="3:63" x14ac:dyDescent="0.15">
      <c r="C2361" s="624"/>
      <c r="D2361" s="355">
        <v>3.1210000000000002E-2</v>
      </c>
      <c r="AV2361" s="624"/>
      <c r="AX2361" s="624">
        <v>41564</v>
      </c>
      <c r="AY2361" s="355">
        <v>3.1379999999999998E-2</v>
      </c>
      <c r="AZ2361" s="624">
        <v>41628</v>
      </c>
      <c r="BA2361" s="355">
        <v>1.1900000000000001E-2</v>
      </c>
      <c r="BB2361" s="624">
        <v>41561</v>
      </c>
      <c r="BC2361" s="355">
        <v>0.32419999999999999</v>
      </c>
      <c r="BD2361" s="624">
        <v>41561</v>
      </c>
      <c r="BE2361" s="355">
        <v>9.3299999999999994E-2</v>
      </c>
      <c r="BF2361" s="624">
        <v>41691</v>
      </c>
      <c r="BG2361" s="355">
        <v>1.6119000000000001E-2</v>
      </c>
      <c r="BH2361" s="624">
        <v>41561</v>
      </c>
      <c r="BI2361" s="355">
        <v>9.1911999999999994E-2</v>
      </c>
      <c r="BJ2361" s="624">
        <v>41558</v>
      </c>
      <c r="BK2361" s="355">
        <v>3.1961999999999997E-2</v>
      </c>
    </row>
    <row r="2362" spans="3:63" x14ac:dyDescent="0.15">
      <c r="C2362" s="624"/>
      <c r="D2362" s="355">
        <v>3.1379999999999998E-2</v>
      </c>
      <c r="AV2362" s="624"/>
      <c r="AX2362" s="624">
        <v>41565</v>
      </c>
      <c r="AY2362" s="355">
        <v>3.1350000000000003E-2</v>
      </c>
      <c r="AZ2362" s="624">
        <v>41631</v>
      </c>
      <c r="BA2362" s="355">
        <v>1.1900000000000001E-2</v>
      </c>
      <c r="BB2362" s="624">
        <v>41562</v>
      </c>
      <c r="BC2362" s="355">
        <v>0.32400000000000001</v>
      </c>
      <c r="BD2362" s="624">
        <v>41562</v>
      </c>
      <c r="BE2362" s="355">
        <v>9.3729999999999994E-2</v>
      </c>
      <c r="BF2362" s="624">
        <v>41694</v>
      </c>
      <c r="BG2362" s="355">
        <v>1.6164999999999999E-2</v>
      </c>
      <c r="BH2362" s="624">
        <v>41562</v>
      </c>
      <c r="BI2362" s="355">
        <v>9.0985999999999997E-2</v>
      </c>
      <c r="BJ2362" s="624">
        <v>41561</v>
      </c>
      <c r="BK2362" s="355">
        <v>3.1968999999999997E-2</v>
      </c>
    </row>
    <row r="2363" spans="3:63" x14ac:dyDescent="0.15">
      <c r="C2363" s="624"/>
      <c r="D2363" s="355">
        <v>3.1350000000000003E-2</v>
      </c>
      <c r="AV2363" s="624"/>
      <c r="AX2363" s="624">
        <v>41568</v>
      </c>
      <c r="AY2363" s="355">
        <v>3.1269999999999999E-2</v>
      </c>
      <c r="AZ2363" s="624">
        <v>41632</v>
      </c>
      <c r="BA2363" s="355">
        <v>1.1900000000000001E-2</v>
      </c>
      <c r="BB2363" s="624">
        <v>41563</v>
      </c>
      <c r="BC2363" s="355">
        <v>0.32490000000000002</v>
      </c>
      <c r="BD2363" s="624">
        <v>41563</v>
      </c>
      <c r="BE2363" s="355">
        <v>9.3740000000000004E-2</v>
      </c>
      <c r="BF2363" s="624">
        <v>41695</v>
      </c>
      <c r="BG2363" s="355">
        <v>1.6146000000000001E-2</v>
      </c>
      <c r="BH2363" s="624">
        <v>41563</v>
      </c>
      <c r="BI2363" s="355">
        <v>9.1467000000000007E-2</v>
      </c>
      <c r="BJ2363" s="624">
        <v>41562</v>
      </c>
      <c r="BK2363" s="355">
        <v>3.1968000000000003E-2</v>
      </c>
    </row>
    <row r="2364" spans="3:63" x14ac:dyDescent="0.15">
      <c r="C2364" s="624"/>
      <c r="D2364" s="355">
        <v>3.1269999999999999E-2</v>
      </c>
      <c r="AV2364" s="624"/>
      <c r="AX2364" s="624">
        <v>41569</v>
      </c>
      <c r="AY2364" s="355">
        <v>3.1550000000000002E-2</v>
      </c>
      <c r="AZ2364" s="624">
        <v>41633</v>
      </c>
      <c r="BA2364" s="355">
        <v>1.2E-2</v>
      </c>
      <c r="BB2364" s="624">
        <v>41564</v>
      </c>
      <c r="BC2364" s="355">
        <v>0.32829999999999998</v>
      </c>
      <c r="BD2364" s="624">
        <v>41564</v>
      </c>
      <c r="BE2364" s="355">
        <v>9.4380000000000006E-2</v>
      </c>
      <c r="BF2364" s="624">
        <v>41696</v>
      </c>
      <c r="BG2364" s="355">
        <v>1.6095000000000002E-2</v>
      </c>
      <c r="BH2364" s="624">
        <v>41564</v>
      </c>
      <c r="BI2364" s="355">
        <v>9.2422000000000004E-2</v>
      </c>
      <c r="BJ2364" s="624">
        <v>41563</v>
      </c>
      <c r="BK2364" s="355">
        <v>3.2001000000000002E-2</v>
      </c>
    </row>
    <row r="2365" spans="3:63" x14ac:dyDescent="0.15">
      <c r="C2365" s="624"/>
      <c r="D2365" s="355">
        <v>3.1550000000000002E-2</v>
      </c>
      <c r="AV2365" s="624"/>
      <c r="AX2365" s="624">
        <v>41570</v>
      </c>
      <c r="AY2365" s="355">
        <v>3.15E-2</v>
      </c>
      <c r="AZ2365" s="624">
        <v>41634</v>
      </c>
      <c r="BA2365" s="355">
        <v>1.1900000000000001E-2</v>
      </c>
      <c r="BB2365" s="624">
        <v>41565</v>
      </c>
      <c r="BC2365" s="355">
        <v>0.3281</v>
      </c>
      <c r="BD2365" s="624">
        <v>41565</v>
      </c>
      <c r="BE2365" s="355">
        <v>9.4280000000000003E-2</v>
      </c>
      <c r="BF2365" s="624">
        <v>41697</v>
      </c>
      <c r="BG2365" s="355">
        <v>1.6136000000000001E-2</v>
      </c>
      <c r="BH2365" s="624">
        <v>41565</v>
      </c>
      <c r="BI2365" s="355">
        <v>9.2060000000000003E-2</v>
      </c>
      <c r="BJ2365" s="624">
        <v>41564</v>
      </c>
      <c r="BK2365" s="355">
        <v>3.2223000000000002E-2</v>
      </c>
    </row>
    <row r="2366" spans="3:63" x14ac:dyDescent="0.15">
      <c r="C2366" s="624"/>
      <c r="D2366" s="355">
        <v>3.15E-2</v>
      </c>
      <c r="AV2366" s="624"/>
      <c r="AX2366" s="624">
        <v>41571</v>
      </c>
      <c r="AY2366" s="355">
        <v>3.1550000000000002E-2</v>
      </c>
      <c r="AZ2366" s="624">
        <v>41635</v>
      </c>
      <c r="BA2366" s="355">
        <v>1.2E-2</v>
      </c>
      <c r="BB2366" s="624">
        <v>41568</v>
      </c>
      <c r="BC2366" s="355">
        <v>0.32779999999999998</v>
      </c>
      <c r="BD2366" s="624">
        <v>41568</v>
      </c>
      <c r="BE2366" s="355">
        <v>9.4109999999999999E-2</v>
      </c>
      <c r="BF2366" s="624">
        <v>41698</v>
      </c>
      <c r="BG2366" s="355">
        <v>1.6164999999999999E-2</v>
      </c>
      <c r="BH2366" s="624">
        <v>41568</v>
      </c>
      <c r="BI2366" s="355">
        <v>9.1601000000000002E-2</v>
      </c>
      <c r="BJ2366" s="624">
        <v>41565</v>
      </c>
      <c r="BK2366" s="355">
        <v>3.2205999999999999E-2</v>
      </c>
    </row>
    <row r="2367" spans="3:63" x14ac:dyDescent="0.15">
      <c r="C2367" s="624"/>
      <c r="D2367" s="355">
        <v>3.1550000000000002E-2</v>
      </c>
      <c r="AV2367" s="624"/>
      <c r="AX2367" s="624">
        <v>41572</v>
      </c>
      <c r="AY2367" s="355">
        <v>3.1440000000000003E-2</v>
      </c>
      <c r="AZ2367" s="624">
        <v>41638</v>
      </c>
      <c r="BA2367" s="355">
        <v>1.21E-2</v>
      </c>
      <c r="BB2367" s="624">
        <v>41569</v>
      </c>
      <c r="BC2367" s="355">
        <v>0.33079999999999998</v>
      </c>
      <c r="BD2367" s="624">
        <v>41569</v>
      </c>
      <c r="BE2367" s="355">
        <v>9.4530000000000003E-2</v>
      </c>
      <c r="BF2367" s="624">
        <v>41701</v>
      </c>
      <c r="BG2367" s="355">
        <v>1.6074999999999999E-2</v>
      </c>
      <c r="BH2367" s="624">
        <v>41569</v>
      </c>
      <c r="BI2367" s="355">
        <v>9.2737E-2</v>
      </c>
      <c r="BJ2367" s="624">
        <v>41568</v>
      </c>
      <c r="BK2367" s="355">
        <v>3.2148999999999997E-2</v>
      </c>
    </row>
    <row r="2368" spans="3:63" x14ac:dyDescent="0.15">
      <c r="C2368" s="624"/>
      <c r="D2368" s="355">
        <v>3.1440000000000003E-2</v>
      </c>
      <c r="AV2368" s="624"/>
      <c r="AX2368" s="624">
        <v>41575</v>
      </c>
      <c r="AY2368" s="355">
        <v>3.1329999999999997E-2</v>
      </c>
      <c r="AZ2368" s="624">
        <v>41639</v>
      </c>
      <c r="BA2368" s="355">
        <v>1.2E-2</v>
      </c>
      <c r="BB2368" s="624">
        <v>41570</v>
      </c>
      <c r="BC2368" s="355">
        <v>0.32929999999999998</v>
      </c>
      <c r="BD2368" s="624">
        <v>41570</v>
      </c>
      <c r="BE2368" s="355">
        <v>9.4539999999999999E-2</v>
      </c>
      <c r="BF2368" s="624">
        <v>41702</v>
      </c>
      <c r="BG2368" s="355">
        <v>1.6150999999999999E-2</v>
      </c>
      <c r="BH2368" s="624">
        <v>41570</v>
      </c>
      <c r="BI2368" s="355">
        <v>9.1600000000000001E-2</v>
      </c>
      <c r="BJ2368" s="624">
        <v>41569</v>
      </c>
      <c r="BK2368" s="355">
        <v>3.2224000000000003E-2</v>
      </c>
    </row>
    <row r="2369" spans="3:63" x14ac:dyDescent="0.15">
      <c r="C2369" s="624"/>
      <c r="D2369" s="355">
        <v>3.1329999999999997E-2</v>
      </c>
      <c r="AV2369" s="624"/>
      <c r="AX2369" s="624">
        <v>41576</v>
      </c>
      <c r="AY2369" s="355">
        <v>3.116E-2</v>
      </c>
      <c r="AZ2369" s="624">
        <v>41640</v>
      </c>
      <c r="BA2369" s="355">
        <v>1.2E-2</v>
      </c>
      <c r="BB2369" s="624">
        <v>41571</v>
      </c>
      <c r="BC2369" s="355">
        <v>0.3301</v>
      </c>
      <c r="BD2369" s="624">
        <v>41571</v>
      </c>
      <c r="BE2369" s="355">
        <v>9.4119999999999995E-2</v>
      </c>
      <c r="BF2369" s="624">
        <v>41703</v>
      </c>
      <c r="BG2369" s="355">
        <v>1.6296000000000001E-2</v>
      </c>
      <c r="BH2369" s="624">
        <v>41571</v>
      </c>
      <c r="BI2369" s="355">
        <v>8.9686000000000002E-2</v>
      </c>
      <c r="BJ2369" s="624">
        <v>41570</v>
      </c>
      <c r="BK2369" s="355">
        <v>3.2050000000000002E-2</v>
      </c>
    </row>
    <row r="2370" spans="3:63" x14ac:dyDescent="0.15">
      <c r="C2370" s="624"/>
      <c r="D2370" s="355">
        <v>3.116E-2</v>
      </c>
      <c r="AV2370" s="624"/>
      <c r="AX2370" s="624">
        <v>41577</v>
      </c>
      <c r="AY2370" s="355">
        <v>3.1260000000000003E-2</v>
      </c>
      <c r="AZ2370" s="624">
        <v>41641</v>
      </c>
      <c r="BA2370" s="355">
        <v>1.1900000000000001E-2</v>
      </c>
      <c r="BB2370" s="624">
        <v>41572</v>
      </c>
      <c r="BC2370" s="355">
        <v>0.3301</v>
      </c>
      <c r="BD2370" s="624">
        <v>41572</v>
      </c>
      <c r="BE2370" s="355">
        <v>9.4130000000000005E-2</v>
      </c>
      <c r="BF2370" s="624">
        <v>41704</v>
      </c>
      <c r="BG2370" s="355">
        <v>1.6414999999999999E-2</v>
      </c>
      <c r="BH2370" s="624">
        <v>41572</v>
      </c>
      <c r="BI2370" s="355">
        <v>9.0805999999999998E-2</v>
      </c>
      <c r="BJ2370" s="624">
        <v>41571</v>
      </c>
      <c r="BK2370" s="355">
        <v>3.2101999999999999E-2</v>
      </c>
    </row>
    <row r="2371" spans="3:63" x14ac:dyDescent="0.15">
      <c r="C2371" s="624"/>
      <c r="D2371" s="355">
        <v>3.1260000000000003E-2</v>
      </c>
      <c r="AV2371" s="624"/>
      <c r="AX2371" s="624">
        <v>41578</v>
      </c>
      <c r="AY2371" s="355">
        <v>3.1189999999999999E-2</v>
      </c>
      <c r="AZ2371" s="624">
        <v>41642</v>
      </c>
      <c r="BA2371" s="355">
        <v>1.18E-2</v>
      </c>
      <c r="BB2371" s="624">
        <v>41575</v>
      </c>
      <c r="BC2371" s="355">
        <v>0.32969999999999999</v>
      </c>
      <c r="BD2371" s="624">
        <v>41575</v>
      </c>
      <c r="BE2371" s="355">
        <v>9.418E-2</v>
      </c>
      <c r="BF2371" s="624">
        <v>41705</v>
      </c>
      <c r="BG2371" s="355">
        <v>1.6337999999999998E-2</v>
      </c>
      <c r="BH2371" s="624">
        <v>41575</v>
      </c>
      <c r="BI2371" s="355">
        <v>9.0472999999999998E-2</v>
      </c>
      <c r="BJ2371" s="624">
        <v>41572</v>
      </c>
      <c r="BK2371" s="355">
        <v>3.2197000000000003E-2</v>
      </c>
    </row>
    <row r="2372" spans="3:63" x14ac:dyDescent="0.15">
      <c r="C2372" s="624"/>
      <c r="D2372" s="355">
        <v>3.1189999999999999E-2</v>
      </c>
      <c r="AV2372" s="624"/>
      <c r="AX2372" s="624">
        <v>41579</v>
      </c>
      <c r="AY2372" s="355">
        <v>3.0859999999999999E-2</v>
      </c>
      <c r="AZ2372" s="624">
        <v>41645</v>
      </c>
      <c r="BA2372" s="355">
        <v>1.1900000000000001E-2</v>
      </c>
      <c r="BB2372" s="624">
        <v>41576</v>
      </c>
      <c r="BC2372" s="355">
        <v>0.32829999999999998</v>
      </c>
      <c r="BD2372" s="624">
        <v>41576</v>
      </c>
      <c r="BE2372" s="355">
        <v>9.4089999999999993E-2</v>
      </c>
      <c r="BF2372" s="624">
        <v>41708</v>
      </c>
      <c r="BG2372" s="355">
        <v>1.6395E-2</v>
      </c>
      <c r="BH2372" s="624">
        <v>41576</v>
      </c>
      <c r="BI2372" s="355">
        <v>9.0050000000000005E-2</v>
      </c>
      <c r="BJ2372" s="624">
        <v>41575</v>
      </c>
      <c r="BK2372" s="355">
        <v>3.2205999999999999E-2</v>
      </c>
    </row>
    <row r="2373" spans="3:63" x14ac:dyDescent="0.15">
      <c r="C2373" s="624"/>
      <c r="D2373" s="355">
        <v>3.0859999999999999E-2</v>
      </c>
      <c r="AV2373" s="624"/>
      <c r="AX2373" s="624">
        <v>41582</v>
      </c>
      <c r="AY2373" s="355">
        <v>3.0949999999999998E-2</v>
      </c>
      <c r="AZ2373" s="624">
        <v>41646</v>
      </c>
      <c r="BA2373" s="355">
        <v>1.1900000000000001E-2</v>
      </c>
      <c r="BB2373" s="624">
        <v>41577</v>
      </c>
      <c r="BC2373" s="355">
        <v>0.32850000000000001</v>
      </c>
      <c r="BD2373" s="624">
        <v>41577</v>
      </c>
      <c r="BE2373" s="355">
        <v>9.4339999999999993E-2</v>
      </c>
      <c r="BF2373" s="624">
        <v>41709</v>
      </c>
      <c r="BG2373" s="355">
        <v>1.6372999999999999E-2</v>
      </c>
      <c r="BH2373" s="624">
        <v>41577</v>
      </c>
      <c r="BI2373" s="355">
        <v>8.9485999999999996E-2</v>
      </c>
      <c r="BJ2373" s="624">
        <v>41576</v>
      </c>
      <c r="BK2373" s="355">
        <v>3.2196000000000002E-2</v>
      </c>
    </row>
    <row r="2374" spans="3:63" x14ac:dyDescent="0.15">
      <c r="C2374" s="624"/>
      <c r="D2374" s="355">
        <v>3.0949999999999998E-2</v>
      </c>
      <c r="AV2374" s="624"/>
      <c r="AX2374" s="624">
        <v>41583</v>
      </c>
      <c r="AY2374" s="355">
        <v>3.0720000000000001E-2</v>
      </c>
      <c r="AZ2374" s="624">
        <v>41647</v>
      </c>
      <c r="BA2374" s="355">
        <v>1.18E-2</v>
      </c>
      <c r="BB2374" s="624">
        <v>41578</v>
      </c>
      <c r="BC2374" s="355">
        <v>0.32479999999999998</v>
      </c>
      <c r="BD2374" s="624">
        <v>41578</v>
      </c>
      <c r="BE2374" s="355">
        <v>9.4259999999999997E-2</v>
      </c>
      <c r="BF2374" s="624">
        <v>41710</v>
      </c>
      <c r="BG2374" s="355">
        <v>1.6396999999999998E-2</v>
      </c>
      <c r="BH2374" s="624">
        <v>41578</v>
      </c>
      <c r="BI2374" s="355">
        <v>8.8711999999999999E-2</v>
      </c>
      <c r="BJ2374" s="624">
        <v>41577</v>
      </c>
      <c r="BK2374" s="355">
        <v>3.2149999999999998E-2</v>
      </c>
    </row>
    <row r="2375" spans="3:63" x14ac:dyDescent="0.15">
      <c r="C2375" s="624"/>
      <c r="D2375" s="355">
        <v>3.0720000000000001E-2</v>
      </c>
      <c r="AV2375" s="624"/>
      <c r="AX2375" s="624">
        <v>41584</v>
      </c>
      <c r="AY2375" s="355">
        <v>3.09E-2</v>
      </c>
      <c r="AZ2375" s="624">
        <v>41648</v>
      </c>
      <c r="BA2375" s="355">
        <v>1.18E-2</v>
      </c>
      <c r="BB2375" s="624">
        <v>41579</v>
      </c>
      <c r="BC2375" s="355">
        <v>0.32119999999999999</v>
      </c>
      <c r="BD2375" s="624">
        <v>41579</v>
      </c>
      <c r="BE2375" s="355">
        <v>9.4219999999999998E-2</v>
      </c>
      <c r="BF2375" s="624">
        <v>41711</v>
      </c>
      <c r="BG2375" s="355">
        <v>1.6268999999999999E-2</v>
      </c>
      <c r="BH2375" s="624">
        <v>41579</v>
      </c>
      <c r="BI2375" s="355">
        <v>8.8232000000000005E-2</v>
      </c>
      <c r="BJ2375" s="624">
        <v>41578</v>
      </c>
      <c r="BK2375" s="355">
        <v>3.2072000000000003E-2</v>
      </c>
    </row>
    <row r="2376" spans="3:63" x14ac:dyDescent="0.15">
      <c r="C2376" s="624"/>
      <c r="D2376" s="355">
        <v>3.09E-2</v>
      </c>
      <c r="AV2376" s="624"/>
      <c r="AX2376" s="624">
        <v>41585</v>
      </c>
      <c r="AY2376" s="355">
        <v>3.083E-2</v>
      </c>
      <c r="AZ2376" s="624">
        <v>41649</v>
      </c>
      <c r="BA2376" s="355">
        <v>1.1900000000000001E-2</v>
      </c>
      <c r="BB2376" s="624">
        <v>41582</v>
      </c>
      <c r="BC2376" s="355">
        <v>0.32319999999999999</v>
      </c>
      <c r="BD2376" s="624">
        <v>41582</v>
      </c>
      <c r="BE2376" s="355">
        <v>9.4119999999999995E-2</v>
      </c>
      <c r="BF2376" s="624">
        <v>41712</v>
      </c>
      <c r="BG2376" s="355">
        <v>1.6320999999999999E-2</v>
      </c>
      <c r="BH2376" s="624">
        <v>41582</v>
      </c>
      <c r="BI2376" s="355">
        <v>8.8067000000000006E-2</v>
      </c>
      <c r="BJ2376" s="624">
        <v>41579</v>
      </c>
      <c r="BK2376" s="355">
        <v>3.2058000000000003E-2</v>
      </c>
    </row>
    <row r="2377" spans="3:63" x14ac:dyDescent="0.15">
      <c r="C2377" s="624"/>
      <c r="D2377" s="355">
        <v>3.083E-2</v>
      </c>
      <c r="AV2377" s="624"/>
      <c r="AX2377" s="624">
        <v>41586</v>
      </c>
      <c r="AY2377" s="355">
        <v>3.0599999999999999E-2</v>
      </c>
      <c r="AZ2377" s="624">
        <v>41652</v>
      </c>
      <c r="BA2377" s="355">
        <v>1.1900000000000001E-2</v>
      </c>
      <c r="BB2377" s="624">
        <v>41583</v>
      </c>
      <c r="BC2377" s="355">
        <v>0.32190000000000002</v>
      </c>
      <c r="BD2377" s="624">
        <v>41583</v>
      </c>
      <c r="BE2377" s="355">
        <v>9.4100000000000003E-2</v>
      </c>
      <c r="BF2377" s="624">
        <v>41715</v>
      </c>
      <c r="BG2377" s="355">
        <v>1.6379000000000001E-2</v>
      </c>
      <c r="BH2377" s="624">
        <v>41583</v>
      </c>
      <c r="BI2377" s="355">
        <v>8.8145000000000001E-2</v>
      </c>
      <c r="BJ2377" s="624">
        <v>41582</v>
      </c>
      <c r="BK2377" s="355">
        <v>3.1969999999999998E-2</v>
      </c>
    </row>
    <row r="2378" spans="3:63" x14ac:dyDescent="0.15">
      <c r="C2378" s="624"/>
      <c r="D2378" s="355">
        <v>3.0599999999999999E-2</v>
      </c>
      <c r="AV2378" s="624"/>
      <c r="AX2378" s="624">
        <v>41589</v>
      </c>
      <c r="AY2378" s="355">
        <v>3.0450000000000001E-2</v>
      </c>
      <c r="AZ2378" s="624">
        <v>41653</v>
      </c>
      <c r="BA2378" s="355">
        <v>1.18E-2</v>
      </c>
      <c r="BB2378" s="624">
        <v>41584</v>
      </c>
      <c r="BC2378" s="355">
        <v>0.32379999999999998</v>
      </c>
      <c r="BD2378" s="624">
        <v>41584</v>
      </c>
      <c r="BE2378" s="355">
        <v>9.4320000000000001E-2</v>
      </c>
      <c r="BF2378" s="624">
        <v>41716</v>
      </c>
      <c r="BG2378" s="355">
        <v>1.6389000000000001E-2</v>
      </c>
      <c r="BH2378" s="624">
        <v>41584</v>
      </c>
      <c r="BI2378" s="355">
        <v>8.7547E-2</v>
      </c>
      <c r="BJ2378" s="624">
        <v>41583</v>
      </c>
      <c r="BK2378" s="355">
        <v>3.1951E-2</v>
      </c>
    </row>
    <row r="2379" spans="3:63" x14ac:dyDescent="0.15">
      <c r="C2379" s="624"/>
      <c r="D2379" s="355">
        <v>3.0450000000000001E-2</v>
      </c>
      <c r="AV2379" s="624"/>
      <c r="AX2379" s="624">
        <v>41590</v>
      </c>
      <c r="AY2379" s="355">
        <v>3.0429999999999999E-2</v>
      </c>
      <c r="AZ2379" s="624">
        <v>41654</v>
      </c>
      <c r="BA2379" s="355">
        <v>1.18E-2</v>
      </c>
      <c r="BB2379" s="624">
        <v>41585</v>
      </c>
      <c r="BC2379" s="355">
        <v>0.31990000000000002</v>
      </c>
      <c r="BD2379" s="624">
        <v>41585</v>
      </c>
      <c r="BE2379" s="355">
        <v>9.4030000000000002E-2</v>
      </c>
      <c r="BF2379" s="624">
        <v>41717</v>
      </c>
      <c r="BG2379" s="355">
        <v>1.6272999999999999E-2</v>
      </c>
      <c r="BH2379" s="624">
        <v>41585</v>
      </c>
      <c r="BI2379" s="355">
        <v>8.7753999999999999E-2</v>
      </c>
      <c r="BJ2379" s="624">
        <v>41584</v>
      </c>
      <c r="BK2379" s="355">
        <v>3.1989999999999998E-2</v>
      </c>
    </row>
    <row r="2380" spans="3:63" x14ac:dyDescent="0.15">
      <c r="C2380" s="624"/>
      <c r="D2380" s="355">
        <v>3.0429999999999999E-2</v>
      </c>
      <c r="AV2380" s="624"/>
      <c r="AX2380" s="624">
        <v>41591</v>
      </c>
      <c r="AY2380" s="355">
        <v>3.0530000000000002E-2</v>
      </c>
      <c r="AZ2380" s="624">
        <v>41655</v>
      </c>
      <c r="BA2380" s="355">
        <v>1.18E-2</v>
      </c>
      <c r="BB2380" s="624">
        <v>41586</v>
      </c>
      <c r="BC2380" s="355">
        <v>0.31990000000000002</v>
      </c>
      <c r="BD2380" s="624">
        <v>41586</v>
      </c>
      <c r="BE2380" s="355">
        <v>9.3780000000000002E-2</v>
      </c>
      <c r="BF2380" s="624">
        <v>41718</v>
      </c>
      <c r="BG2380" s="355">
        <v>1.6330000000000001E-2</v>
      </c>
      <c r="BH2380" s="624">
        <v>41586</v>
      </c>
      <c r="BI2380" s="355">
        <v>8.7593000000000004E-2</v>
      </c>
      <c r="BJ2380" s="624">
        <v>41585</v>
      </c>
      <c r="BK2380" s="355">
        <v>3.1918000000000002E-2</v>
      </c>
    </row>
    <row r="2381" spans="3:63" x14ac:dyDescent="0.15">
      <c r="C2381" s="624"/>
      <c r="D2381" s="355">
        <v>3.0530000000000002E-2</v>
      </c>
      <c r="AV2381" s="624"/>
      <c r="AX2381" s="624">
        <v>41592</v>
      </c>
      <c r="AY2381" s="355">
        <v>3.0620000000000001E-2</v>
      </c>
      <c r="AZ2381" s="624">
        <v>41656</v>
      </c>
      <c r="BA2381" s="355">
        <v>1.17E-2</v>
      </c>
      <c r="BB2381" s="624">
        <v>41589</v>
      </c>
      <c r="BC2381" s="355">
        <v>0.31809999999999999</v>
      </c>
      <c r="BD2381" s="624">
        <v>41589</v>
      </c>
      <c r="BE2381" s="355">
        <v>9.325E-2</v>
      </c>
      <c r="BF2381" s="624">
        <v>41719</v>
      </c>
      <c r="BG2381" s="355">
        <v>1.6393000000000001E-2</v>
      </c>
      <c r="BH2381" s="624">
        <v>41589</v>
      </c>
      <c r="BI2381" s="355">
        <v>8.6504999999999999E-2</v>
      </c>
      <c r="BJ2381" s="624">
        <v>41586</v>
      </c>
      <c r="BK2381" s="355">
        <v>3.1775999999999999E-2</v>
      </c>
    </row>
    <row r="2382" spans="3:63" x14ac:dyDescent="0.15">
      <c r="C2382" s="624"/>
      <c r="D2382" s="355">
        <v>3.0620000000000001E-2</v>
      </c>
      <c r="AV2382" s="624"/>
      <c r="AX2382" s="624">
        <v>41593</v>
      </c>
      <c r="AY2382" s="355">
        <v>3.0689999999999999E-2</v>
      </c>
      <c r="AZ2382" s="624">
        <v>41659</v>
      </c>
      <c r="BA2382" s="355">
        <v>1.18E-2</v>
      </c>
      <c r="BB2382" s="624">
        <v>41590</v>
      </c>
      <c r="BC2382" s="355">
        <v>0.31950000000000001</v>
      </c>
      <c r="BD2382" s="624">
        <v>41590</v>
      </c>
      <c r="BE2382" s="355">
        <v>9.3170000000000003E-2</v>
      </c>
      <c r="BF2382" s="624">
        <v>41722</v>
      </c>
      <c r="BG2382" s="355">
        <v>1.6494000000000002E-2</v>
      </c>
      <c r="BH2382" s="624">
        <v>41590</v>
      </c>
      <c r="BI2382" s="355">
        <v>8.6113999999999996E-2</v>
      </c>
      <c r="BJ2382" s="624">
        <v>41589</v>
      </c>
      <c r="BK2382" s="355">
        <v>3.1598000000000001E-2</v>
      </c>
    </row>
    <row r="2383" spans="3:63" x14ac:dyDescent="0.15">
      <c r="C2383" s="624"/>
      <c r="D2383" s="355">
        <v>3.0689999999999999E-2</v>
      </c>
      <c r="AV2383" s="624"/>
      <c r="AX2383" s="624">
        <v>41596</v>
      </c>
      <c r="AY2383" s="355">
        <v>3.0679999999999999E-2</v>
      </c>
      <c r="AZ2383" s="624">
        <v>41660</v>
      </c>
      <c r="BA2383" s="355">
        <v>1.17E-2</v>
      </c>
      <c r="BB2383" s="624">
        <v>41591</v>
      </c>
      <c r="BC2383" s="355">
        <v>0.32140000000000002</v>
      </c>
      <c r="BD2383" s="624">
        <v>41591</v>
      </c>
      <c r="BE2383" s="355">
        <v>9.3490000000000004E-2</v>
      </c>
      <c r="BF2383" s="624">
        <v>41723</v>
      </c>
      <c r="BG2383" s="355">
        <v>1.6597000000000001E-2</v>
      </c>
      <c r="BH2383" s="624">
        <v>41591</v>
      </c>
      <c r="BI2383" s="355">
        <v>8.6169999999999997E-2</v>
      </c>
      <c r="BJ2383" s="624">
        <v>41590</v>
      </c>
      <c r="BK2383" s="355">
        <v>3.1627000000000002E-2</v>
      </c>
    </row>
    <row r="2384" spans="3:63" x14ac:dyDescent="0.15">
      <c r="C2384" s="624"/>
      <c r="D2384" s="355">
        <v>3.0679999999999999E-2</v>
      </c>
      <c r="AV2384" s="624"/>
      <c r="AX2384" s="624">
        <v>41597</v>
      </c>
      <c r="AY2384" s="355">
        <v>3.0540000000000001E-2</v>
      </c>
      <c r="AZ2384" s="624">
        <v>41661</v>
      </c>
      <c r="BA2384" s="355">
        <v>1.17E-2</v>
      </c>
      <c r="BB2384" s="624">
        <v>41592</v>
      </c>
      <c r="BC2384" s="355">
        <v>0.3211</v>
      </c>
      <c r="BD2384" s="624">
        <v>41592</v>
      </c>
      <c r="BE2384" s="355">
        <v>9.357E-2</v>
      </c>
      <c r="BF2384" s="624">
        <v>41724</v>
      </c>
      <c r="BG2384" s="355">
        <v>1.661E-2</v>
      </c>
      <c r="BH2384" s="624">
        <v>41592</v>
      </c>
      <c r="BI2384" s="355">
        <v>8.7689000000000003E-2</v>
      </c>
      <c r="BJ2384" s="624">
        <v>41591</v>
      </c>
      <c r="BK2384" s="355">
        <v>3.1753999999999998E-2</v>
      </c>
    </row>
    <row r="2385" spans="3:63" x14ac:dyDescent="0.15">
      <c r="C2385" s="624"/>
      <c r="D2385" s="355">
        <v>3.0540000000000001E-2</v>
      </c>
      <c r="AV2385" s="624"/>
      <c r="AX2385" s="624">
        <v>41598</v>
      </c>
      <c r="AY2385" s="355">
        <v>3.039E-2</v>
      </c>
      <c r="AZ2385" s="624">
        <v>41662</v>
      </c>
      <c r="BA2385" s="355">
        <v>1.1900000000000001E-2</v>
      </c>
      <c r="BB2385" s="624">
        <v>41593</v>
      </c>
      <c r="BC2385" s="355">
        <v>0.32240000000000002</v>
      </c>
      <c r="BD2385" s="624">
        <v>41593</v>
      </c>
      <c r="BE2385" s="355">
        <v>9.4089999999999993E-2</v>
      </c>
      <c r="BF2385" s="624">
        <v>41725</v>
      </c>
      <c r="BG2385" s="355">
        <v>1.6615000000000001E-2</v>
      </c>
      <c r="BH2385" s="624">
        <v>41593</v>
      </c>
      <c r="BI2385" s="355">
        <v>8.6251999999999995E-2</v>
      </c>
      <c r="BJ2385" s="624">
        <v>41592</v>
      </c>
      <c r="BK2385" s="355">
        <v>3.1694E-2</v>
      </c>
    </row>
    <row r="2386" spans="3:63" x14ac:dyDescent="0.15">
      <c r="C2386" s="624"/>
      <c r="D2386" s="355">
        <v>3.039E-2</v>
      </c>
      <c r="AV2386" s="624"/>
      <c r="AX2386" s="624">
        <v>41599</v>
      </c>
      <c r="AY2386" s="355">
        <v>3.0290000000000001E-2</v>
      </c>
      <c r="AZ2386" s="624">
        <v>41663</v>
      </c>
      <c r="BA2386" s="355">
        <v>1.18E-2</v>
      </c>
      <c r="BB2386" s="624">
        <v>41596</v>
      </c>
      <c r="BC2386" s="355">
        <v>0.3236</v>
      </c>
      <c r="BD2386" s="624">
        <v>41596</v>
      </c>
      <c r="BE2386" s="355">
        <v>9.4530000000000003E-2</v>
      </c>
      <c r="BF2386" s="624">
        <v>41726</v>
      </c>
      <c r="BG2386" s="355">
        <v>1.67E-2</v>
      </c>
      <c r="BH2386" s="624">
        <v>41596</v>
      </c>
      <c r="BI2386" s="355">
        <v>8.7719000000000005E-2</v>
      </c>
      <c r="BJ2386" s="624">
        <v>41593</v>
      </c>
      <c r="BK2386" s="355">
        <v>3.1646000000000001E-2</v>
      </c>
    </row>
    <row r="2387" spans="3:63" x14ac:dyDescent="0.15">
      <c r="C2387" s="624"/>
      <c r="D2387" s="355">
        <v>3.0290000000000001E-2</v>
      </c>
      <c r="AV2387" s="624"/>
      <c r="AX2387" s="624">
        <v>41600</v>
      </c>
      <c r="AY2387" s="355">
        <v>3.0530000000000002E-2</v>
      </c>
      <c r="AZ2387" s="624">
        <v>41666</v>
      </c>
      <c r="BA2387" s="355">
        <v>1.18E-2</v>
      </c>
      <c r="BB2387" s="624">
        <v>41597</v>
      </c>
      <c r="BC2387" s="355">
        <v>0.32369999999999999</v>
      </c>
      <c r="BD2387" s="624">
        <v>41597</v>
      </c>
      <c r="BE2387" s="355">
        <v>9.4750000000000001E-2</v>
      </c>
      <c r="BF2387" s="624">
        <v>41730</v>
      </c>
      <c r="BG2387" s="355">
        <v>1.6723999999999999E-2</v>
      </c>
      <c r="BH2387" s="624">
        <v>41597</v>
      </c>
      <c r="BI2387" s="355">
        <v>8.7665999999999994E-2</v>
      </c>
      <c r="BJ2387" s="624">
        <v>41596</v>
      </c>
      <c r="BK2387" s="355">
        <v>3.1652E-2</v>
      </c>
    </row>
    <row r="2388" spans="3:63" x14ac:dyDescent="0.15">
      <c r="C2388" s="624"/>
      <c r="D2388" s="355">
        <v>3.0530000000000002E-2</v>
      </c>
      <c r="AV2388" s="624"/>
      <c r="AX2388" s="624">
        <v>41603</v>
      </c>
      <c r="AY2388" s="355">
        <v>3.0370000000000001E-2</v>
      </c>
      <c r="AZ2388" s="624">
        <v>41667</v>
      </c>
      <c r="BA2388" s="355">
        <v>1.18E-2</v>
      </c>
      <c r="BB2388" s="624">
        <v>41598</v>
      </c>
      <c r="BC2388" s="355">
        <v>0.3206</v>
      </c>
      <c r="BD2388" s="624">
        <v>41598</v>
      </c>
      <c r="BE2388" s="355">
        <v>9.4619999999999996E-2</v>
      </c>
      <c r="BF2388" s="624">
        <v>41731</v>
      </c>
      <c r="BG2388" s="355">
        <v>1.6712999999999999E-2</v>
      </c>
      <c r="BH2388" s="624">
        <v>41598</v>
      </c>
      <c r="BI2388" s="355">
        <v>8.6639999999999995E-2</v>
      </c>
      <c r="BJ2388" s="624">
        <v>41597</v>
      </c>
      <c r="BK2388" s="355">
        <v>3.1620000000000002E-2</v>
      </c>
    </row>
    <row r="2389" spans="3:63" x14ac:dyDescent="0.15">
      <c r="C2389" s="624"/>
      <c r="D2389" s="355">
        <v>3.0370000000000001E-2</v>
      </c>
      <c r="AV2389" s="624"/>
      <c r="AX2389" s="624">
        <v>41604</v>
      </c>
      <c r="AY2389" s="355">
        <v>3.0360000000000002E-2</v>
      </c>
      <c r="AZ2389" s="624">
        <v>41668</v>
      </c>
      <c r="BA2389" s="355">
        <v>1.18E-2</v>
      </c>
      <c r="BB2389" s="624">
        <v>41599</v>
      </c>
      <c r="BC2389" s="355">
        <v>0.32140000000000002</v>
      </c>
      <c r="BD2389" s="624">
        <v>41599</v>
      </c>
      <c r="BE2389" s="355">
        <v>9.4159999999999994E-2</v>
      </c>
      <c r="BF2389" s="624">
        <v>41732</v>
      </c>
      <c r="BG2389" s="355">
        <v>1.6558E-2</v>
      </c>
      <c r="BH2389" s="624">
        <v>41599</v>
      </c>
      <c r="BI2389" s="355">
        <v>8.5458999999999993E-2</v>
      </c>
      <c r="BJ2389" s="624">
        <v>41598</v>
      </c>
      <c r="BK2389" s="355">
        <v>3.1514E-2</v>
      </c>
    </row>
    <row r="2390" spans="3:63" x14ac:dyDescent="0.15">
      <c r="C2390" s="624"/>
      <c r="D2390" s="355">
        <v>3.0360000000000002E-2</v>
      </c>
      <c r="AV2390" s="624"/>
      <c r="AX2390" s="624">
        <v>41605</v>
      </c>
      <c r="AY2390" s="355">
        <v>3.014E-2</v>
      </c>
      <c r="AZ2390" s="624">
        <v>41669</v>
      </c>
      <c r="BA2390" s="355">
        <v>1.17E-2</v>
      </c>
      <c r="BB2390" s="624">
        <v>41600</v>
      </c>
      <c r="BC2390" s="355">
        <v>0.32319999999999999</v>
      </c>
      <c r="BD2390" s="624">
        <v>41600</v>
      </c>
      <c r="BE2390" s="355">
        <v>9.4219999999999998E-2</v>
      </c>
      <c r="BF2390" s="624">
        <v>41733</v>
      </c>
      <c r="BG2390" s="355">
        <v>1.6719000000000001E-2</v>
      </c>
      <c r="BH2390" s="624">
        <v>41600</v>
      </c>
      <c r="BI2390" s="355">
        <v>8.7010000000000004E-2</v>
      </c>
      <c r="BJ2390" s="624">
        <v>41599</v>
      </c>
      <c r="BK2390" s="355">
        <v>3.1411000000000001E-2</v>
      </c>
    </row>
    <row r="2391" spans="3:63" x14ac:dyDescent="0.15">
      <c r="C2391" s="624"/>
      <c r="D2391" s="355">
        <v>3.014E-2</v>
      </c>
      <c r="AV2391" s="624"/>
      <c r="AX2391" s="624">
        <v>41606</v>
      </c>
      <c r="AY2391" s="355">
        <v>3.015E-2</v>
      </c>
      <c r="AZ2391" s="624">
        <v>41670</v>
      </c>
      <c r="BA2391" s="355">
        <v>1.1599999999999999E-2</v>
      </c>
      <c r="BB2391" s="624">
        <v>41603</v>
      </c>
      <c r="BC2391" s="355">
        <v>0.32200000000000001</v>
      </c>
      <c r="BD2391" s="624">
        <v>41603</v>
      </c>
      <c r="BE2391" s="355">
        <v>9.4299999999999995E-2</v>
      </c>
      <c r="BF2391" s="624">
        <v>41736</v>
      </c>
      <c r="BG2391" s="355">
        <v>1.66E-2</v>
      </c>
      <c r="BH2391" s="624">
        <v>41603</v>
      </c>
      <c r="BI2391" s="355">
        <v>8.5125000000000006E-2</v>
      </c>
      <c r="BJ2391" s="624">
        <v>41600</v>
      </c>
      <c r="BK2391" s="355">
        <v>3.1433000000000003E-2</v>
      </c>
    </row>
    <row r="2392" spans="3:63" x14ac:dyDescent="0.15">
      <c r="C2392" s="624"/>
      <c r="D2392" s="355">
        <v>3.015E-2</v>
      </c>
      <c r="AV2392" s="624"/>
      <c r="AX2392" s="624">
        <v>41607</v>
      </c>
      <c r="AY2392" s="355">
        <v>3.0169999999999999E-2</v>
      </c>
      <c r="AZ2392" s="624">
        <v>41673</v>
      </c>
      <c r="BA2392" s="355">
        <v>1.17E-2</v>
      </c>
      <c r="BB2392" s="624">
        <v>41604</v>
      </c>
      <c r="BC2392" s="355">
        <v>0.32290000000000002</v>
      </c>
      <c r="BD2392" s="624">
        <v>41604</v>
      </c>
      <c r="BE2392" s="355">
        <v>9.4280000000000003E-2</v>
      </c>
      <c r="BF2392" s="624">
        <v>41737</v>
      </c>
      <c r="BG2392" s="355">
        <v>1.6635E-2</v>
      </c>
      <c r="BH2392" s="624">
        <v>41604</v>
      </c>
      <c r="BI2392" s="355">
        <v>8.48E-2</v>
      </c>
      <c r="BJ2392" s="624">
        <v>41603</v>
      </c>
      <c r="BK2392" s="355">
        <v>3.1213999999999999E-2</v>
      </c>
    </row>
    <row r="2393" spans="3:63" x14ac:dyDescent="0.15">
      <c r="C2393" s="624"/>
      <c r="D2393" s="355">
        <v>3.0169999999999999E-2</v>
      </c>
      <c r="AV2393" s="624"/>
      <c r="AX2393" s="624">
        <v>41610</v>
      </c>
      <c r="AY2393" s="355">
        <v>3.0099999999999998E-2</v>
      </c>
      <c r="AZ2393" s="624">
        <v>41674</v>
      </c>
      <c r="BA2393" s="355">
        <v>1.17E-2</v>
      </c>
      <c r="BB2393" s="624">
        <v>41605</v>
      </c>
      <c r="BC2393" s="355">
        <v>0.32290000000000002</v>
      </c>
      <c r="BD2393" s="624">
        <v>41605</v>
      </c>
      <c r="BE2393" s="355">
        <v>9.3890000000000001E-2</v>
      </c>
      <c r="BF2393" s="624">
        <v>41738</v>
      </c>
      <c r="BG2393" s="355">
        <v>1.6684999999999998E-2</v>
      </c>
      <c r="BH2393" s="624">
        <v>41605</v>
      </c>
      <c r="BI2393" s="355">
        <v>8.4055000000000005E-2</v>
      </c>
      <c r="BJ2393" s="624">
        <v>41604</v>
      </c>
      <c r="BK2393" s="355">
        <v>3.1119999999999998E-2</v>
      </c>
    </row>
    <row r="2394" spans="3:63" x14ac:dyDescent="0.15">
      <c r="C2394" s="624"/>
      <c r="D2394" s="355">
        <v>3.0099999999999998E-2</v>
      </c>
      <c r="AV2394" s="624"/>
      <c r="AX2394" s="624">
        <v>41611</v>
      </c>
      <c r="AY2394" s="355">
        <v>3.006E-2</v>
      </c>
      <c r="AZ2394" s="624">
        <v>41675</v>
      </c>
      <c r="BA2394" s="355">
        <v>1.17E-2</v>
      </c>
      <c r="BB2394" s="624">
        <v>41606</v>
      </c>
      <c r="BC2394" s="355">
        <v>0.32429999999999998</v>
      </c>
      <c r="BD2394" s="624">
        <v>41606</v>
      </c>
      <c r="BE2394" s="355">
        <v>9.4189999999999996E-2</v>
      </c>
      <c r="BF2394" s="624">
        <v>41739</v>
      </c>
      <c r="BG2394" s="355">
        <v>1.6553999999999999E-2</v>
      </c>
      <c r="BH2394" s="624">
        <v>41606</v>
      </c>
      <c r="BI2394" s="355">
        <v>8.4703000000000001E-2</v>
      </c>
      <c r="BJ2394" s="624">
        <v>41605</v>
      </c>
      <c r="BK2394" s="355">
        <v>3.1151999999999999E-2</v>
      </c>
    </row>
    <row r="2395" spans="3:63" x14ac:dyDescent="0.15">
      <c r="C2395" s="624"/>
      <c r="D2395" s="355">
        <v>3.006E-2</v>
      </c>
      <c r="AV2395" s="624"/>
      <c r="AX2395" s="624">
        <v>41612</v>
      </c>
      <c r="AY2395" s="355">
        <v>3.0130000000000001E-2</v>
      </c>
      <c r="AZ2395" s="624">
        <v>41676</v>
      </c>
      <c r="BA2395" s="355">
        <v>1.17E-2</v>
      </c>
      <c r="BB2395" s="624">
        <v>41607</v>
      </c>
      <c r="BC2395" s="355">
        <v>0.32319999999999999</v>
      </c>
      <c r="BD2395" s="624">
        <v>41607</v>
      </c>
      <c r="BE2395" s="355">
        <v>9.4500000000000001E-2</v>
      </c>
      <c r="BF2395" s="624">
        <v>41740</v>
      </c>
      <c r="BG2395" s="355">
        <v>1.6574999999999999E-2</v>
      </c>
      <c r="BH2395" s="624">
        <v>41607</v>
      </c>
      <c r="BI2395" s="355">
        <v>8.5070000000000007E-2</v>
      </c>
      <c r="BJ2395" s="624">
        <v>41606</v>
      </c>
      <c r="BK2395" s="355">
        <v>3.1136E-2</v>
      </c>
    </row>
    <row r="2396" spans="3:63" x14ac:dyDescent="0.15">
      <c r="C2396" s="624"/>
      <c r="D2396" s="355">
        <v>3.0130000000000001E-2</v>
      </c>
      <c r="AV2396" s="624"/>
      <c r="AX2396" s="624">
        <v>41613</v>
      </c>
      <c r="AY2396" s="355">
        <v>3.0349999999999999E-2</v>
      </c>
      <c r="AZ2396" s="624">
        <v>41677</v>
      </c>
      <c r="BA2396" s="355">
        <v>1.18E-2</v>
      </c>
      <c r="BB2396" s="624">
        <v>41610</v>
      </c>
      <c r="BC2396" s="355">
        <v>0.32229999999999998</v>
      </c>
      <c r="BD2396" s="624">
        <v>41610</v>
      </c>
      <c r="BE2396" s="355">
        <v>9.4469999999999998E-2</v>
      </c>
      <c r="BF2396" s="624">
        <v>41743</v>
      </c>
      <c r="BG2396" s="355">
        <v>1.6566000000000001E-2</v>
      </c>
      <c r="BH2396" s="624">
        <v>41610</v>
      </c>
      <c r="BI2396" s="355">
        <v>8.4961999999999996E-2</v>
      </c>
      <c r="BJ2396" s="624">
        <v>41607</v>
      </c>
      <c r="BK2396" s="355">
        <v>3.1171999999999998E-2</v>
      </c>
    </row>
    <row r="2397" spans="3:63" x14ac:dyDescent="0.15">
      <c r="C2397" s="624"/>
      <c r="D2397" s="355">
        <v>3.0349999999999999E-2</v>
      </c>
      <c r="AV2397" s="624"/>
      <c r="AX2397" s="624">
        <v>41614</v>
      </c>
      <c r="AY2397" s="355">
        <v>3.0499999999999999E-2</v>
      </c>
      <c r="AZ2397" s="624">
        <v>41680</v>
      </c>
      <c r="BA2397" s="355">
        <v>1.18E-2</v>
      </c>
      <c r="BB2397" s="624">
        <v>41611</v>
      </c>
      <c r="BC2397" s="355">
        <v>0.32329999999999998</v>
      </c>
      <c r="BD2397" s="624">
        <v>41611</v>
      </c>
      <c r="BE2397" s="355">
        <v>9.425E-2</v>
      </c>
      <c r="BF2397" s="624">
        <v>41744</v>
      </c>
      <c r="BG2397" s="355">
        <v>1.6555E-2</v>
      </c>
      <c r="BH2397" s="624">
        <v>41611</v>
      </c>
      <c r="BI2397" s="355">
        <v>8.4818000000000005E-2</v>
      </c>
      <c r="BJ2397" s="624">
        <v>41610</v>
      </c>
      <c r="BK2397" s="355">
        <v>3.1064999999999999E-2</v>
      </c>
    </row>
    <row r="2398" spans="3:63" x14ac:dyDescent="0.15">
      <c r="C2398" s="624"/>
      <c r="D2398" s="355">
        <v>3.0499999999999999E-2</v>
      </c>
      <c r="AV2398" s="624"/>
      <c r="AX2398" s="624">
        <v>41617</v>
      </c>
      <c r="AY2398" s="355">
        <v>3.0609999999999998E-2</v>
      </c>
      <c r="AZ2398" s="624">
        <v>41681</v>
      </c>
      <c r="BA2398" s="355">
        <v>1.18E-2</v>
      </c>
      <c r="BB2398" s="624">
        <v>41612</v>
      </c>
      <c r="BC2398" s="355">
        <v>0.3236</v>
      </c>
      <c r="BD2398" s="624">
        <v>41612</v>
      </c>
      <c r="BE2398" s="355">
        <v>9.4200000000000006E-2</v>
      </c>
      <c r="BF2398" s="624">
        <v>41745</v>
      </c>
      <c r="BG2398" s="355">
        <v>1.6587000000000001E-2</v>
      </c>
      <c r="BH2398" s="624">
        <v>41612</v>
      </c>
      <c r="BI2398" s="355">
        <v>8.4132999999999999E-2</v>
      </c>
      <c r="BJ2398" s="624">
        <v>41611</v>
      </c>
      <c r="BK2398" s="355">
        <v>3.1078999999999999E-2</v>
      </c>
    </row>
    <row r="2399" spans="3:63" x14ac:dyDescent="0.15">
      <c r="C2399" s="624"/>
      <c r="D2399" s="355">
        <v>3.0609999999999998E-2</v>
      </c>
      <c r="AV2399" s="624"/>
      <c r="AX2399" s="624">
        <v>41618</v>
      </c>
      <c r="AY2399" s="355">
        <v>3.0550000000000001E-2</v>
      </c>
      <c r="AZ2399" s="624">
        <v>41682</v>
      </c>
      <c r="BA2399" s="355">
        <v>1.17E-2</v>
      </c>
      <c r="BB2399" s="624">
        <v>41613</v>
      </c>
      <c r="BC2399" s="355">
        <v>0.32619999999999999</v>
      </c>
      <c r="BD2399" s="624">
        <v>41613</v>
      </c>
      <c r="BE2399" s="355">
        <v>9.4450000000000006E-2</v>
      </c>
      <c r="BF2399" s="624">
        <v>41746</v>
      </c>
      <c r="BG2399" s="355">
        <v>1.6567999999999999E-2</v>
      </c>
      <c r="BH2399" s="624">
        <v>41613</v>
      </c>
      <c r="BI2399" s="355">
        <v>8.3632999999999999E-2</v>
      </c>
      <c r="BJ2399" s="624">
        <v>41612</v>
      </c>
      <c r="BK2399" s="355">
        <v>3.1026999999999999E-2</v>
      </c>
    </row>
    <row r="2400" spans="3:63" x14ac:dyDescent="0.15">
      <c r="C2400" s="624"/>
      <c r="D2400" s="355">
        <v>3.0550000000000001E-2</v>
      </c>
      <c r="AV2400" s="624"/>
      <c r="AX2400" s="624">
        <v>41619</v>
      </c>
      <c r="AY2400" s="355">
        <v>3.0499999999999999E-2</v>
      </c>
      <c r="AZ2400" s="624">
        <v>41683</v>
      </c>
      <c r="BA2400" s="355">
        <v>1.18E-2</v>
      </c>
      <c r="BB2400" s="624">
        <v>41614</v>
      </c>
      <c r="BC2400" s="355">
        <v>0.32750000000000001</v>
      </c>
      <c r="BD2400" s="624">
        <v>41614</v>
      </c>
      <c r="BE2400" s="355">
        <v>9.4719999999999999E-2</v>
      </c>
      <c r="BF2400" s="624">
        <v>41747</v>
      </c>
      <c r="BG2400" s="355">
        <v>1.6562E-2</v>
      </c>
      <c r="BH2400" s="624">
        <v>41614</v>
      </c>
      <c r="BI2400" s="355">
        <v>8.4417000000000006E-2</v>
      </c>
      <c r="BJ2400" s="624">
        <v>41613</v>
      </c>
      <c r="BK2400" s="355">
        <v>3.1061999999999999E-2</v>
      </c>
    </row>
    <row r="2401" spans="3:63" x14ac:dyDescent="0.15">
      <c r="C2401" s="624"/>
      <c r="D2401" s="355">
        <v>3.0499999999999999E-2</v>
      </c>
      <c r="AV2401" s="624"/>
      <c r="AX2401" s="624">
        <v>41620</v>
      </c>
      <c r="AY2401" s="355">
        <v>3.0470000000000001E-2</v>
      </c>
      <c r="AZ2401" s="624">
        <v>41684</v>
      </c>
      <c r="BA2401" s="355">
        <v>1.18E-2</v>
      </c>
      <c r="BB2401" s="624">
        <v>41617</v>
      </c>
      <c r="BC2401" s="355">
        <v>0.3281</v>
      </c>
      <c r="BD2401" s="624">
        <v>41617</v>
      </c>
      <c r="BE2401" s="355">
        <v>9.5079999999999998E-2</v>
      </c>
      <c r="BF2401" s="624">
        <v>41750</v>
      </c>
      <c r="BG2401" s="355">
        <v>1.6528000000000001E-2</v>
      </c>
      <c r="BH2401" s="624">
        <v>41617</v>
      </c>
      <c r="BI2401" s="355">
        <v>8.4587999999999997E-2</v>
      </c>
      <c r="BJ2401" s="624">
        <v>41614</v>
      </c>
      <c r="BK2401" s="355">
        <v>3.1123999999999999E-2</v>
      </c>
    </row>
    <row r="2402" spans="3:63" x14ac:dyDescent="0.15">
      <c r="C2402" s="624"/>
      <c r="D2402" s="355">
        <v>3.0470000000000001E-2</v>
      </c>
      <c r="AV2402" s="624"/>
      <c r="AX2402" s="624">
        <v>41621</v>
      </c>
      <c r="AY2402" s="355">
        <v>3.0380000000000001E-2</v>
      </c>
      <c r="AZ2402" s="624">
        <v>41687</v>
      </c>
      <c r="BA2402" s="355">
        <v>1.18E-2</v>
      </c>
      <c r="BB2402" s="624">
        <v>41618</v>
      </c>
      <c r="BC2402" s="355">
        <v>0.32929999999999998</v>
      </c>
      <c r="BD2402" s="624">
        <v>41618</v>
      </c>
      <c r="BE2402" s="355">
        <v>9.5100000000000004E-2</v>
      </c>
      <c r="BF2402" s="624">
        <v>41751</v>
      </c>
      <c r="BG2402" s="355">
        <v>1.6416E-2</v>
      </c>
      <c r="BH2402" s="624">
        <v>41618</v>
      </c>
      <c r="BI2402" s="355">
        <v>8.4295999999999996E-2</v>
      </c>
      <c r="BJ2402" s="624">
        <v>41617</v>
      </c>
      <c r="BK2402" s="355">
        <v>3.1126999999999998E-2</v>
      </c>
    </row>
    <row r="2403" spans="3:63" x14ac:dyDescent="0.15">
      <c r="C2403" s="624"/>
      <c r="D2403" s="355">
        <v>3.0380000000000001E-2</v>
      </c>
      <c r="AV2403" s="624"/>
      <c r="AX2403" s="624">
        <v>41624</v>
      </c>
      <c r="AY2403" s="355">
        <v>3.0380000000000001E-2</v>
      </c>
      <c r="AZ2403" s="624">
        <v>41688</v>
      </c>
      <c r="BA2403" s="355">
        <v>1.1900000000000001E-2</v>
      </c>
      <c r="BB2403" s="624">
        <v>41619</v>
      </c>
      <c r="BC2403" s="355">
        <v>0.3296</v>
      </c>
      <c r="BD2403" s="624">
        <v>41619</v>
      </c>
      <c r="BE2403" s="355">
        <v>9.5049999999999996E-2</v>
      </c>
      <c r="BF2403" s="624">
        <v>41752</v>
      </c>
      <c r="BG2403" s="355">
        <v>1.6355000000000001E-2</v>
      </c>
      <c r="BH2403" s="624">
        <v>41619</v>
      </c>
      <c r="BI2403" s="355">
        <v>8.3126000000000005E-2</v>
      </c>
      <c r="BJ2403" s="624">
        <v>41618</v>
      </c>
      <c r="BK2403" s="355">
        <v>3.1189999999999999E-2</v>
      </c>
    </row>
    <row r="2404" spans="3:63" x14ac:dyDescent="0.15">
      <c r="C2404" s="624"/>
      <c r="D2404" s="355">
        <v>3.0380000000000001E-2</v>
      </c>
      <c r="AV2404" s="624"/>
      <c r="AX2404" s="624">
        <v>41625</v>
      </c>
      <c r="AY2404" s="355">
        <v>3.0339999999999999E-2</v>
      </c>
      <c r="AZ2404" s="624">
        <v>41689</v>
      </c>
      <c r="BA2404" s="355">
        <v>1.1900000000000001E-2</v>
      </c>
      <c r="BB2404" s="624">
        <v>41620</v>
      </c>
      <c r="BC2404" s="355">
        <v>0.3291</v>
      </c>
      <c r="BD2404" s="624">
        <v>41620</v>
      </c>
      <c r="BE2404" s="355">
        <v>9.5030000000000003E-2</v>
      </c>
      <c r="BF2404" s="624">
        <v>41753</v>
      </c>
      <c r="BG2404" s="355">
        <v>1.6362999999999999E-2</v>
      </c>
      <c r="BH2404" s="624">
        <v>41620</v>
      </c>
      <c r="BI2404" s="355">
        <v>8.3118999999999998E-2</v>
      </c>
      <c r="BJ2404" s="624">
        <v>41619</v>
      </c>
      <c r="BK2404" s="355">
        <v>3.1175999999999999E-2</v>
      </c>
    </row>
    <row r="2405" spans="3:63" x14ac:dyDescent="0.15">
      <c r="C2405" s="624"/>
      <c r="D2405" s="355">
        <v>3.0339999999999999E-2</v>
      </c>
      <c r="AV2405" s="624"/>
      <c r="AX2405" s="624">
        <v>41626</v>
      </c>
      <c r="AY2405" s="355">
        <v>3.0419999999999999E-2</v>
      </c>
      <c r="AZ2405" s="624">
        <v>41690</v>
      </c>
      <c r="BA2405" s="355">
        <v>1.18E-2</v>
      </c>
      <c r="BB2405" s="624">
        <v>41621</v>
      </c>
      <c r="BC2405" s="355">
        <v>0.32890000000000003</v>
      </c>
      <c r="BD2405" s="624">
        <v>41621</v>
      </c>
      <c r="BE2405" s="355">
        <v>9.4829999999999998E-2</v>
      </c>
      <c r="BF2405" s="624">
        <v>41754</v>
      </c>
      <c r="BG2405" s="355">
        <v>1.6483000000000001E-2</v>
      </c>
      <c r="BH2405" s="624">
        <v>41621</v>
      </c>
      <c r="BI2405" s="355">
        <v>8.3361000000000005E-2</v>
      </c>
      <c r="BJ2405" s="624">
        <v>41620</v>
      </c>
      <c r="BK2405" s="355">
        <v>3.1127999999999999E-2</v>
      </c>
    </row>
    <row r="2406" spans="3:63" x14ac:dyDescent="0.15">
      <c r="C2406" s="624"/>
      <c r="D2406" s="355">
        <v>3.0419999999999999E-2</v>
      </c>
      <c r="AV2406" s="624"/>
      <c r="AX2406" s="624">
        <v>41627</v>
      </c>
      <c r="AY2406" s="355">
        <v>3.031E-2</v>
      </c>
      <c r="AZ2406" s="624">
        <v>41691</v>
      </c>
      <c r="BA2406" s="355">
        <v>1.1900000000000001E-2</v>
      </c>
      <c r="BB2406" s="624">
        <v>41624</v>
      </c>
      <c r="BC2406" s="355">
        <v>0.3296</v>
      </c>
      <c r="BD2406" s="624">
        <v>41624</v>
      </c>
      <c r="BE2406" s="355">
        <v>9.4960000000000003E-2</v>
      </c>
      <c r="BF2406" s="624">
        <v>41757</v>
      </c>
      <c r="BG2406" s="355">
        <v>1.6508999999999999E-2</v>
      </c>
      <c r="BH2406" s="624">
        <v>41624</v>
      </c>
      <c r="BI2406" s="355">
        <v>8.3389000000000005E-2</v>
      </c>
      <c r="BJ2406" s="624">
        <v>41621</v>
      </c>
      <c r="BK2406" s="355">
        <v>3.1192000000000001E-2</v>
      </c>
    </row>
    <row r="2407" spans="3:63" x14ac:dyDescent="0.15">
      <c r="C2407" s="624"/>
      <c r="D2407" s="355">
        <v>3.031E-2</v>
      </c>
      <c r="AV2407" s="624"/>
      <c r="AX2407" s="624">
        <v>41628</v>
      </c>
      <c r="AY2407" s="355">
        <v>3.0259999999999999E-2</v>
      </c>
      <c r="AZ2407" s="624">
        <v>41694</v>
      </c>
      <c r="BA2407" s="355">
        <v>1.1900000000000001E-2</v>
      </c>
      <c r="BB2407" s="624">
        <v>41625</v>
      </c>
      <c r="BC2407" s="355">
        <v>0.32929999999999998</v>
      </c>
      <c r="BD2407" s="624">
        <v>41625</v>
      </c>
      <c r="BE2407" s="355">
        <v>9.4920000000000004E-2</v>
      </c>
      <c r="BF2407" s="624">
        <v>41758</v>
      </c>
      <c r="BG2407" s="355">
        <v>1.6590000000000001E-2</v>
      </c>
      <c r="BH2407" s="624">
        <v>41625</v>
      </c>
      <c r="BI2407" s="355">
        <v>8.3500000000000005E-2</v>
      </c>
      <c r="BJ2407" s="624">
        <v>41624</v>
      </c>
      <c r="BK2407" s="355">
        <v>3.1236E-2</v>
      </c>
    </row>
    <row r="2408" spans="3:63" x14ac:dyDescent="0.15">
      <c r="C2408" s="624"/>
      <c r="D2408" s="355">
        <v>3.0259999999999999E-2</v>
      </c>
      <c r="AV2408" s="624"/>
      <c r="AX2408" s="624">
        <v>41631</v>
      </c>
      <c r="AY2408" s="355">
        <v>3.057E-2</v>
      </c>
      <c r="AZ2408" s="624">
        <v>41695</v>
      </c>
      <c r="BA2408" s="355">
        <v>1.1900000000000001E-2</v>
      </c>
      <c r="BB2408" s="624">
        <v>41626</v>
      </c>
      <c r="BC2408" s="355">
        <v>0.32819999999999999</v>
      </c>
      <c r="BD2408" s="624">
        <v>41626</v>
      </c>
      <c r="BE2408" s="355">
        <v>9.5030000000000003E-2</v>
      </c>
      <c r="BF2408" s="624">
        <v>41759</v>
      </c>
      <c r="BG2408" s="355">
        <v>1.6580999999999999E-2</v>
      </c>
      <c r="BH2408" s="624">
        <v>41626</v>
      </c>
      <c r="BI2408" s="355">
        <v>8.3132999999999999E-2</v>
      </c>
      <c r="BJ2408" s="624">
        <v>41625</v>
      </c>
      <c r="BK2408" s="355">
        <v>3.1140999999999999E-2</v>
      </c>
    </row>
    <row r="2409" spans="3:63" x14ac:dyDescent="0.15">
      <c r="C2409" s="624"/>
      <c r="D2409" s="355">
        <v>3.057E-2</v>
      </c>
      <c r="AV2409" s="624"/>
      <c r="AX2409" s="624">
        <v>41632</v>
      </c>
      <c r="AY2409" s="355">
        <v>3.065E-2</v>
      </c>
      <c r="AZ2409" s="624">
        <v>41696</v>
      </c>
      <c r="BA2409" s="355">
        <v>1.18E-2</v>
      </c>
      <c r="BB2409" s="624">
        <v>41627</v>
      </c>
      <c r="BC2409" s="355">
        <v>0.32850000000000001</v>
      </c>
      <c r="BD2409" s="624">
        <v>41627</v>
      </c>
      <c r="BE2409" s="355">
        <v>9.4170000000000004E-2</v>
      </c>
      <c r="BF2409" s="624">
        <v>41760</v>
      </c>
      <c r="BG2409" s="355">
        <v>1.6625000000000001E-2</v>
      </c>
      <c r="BH2409" s="624">
        <v>41627</v>
      </c>
      <c r="BI2409" s="355">
        <v>8.2802000000000001E-2</v>
      </c>
      <c r="BJ2409" s="624">
        <v>41626</v>
      </c>
      <c r="BK2409" s="355">
        <v>3.0911999999999999E-2</v>
      </c>
    </row>
    <row r="2410" spans="3:63" x14ac:dyDescent="0.15">
      <c r="C2410" s="624"/>
      <c r="D2410" s="355">
        <v>3.065E-2</v>
      </c>
      <c r="AV2410" s="624"/>
      <c r="AX2410" s="624">
        <v>41633</v>
      </c>
      <c r="AY2410" s="355">
        <v>3.058E-2</v>
      </c>
      <c r="AZ2410" s="624">
        <v>41697</v>
      </c>
      <c r="BA2410" s="355">
        <v>1.18E-2</v>
      </c>
      <c r="BB2410" s="624">
        <v>41628</v>
      </c>
      <c r="BC2410" s="355">
        <v>0.32900000000000001</v>
      </c>
      <c r="BD2410" s="624">
        <v>41628</v>
      </c>
      <c r="BE2410" s="355">
        <v>9.4020000000000006E-2</v>
      </c>
      <c r="BF2410" s="624">
        <v>41761</v>
      </c>
      <c r="BG2410" s="355">
        <v>1.6653999999999999E-2</v>
      </c>
      <c r="BH2410" s="624">
        <v>41628</v>
      </c>
      <c r="BI2410" s="355">
        <v>8.2196000000000005E-2</v>
      </c>
      <c r="BJ2410" s="624">
        <v>41627</v>
      </c>
      <c r="BK2410" s="355">
        <v>3.0780999999999999E-2</v>
      </c>
    </row>
    <row r="2411" spans="3:63" x14ac:dyDescent="0.15">
      <c r="C2411" s="624"/>
      <c r="D2411" s="355">
        <v>3.058E-2</v>
      </c>
      <c r="AV2411" s="624"/>
      <c r="AX2411" s="624">
        <v>41634</v>
      </c>
      <c r="AY2411" s="355">
        <v>3.0620000000000001E-2</v>
      </c>
      <c r="AZ2411" s="624">
        <v>41698</v>
      </c>
      <c r="BA2411" s="355">
        <v>1.1900000000000001E-2</v>
      </c>
      <c r="BB2411" s="624">
        <v>41631</v>
      </c>
      <c r="BC2411" s="355">
        <v>0.32919999999999999</v>
      </c>
      <c r="BD2411" s="624">
        <v>41631</v>
      </c>
      <c r="BE2411" s="355">
        <v>9.4210000000000002E-2</v>
      </c>
      <c r="BF2411" s="624">
        <v>41764</v>
      </c>
      <c r="BG2411" s="355">
        <v>1.6636999999999999E-2</v>
      </c>
      <c r="BH2411" s="624">
        <v>41631</v>
      </c>
      <c r="BI2411" s="355">
        <v>8.2318000000000002E-2</v>
      </c>
      <c r="BJ2411" s="624">
        <v>41628</v>
      </c>
      <c r="BK2411" s="355">
        <v>3.0665000000000001E-2</v>
      </c>
    </row>
    <row r="2412" spans="3:63" x14ac:dyDescent="0.15">
      <c r="C2412" s="624"/>
      <c r="D2412" s="355">
        <v>3.0620000000000001E-2</v>
      </c>
      <c r="AV2412" s="624"/>
      <c r="AX2412" s="624">
        <v>41635</v>
      </c>
      <c r="AY2412" s="355">
        <v>3.0700000000000002E-2</v>
      </c>
      <c r="AZ2412" s="624">
        <v>41701</v>
      </c>
      <c r="BA2412" s="355">
        <v>1.18E-2</v>
      </c>
      <c r="BB2412" s="624">
        <v>41632</v>
      </c>
      <c r="BC2412" s="355">
        <v>0.33050000000000002</v>
      </c>
      <c r="BD2412" s="624">
        <v>41632</v>
      </c>
      <c r="BE2412" s="355">
        <v>9.4280000000000003E-2</v>
      </c>
      <c r="BF2412" s="624">
        <v>41765</v>
      </c>
      <c r="BG2412" s="355">
        <v>1.6662E-2</v>
      </c>
      <c r="BH2412" s="624">
        <v>41632</v>
      </c>
      <c r="BI2412" s="355">
        <v>8.2229999999999998E-2</v>
      </c>
      <c r="BJ2412" s="624">
        <v>41631</v>
      </c>
      <c r="BK2412" s="355">
        <v>3.0578999999999999E-2</v>
      </c>
    </row>
    <row r="2413" spans="3:63" x14ac:dyDescent="0.15">
      <c r="C2413" s="624"/>
      <c r="D2413" s="355">
        <v>3.0700000000000002E-2</v>
      </c>
      <c r="AV2413" s="624"/>
      <c r="AX2413" s="624">
        <v>41638</v>
      </c>
      <c r="AY2413" s="355">
        <v>3.0470000000000001E-2</v>
      </c>
      <c r="AZ2413" s="624">
        <v>41702</v>
      </c>
      <c r="BA2413" s="355">
        <v>1.18E-2</v>
      </c>
      <c r="BB2413" s="624">
        <v>41633</v>
      </c>
      <c r="BC2413" s="355">
        <v>0.3301</v>
      </c>
      <c r="BD2413" s="624">
        <v>41633</v>
      </c>
      <c r="BE2413" s="355">
        <v>9.4299999999999995E-2</v>
      </c>
      <c r="BF2413" s="624">
        <v>41766</v>
      </c>
      <c r="BG2413" s="355">
        <v>1.6695000000000002E-2</v>
      </c>
      <c r="BH2413" s="624">
        <v>41633</v>
      </c>
      <c r="BI2413" s="355">
        <v>8.1733E-2</v>
      </c>
      <c r="BJ2413" s="624">
        <v>41632</v>
      </c>
      <c r="BK2413" s="355">
        <v>3.0571999999999998E-2</v>
      </c>
    </row>
    <row r="2414" spans="3:63" x14ac:dyDescent="0.15">
      <c r="C2414" s="624"/>
      <c r="D2414" s="355">
        <v>3.0470000000000001E-2</v>
      </c>
      <c r="AV2414" s="624"/>
      <c r="AX2414" s="624">
        <v>41639</v>
      </c>
      <c r="AY2414" s="355">
        <v>3.039E-2</v>
      </c>
      <c r="AZ2414" s="624">
        <v>41703</v>
      </c>
      <c r="BA2414" s="355">
        <v>1.18E-2</v>
      </c>
      <c r="BB2414" s="624">
        <v>41634</v>
      </c>
      <c r="BC2414" s="355">
        <v>0.33079999999999998</v>
      </c>
      <c r="BD2414" s="624">
        <v>41634</v>
      </c>
      <c r="BE2414" s="355">
        <v>9.4380000000000006E-2</v>
      </c>
      <c r="BF2414" s="624">
        <v>41767</v>
      </c>
      <c r="BG2414" s="355">
        <v>1.6684999999999998E-2</v>
      </c>
      <c r="BH2414" s="624">
        <v>41634</v>
      </c>
      <c r="BI2414" s="355">
        <v>8.2264000000000004E-2</v>
      </c>
      <c r="BJ2414" s="624">
        <v>41633</v>
      </c>
      <c r="BK2414" s="355">
        <v>3.0508E-2</v>
      </c>
    </row>
    <row r="2415" spans="3:63" x14ac:dyDescent="0.15">
      <c r="C2415" s="624"/>
      <c r="D2415" s="355">
        <v>3.039E-2</v>
      </c>
      <c r="AV2415" s="624"/>
      <c r="AX2415" s="624">
        <v>41640</v>
      </c>
      <c r="AY2415" s="355">
        <v>3.04E-2</v>
      </c>
      <c r="AZ2415" s="624">
        <v>41704</v>
      </c>
      <c r="BA2415" s="355">
        <v>1.1900000000000001E-2</v>
      </c>
      <c r="BB2415" s="624">
        <v>41635</v>
      </c>
      <c r="BC2415" s="355">
        <v>0.33150000000000002</v>
      </c>
      <c r="BD2415" s="624">
        <v>41635</v>
      </c>
      <c r="BE2415" s="355">
        <v>9.4820000000000002E-2</v>
      </c>
      <c r="BF2415" s="624">
        <v>41768</v>
      </c>
      <c r="BG2415" s="355">
        <v>1.6711E-2</v>
      </c>
      <c r="BH2415" s="624">
        <v>41635</v>
      </c>
      <c r="BI2415" s="355">
        <v>8.2270999999999997E-2</v>
      </c>
      <c r="BJ2415" s="624">
        <v>41634</v>
      </c>
      <c r="BK2415" s="355">
        <v>3.0463E-2</v>
      </c>
    </row>
    <row r="2416" spans="3:63" x14ac:dyDescent="0.15">
      <c r="C2416" s="624"/>
      <c r="D2416" s="355">
        <v>3.04E-2</v>
      </c>
      <c r="AV2416" s="624"/>
      <c r="AX2416" s="624">
        <v>41641</v>
      </c>
      <c r="AY2416" s="355">
        <v>3.0210000000000001E-2</v>
      </c>
      <c r="AZ2416" s="624">
        <v>41705</v>
      </c>
      <c r="BA2416" s="355">
        <v>1.2E-2</v>
      </c>
      <c r="BB2416" s="624">
        <v>41638</v>
      </c>
      <c r="BC2416" s="355">
        <v>0.33289999999999997</v>
      </c>
      <c r="BD2416" s="624">
        <v>41638</v>
      </c>
      <c r="BE2416" s="355">
        <v>9.4740000000000005E-2</v>
      </c>
      <c r="BF2416" s="624">
        <v>41771</v>
      </c>
      <c r="BG2416" s="355">
        <v>1.6788000000000001E-2</v>
      </c>
      <c r="BH2416" s="624">
        <v>41638</v>
      </c>
      <c r="BI2416" s="355">
        <v>8.1806000000000004E-2</v>
      </c>
      <c r="BJ2416" s="624">
        <v>41635</v>
      </c>
      <c r="BK2416" s="355">
        <v>3.0464999999999999E-2</v>
      </c>
    </row>
    <row r="2417" spans="3:63" x14ac:dyDescent="0.15">
      <c r="C2417" s="624"/>
      <c r="D2417" s="355">
        <v>3.0210000000000001E-2</v>
      </c>
      <c r="AV2417" s="624"/>
      <c r="AX2417" s="624">
        <v>41642</v>
      </c>
      <c r="AY2417" s="355">
        <v>3.014E-2</v>
      </c>
      <c r="AZ2417" s="624">
        <v>41708</v>
      </c>
      <c r="BA2417" s="355">
        <v>1.2E-2</v>
      </c>
      <c r="BB2417" s="624">
        <v>41639</v>
      </c>
      <c r="BC2417" s="355">
        <v>0.33079999999999998</v>
      </c>
      <c r="BD2417" s="624">
        <v>41639</v>
      </c>
      <c r="BE2417" s="355">
        <v>9.4979999999999995E-2</v>
      </c>
      <c r="BF2417" s="624">
        <v>41772</v>
      </c>
      <c r="BG2417" s="355">
        <v>1.6816999999999999E-2</v>
      </c>
      <c r="BH2417" s="624">
        <v>41639</v>
      </c>
      <c r="BI2417" s="355">
        <v>8.2163E-2</v>
      </c>
      <c r="BJ2417" s="624">
        <v>41638</v>
      </c>
      <c r="BK2417" s="355">
        <v>3.0466E-2</v>
      </c>
    </row>
    <row r="2418" spans="3:63" x14ac:dyDescent="0.15">
      <c r="C2418" s="624"/>
      <c r="D2418" s="355">
        <v>3.014E-2</v>
      </c>
      <c r="AV2418" s="624"/>
      <c r="AX2418" s="624">
        <v>41645</v>
      </c>
      <c r="AY2418" s="355">
        <v>3.014E-2</v>
      </c>
      <c r="AZ2418" s="624">
        <v>41709</v>
      </c>
      <c r="BA2418" s="355">
        <v>1.1900000000000001E-2</v>
      </c>
      <c r="BB2418" s="624">
        <v>41640</v>
      </c>
      <c r="BC2418" s="355">
        <v>0.33119999999999999</v>
      </c>
      <c r="BD2418" s="624">
        <v>41640</v>
      </c>
      <c r="BE2418" s="355">
        <v>9.4710000000000003E-2</v>
      </c>
      <c r="BF2418" s="624">
        <v>41773</v>
      </c>
      <c r="BG2418" s="355">
        <v>1.6813000000000002E-2</v>
      </c>
      <c r="BH2418" s="624">
        <v>41640</v>
      </c>
      <c r="BI2418" s="355">
        <v>8.2169000000000006E-2</v>
      </c>
      <c r="BJ2418" s="624">
        <v>41639</v>
      </c>
      <c r="BK2418" s="355">
        <v>3.0581000000000001E-2</v>
      </c>
    </row>
    <row r="2419" spans="3:63" x14ac:dyDescent="0.15">
      <c r="C2419" s="624"/>
      <c r="D2419" s="355">
        <v>3.014E-2</v>
      </c>
      <c r="AV2419" s="624"/>
      <c r="AX2419" s="624">
        <v>41646</v>
      </c>
      <c r="AY2419" s="355">
        <v>3.0179999999999998E-2</v>
      </c>
      <c r="AZ2419" s="624">
        <v>41710</v>
      </c>
      <c r="BA2419" s="355">
        <v>1.2E-2</v>
      </c>
      <c r="BB2419" s="624">
        <v>41641</v>
      </c>
      <c r="BC2419" s="355">
        <v>0.32800000000000001</v>
      </c>
      <c r="BD2419" s="624">
        <v>41641</v>
      </c>
      <c r="BE2419" s="355">
        <v>9.5180000000000001E-2</v>
      </c>
      <c r="BF2419" s="624">
        <v>41774</v>
      </c>
      <c r="BG2419" s="355">
        <v>1.6816999999999999E-2</v>
      </c>
      <c r="BH2419" s="624">
        <v>41641</v>
      </c>
      <c r="BI2419" s="355">
        <v>8.2461000000000007E-2</v>
      </c>
      <c r="BJ2419" s="624">
        <v>41640</v>
      </c>
      <c r="BK2419" s="355">
        <v>3.0553E-2</v>
      </c>
    </row>
    <row r="2420" spans="3:63" x14ac:dyDescent="0.15">
      <c r="C2420" s="624"/>
      <c r="D2420" s="355">
        <v>3.0179999999999998E-2</v>
      </c>
      <c r="AV2420" s="624"/>
      <c r="AX2420" s="624">
        <v>41647</v>
      </c>
      <c r="AY2420" s="355">
        <v>3.0099999999999998E-2</v>
      </c>
      <c r="AZ2420" s="624">
        <v>41711</v>
      </c>
      <c r="BA2420" s="355">
        <v>1.2E-2</v>
      </c>
      <c r="BB2420" s="624">
        <v>41642</v>
      </c>
      <c r="BC2420" s="355">
        <v>0.3261</v>
      </c>
      <c r="BD2420" s="624">
        <v>41642</v>
      </c>
      <c r="BE2420" s="355">
        <v>9.4740000000000005E-2</v>
      </c>
      <c r="BF2420" s="624">
        <v>41775</v>
      </c>
      <c r="BG2420" s="355">
        <v>1.7080999999999999E-2</v>
      </c>
      <c r="BH2420" s="624">
        <v>41642</v>
      </c>
      <c r="BI2420" s="355">
        <v>8.2507999999999998E-2</v>
      </c>
      <c r="BJ2420" s="624">
        <v>41641</v>
      </c>
      <c r="BK2420" s="355">
        <v>3.0331E-2</v>
      </c>
    </row>
    <row r="2421" spans="3:63" x14ac:dyDescent="0.15">
      <c r="C2421" s="624"/>
      <c r="D2421" s="355">
        <v>3.0099999999999998E-2</v>
      </c>
      <c r="AV2421" s="624"/>
      <c r="AX2421" s="624">
        <v>41648</v>
      </c>
      <c r="AY2421" s="355">
        <v>3.0130000000000001E-2</v>
      </c>
      <c r="AZ2421" s="624">
        <v>41712</v>
      </c>
      <c r="BA2421" s="355">
        <v>1.2E-2</v>
      </c>
      <c r="BB2421" s="624">
        <v>41645</v>
      </c>
      <c r="BC2421" s="355">
        <v>0.32640000000000002</v>
      </c>
      <c r="BD2421" s="624">
        <v>41645</v>
      </c>
      <c r="BE2421" s="355">
        <v>9.3880000000000005E-2</v>
      </c>
      <c r="BF2421" s="624">
        <v>41778</v>
      </c>
      <c r="BG2421" s="355">
        <v>1.7111999999999999E-2</v>
      </c>
      <c r="BH2421" s="624">
        <v>41645</v>
      </c>
      <c r="BI2421" s="355">
        <v>8.2020999999999997E-2</v>
      </c>
      <c r="BJ2421" s="624">
        <v>41642</v>
      </c>
      <c r="BK2421" s="355">
        <v>3.0294000000000001E-2</v>
      </c>
    </row>
    <row r="2422" spans="3:63" x14ac:dyDescent="0.15">
      <c r="C2422" s="624"/>
      <c r="D2422" s="355">
        <v>3.0130000000000001E-2</v>
      </c>
      <c r="AV2422" s="624"/>
      <c r="AX2422" s="624">
        <v>41649</v>
      </c>
      <c r="AY2422" s="355">
        <v>3.0269999999999998E-2</v>
      </c>
      <c r="AZ2422" s="624">
        <v>41715</v>
      </c>
      <c r="BA2422" s="355">
        <v>1.2E-2</v>
      </c>
      <c r="BB2422" s="624">
        <v>41646</v>
      </c>
      <c r="BC2422" s="355">
        <v>0.3261</v>
      </c>
      <c r="BD2422" s="624">
        <v>41646</v>
      </c>
      <c r="BE2422" s="355">
        <v>9.3490000000000004E-2</v>
      </c>
      <c r="BF2422" s="624">
        <v>41779</v>
      </c>
      <c r="BG2422" s="355">
        <v>1.7056999999999999E-2</v>
      </c>
      <c r="BH2422" s="624">
        <v>41646</v>
      </c>
      <c r="BI2422" s="355">
        <v>8.2794999999999994E-2</v>
      </c>
      <c r="BJ2422" s="624">
        <v>41645</v>
      </c>
      <c r="BK2422" s="355">
        <v>3.0224999999999998E-2</v>
      </c>
    </row>
    <row r="2423" spans="3:63" x14ac:dyDescent="0.15">
      <c r="C2423" s="624"/>
      <c r="D2423" s="355">
        <v>3.0269999999999998E-2</v>
      </c>
      <c r="AV2423" s="624"/>
      <c r="AX2423" s="624">
        <v>41652</v>
      </c>
      <c r="AY2423" s="355">
        <v>3.005E-2</v>
      </c>
      <c r="AZ2423" s="624">
        <v>41716</v>
      </c>
      <c r="BA2423" s="355">
        <v>1.2E-2</v>
      </c>
      <c r="BB2423" s="624">
        <v>41647</v>
      </c>
      <c r="BC2423" s="355">
        <v>0.32500000000000001</v>
      </c>
      <c r="BD2423" s="624">
        <v>41647</v>
      </c>
      <c r="BE2423" s="355">
        <v>9.3670000000000003E-2</v>
      </c>
      <c r="BF2423" s="624">
        <v>41780</v>
      </c>
      <c r="BG2423" s="355">
        <v>1.7052999999999999E-2</v>
      </c>
      <c r="BH2423" s="624">
        <v>41647</v>
      </c>
      <c r="BI2423" s="355">
        <v>8.2761000000000001E-2</v>
      </c>
      <c r="BJ2423" s="624">
        <v>41646</v>
      </c>
      <c r="BK2423" s="355">
        <v>3.0238999999999999E-2</v>
      </c>
    </row>
    <row r="2424" spans="3:63" x14ac:dyDescent="0.15">
      <c r="C2424" s="624"/>
      <c r="D2424" s="355">
        <v>3.005E-2</v>
      </c>
      <c r="AV2424" s="624"/>
      <c r="AX2424" s="624">
        <v>41653</v>
      </c>
      <c r="AY2424" s="355">
        <v>3.0030000000000001E-2</v>
      </c>
      <c r="AZ2424" s="624">
        <v>41717</v>
      </c>
      <c r="BA2424" s="355">
        <v>1.1900000000000001E-2</v>
      </c>
      <c r="BB2424" s="624">
        <v>41648</v>
      </c>
      <c r="BC2424" s="355">
        <v>0.32590000000000002</v>
      </c>
      <c r="BD2424" s="624">
        <v>41648</v>
      </c>
      <c r="BE2424" s="355">
        <v>9.4070000000000001E-2</v>
      </c>
      <c r="BF2424" s="624">
        <v>41781</v>
      </c>
      <c r="BG2424" s="355">
        <v>1.7132999999999999E-2</v>
      </c>
      <c r="BH2424" s="624">
        <v>41648</v>
      </c>
      <c r="BI2424" s="355">
        <v>8.3035999999999999E-2</v>
      </c>
      <c r="BJ2424" s="624">
        <v>41647</v>
      </c>
      <c r="BK2424" s="355">
        <v>3.0252000000000001E-2</v>
      </c>
    </row>
    <row r="2425" spans="3:63" x14ac:dyDescent="0.15">
      <c r="C2425" s="624"/>
      <c r="D2425" s="355">
        <v>3.0030000000000001E-2</v>
      </c>
      <c r="AV2425" s="624"/>
      <c r="AX2425" s="624">
        <v>41654</v>
      </c>
      <c r="AY2425" s="355">
        <v>2.9940000000000001E-2</v>
      </c>
      <c r="AZ2425" s="624">
        <v>41718</v>
      </c>
      <c r="BA2425" s="355">
        <v>1.1900000000000001E-2</v>
      </c>
      <c r="BB2425" s="624">
        <v>41649</v>
      </c>
      <c r="BC2425" s="355">
        <v>0.32969999999999999</v>
      </c>
      <c r="BD2425" s="624">
        <v>41649</v>
      </c>
      <c r="BE2425" s="355">
        <v>9.418E-2</v>
      </c>
      <c r="BF2425" s="624">
        <v>41782</v>
      </c>
      <c r="BG2425" s="355">
        <v>1.7114999999999998E-2</v>
      </c>
      <c r="BH2425" s="624">
        <v>41649</v>
      </c>
      <c r="BI2425" s="355">
        <v>8.4495000000000001E-2</v>
      </c>
      <c r="BJ2425" s="624">
        <v>41648</v>
      </c>
      <c r="BK2425" s="355">
        <v>3.0280999999999999E-2</v>
      </c>
    </row>
    <row r="2426" spans="3:63" x14ac:dyDescent="0.15">
      <c r="C2426" s="624"/>
      <c r="D2426" s="355">
        <v>2.9940000000000001E-2</v>
      </c>
      <c r="AV2426" s="624"/>
      <c r="AX2426" s="624">
        <v>41655</v>
      </c>
      <c r="AY2426" s="355">
        <v>2.9940000000000001E-2</v>
      </c>
      <c r="AZ2426" s="624">
        <v>41719</v>
      </c>
      <c r="BA2426" s="355">
        <v>1.1900000000000001E-2</v>
      </c>
      <c r="BB2426" s="624">
        <v>41652</v>
      </c>
      <c r="BC2426" s="355">
        <v>0.3291</v>
      </c>
      <c r="BD2426" s="624">
        <v>41652</v>
      </c>
      <c r="BE2426" s="355">
        <v>9.4520000000000007E-2</v>
      </c>
      <c r="BF2426" s="624">
        <v>41785</v>
      </c>
      <c r="BG2426" s="355">
        <v>1.7038000000000001E-2</v>
      </c>
      <c r="BH2426" s="624">
        <v>41652</v>
      </c>
      <c r="BI2426" s="355">
        <v>8.4417000000000006E-2</v>
      </c>
      <c r="BJ2426" s="624">
        <v>41649</v>
      </c>
      <c r="BK2426" s="355">
        <v>3.0279E-2</v>
      </c>
    </row>
    <row r="2427" spans="3:63" x14ac:dyDescent="0.15">
      <c r="C2427" s="624"/>
      <c r="D2427" s="355">
        <v>2.9940000000000001E-2</v>
      </c>
      <c r="AV2427" s="624"/>
      <c r="AX2427" s="624">
        <v>41656</v>
      </c>
      <c r="AY2427" s="355">
        <v>2.9780000000000001E-2</v>
      </c>
      <c r="AZ2427" s="624">
        <v>41722</v>
      </c>
      <c r="BA2427" s="355">
        <v>1.1900000000000001E-2</v>
      </c>
      <c r="BB2427" s="624">
        <v>41653</v>
      </c>
      <c r="BC2427" s="355">
        <v>0.33019999999999999</v>
      </c>
      <c r="BD2427" s="624">
        <v>41653</v>
      </c>
      <c r="BE2427" s="355">
        <v>9.4380000000000006E-2</v>
      </c>
      <c r="BF2427" s="624">
        <v>41786</v>
      </c>
      <c r="BG2427" s="355">
        <v>1.6962999999999999E-2</v>
      </c>
      <c r="BH2427" s="624">
        <v>41653</v>
      </c>
      <c r="BI2427" s="355">
        <v>8.4653000000000006E-2</v>
      </c>
      <c r="BJ2427" s="624">
        <v>41652</v>
      </c>
      <c r="BK2427" s="355">
        <v>3.0335999999999998E-2</v>
      </c>
    </row>
    <row r="2428" spans="3:63" x14ac:dyDescent="0.15">
      <c r="C2428" s="624"/>
      <c r="D2428" s="355">
        <v>2.9780000000000001E-2</v>
      </c>
      <c r="AV2428" s="624"/>
      <c r="AX2428" s="624">
        <v>41659</v>
      </c>
      <c r="AY2428" s="355">
        <v>2.9569999999999999E-2</v>
      </c>
      <c r="AZ2428" s="624">
        <v>41723</v>
      </c>
      <c r="BA2428" s="355">
        <v>1.1900000000000001E-2</v>
      </c>
      <c r="BB2428" s="624">
        <v>41654</v>
      </c>
      <c r="BC2428" s="355">
        <v>0.32719999999999999</v>
      </c>
      <c r="BD2428" s="624">
        <v>41654</v>
      </c>
      <c r="BE2428" s="355">
        <v>9.3899999999999997E-2</v>
      </c>
      <c r="BF2428" s="624">
        <v>41787</v>
      </c>
      <c r="BG2428" s="355">
        <v>1.6975000000000001E-2</v>
      </c>
      <c r="BH2428" s="624">
        <v>41654</v>
      </c>
      <c r="BI2428" s="355">
        <v>8.2729999999999998E-2</v>
      </c>
      <c r="BJ2428" s="624">
        <v>41653</v>
      </c>
      <c r="BK2428" s="355">
        <v>3.0502000000000001E-2</v>
      </c>
    </row>
    <row r="2429" spans="3:63" x14ac:dyDescent="0.15">
      <c r="C2429" s="624"/>
      <c r="D2429" s="355">
        <v>2.9569999999999999E-2</v>
      </c>
      <c r="AV2429" s="624"/>
      <c r="AX2429" s="624">
        <v>41660</v>
      </c>
      <c r="AY2429" s="355">
        <v>2.9430000000000001E-2</v>
      </c>
      <c r="AZ2429" s="624">
        <v>41724</v>
      </c>
      <c r="BA2429" s="355">
        <v>1.1900000000000001E-2</v>
      </c>
      <c r="BB2429" s="624">
        <v>41655</v>
      </c>
      <c r="BC2429" s="355">
        <v>0.32690000000000002</v>
      </c>
      <c r="BD2429" s="624">
        <v>41655</v>
      </c>
      <c r="BE2429" s="355">
        <v>9.4030000000000002E-2</v>
      </c>
      <c r="BF2429" s="624">
        <v>41788</v>
      </c>
      <c r="BG2429" s="355">
        <v>1.6971E-2</v>
      </c>
      <c r="BH2429" s="624">
        <v>41655</v>
      </c>
      <c r="BI2429" s="355">
        <v>8.2525000000000001E-2</v>
      </c>
      <c r="BJ2429" s="624">
        <v>41654</v>
      </c>
      <c r="BK2429" s="355">
        <v>3.0426999999999999E-2</v>
      </c>
    </row>
    <row r="2430" spans="3:63" x14ac:dyDescent="0.15">
      <c r="C2430" s="624"/>
      <c r="D2430" s="355">
        <v>2.9430000000000001E-2</v>
      </c>
      <c r="AV2430" s="624"/>
      <c r="AX2430" s="624">
        <v>41661</v>
      </c>
      <c r="AY2430" s="355">
        <v>2.947E-2</v>
      </c>
      <c r="AZ2430" s="624">
        <v>41725</v>
      </c>
      <c r="BA2430" s="355">
        <v>1.1900000000000001E-2</v>
      </c>
      <c r="BB2430" s="624">
        <v>41656</v>
      </c>
      <c r="BC2430" s="355">
        <v>0.32519999999999999</v>
      </c>
      <c r="BD2430" s="624">
        <v>41656</v>
      </c>
      <c r="BE2430" s="355">
        <v>9.4210000000000002E-2</v>
      </c>
      <c r="BF2430" s="624">
        <v>41789</v>
      </c>
      <c r="BG2430" s="355">
        <v>1.6861999999999999E-2</v>
      </c>
      <c r="BH2430" s="624">
        <v>41656</v>
      </c>
      <c r="BI2430" s="355">
        <v>8.2712999999999995E-2</v>
      </c>
      <c r="BJ2430" s="624">
        <v>41655</v>
      </c>
      <c r="BK2430" s="355">
        <v>3.0516000000000001E-2</v>
      </c>
    </row>
    <row r="2431" spans="3:63" x14ac:dyDescent="0.15">
      <c r="C2431" s="624"/>
      <c r="D2431" s="355">
        <v>2.947E-2</v>
      </c>
      <c r="AV2431" s="624"/>
      <c r="AX2431" s="624">
        <v>41662</v>
      </c>
      <c r="AY2431" s="355">
        <v>2.93E-2</v>
      </c>
      <c r="AZ2431" s="624">
        <v>41726</v>
      </c>
      <c r="BA2431" s="355">
        <v>1.21E-2</v>
      </c>
      <c r="BB2431" s="624">
        <v>41659</v>
      </c>
      <c r="BC2431" s="355">
        <v>0.32579999999999998</v>
      </c>
      <c r="BD2431" s="624">
        <v>41659</v>
      </c>
      <c r="BE2431" s="355">
        <v>9.3960000000000002E-2</v>
      </c>
      <c r="BF2431" s="624">
        <v>41792</v>
      </c>
      <c r="BG2431" s="355">
        <v>1.6898E-2</v>
      </c>
      <c r="BH2431" s="624">
        <v>41659</v>
      </c>
      <c r="BI2431" s="355">
        <v>8.2556000000000004E-2</v>
      </c>
      <c r="BJ2431" s="624">
        <v>41656</v>
      </c>
      <c r="BK2431" s="355">
        <v>3.0474000000000001E-2</v>
      </c>
    </row>
    <row r="2432" spans="3:63" x14ac:dyDescent="0.15">
      <c r="C2432" s="624"/>
      <c r="D2432" s="355">
        <v>2.93E-2</v>
      </c>
      <c r="AV2432" s="624"/>
      <c r="AX2432" s="624">
        <v>41663</v>
      </c>
      <c r="AY2432" s="355">
        <v>2.9020000000000001E-2</v>
      </c>
      <c r="AZ2432" s="624">
        <v>41729</v>
      </c>
      <c r="BA2432" s="355">
        <v>1.1900000000000001E-2</v>
      </c>
      <c r="BB2432" s="624">
        <v>41660</v>
      </c>
      <c r="BC2432" s="355">
        <v>0.3256</v>
      </c>
      <c r="BD2432" s="624">
        <v>41660</v>
      </c>
      <c r="BE2432" s="355">
        <v>9.3380000000000005E-2</v>
      </c>
      <c r="BF2432" s="624">
        <v>41793</v>
      </c>
      <c r="BG2432" s="355">
        <v>1.686E-2</v>
      </c>
      <c r="BH2432" s="624">
        <v>41660</v>
      </c>
      <c r="BI2432" s="355">
        <v>8.2389000000000004E-2</v>
      </c>
      <c r="BJ2432" s="624">
        <v>41659</v>
      </c>
      <c r="BK2432" s="355">
        <v>3.0474999999999999E-2</v>
      </c>
    </row>
    <row r="2433" spans="3:63" x14ac:dyDescent="0.15">
      <c r="C2433" s="624"/>
      <c r="D2433" s="355">
        <v>2.9020000000000001E-2</v>
      </c>
      <c r="AV2433" s="624"/>
      <c r="AX2433" s="624">
        <v>41666</v>
      </c>
      <c r="AY2433" s="355">
        <v>2.8910000000000002E-2</v>
      </c>
      <c r="AZ2433" s="624">
        <v>41730</v>
      </c>
      <c r="BA2433" s="355">
        <v>1.2E-2</v>
      </c>
      <c r="BB2433" s="624">
        <v>41661</v>
      </c>
      <c r="BC2433" s="355">
        <v>0.32550000000000001</v>
      </c>
      <c r="BD2433" s="624">
        <v>41661</v>
      </c>
      <c r="BE2433" s="355">
        <v>9.3670000000000003E-2</v>
      </c>
      <c r="BF2433" s="624">
        <v>41794</v>
      </c>
      <c r="BG2433" s="355">
        <v>1.6872000000000002E-2</v>
      </c>
      <c r="BH2433" s="624">
        <v>41661</v>
      </c>
      <c r="BI2433" s="355">
        <v>8.2372000000000001E-2</v>
      </c>
      <c r="BJ2433" s="624">
        <v>41660</v>
      </c>
      <c r="BK2433" s="355">
        <v>3.0374000000000002E-2</v>
      </c>
    </row>
    <row r="2434" spans="3:63" x14ac:dyDescent="0.15">
      <c r="C2434" s="624"/>
      <c r="D2434" s="355">
        <v>2.8910000000000002E-2</v>
      </c>
      <c r="AV2434" s="624"/>
      <c r="AX2434" s="624">
        <v>41667</v>
      </c>
      <c r="AY2434" s="355">
        <v>2.877E-2</v>
      </c>
      <c r="AZ2434" s="624">
        <v>41731</v>
      </c>
      <c r="BA2434" s="355">
        <v>1.1900000000000001E-2</v>
      </c>
      <c r="BB2434" s="624">
        <v>41662</v>
      </c>
      <c r="BC2434" s="355">
        <v>0.32750000000000001</v>
      </c>
      <c r="BD2434" s="624">
        <v>41662</v>
      </c>
      <c r="BE2434" s="355">
        <v>9.2869999999999994E-2</v>
      </c>
      <c r="BF2434" s="624">
        <v>41795</v>
      </c>
      <c r="BG2434" s="355">
        <v>1.6934999999999999E-2</v>
      </c>
      <c r="BH2434" s="624">
        <v>41662</v>
      </c>
      <c r="BI2434" s="355">
        <v>8.2202999999999998E-2</v>
      </c>
      <c r="BJ2434" s="624">
        <v>41661</v>
      </c>
      <c r="BK2434" s="355">
        <v>3.0374000000000002E-2</v>
      </c>
    </row>
    <row r="2435" spans="3:63" x14ac:dyDescent="0.15">
      <c r="C2435" s="624"/>
      <c r="D2435" s="355">
        <v>2.877E-2</v>
      </c>
      <c r="AV2435" s="624"/>
      <c r="AX2435" s="624">
        <v>41668</v>
      </c>
      <c r="AY2435" s="355">
        <v>2.8469999999999999E-2</v>
      </c>
      <c r="AZ2435" s="624">
        <v>41732</v>
      </c>
      <c r="BA2435" s="355">
        <v>1.1900000000000001E-2</v>
      </c>
      <c r="BB2435" s="624">
        <v>41663</v>
      </c>
      <c r="BC2435" s="355">
        <v>0.32600000000000001</v>
      </c>
      <c r="BD2435" s="624">
        <v>41663</v>
      </c>
      <c r="BE2435" s="355">
        <v>9.2069999999999999E-2</v>
      </c>
      <c r="BF2435" s="624">
        <v>41796</v>
      </c>
      <c r="BG2435" s="355">
        <v>1.6958000000000001E-2</v>
      </c>
      <c r="BH2435" s="624">
        <v>41663</v>
      </c>
      <c r="BI2435" s="355">
        <v>8.2118999999999998E-2</v>
      </c>
      <c r="BJ2435" s="624">
        <v>41662</v>
      </c>
      <c r="BK2435" s="355">
        <v>3.0414E-2</v>
      </c>
    </row>
    <row r="2436" spans="3:63" x14ac:dyDescent="0.15">
      <c r="C2436" s="624"/>
      <c r="D2436" s="355">
        <v>2.8469999999999999E-2</v>
      </c>
      <c r="AV2436" s="624"/>
      <c r="AX2436" s="624">
        <v>41669</v>
      </c>
      <c r="AY2436" s="355">
        <v>2.8590000000000001E-2</v>
      </c>
      <c r="AZ2436" s="624">
        <v>41733</v>
      </c>
      <c r="BA2436" s="355">
        <v>1.1900000000000001E-2</v>
      </c>
      <c r="BB2436" s="624">
        <v>41666</v>
      </c>
      <c r="BC2436" s="355">
        <v>0.32529999999999998</v>
      </c>
      <c r="BD2436" s="624">
        <v>41666</v>
      </c>
      <c r="BE2436" s="355">
        <v>9.264E-2</v>
      </c>
      <c r="BF2436" s="624">
        <v>41799</v>
      </c>
      <c r="BG2436" s="355">
        <v>1.6892999999999998E-2</v>
      </c>
      <c r="BH2436" s="624">
        <v>41666</v>
      </c>
      <c r="BI2436" s="355">
        <v>8.1749000000000002E-2</v>
      </c>
      <c r="BJ2436" s="624">
        <v>41663</v>
      </c>
      <c r="BK2436" s="355">
        <v>3.0440999999999999E-2</v>
      </c>
    </row>
    <row r="2437" spans="3:63" x14ac:dyDescent="0.15">
      <c r="C2437" s="624"/>
      <c r="D2437" s="355">
        <v>2.8590000000000001E-2</v>
      </c>
      <c r="AV2437" s="624"/>
      <c r="AX2437" s="624">
        <v>41670</v>
      </c>
      <c r="AY2437" s="355">
        <v>2.845E-2</v>
      </c>
      <c r="AZ2437" s="624">
        <v>41736</v>
      </c>
      <c r="BA2437" s="355">
        <v>1.1900000000000001E-2</v>
      </c>
      <c r="BB2437" s="624">
        <v>41667</v>
      </c>
      <c r="BC2437" s="355">
        <v>0.32550000000000001</v>
      </c>
      <c r="BD2437" s="624">
        <v>41667</v>
      </c>
      <c r="BE2437" s="355">
        <v>9.2749999999999999E-2</v>
      </c>
      <c r="BF2437" s="624">
        <v>41800</v>
      </c>
      <c r="BG2437" s="355">
        <v>1.6896000000000001E-2</v>
      </c>
      <c r="BH2437" s="624">
        <v>41667</v>
      </c>
      <c r="BI2437" s="355">
        <v>8.2033999999999996E-2</v>
      </c>
      <c r="BJ2437" s="624">
        <v>41666</v>
      </c>
      <c r="BK2437" s="355">
        <v>3.0391000000000001E-2</v>
      </c>
    </row>
    <row r="2438" spans="3:63" x14ac:dyDescent="0.15">
      <c r="C2438" s="624"/>
      <c r="D2438" s="355">
        <v>2.845E-2</v>
      </c>
      <c r="AV2438" s="624"/>
      <c r="AX2438" s="624">
        <v>41673</v>
      </c>
      <c r="AY2438" s="355">
        <v>2.8219999999999999E-2</v>
      </c>
      <c r="AZ2438" s="624">
        <v>41737</v>
      </c>
      <c r="BA2438" s="355">
        <v>1.2E-2</v>
      </c>
      <c r="BB2438" s="624">
        <v>41668</v>
      </c>
      <c r="BC2438" s="355">
        <v>0.32329999999999998</v>
      </c>
      <c r="BD2438" s="624">
        <v>41668</v>
      </c>
      <c r="BE2438" s="355">
        <v>9.2730000000000007E-2</v>
      </c>
      <c r="BF2438" s="624">
        <v>41801</v>
      </c>
      <c r="BG2438" s="355">
        <v>1.6837999999999999E-2</v>
      </c>
      <c r="BH2438" s="624">
        <v>41668</v>
      </c>
      <c r="BI2438" s="355">
        <v>8.2169000000000006E-2</v>
      </c>
      <c r="BJ2438" s="624">
        <v>41667</v>
      </c>
      <c r="BK2438" s="355">
        <v>3.0384999999999999E-2</v>
      </c>
    </row>
    <row r="2439" spans="3:63" x14ac:dyDescent="0.15">
      <c r="C2439" s="624"/>
      <c r="D2439" s="355">
        <v>2.8219999999999999E-2</v>
      </c>
      <c r="AV2439" s="624"/>
      <c r="AX2439" s="624">
        <v>41674</v>
      </c>
      <c r="AY2439" s="355">
        <v>2.8580000000000001E-2</v>
      </c>
      <c r="AZ2439" s="624">
        <v>41738</v>
      </c>
      <c r="BA2439" s="355">
        <v>1.2E-2</v>
      </c>
      <c r="BB2439" s="624">
        <v>41669</v>
      </c>
      <c r="BC2439" s="355">
        <v>0.32029999999999997</v>
      </c>
      <c r="BD2439" s="624">
        <v>41669</v>
      </c>
      <c r="BE2439" s="355">
        <v>9.2549999999999993E-2</v>
      </c>
      <c r="BF2439" s="624">
        <v>41802</v>
      </c>
      <c r="BG2439" s="355">
        <v>1.6863E-2</v>
      </c>
      <c r="BH2439" s="624">
        <v>41669</v>
      </c>
      <c r="BI2439" s="355">
        <v>8.1882999999999997E-2</v>
      </c>
      <c r="BJ2439" s="624">
        <v>41668</v>
      </c>
      <c r="BK2439" s="355">
        <v>3.0338E-2</v>
      </c>
    </row>
    <row r="2440" spans="3:63" x14ac:dyDescent="0.15">
      <c r="C2440" s="624"/>
      <c r="D2440" s="355">
        <v>2.8580000000000001E-2</v>
      </c>
      <c r="AV2440" s="624"/>
      <c r="AX2440" s="624">
        <v>41675</v>
      </c>
      <c r="AY2440" s="355">
        <v>2.8639999999999999E-2</v>
      </c>
      <c r="AZ2440" s="624">
        <v>41739</v>
      </c>
      <c r="BA2440" s="355">
        <v>1.2E-2</v>
      </c>
      <c r="BB2440" s="624">
        <v>41670</v>
      </c>
      <c r="BC2440" s="355">
        <v>0.31719999999999998</v>
      </c>
      <c r="BD2440" s="624">
        <v>41670</v>
      </c>
      <c r="BE2440" s="355">
        <v>9.2480000000000007E-2</v>
      </c>
      <c r="BF2440" s="624">
        <v>41803</v>
      </c>
      <c r="BG2440" s="355">
        <v>1.6747999999999999E-2</v>
      </c>
      <c r="BH2440" s="624">
        <v>41670</v>
      </c>
      <c r="BI2440" s="355">
        <v>8.1882999999999997E-2</v>
      </c>
      <c r="BJ2440" s="624">
        <v>41669</v>
      </c>
      <c r="BK2440" s="355">
        <v>3.0294000000000001E-2</v>
      </c>
    </row>
    <row r="2441" spans="3:63" x14ac:dyDescent="0.15">
      <c r="C2441" s="624"/>
      <c r="D2441" s="355">
        <v>2.8639999999999999E-2</v>
      </c>
      <c r="AV2441" s="624"/>
      <c r="AX2441" s="624">
        <v>41676</v>
      </c>
      <c r="AY2441" s="355">
        <v>2.8830000000000001E-2</v>
      </c>
      <c r="AZ2441" s="624">
        <v>41740</v>
      </c>
      <c r="BA2441" s="355">
        <v>1.2E-2</v>
      </c>
      <c r="BB2441" s="624">
        <v>41673</v>
      </c>
      <c r="BC2441" s="355">
        <v>0.31859999999999999</v>
      </c>
      <c r="BD2441" s="624">
        <v>41673</v>
      </c>
      <c r="BE2441" s="355">
        <v>9.1899999999999996E-2</v>
      </c>
      <c r="BF2441" s="624">
        <v>41806</v>
      </c>
      <c r="BG2441" s="355">
        <v>1.6605000000000002E-2</v>
      </c>
      <c r="BH2441" s="624">
        <v>41673</v>
      </c>
      <c r="BI2441" s="355">
        <v>8.1698999999999994E-2</v>
      </c>
      <c r="BJ2441" s="624">
        <v>41670</v>
      </c>
      <c r="BK2441" s="355">
        <v>3.0284999999999999E-2</v>
      </c>
    </row>
    <row r="2442" spans="3:63" x14ac:dyDescent="0.15">
      <c r="C2442" s="624"/>
      <c r="D2442" s="355">
        <v>2.8830000000000001E-2</v>
      </c>
      <c r="AV2442" s="624"/>
      <c r="AX2442" s="624">
        <v>41677</v>
      </c>
      <c r="AY2442" s="355">
        <v>2.877E-2</v>
      </c>
      <c r="AZ2442" s="624">
        <v>41743</v>
      </c>
      <c r="BA2442" s="355">
        <v>1.2E-2</v>
      </c>
      <c r="BB2442" s="624">
        <v>41674</v>
      </c>
      <c r="BC2442" s="355">
        <v>0.32140000000000002</v>
      </c>
      <c r="BD2442" s="624">
        <v>41674</v>
      </c>
      <c r="BE2442" s="355">
        <v>9.2859999999999998E-2</v>
      </c>
      <c r="BF2442" s="624">
        <v>41807</v>
      </c>
      <c r="BG2442" s="355">
        <v>1.6590000000000001E-2</v>
      </c>
      <c r="BH2442" s="624">
        <v>41674</v>
      </c>
      <c r="BI2442" s="355">
        <v>8.1949999999999995E-2</v>
      </c>
      <c r="BJ2442" s="624">
        <v>41673</v>
      </c>
      <c r="BK2442" s="355">
        <v>3.0356000000000001E-2</v>
      </c>
    </row>
    <row r="2443" spans="3:63" x14ac:dyDescent="0.15">
      <c r="C2443" s="624"/>
      <c r="D2443" s="355">
        <v>2.877E-2</v>
      </c>
      <c r="AV2443" s="624"/>
      <c r="AX2443" s="624">
        <v>41680</v>
      </c>
      <c r="AY2443" s="355">
        <v>2.877E-2</v>
      </c>
      <c r="AZ2443" s="624">
        <v>41744</v>
      </c>
      <c r="BA2443" s="355">
        <v>1.2E-2</v>
      </c>
      <c r="BB2443" s="624">
        <v>41675</v>
      </c>
      <c r="BC2443" s="355">
        <v>0.32300000000000001</v>
      </c>
      <c r="BD2443" s="624">
        <v>41675</v>
      </c>
      <c r="BE2443" s="355">
        <v>9.2759999999999995E-2</v>
      </c>
      <c r="BF2443" s="624">
        <v>41808</v>
      </c>
      <c r="BG2443" s="355">
        <v>1.6721E-2</v>
      </c>
      <c r="BH2443" s="624">
        <v>41675</v>
      </c>
      <c r="BI2443" s="355">
        <v>8.2074999999999995E-2</v>
      </c>
      <c r="BJ2443" s="624">
        <v>41674</v>
      </c>
      <c r="BK2443" s="355">
        <v>3.0533000000000001E-2</v>
      </c>
    </row>
    <row r="2444" spans="3:63" x14ac:dyDescent="0.15">
      <c r="C2444" s="624"/>
      <c r="D2444" s="355">
        <v>2.877E-2</v>
      </c>
      <c r="AV2444" s="624"/>
      <c r="AX2444" s="624">
        <v>41681</v>
      </c>
      <c r="AY2444" s="355">
        <v>2.878E-2</v>
      </c>
      <c r="AZ2444" s="624">
        <v>41745</v>
      </c>
      <c r="BA2444" s="355">
        <v>1.2E-2</v>
      </c>
      <c r="BB2444" s="624">
        <v>41676</v>
      </c>
      <c r="BC2444" s="355">
        <v>0.32540000000000002</v>
      </c>
      <c r="BD2444" s="624">
        <v>41676</v>
      </c>
      <c r="BE2444" s="355">
        <v>9.3009999999999995E-2</v>
      </c>
      <c r="BF2444" s="624">
        <v>41809</v>
      </c>
      <c r="BG2444" s="355">
        <v>1.6617E-2</v>
      </c>
      <c r="BH2444" s="624">
        <v>41676</v>
      </c>
      <c r="BI2444" s="355">
        <v>8.2011000000000001E-2</v>
      </c>
      <c r="BJ2444" s="624">
        <v>41675</v>
      </c>
      <c r="BK2444" s="355">
        <v>3.0518E-2</v>
      </c>
    </row>
    <row r="2445" spans="3:63" x14ac:dyDescent="0.15">
      <c r="C2445" s="624"/>
      <c r="D2445" s="355">
        <v>2.878E-2</v>
      </c>
      <c r="AV2445" s="624"/>
      <c r="AX2445" s="624">
        <v>41682</v>
      </c>
      <c r="AY2445" s="355">
        <v>2.8719999999999999E-2</v>
      </c>
      <c r="AZ2445" s="624">
        <v>41746</v>
      </c>
      <c r="BA2445" s="355">
        <v>1.2E-2</v>
      </c>
      <c r="BB2445" s="624">
        <v>41677</v>
      </c>
      <c r="BC2445" s="355">
        <v>0.3266</v>
      </c>
      <c r="BD2445" s="624">
        <v>41677</v>
      </c>
      <c r="BE2445" s="355">
        <v>9.3049999999999994E-2</v>
      </c>
      <c r="BF2445" s="624">
        <v>41810</v>
      </c>
      <c r="BG2445" s="355">
        <v>1.6622000000000001E-2</v>
      </c>
      <c r="BH2445" s="624">
        <v>41677</v>
      </c>
      <c r="BI2445" s="355">
        <v>8.2220000000000001E-2</v>
      </c>
      <c r="BJ2445" s="624">
        <v>41676</v>
      </c>
      <c r="BK2445" s="355">
        <v>3.0491999999999998E-2</v>
      </c>
    </row>
    <row r="2446" spans="3:63" x14ac:dyDescent="0.15">
      <c r="C2446" s="624"/>
      <c r="D2446" s="355">
        <v>2.8719999999999999E-2</v>
      </c>
      <c r="AV2446" s="624"/>
      <c r="AX2446" s="624">
        <v>41683</v>
      </c>
      <c r="AY2446" s="355">
        <v>2.8500000000000001E-2</v>
      </c>
      <c r="AZ2446" s="624">
        <v>41747</v>
      </c>
      <c r="BA2446" s="355">
        <v>1.2E-2</v>
      </c>
      <c r="BB2446" s="624">
        <v>41680</v>
      </c>
      <c r="BC2446" s="355">
        <v>0.32650000000000001</v>
      </c>
      <c r="BD2446" s="624">
        <v>41680</v>
      </c>
      <c r="BE2446" s="355">
        <v>9.3100000000000002E-2</v>
      </c>
      <c r="BF2446" s="624">
        <v>41813</v>
      </c>
      <c r="BG2446" s="355">
        <v>1.6648E-2</v>
      </c>
      <c r="BH2446" s="624">
        <v>41680</v>
      </c>
      <c r="BI2446" s="355">
        <v>8.2169000000000006E-2</v>
      </c>
      <c r="BJ2446" s="624">
        <v>41677</v>
      </c>
      <c r="BK2446" s="355">
        <v>3.0488000000000001E-2</v>
      </c>
    </row>
    <row r="2447" spans="3:63" x14ac:dyDescent="0.15">
      <c r="C2447" s="624"/>
      <c r="D2447" s="355">
        <v>2.8500000000000001E-2</v>
      </c>
      <c r="AV2447" s="624"/>
      <c r="AX2447" s="624">
        <v>41684</v>
      </c>
      <c r="AY2447" s="355">
        <v>2.8500000000000001E-2</v>
      </c>
      <c r="AZ2447" s="624">
        <v>41750</v>
      </c>
      <c r="BA2447" s="355">
        <v>1.2E-2</v>
      </c>
      <c r="BB2447" s="624">
        <v>41681</v>
      </c>
      <c r="BC2447" s="355">
        <v>0.32690000000000002</v>
      </c>
      <c r="BD2447" s="624">
        <v>41681</v>
      </c>
      <c r="BE2447" s="355">
        <v>9.3799999999999994E-2</v>
      </c>
      <c r="BF2447" s="624">
        <v>41814</v>
      </c>
      <c r="BG2447" s="355">
        <v>1.6615999999999999E-2</v>
      </c>
      <c r="BH2447" s="624">
        <v>41681</v>
      </c>
      <c r="BI2447" s="355">
        <v>8.2270999999999997E-2</v>
      </c>
      <c r="BJ2447" s="624">
        <v>41680</v>
      </c>
      <c r="BK2447" s="355">
        <v>3.0474999999999999E-2</v>
      </c>
    </row>
    <row r="2448" spans="3:63" x14ac:dyDescent="0.15">
      <c r="C2448" s="624"/>
      <c r="D2448" s="355">
        <v>2.8500000000000001E-2</v>
      </c>
      <c r="AV2448" s="624"/>
      <c r="AX2448" s="624">
        <v>41687</v>
      </c>
      <c r="AY2448" s="355">
        <v>2.8379999999999999E-2</v>
      </c>
      <c r="AZ2448" s="624">
        <v>41751</v>
      </c>
      <c r="BA2448" s="355">
        <v>1.1900000000000001E-2</v>
      </c>
      <c r="BB2448" s="624">
        <v>41682</v>
      </c>
      <c r="BC2448" s="355">
        <v>0.32690000000000002</v>
      </c>
      <c r="BD2448" s="624">
        <v>41682</v>
      </c>
      <c r="BE2448" s="355">
        <v>9.4140000000000001E-2</v>
      </c>
      <c r="BF2448" s="624">
        <v>41815</v>
      </c>
      <c r="BG2448" s="355">
        <v>1.6650999999999999E-2</v>
      </c>
      <c r="BH2448" s="624">
        <v>41682</v>
      </c>
      <c r="BI2448" s="355">
        <v>8.2747000000000001E-2</v>
      </c>
      <c r="BJ2448" s="624">
        <v>41681</v>
      </c>
      <c r="BK2448" s="355">
        <v>3.0547999999999999E-2</v>
      </c>
    </row>
    <row r="2449" spans="3:63" x14ac:dyDescent="0.15">
      <c r="C2449" s="624"/>
      <c r="D2449" s="355">
        <v>2.8379999999999999E-2</v>
      </c>
      <c r="AV2449" s="624"/>
      <c r="AX2449" s="624">
        <v>41688</v>
      </c>
      <c r="AY2449" s="355">
        <v>2.819E-2</v>
      </c>
      <c r="AZ2449" s="624">
        <v>41752</v>
      </c>
      <c r="BA2449" s="355">
        <v>1.2E-2</v>
      </c>
      <c r="BB2449" s="624">
        <v>41683</v>
      </c>
      <c r="BC2449" s="355">
        <v>0.32890000000000003</v>
      </c>
      <c r="BD2449" s="624">
        <v>41683</v>
      </c>
      <c r="BE2449" s="355">
        <v>9.3909999999999993E-2</v>
      </c>
      <c r="BF2449" s="624">
        <v>41816</v>
      </c>
      <c r="BG2449" s="355">
        <v>1.6618999999999998E-2</v>
      </c>
      <c r="BH2449" s="624">
        <v>41683</v>
      </c>
      <c r="BI2449" s="355">
        <v>8.3403000000000005E-2</v>
      </c>
      <c r="BJ2449" s="624">
        <v>41682</v>
      </c>
      <c r="BK2449" s="355">
        <v>3.0759999999999999E-2</v>
      </c>
    </row>
    <row r="2450" spans="3:63" x14ac:dyDescent="0.15">
      <c r="C2450" s="624"/>
      <c r="D2450" s="355">
        <v>2.819E-2</v>
      </c>
      <c r="AV2450" s="624"/>
      <c r="AX2450" s="624">
        <v>41689</v>
      </c>
      <c r="AY2450" s="355">
        <v>2.793E-2</v>
      </c>
      <c r="AZ2450" s="624">
        <v>41753</v>
      </c>
      <c r="BA2450" s="355">
        <v>1.2E-2</v>
      </c>
      <c r="BB2450" s="624">
        <v>41684</v>
      </c>
      <c r="BC2450" s="355">
        <v>0.33019999999999999</v>
      </c>
      <c r="BD2450" s="624">
        <v>41684</v>
      </c>
      <c r="BE2450" s="355">
        <v>9.4070000000000001E-2</v>
      </c>
      <c r="BF2450" s="624">
        <v>41817</v>
      </c>
      <c r="BG2450" s="355">
        <v>1.6669E-2</v>
      </c>
      <c r="BH2450" s="624">
        <v>41684</v>
      </c>
      <c r="BI2450" s="355">
        <v>8.4530999999999995E-2</v>
      </c>
      <c r="BJ2450" s="624">
        <v>41683</v>
      </c>
      <c r="BK2450" s="355">
        <v>3.0710000000000001E-2</v>
      </c>
    </row>
    <row r="2451" spans="3:63" x14ac:dyDescent="0.15">
      <c r="C2451" s="624"/>
      <c r="D2451" s="355">
        <v>2.793E-2</v>
      </c>
      <c r="AV2451" s="624"/>
      <c r="AX2451" s="624">
        <v>41690</v>
      </c>
      <c r="AY2451" s="355">
        <v>2.7959999999999999E-2</v>
      </c>
      <c r="AZ2451" s="624">
        <v>41754</v>
      </c>
      <c r="BA2451" s="355">
        <v>1.1900000000000001E-2</v>
      </c>
      <c r="BB2451" s="624">
        <v>41687</v>
      </c>
      <c r="BC2451" s="355">
        <v>0.33079999999999998</v>
      </c>
      <c r="BD2451" s="624">
        <v>41687</v>
      </c>
      <c r="BE2451" s="355">
        <v>9.4310000000000005E-2</v>
      </c>
      <c r="BF2451" s="624">
        <v>41820</v>
      </c>
      <c r="BG2451" s="355">
        <v>1.6655E-2</v>
      </c>
      <c r="BH2451" s="624">
        <v>41687</v>
      </c>
      <c r="BI2451" s="355">
        <v>8.4889999999999993E-2</v>
      </c>
      <c r="BJ2451" s="624">
        <v>41684</v>
      </c>
      <c r="BK2451" s="355">
        <v>3.0911999999999999E-2</v>
      </c>
    </row>
    <row r="2452" spans="3:63" x14ac:dyDescent="0.15">
      <c r="C2452" s="624"/>
      <c r="D2452" s="355">
        <v>2.7959999999999999E-2</v>
      </c>
      <c r="AV2452" s="624"/>
      <c r="AX2452" s="624">
        <v>41691</v>
      </c>
      <c r="AY2452" s="355">
        <v>2.8150000000000001E-2</v>
      </c>
      <c r="AZ2452" s="624">
        <v>41757</v>
      </c>
      <c r="BA2452" s="355">
        <v>1.2E-2</v>
      </c>
      <c r="BB2452" s="624">
        <v>41688</v>
      </c>
      <c r="BC2452" s="355">
        <v>0.33169999999999999</v>
      </c>
      <c r="BD2452" s="624">
        <v>41688</v>
      </c>
      <c r="BE2452" s="355">
        <v>9.3909999999999993E-2</v>
      </c>
      <c r="BF2452" s="624">
        <v>41821</v>
      </c>
      <c r="BG2452" s="355">
        <v>1.6688000000000001E-2</v>
      </c>
      <c r="BH2452" s="624">
        <v>41688</v>
      </c>
      <c r="BI2452" s="355">
        <v>8.4476999999999997E-2</v>
      </c>
      <c r="BJ2452" s="624">
        <v>41687</v>
      </c>
      <c r="BK2452" s="355">
        <v>3.1026999999999999E-2</v>
      </c>
    </row>
    <row r="2453" spans="3:63" x14ac:dyDescent="0.15">
      <c r="C2453" s="624"/>
      <c r="D2453" s="355">
        <v>2.8150000000000001E-2</v>
      </c>
      <c r="AV2453" s="624"/>
      <c r="AX2453" s="624">
        <v>41694</v>
      </c>
      <c r="AY2453" s="355">
        <v>2.8139999999999998E-2</v>
      </c>
      <c r="AZ2453" s="624">
        <v>41758</v>
      </c>
      <c r="BA2453" s="355">
        <v>1.1900000000000001E-2</v>
      </c>
      <c r="BB2453" s="624">
        <v>41689</v>
      </c>
      <c r="BC2453" s="355">
        <v>0.32919999999999999</v>
      </c>
      <c r="BD2453" s="624">
        <v>41689</v>
      </c>
      <c r="BE2453" s="355">
        <v>9.3619999999999995E-2</v>
      </c>
      <c r="BF2453" s="624">
        <v>41822</v>
      </c>
      <c r="BG2453" s="355">
        <v>1.6788999999999998E-2</v>
      </c>
      <c r="BH2453" s="624">
        <v>41689</v>
      </c>
      <c r="BI2453" s="355">
        <v>8.4889999999999993E-2</v>
      </c>
      <c r="BJ2453" s="624">
        <v>41688</v>
      </c>
      <c r="BK2453" s="355">
        <v>3.0775E-2</v>
      </c>
    </row>
    <row r="2454" spans="3:63" x14ac:dyDescent="0.15">
      <c r="C2454" s="624"/>
      <c r="D2454" s="355">
        <v>2.8139999999999998E-2</v>
      </c>
      <c r="AV2454" s="624"/>
      <c r="AX2454" s="624">
        <v>41695</v>
      </c>
      <c r="AY2454" s="355">
        <v>2.7980000000000001E-2</v>
      </c>
      <c r="AZ2454" s="624">
        <v>41759</v>
      </c>
      <c r="BA2454" s="355">
        <v>1.2E-2</v>
      </c>
      <c r="BB2454" s="624">
        <v>41690</v>
      </c>
      <c r="BC2454" s="355">
        <v>0.32919999999999999</v>
      </c>
      <c r="BD2454" s="624">
        <v>41690</v>
      </c>
      <c r="BE2454" s="355">
        <v>9.3270000000000006E-2</v>
      </c>
      <c r="BF2454" s="624">
        <v>41823</v>
      </c>
      <c r="BG2454" s="355">
        <v>1.6791E-2</v>
      </c>
      <c r="BH2454" s="624">
        <v>41690</v>
      </c>
      <c r="BI2454" s="355">
        <v>8.4709999999999994E-2</v>
      </c>
      <c r="BJ2454" s="624">
        <v>41689</v>
      </c>
      <c r="BK2454" s="355">
        <v>3.0679999999999999E-2</v>
      </c>
    </row>
    <row r="2455" spans="3:63" x14ac:dyDescent="0.15">
      <c r="C2455" s="624"/>
      <c r="D2455" s="355">
        <v>2.7980000000000001E-2</v>
      </c>
      <c r="AV2455" s="624"/>
      <c r="AX2455" s="624">
        <v>41696</v>
      </c>
      <c r="AY2455" s="355">
        <v>2.7740000000000001E-2</v>
      </c>
      <c r="AZ2455" s="624">
        <v>41760</v>
      </c>
      <c r="BA2455" s="355">
        <v>1.2E-2</v>
      </c>
      <c r="BB2455" s="624">
        <v>41691</v>
      </c>
      <c r="BC2455" s="355">
        <v>0.33079999999999998</v>
      </c>
      <c r="BD2455" s="624">
        <v>41691</v>
      </c>
      <c r="BE2455" s="355">
        <v>9.3200000000000005E-2</v>
      </c>
      <c r="BF2455" s="624">
        <v>41824</v>
      </c>
      <c r="BG2455" s="355">
        <v>1.6729000000000001E-2</v>
      </c>
      <c r="BH2455" s="624">
        <v>41691</v>
      </c>
      <c r="BI2455" s="355">
        <v>8.5179000000000005E-2</v>
      </c>
      <c r="BJ2455" s="624">
        <v>41690</v>
      </c>
      <c r="BK2455" s="355">
        <v>3.0721999999999999E-2</v>
      </c>
    </row>
    <row r="2456" spans="3:63" x14ac:dyDescent="0.15">
      <c r="C2456" s="624"/>
      <c r="D2456" s="355">
        <v>2.7740000000000001E-2</v>
      </c>
      <c r="AV2456" s="624"/>
      <c r="AX2456" s="624">
        <v>41697</v>
      </c>
      <c r="AY2456" s="355">
        <v>2.776E-2</v>
      </c>
      <c r="AZ2456" s="624">
        <v>41761</v>
      </c>
      <c r="BA2456" s="355">
        <v>1.2E-2</v>
      </c>
      <c r="BB2456" s="624">
        <v>41694</v>
      </c>
      <c r="BC2456" s="355">
        <v>0.33</v>
      </c>
      <c r="BD2456" s="624">
        <v>41694</v>
      </c>
      <c r="BE2456" s="355">
        <v>9.3109999999999998E-2</v>
      </c>
      <c r="BF2456" s="624">
        <v>41827</v>
      </c>
      <c r="BG2456" s="355">
        <v>1.6670999999999998E-2</v>
      </c>
      <c r="BH2456" s="624">
        <v>41694</v>
      </c>
      <c r="BI2456" s="355">
        <v>8.5433999999999996E-2</v>
      </c>
      <c r="BJ2456" s="624">
        <v>41691</v>
      </c>
      <c r="BK2456" s="355">
        <v>3.0742999999999999E-2</v>
      </c>
    </row>
    <row r="2457" spans="3:63" x14ac:dyDescent="0.15">
      <c r="C2457" s="624"/>
      <c r="D2457" s="355">
        <v>2.776E-2</v>
      </c>
      <c r="AV2457" s="624"/>
      <c r="AX2457" s="624">
        <v>41698</v>
      </c>
      <c r="AY2457" s="355">
        <v>2.768E-2</v>
      </c>
      <c r="AZ2457" s="624">
        <v>41764</v>
      </c>
      <c r="BA2457" s="355">
        <v>1.2E-2</v>
      </c>
      <c r="BB2457" s="624">
        <v>41695</v>
      </c>
      <c r="BC2457" s="355">
        <v>0.33090000000000003</v>
      </c>
      <c r="BD2457" s="624">
        <v>41695</v>
      </c>
      <c r="BE2457" s="355">
        <v>9.3130000000000004E-2</v>
      </c>
      <c r="BF2457" s="624">
        <v>41828</v>
      </c>
      <c r="BG2457" s="355">
        <v>1.6705000000000001E-2</v>
      </c>
      <c r="BH2457" s="624">
        <v>41695</v>
      </c>
      <c r="BI2457" s="355">
        <v>8.5690000000000002E-2</v>
      </c>
      <c r="BJ2457" s="624">
        <v>41694</v>
      </c>
      <c r="BK2457" s="355">
        <v>3.0737E-2</v>
      </c>
    </row>
    <row r="2458" spans="3:63" x14ac:dyDescent="0.15">
      <c r="C2458" s="624"/>
      <c r="D2458" s="355">
        <v>2.768E-2</v>
      </c>
      <c r="AV2458" s="624"/>
      <c r="AX2458" s="624">
        <v>41701</v>
      </c>
      <c r="AY2458" s="355">
        <v>2.741E-2</v>
      </c>
      <c r="AZ2458" s="624">
        <v>41765</v>
      </c>
      <c r="BA2458" s="355">
        <v>1.21E-2</v>
      </c>
      <c r="BB2458" s="624">
        <v>41696</v>
      </c>
      <c r="BC2458" s="355">
        <v>0.32740000000000002</v>
      </c>
      <c r="BD2458" s="624">
        <v>41696</v>
      </c>
      <c r="BE2458" s="355">
        <v>9.3439999999999995E-2</v>
      </c>
      <c r="BF2458" s="624">
        <v>41829</v>
      </c>
      <c r="BG2458" s="355">
        <v>1.6760000000000001E-2</v>
      </c>
      <c r="BH2458" s="624">
        <v>41696</v>
      </c>
      <c r="BI2458" s="355">
        <v>8.5985000000000006E-2</v>
      </c>
      <c r="BJ2458" s="624">
        <v>41695</v>
      </c>
      <c r="BK2458" s="355">
        <v>3.0721999999999999E-2</v>
      </c>
    </row>
    <row r="2459" spans="3:63" x14ac:dyDescent="0.15">
      <c r="C2459" s="624"/>
      <c r="D2459" s="355">
        <v>2.741E-2</v>
      </c>
      <c r="AV2459" s="624"/>
      <c r="AX2459" s="624">
        <v>41702</v>
      </c>
      <c r="AY2459" s="355">
        <v>2.7740000000000001E-2</v>
      </c>
      <c r="AZ2459" s="624">
        <v>41766</v>
      </c>
      <c r="BA2459" s="355">
        <v>1.2E-2</v>
      </c>
      <c r="BB2459" s="624">
        <v>41697</v>
      </c>
      <c r="BC2459" s="355">
        <v>0.32969999999999999</v>
      </c>
      <c r="BD2459" s="624">
        <v>41697</v>
      </c>
      <c r="BE2459" s="355">
        <v>9.3780000000000002E-2</v>
      </c>
      <c r="BF2459" s="624">
        <v>41830</v>
      </c>
      <c r="BG2459" s="355">
        <v>1.6646999999999999E-2</v>
      </c>
      <c r="BH2459" s="624">
        <v>41697</v>
      </c>
      <c r="BI2459" s="355">
        <v>8.5891999999999996E-2</v>
      </c>
      <c r="BJ2459" s="624">
        <v>41696</v>
      </c>
      <c r="BK2459" s="355">
        <v>3.0689000000000001E-2</v>
      </c>
    </row>
    <row r="2460" spans="3:63" x14ac:dyDescent="0.15">
      <c r="C2460" s="624"/>
      <c r="D2460" s="355">
        <v>2.7740000000000001E-2</v>
      </c>
      <c r="AV2460" s="624"/>
      <c r="AX2460" s="624">
        <v>41703</v>
      </c>
      <c r="AY2460" s="355">
        <v>2.7740000000000001E-2</v>
      </c>
      <c r="AZ2460" s="624">
        <v>41767</v>
      </c>
      <c r="BA2460" s="355">
        <v>1.2E-2</v>
      </c>
      <c r="BB2460" s="624">
        <v>41698</v>
      </c>
      <c r="BC2460" s="355">
        <v>0.33179999999999998</v>
      </c>
      <c r="BD2460" s="624">
        <v>41698</v>
      </c>
      <c r="BE2460" s="355">
        <v>9.3759999999999996E-2</v>
      </c>
      <c r="BF2460" s="624">
        <v>41831</v>
      </c>
      <c r="BG2460" s="355">
        <v>1.6631E-2</v>
      </c>
      <c r="BH2460" s="624">
        <v>41698</v>
      </c>
      <c r="BI2460" s="355">
        <v>8.6096000000000006E-2</v>
      </c>
      <c r="BJ2460" s="624">
        <v>41697</v>
      </c>
      <c r="BK2460" s="355">
        <v>3.0693999999999999E-2</v>
      </c>
    </row>
    <row r="2461" spans="3:63" x14ac:dyDescent="0.15">
      <c r="C2461" s="624"/>
      <c r="D2461" s="355">
        <v>2.7740000000000001E-2</v>
      </c>
      <c r="AV2461" s="624"/>
      <c r="AX2461" s="624">
        <v>41704</v>
      </c>
      <c r="AY2461" s="355">
        <v>2.767E-2</v>
      </c>
      <c r="AZ2461" s="624">
        <v>41768</v>
      </c>
      <c r="BA2461" s="355">
        <v>1.1900000000000001E-2</v>
      </c>
      <c r="BB2461" s="624">
        <v>41701</v>
      </c>
      <c r="BC2461" s="355">
        <v>0.32490000000000002</v>
      </c>
      <c r="BD2461" s="624">
        <v>41701</v>
      </c>
      <c r="BE2461" s="355">
        <v>9.325E-2</v>
      </c>
      <c r="BF2461" s="624">
        <v>41834</v>
      </c>
      <c r="BG2461" s="355">
        <v>1.6643000000000002E-2</v>
      </c>
      <c r="BH2461" s="624">
        <v>41701</v>
      </c>
      <c r="BI2461" s="355">
        <v>8.6336999999999997E-2</v>
      </c>
      <c r="BJ2461" s="624">
        <v>41698</v>
      </c>
      <c r="BK2461" s="355">
        <v>3.0731000000000001E-2</v>
      </c>
    </row>
    <row r="2462" spans="3:63" x14ac:dyDescent="0.15">
      <c r="C2462" s="624"/>
      <c r="D2462" s="355">
        <v>2.767E-2</v>
      </c>
      <c r="AV2462" s="624"/>
      <c r="AX2462" s="624">
        <v>41705</v>
      </c>
      <c r="AY2462" s="355">
        <v>2.7449999999999999E-2</v>
      </c>
      <c r="AZ2462" s="624">
        <v>41771</v>
      </c>
      <c r="BA2462" s="355">
        <v>1.1900000000000001E-2</v>
      </c>
      <c r="BB2462" s="624">
        <v>41702</v>
      </c>
      <c r="BC2462" s="355">
        <v>0.32850000000000001</v>
      </c>
      <c r="BD2462" s="624">
        <v>41702</v>
      </c>
      <c r="BE2462" s="355">
        <v>9.3340000000000006E-2</v>
      </c>
      <c r="BF2462" s="624">
        <v>41835</v>
      </c>
      <c r="BG2462" s="355">
        <v>1.6615999999999999E-2</v>
      </c>
      <c r="BH2462" s="624">
        <v>41702</v>
      </c>
      <c r="BI2462" s="355">
        <v>8.5763000000000006E-2</v>
      </c>
      <c r="BJ2462" s="624">
        <v>41701</v>
      </c>
      <c r="BK2462" s="355">
        <v>3.074E-2</v>
      </c>
    </row>
    <row r="2463" spans="3:63" x14ac:dyDescent="0.15">
      <c r="C2463" s="624"/>
      <c r="D2463" s="355">
        <v>2.7449999999999999E-2</v>
      </c>
      <c r="AV2463" s="624"/>
      <c r="AX2463" s="624">
        <v>41708</v>
      </c>
      <c r="AY2463" s="355">
        <v>2.7519999999999999E-2</v>
      </c>
      <c r="AZ2463" s="624">
        <v>41772</v>
      </c>
      <c r="BA2463" s="355">
        <v>1.1900000000000001E-2</v>
      </c>
      <c r="BB2463" s="624">
        <v>41703</v>
      </c>
      <c r="BC2463" s="355">
        <v>0.3281</v>
      </c>
      <c r="BD2463" s="624">
        <v>41703</v>
      </c>
      <c r="BE2463" s="355">
        <v>9.3340000000000006E-2</v>
      </c>
      <c r="BF2463" s="624">
        <v>41836</v>
      </c>
      <c r="BG2463" s="355">
        <v>1.6643999999999999E-2</v>
      </c>
      <c r="BH2463" s="624">
        <v>41703</v>
      </c>
      <c r="BI2463" s="355">
        <v>8.6388999999999994E-2</v>
      </c>
      <c r="BJ2463" s="624">
        <v>41702</v>
      </c>
      <c r="BK2463" s="355">
        <v>3.0934E-2</v>
      </c>
    </row>
    <row r="2464" spans="3:63" x14ac:dyDescent="0.15">
      <c r="C2464" s="624"/>
      <c r="D2464" s="355">
        <v>2.7519999999999999E-2</v>
      </c>
      <c r="AV2464" s="624"/>
      <c r="AX2464" s="624">
        <v>41709</v>
      </c>
      <c r="AY2464" s="355">
        <v>2.742E-2</v>
      </c>
      <c r="AZ2464" s="624">
        <v>41773</v>
      </c>
      <c r="BA2464" s="355">
        <v>1.1900000000000001E-2</v>
      </c>
      <c r="BB2464" s="624">
        <v>41704</v>
      </c>
      <c r="BC2464" s="355">
        <v>0.33169999999999999</v>
      </c>
      <c r="BD2464" s="624">
        <v>41704</v>
      </c>
      <c r="BE2464" s="355">
        <v>9.3969999999999998E-2</v>
      </c>
      <c r="BF2464" s="624">
        <v>41837</v>
      </c>
      <c r="BG2464" s="355">
        <v>1.6483999999999999E-2</v>
      </c>
      <c r="BH2464" s="624">
        <v>41704</v>
      </c>
      <c r="BI2464" s="355">
        <v>8.7135000000000004E-2</v>
      </c>
      <c r="BJ2464" s="624">
        <v>41703</v>
      </c>
      <c r="BK2464" s="355">
        <v>3.0963999999999998E-2</v>
      </c>
    </row>
    <row r="2465" spans="3:63" x14ac:dyDescent="0.15">
      <c r="C2465" s="624"/>
      <c r="D2465" s="355">
        <v>2.742E-2</v>
      </c>
      <c r="AV2465" s="624"/>
      <c r="AX2465" s="624">
        <v>41710</v>
      </c>
      <c r="AY2465" s="355">
        <v>2.7400000000000001E-2</v>
      </c>
      <c r="AZ2465" s="624">
        <v>41774</v>
      </c>
      <c r="BA2465" s="355">
        <v>1.1900000000000001E-2</v>
      </c>
      <c r="BB2465" s="624">
        <v>41705</v>
      </c>
      <c r="BC2465" s="355">
        <v>0.3301</v>
      </c>
      <c r="BD2465" s="624">
        <v>41705</v>
      </c>
      <c r="BE2465" s="355">
        <v>9.3859999999999999E-2</v>
      </c>
      <c r="BF2465" s="624">
        <v>41838</v>
      </c>
      <c r="BG2465" s="355">
        <v>1.6573999999999998E-2</v>
      </c>
      <c r="BH2465" s="624">
        <v>41705</v>
      </c>
      <c r="BI2465" s="355">
        <v>8.7527999999999995E-2</v>
      </c>
      <c r="BJ2465" s="624">
        <v>41704</v>
      </c>
      <c r="BK2465" s="355">
        <v>3.1014E-2</v>
      </c>
    </row>
    <row r="2466" spans="3:63" x14ac:dyDescent="0.15">
      <c r="C2466" s="624"/>
      <c r="D2466" s="355">
        <v>2.7400000000000001E-2</v>
      </c>
      <c r="AV2466" s="624"/>
      <c r="AX2466" s="624">
        <v>41711</v>
      </c>
      <c r="AY2466" s="355">
        <v>2.7289999999999998E-2</v>
      </c>
      <c r="AZ2466" s="624">
        <v>41775</v>
      </c>
      <c r="BA2466" s="355">
        <v>1.1900000000000001E-2</v>
      </c>
      <c r="BB2466" s="624">
        <v>41708</v>
      </c>
      <c r="BC2466" s="355">
        <v>0.32940000000000003</v>
      </c>
      <c r="BD2466" s="624">
        <v>41708</v>
      </c>
      <c r="BE2466" s="355">
        <v>9.3689999999999996E-2</v>
      </c>
      <c r="BF2466" s="624">
        <v>41841</v>
      </c>
      <c r="BG2466" s="355">
        <v>1.6584999999999999E-2</v>
      </c>
      <c r="BH2466" s="624">
        <v>41708</v>
      </c>
      <c r="BI2466" s="355">
        <v>8.7355000000000002E-2</v>
      </c>
      <c r="BJ2466" s="624">
        <v>41705</v>
      </c>
      <c r="BK2466" s="355">
        <v>3.0953000000000001E-2</v>
      </c>
    </row>
    <row r="2467" spans="3:63" x14ac:dyDescent="0.15">
      <c r="C2467" s="624"/>
      <c r="D2467" s="355">
        <v>2.7289999999999998E-2</v>
      </c>
      <c r="AV2467" s="624"/>
      <c r="AX2467" s="624">
        <v>41712</v>
      </c>
      <c r="AY2467" s="355">
        <v>2.7349999999999999E-2</v>
      </c>
      <c r="AZ2467" s="624">
        <v>41778</v>
      </c>
      <c r="BA2467" s="355">
        <v>1.18E-2</v>
      </c>
      <c r="BB2467" s="624">
        <v>41709</v>
      </c>
      <c r="BC2467" s="355">
        <v>0.3281</v>
      </c>
      <c r="BD2467" s="624">
        <v>41709</v>
      </c>
      <c r="BE2467" s="355">
        <v>9.3469999999999998E-2</v>
      </c>
      <c r="BF2467" s="624">
        <v>41842</v>
      </c>
      <c r="BG2467" s="355">
        <v>1.6632999999999998E-2</v>
      </c>
      <c r="BH2467" s="624">
        <v>41709</v>
      </c>
      <c r="BI2467" s="355">
        <v>8.7970000000000007E-2</v>
      </c>
      <c r="BJ2467" s="624">
        <v>41708</v>
      </c>
      <c r="BK2467" s="355">
        <v>3.0883000000000001E-2</v>
      </c>
    </row>
    <row r="2468" spans="3:63" x14ac:dyDescent="0.15">
      <c r="C2468" s="624"/>
      <c r="D2468" s="355">
        <v>2.7349999999999999E-2</v>
      </c>
      <c r="AV2468" s="624"/>
      <c r="AX2468" s="624">
        <v>41715</v>
      </c>
      <c r="AY2468" s="355">
        <v>2.7550000000000002E-2</v>
      </c>
      <c r="AZ2468" s="624">
        <v>41779</v>
      </c>
      <c r="BA2468" s="355">
        <v>1.1900000000000001E-2</v>
      </c>
      <c r="BB2468" s="624">
        <v>41710</v>
      </c>
      <c r="BC2468" s="355">
        <v>0.3291</v>
      </c>
      <c r="BD2468" s="624">
        <v>41710</v>
      </c>
      <c r="BE2468" s="355">
        <v>9.3450000000000005E-2</v>
      </c>
      <c r="BF2468" s="624">
        <v>41843</v>
      </c>
      <c r="BG2468" s="355">
        <v>1.6674999999999999E-2</v>
      </c>
      <c r="BH2468" s="624">
        <v>41710</v>
      </c>
      <c r="BI2468" s="355">
        <v>8.7526999999999994E-2</v>
      </c>
      <c r="BJ2468" s="624">
        <v>41709</v>
      </c>
      <c r="BK2468" s="355">
        <v>3.0896E-2</v>
      </c>
    </row>
    <row r="2469" spans="3:63" x14ac:dyDescent="0.15">
      <c r="C2469" s="624"/>
      <c r="D2469" s="355">
        <v>2.7550000000000002E-2</v>
      </c>
      <c r="AV2469" s="624"/>
      <c r="AX2469" s="624">
        <v>41716</v>
      </c>
      <c r="AY2469" s="355">
        <v>2.759E-2</v>
      </c>
      <c r="AZ2469" s="624">
        <v>41780</v>
      </c>
      <c r="BA2469" s="355">
        <v>1.1900000000000001E-2</v>
      </c>
      <c r="BB2469" s="624">
        <v>41711</v>
      </c>
      <c r="BC2469" s="355">
        <v>0.32740000000000002</v>
      </c>
      <c r="BD2469" s="624">
        <v>41711</v>
      </c>
      <c r="BE2469" s="355">
        <v>9.3399999999999997E-2</v>
      </c>
      <c r="BF2469" s="624">
        <v>41844</v>
      </c>
      <c r="BG2469" s="355">
        <v>1.6645E-2</v>
      </c>
      <c r="BH2469" s="624">
        <v>41711</v>
      </c>
      <c r="BI2469" s="355">
        <v>8.7873000000000007E-2</v>
      </c>
      <c r="BJ2469" s="624">
        <v>41710</v>
      </c>
      <c r="BK2469" s="355">
        <v>3.0873000000000001E-2</v>
      </c>
    </row>
    <row r="2470" spans="3:63" x14ac:dyDescent="0.15">
      <c r="C2470" s="624"/>
      <c r="D2470" s="355">
        <v>2.759E-2</v>
      </c>
      <c r="AV2470" s="624"/>
      <c r="AX2470" s="624">
        <v>41717</v>
      </c>
      <c r="AY2470" s="355">
        <v>2.7650000000000001E-2</v>
      </c>
      <c r="AZ2470" s="624">
        <v>41781</v>
      </c>
      <c r="BA2470" s="355">
        <v>1.18E-2</v>
      </c>
      <c r="BB2470" s="624">
        <v>41712</v>
      </c>
      <c r="BC2470" s="355">
        <v>0.32940000000000003</v>
      </c>
      <c r="BD2470" s="624">
        <v>41712</v>
      </c>
      <c r="BE2470" s="355">
        <v>9.3340000000000006E-2</v>
      </c>
      <c r="BF2470" s="624">
        <v>41845</v>
      </c>
      <c r="BG2470" s="355">
        <v>1.6649000000000001E-2</v>
      </c>
      <c r="BH2470" s="624">
        <v>41712</v>
      </c>
      <c r="BI2470" s="355">
        <v>8.7641999999999998E-2</v>
      </c>
      <c r="BJ2470" s="624">
        <v>41711</v>
      </c>
      <c r="BK2470" s="355">
        <v>3.0922000000000002E-2</v>
      </c>
    </row>
    <row r="2471" spans="3:63" x14ac:dyDescent="0.15">
      <c r="C2471" s="624"/>
      <c r="D2471" s="355">
        <v>2.7650000000000001E-2</v>
      </c>
      <c r="AV2471" s="624"/>
      <c r="AX2471" s="624">
        <v>41718</v>
      </c>
      <c r="AY2471" s="355">
        <v>2.7529999999999999E-2</v>
      </c>
      <c r="AZ2471" s="624">
        <v>41782</v>
      </c>
      <c r="BA2471" s="355">
        <v>1.18E-2</v>
      </c>
      <c r="BB2471" s="624">
        <v>41715</v>
      </c>
      <c r="BC2471" s="355">
        <v>0.32929999999999998</v>
      </c>
      <c r="BD2471" s="624">
        <v>41715</v>
      </c>
      <c r="BE2471" s="355">
        <v>9.3710000000000002E-2</v>
      </c>
      <c r="BF2471" s="624">
        <v>41848</v>
      </c>
      <c r="BG2471" s="355">
        <v>1.6643999999999999E-2</v>
      </c>
      <c r="BH2471" s="624">
        <v>41715</v>
      </c>
      <c r="BI2471" s="355">
        <v>8.8594000000000006E-2</v>
      </c>
      <c r="BJ2471" s="624">
        <v>41712</v>
      </c>
      <c r="BK2471" s="355">
        <v>3.0984000000000001E-2</v>
      </c>
    </row>
    <row r="2472" spans="3:63" x14ac:dyDescent="0.15">
      <c r="C2472" s="624"/>
      <c r="D2472" s="355">
        <v>2.7529999999999999E-2</v>
      </c>
      <c r="AV2472" s="624"/>
      <c r="AX2472" s="624">
        <v>41719</v>
      </c>
      <c r="AY2472" s="355">
        <v>2.76E-2</v>
      </c>
      <c r="AZ2472" s="624">
        <v>41785</v>
      </c>
      <c r="BA2472" s="355">
        <v>1.18E-2</v>
      </c>
      <c r="BB2472" s="624">
        <v>41716</v>
      </c>
      <c r="BC2472" s="355">
        <v>0.33110000000000001</v>
      </c>
      <c r="BD2472" s="624">
        <v>41716</v>
      </c>
      <c r="BE2472" s="355">
        <v>9.35E-2</v>
      </c>
      <c r="BF2472" s="624">
        <v>41849</v>
      </c>
      <c r="BG2472" s="355">
        <v>1.6598999999999999E-2</v>
      </c>
      <c r="BH2472" s="624">
        <v>41716</v>
      </c>
      <c r="BI2472" s="355">
        <v>8.8416999999999996E-2</v>
      </c>
      <c r="BJ2472" s="624">
        <v>41715</v>
      </c>
      <c r="BK2472" s="355">
        <v>3.1033000000000002E-2</v>
      </c>
    </row>
    <row r="2473" spans="3:63" x14ac:dyDescent="0.15">
      <c r="C2473" s="624"/>
      <c r="D2473" s="355">
        <v>2.76E-2</v>
      </c>
      <c r="AV2473" s="624"/>
      <c r="AX2473" s="624">
        <v>41722</v>
      </c>
      <c r="AY2473" s="355">
        <v>2.7709999999999999E-2</v>
      </c>
      <c r="AZ2473" s="624">
        <v>41786</v>
      </c>
      <c r="BA2473" s="355">
        <v>1.18E-2</v>
      </c>
      <c r="BB2473" s="624">
        <v>41717</v>
      </c>
      <c r="BC2473" s="355">
        <v>0.32840000000000003</v>
      </c>
      <c r="BD2473" s="624">
        <v>41717</v>
      </c>
      <c r="BE2473" s="355">
        <v>9.2990000000000003E-2</v>
      </c>
      <c r="BF2473" s="624">
        <v>41850</v>
      </c>
      <c r="BG2473" s="355">
        <v>1.6565E-2</v>
      </c>
      <c r="BH2473" s="624">
        <v>41717</v>
      </c>
      <c r="BI2473" s="355">
        <v>8.8242000000000001E-2</v>
      </c>
      <c r="BJ2473" s="624">
        <v>41716</v>
      </c>
      <c r="BK2473" s="355">
        <v>3.1143000000000001E-2</v>
      </c>
    </row>
    <row r="2474" spans="3:63" x14ac:dyDescent="0.15">
      <c r="C2474" s="624"/>
      <c r="D2474" s="355">
        <v>2.7709999999999999E-2</v>
      </c>
      <c r="AV2474" s="624"/>
      <c r="AX2474" s="624">
        <v>41723</v>
      </c>
      <c r="AY2474" s="355">
        <v>2.819E-2</v>
      </c>
      <c r="AZ2474" s="624">
        <v>41787</v>
      </c>
      <c r="BA2474" s="355">
        <v>1.18E-2</v>
      </c>
      <c r="BB2474" s="624">
        <v>41718</v>
      </c>
      <c r="BC2474" s="355">
        <v>0.32829999999999998</v>
      </c>
      <c r="BD2474" s="624">
        <v>41718</v>
      </c>
      <c r="BE2474" s="355">
        <v>9.2530000000000001E-2</v>
      </c>
      <c r="BF2474" s="624">
        <v>41851</v>
      </c>
      <c r="BG2474" s="355">
        <v>1.6414000000000002E-2</v>
      </c>
      <c r="BH2474" s="624">
        <v>41718</v>
      </c>
      <c r="BI2474" s="355">
        <v>8.7526999999999994E-2</v>
      </c>
      <c r="BJ2474" s="624">
        <v>41717</v>
      </c>
      <c r="BK2474" s="355">
        <v>3.0959E-2</v>
      </c>
    </row>
    <row r="2475" spans="3:63" x14ac:dyDescent="0.15">
      <c r="C2475" s="624"/>
      <c r="D2475" s="355">
        <v>2.819E-2</v>
      </c>
      <c r="AV2475" s="624"/>
      <c r="AX2475" s="624">
        <v>41724</v>
      </c>
      <c r="AY2475" s="355">
        <v>2.8119999999999999E-2</v>
      </c>
      <c r="AZ2475" s="624">
        <v>41788</v>
      </c>
      <c r="BA2475" s="355">
        <v>1.18E-2</v>
      </c>
      <c r="BB2475" s="624">
        <v>41719</v>
      </c>
      <c r="BC2475" s="355">
        <v>0.32900000000000001</v>
      </c>
      <c r="BD2475" s="624">
        <v>41719</v>
      </c>
      <c r="BE2475" s="355">
        <v>9.2609999999999998E-2</v>
      </c>
      <c r="BF2475" s="624">
        <v>41852</v>
      </c>
      <c r="BG2475" s="355">
        <v>1.6448999999999998E-2</v>
      </c>
      <c r="BH2475" s="624">
        <v>41719</v>
      </c>
      <c r="BI2475" s="355">
        <v>8.7446999999999997E-2</v>
      </c>
      <c r="BJ2475" s="624">
        <v>41718</v>
      </c>
      <c r="BK2475" s="355">
        <v>3.0873999999999999E-2</v>
      </c>
    </row>
    <row r="2476" spans="3:63" x14ac:dyDescent="0.15">
      <c r="C2476" s="624"/>
      <c r="D2476" s="355">
        <v>2.8119999999999999E-2</v>
      </c>
      <c r="AV2476" s="624"/>
      <c r="AX2476" s="624">
        <v>41725</v>
      </c>
      <c r="AY2476" s="355">
        <v>2.8070000000000001E-2</v>
      </c>
      <c r="AZ2476" s="624">
        <v>41789</v>
      </c>
      <c r="BA2476" s="355">
        <v>1.18E-2</v>
      </c>
      <c r="BB2476" s="624">
        <v>41722</v>
      </c>
      <c r="BC2476" s="355">
        <v>0.32950000000000002</v>
      </c>
      <c r="BD2476" s="624">
        <v>41722</v>
      </c>
      <c r="BE2476" s="355">
        <v>9.2770000000000005E-2</v>
      </c>
      <c r="BF2476" s="624">
        <v>41855</v>
      </c>
      <c r="BG2476" s="355">
        <v>1.6419E-2</v>
      </c>
      <c r="BH2476" s="624">
        <v>41722</v>
      </c>
      <c r="BI2476" s="355">
        <v>8.7873000000000007E-2</v>
      </c>
      <c r="BJ2476" s="624">
        <v>41719</v>
      </c>
      <c r="BK2476" s="355">
        <v>3.0876000000000001E-2</v>
      </c>
    </row>
    <row r="2477" spans="3:63" x14ac:dyDescent="0.15">
      <c r="C2477" s="624"/>
      <c r="D2477" s="355">
        <v>2.8070000000000001E-2</v>
      </c>
      <c r="AV2477" s="624"/>
      <c r="AX2477" s="624">
        <v>41726</v>
      </c>
      <c r="AY2477" s="355">
        <v>2.7980000000000001E-2</v>
      </c>
      <c r="AZ2477" s="624">
        <v>41792</v>
      </c>
      <c r="BA2477" s="355">
        <v>1.18E-2</v>
      </c>
      <c r="BB2477" s="624">
        <v>41723</v>
      </c>
      <c r="BC2477" s="355">
        <v>0.32990000000000003</v>
      </c>
      <c r="BD2477" s="624">
        <v>41723</v>
      </c>
      <c r="BE2477" s="355">
        <v>9.2749999999999999E-2</v>
      </c>
      <c r="BF2477" s="624">
        <v>41856</v>
      </c>
      <c r="BG2477" s="355">
        <v>1.6369000000000002E-2</v>
      </c>
      <c r="BH2477" s="624">
        <v>41723</v>
      </c>
      <c r="BI2477" s="355">
        <v>8.7873000000000007E-2</v>
      </c>
      <c r="BJ2477" s="624">
        <v>41722</v>
      </c>
      <c r="BK2477" s="355">
        <v>3.0811999999999999E-2</v>
      </c>
    </row>
    <row r="2478" spans="3:63" x14ac:dyDescent="0.15">
      <c r="C2478" s="624"/>
      <c r="D2478" s="355">
        <v>2.7980000000000001E-2</v>
      </c>
      <c r="AV2478" s="624"/>
      <c r="AX2478" s="624">
        <v>41729</v>
      </c>
      <c r="AY2478" s="355">
        <v>2.852E-2</v>
      </c>
      <c r="AZ2478" s="624">
        <v>41793</v>
      </c>
      <c r="BA2478" s="355">
        <v>1.18E-2</v>
      </c>
      <c r="BB2478" s="624">
        <v>41724</v>
      </c>
      <c r="BC2478" s="355">
        <v>0.3296</v>
      </c>
      <c r="BD2478" s="624">
        <v>41724</v>
      </c>
      <c r="BE2478" s="355">
        <v>9.2859999999999998E-2</v>
      </c>
      <c r="BF2478" s="624">
        <v>41857</v>
      </c>
      <c r="BG2478" s="355">
        <v>1.6330999999999998E-2</v>
      </c>
      <c r="BH2478" s="624">
        <v>41724</v>
      </c>
      <c r="BI2478" s="355">
        <v>8.7662000000000004E-2</v>
      </c>
      <c r="BJ2478" s="624">
        <v>41723</v>
      </c>
      <c r="BK2478" s="355">
        <v>3.0700000000000002E-2</v>
      </c>
    </row>
    <row r="2479" spans="3:63" x14ac:dyDescent="0.15">
      <c r="C2479" s="624"/>
      <c r="D2479" s="355">
        <v>2.852E-2</v>
      </c>
      <c r="AV2479" s="624"/>
      <c r="AX2479" s="624">
        <v>41730</v>
      </c>
      <c r="AY2479" s="355">
        <v>2.8490000000000001E-2</v>
      </c>
      <c r="AZ2479" s="624">
        <v>41794</v>
      </c>
      <c r="BA2479" s="355">
        <v>1.18E-2</v>
      </c>
      <c r="BB2479" s="624">
        <v>41725</v>
      </c>
      <c r="BC2479" s="355">
        <v>0.33</v>
      </c>
      <c r="BD2479" s="624">
        <v>41725</v>
      </c>
      <c r="BE2479" s="355">
        <v>9.3600000000000003E-2</v>
      </c>
      <c r="BF2479" s="624">
        <v>41858</v>
      </c>
      <c r="BG2479" s="355">
        <v>1.626E-2</v>
      </c>
      <c r="BH2479" s="624">
        <v>41725</v>
      </c>
      <c r="BI2479" s="355">
        <v>8.7382000000000001E-2</v>
      </c>
      <c r="BJ2479" s="624">
        <v>41724</v>
      </c>
      <c r="BK2479" s="355">
        <v>3.0713000000000001E-2</v>
      </c>
    </row>
    <row r="2480" spans="3:63" x14ac:dyDescent="0.15">
      <c r="C2480" s="624"/>
      <c r="D2480" s="355">
        <v>2.8490000000000001E-2</v>
      </c>
      <c r="AV2480" s="624"/>
      <c r="AX2480" s="624">
        <v>41731</v>
      </c>
      <c r="AY2480" s="355">
        <v>2.8199999999999999E-2</v>
      </c>
      <c r="AZ2480" s="624">
        <v>41795</v>
      </c>
      <c r="BA2480" s="355">
        <v>1.18E-2</v>
      </c>
      <c r="BB2480" s="624">
        <v>41726</v>
      </c>
      <c r="BC2480" s="355">
        <v>0.32969999999999999</v>
      </c>
      <c r="BD2480" s="624">
        <v>41726</v>
      </c>
      <c r="BE2480" s="355">
        <v>9.3479999999999994E-2</v>
      </c>
      <c r="BF2480" s="624">
        <v>41859</v>
      </c>
      <c r="BG2480" s="355">
        <v>1.6361000000000001E-2</v>
      </c>
      <c r="BH2480" s="624">
        <v>41726</v>
      </c>
      <c r="BI2480" s="355">
        <v>8.7719000000000005E-2</v>
      </c>
      <c r="BJ2480" s="624">
        <v>41725</v>
      </c>
      <c r="BK2480" s="355">
        <v>3.0755999999999999E-2</v>
      </c>
    </row>
    <row r="2481" spans="3:63" x14ac:dyDescent="0.15">
      <c r="C2481" s="624"/>
      <c r="D2481" s="355">
        <v>2.8199999999999999E-2</v>
      </c>
      <c r="AV2481" s="624"/>
      <c r="AX2481" s="624">
        <v>41732</v>
      </c>
      <c r="AY2481" s="355">
        <v>2.8080000000000001E-2</v>
      </c>
      <c r="AZ2481" s="624">
        <v>41796</v>
      </c>
      <c r="BA2481" s="355">
        <v>1.18E-2</v>
      </c>
      <c r="BB2481" s="624">
        <v>41729</v>
      </c>
      <c r="BC2481" s="355">
        <v>0.33050000000000002</v>
      </c>
      <c r="BD2481" s="624">
        <v>41729</v>
      </c>
      <c r="BE2481" s="355">
        <v>9.3960000000000002E-2</v>
      </c>
      <c r="BF2481" s="624">
        <v>41862</v>
      </c>
      <c r="BG2481" s="355">
        <v>1.6358999999999999E-2</v>
      </c>
      <c r="BH2481" s="624">
        <v>41729</v>
      </c>
      <c r="BI2481" s="355">
        <v>8.7758000000000003E-2</v>
      </c>
      <c r="BJ2481" s="624">
        <v>41726</v>
      </c>
      <c r="BK2481" s="355">
        <v>3.0769000000000001E-2</v>
      </c>
    </row>
    <row r="2482" spans="3:63" x14ac:dyDescent="0.15">
      <c r="C2482" s="624"/>
      <c r="D2482" s="355">
        <v>2.8080000000000001E-2</v>
      </c>
      <c r="AV2482" s="624"/>
      <c r="AX2482" s="624">
        <v>41733</v>
      </c>
      <c r="AY2482" s="355">
        <v>2.835E-2</v>
      </c>
      <c r="AZ2482" s="624">
        <v>41799</v>
      </c>
      <c r="BA2482" s="355">
        <v>1.18E-2</v>
      </c>
      <c r="BB2482" s="624">
        <v>41730</v>
      </c>
      <c r="BC2482" s="355">
        <v>0.3306</v>
      </c>
      <c r="BD2482" s="624">
        <v>41730</v>
      </c>
      <c r="BE2482" s="355">
        <v>9.4539999999999999E-2</v>
      </c>
      <c r="BF2482" s="624">
        <v>41863</v>
      </c>
      <c r="BG2482" s="355">
        <v>1.6327999999999999E-2</v>
      </c>
      <c r="BH2482" s="624">
        <v>41730</v>
      </c>
      <c r="BI2482" s="355">
        <v>8.8398000000000004E-2</v>
      </c>
      <c r="BJ2482" s="624">
        <v>41729</v>
      </c>
      <c r="BK2482" s="355">
        <v>3.0849000000000001E-2</v>
      </c>
    </row>
    <row r="2483" spans="3:63" x14ac:dyDescent="0.15">
      <c r="C2483" s="624"/>
      <c r="D2483" s="355">
        <v>2.835E-2</v>
      </c>
      <c r="AV2483" s="624"/>
      <c r="AX2483" s="624">
        <v>41736</v>
      </c>
      <c r="AY2483" s="355">
        <v>2.8039999999999999E-2</v>
      </c>
      <c r="AZ2483" s="624">
        <v>41800</v>
      </c>
      <c r="BA2483" s="355">
        <v>1.17E-2</v>
      </c>
      <c r="BB2483" s="624">
        <v>41731</v>
      </c>
      <c r="BC2483" s="355">
        <v>0.33040000000000003</v>
      </c>
      <c r="BD2483" s="624">
        <v>41731</v>
      </c>
      <c r="BE2483" s="355">
        <v>9.4509999999999997E-2</v>
      </c>
      <c r="BF2483" s="624">
        <v>41864</v>
      </c>
      <c r="BG2483" s="355">
        <v>1.6362999999999999E-2</v>
      </c>
      <c r="BH2483" s="624">
        <v>41731</v>
      </c>
      <c r="BI2483" s="355">
        <v>8.8553999999999994E-2</v>
      </c>
      <c r="BJ2483" s="624">
        <v>41730</v>
      </c>
      <c r="BK2483" s="355">
        <v>3.0915000000000002E-2</v>
      </c>
    </row>
    <row r="2484" spans="3:63" x14ac:dyDescent="0.15">
      <c r="C2484" s="624"/>
      <c r="D2484" s="355">
        <v>2.8039999999999999E-2</v>
      </c>
      <c r="AV2484" s="624"/>
      <c r="AX2484" s="624">
        <v>41737</v>
      </c>
      <c r="AY2484" s="355">
        <v>2.7990000000000001E-2</v>
      </c>
      <c r="AZ2484" s="624">
        <v>41801</v>
      </c>
      <c r="BA2484" s="355">
        <v>1.17E-2</v>
      </c>
      <c r="BB2484" s="624">
        <v>41732</v>
      </c>
      <c r="BC2484" s="355">
        <v>0.32929999999999998</v>
      </c>
      <c r="BD2484" s="624">
        <v>41732</v>
      </c>
      <c r="BE2484" s="355">
        <v>9.4479999999999995E-2</v>
      </c>
      <c r="BF2484" s="624">
        <v>41865</v>
      </c>
      <c r="BG2484" s="355">
        <v>1.643E-2</v>
      </c>
      <c r="BH2484" s="624">
        <v>41732</v>
      </c>
      <c r="BI2484" s="355">
        <v>8.8514999999999996E-2</v>
      </c>
      <c r="BJ2484" s="624">
        <v>41731</v>
      </c>
      <c r="BK2484" s="355">
        <v>3.0837E-2</v>
      </c>
    </row>
    <row r="2485" spans="3:63" x14ac:dyDescent="0.15">
      <c r="C2485" s="624"/>
      <c r="D2485" s="355">
        <v>2.7990000000000001E-2</v>
      </c>
      <c r="AV2485" s="624"/>
      <c r="AX2485" s="624">
        <v>41738</v>
      </c>
      <c r="AY2485" s="355">
        <v>2.811E-2</v>
      </c>
      <c r="AZ2485" s="624">
        <v>41802</v>
      </c>
      <c r="BA2485" s="355">
        <v>1.18E-2</v>
      </c>
      <c r="BB2485" s="624">
        <v>41733</v>
      </c>
      <c r="BC2485" s="355">
        <v>0.32929999999999998</v>
      </c>
      <c r="BD2485" s="624">
        <v>41733</v>
      </c>
      <c r="BE2485" s="355">
        <v>9.5070000000000002E-2</v>
      </c>
      <c r="BF2485" s="624">
        <v>41866</v>
      </c>
      <c r="BG2485" s="355">
        <v>1.6413000000000001E-2</v>
      </c>
      <c r="BH2485" s="624">
        <v>41733</v>
      </c>
      <c r="BI2485" s="355">
        <v>8.8367000000000001E-2</v>
      </c>
      <c r="BJ2485" s="624">
        <v>41732</v>
      </c>
      <c r="BK2485" s="355">
        <v>3.0787999999999999E-2</v>
      </c>
    </row>
    <row r="2486" spans="3:63" x14ac:dyDescent="0.15">
      <c r="C2486" s="624"/>
      <c r="D2486" s="355">
        <v>2.811E-2</v>
      </c>
      <c r="AV2486" s="624"/>
      <c r="AX2486" s="624">
        <v>41739</v>
      </c>
      <c r="AY2486" s="355">
        <v>2.811E-2</v>
      </c>
      <c r="AZ2486" s="624">
        <v>41803</v>
      </c>
      <c r="BA2486" s="355">
        <v>1.17E-2</v>
      </c>
      <c r="BB2486" s="624">
        <v>41736</v>
      </c>
      <c r="BC2486" s="355">
        <v>0.3296</v>
      </c>
      <c r="BD2486" s="624">
        <v>41736</v>
      </c>
      <c r="BE2486" s="355">
        <v>9.4810000000000005E-2</v>
      </c>
      <c r="BF2486" s="624">
        <v>41869</v>
      </c>
      <c r="BG2486" s="355">
        <v>1.6452999999999999E-2</v>
      </c>
      <c r="BH2486" s="624">
        <v>41736</v>
      </c>
      <c r="BI2486" s="355">
        <v>8.8624999999999995E-2</v>
      </c>
      <c r="BJ2486" s="624">
        <v>41733</v>
      </c>
      <c r="BK2486" s="355">
        <v>3.0802E-2</v>
      </c>
    </row>
    <row r="2487" spans="3:63" x14ac:dyDescent="0.15">
      <c r="C2487" s="624"/>
      <c r="D2487" s="355">
        <v>2.811E-2</v>
      </c>
      <c r="AV2487" s="624"/>
      <c r="AX2487" s="624">
        <v>41740</v>
      </c>
      <c r="AY2487" s="355">
        <v>2.8049999999999999E-2</v>
      </c>
      <c r="AZ2487" s="624">
        <v>41806</v>
      </c>
      <c r="BA2487" s="355">
        <v>1.18E-2</v>
      </c>
      <c r="BB2487" s="624">
        <v>41737</v>
      </c>
      <c r="BC2487" s="355">
        <v>0.33100000000000002</v>
      </c>
      <c r="BD2487" s="624">
        <v>41737</v>
      </c>
      <c r="BE2487" s="355">
        <v>9.5280000000000004E-2</v>
      </c>
      <c r="BF2487" s="624">
        <v>41870</v>
      </c>
      <c r="BG2487" s="355">
        <v>1.6465E-2</v>
      </c>
      <c r="BH2487" s="624">
        <v>41737</v>
      </c>
      <c r="BI2487" s="355">
        <v>8.8547000000000001E-2</v>
      </c>
      <c r="BJ2487" s="624">
        <v>41736</v>
      </c>
      <c r="BK2487" s="355">
        <v>3.0806E-2</v>
      </c>
    </row>
    <row r="2488" spans="3:63" x14ac:dyDescent="0.15">
      <c r="C2488" s="624"/>
      <c r="D2488" s="355">
        <v>2.8049999999999999E-2</v>
      </c>
      <c r="AV2488" s="624"/>
      <c r="AX2488" s="624">
        <v>41743</v>
      </c>
      <c r="AY2488" s="355">
        <v>2.7810000000000001E-2</v>
      </c>
      <c r="AZ2488" s="624">
        <v>41807</v>
      </c>
      <c r="BA2488" s="355">
        <v>1.17E-2</v>
      </c>
      <c r="BB2488" s="624">
        <v>41738</v>
      </c>
      <c r="BC2488" s="355">
        <v>0.33279999999999998</v>
      </c>
      <c r="BD2488" s="624">
        <v>41738</v>
      </c>
      <c r="BE2488" s="355">
        <v>9.6610000000000001E-2</v>
      </c>
      <c r="BF2488" s="624">
        <v>41871</v>
      </c>
      <c r="BG2488" s="355">
        <v>1.6476000000000001E-2</v>
      </c>
      <c r="BH2488" s="624">
        <v>41738</v>
      </c>
      <c r="BI2488" s="355">
        <v>8.8557999999999998E-2</v>
      </c>
      <c r="BJ2488" s="624">
        <v>41737</v>
      </c>
      <c r="BK2488" s="355">
        <v>3.0988999999999999E-2</v>
      </c>
    </row>
    <row r="2489" spans="3:63" x14ac:dyDescent="0.15">
      <c r="C2489" s="624"/>
      <c r="D2489" s="355">
        <v>2.7810000000000001E-2</v>
      </c>
      <c r="AV2489" s="624"/>
      <c r="AX2489" s="624">
        <v>41744</v>
      </c>
      <c r="AY2489" s="355">
        <v>2.758E-2</v>
      </c>
      <c r="AZ2489" s="624">
        <v>41808</v>
      </c>
      <c r="BA2489" s="355">
        <v>1.18E-2</v>
      </c>
      <c r="BB2489" s="624">
        <v>41739</v>
      </c>
      <c r="BC2489" s="355">
        <v>0.33260000000000001</v>
      </c>
      <c r="BD2489" s="624">
        <v>41739</v>
      </c>
      <c r="BE2489" s="355">
        <v>9.6189999999999998E-2</v>
      </c>
      <c r="BF2489" s="624">
        <v>41872</v>
      </c>
      <c r="BG2489" s="355">
        <v>1.6513E-2</v>
      </c>
      <c r="BH2489" s="624">
        <v>41739</v>
      </c>
      <c r="BI2489" s="355">
        <v>8.8273000000000004E-2</v>
      </c>
      <c r="BJ2489" s="624">
        <v>41738</v>
      </c>
      <c r="BK2489" s="355">
        <v>3.1098000000000001E-2</v>
      </c>
    </row>
    <row r="2490" spans="3:63" x14ac:dyDescent="0.15">
      <c r="C2490" s="624"/>
      <c r="D2490" s="355">
        <v>2.758E-2</v>
      </c>
      <c r="AV2490" s="624"/>
      <c r="AX2490" s="624">
        <v>41745</v>
      </c>
      <c r="AY2490" s="355">
        <v>2.7810000000000001E-2</v>
      </c>
      <c r="AZ2490" s="624">
        <v>41809</v>
      </c>
      <c r="BA2490" s="355">
        <v>1.18E-2</v>
      </c>
      <c r="BB2490" s="624">
        <v>41740</v>
      </c>
      <c r="BC2490" s="355">
        <v>0.3322</v>
      </c>
      <c r="BD2490" s="624">
        <v>41740</v>
      </c>
      <c r="BE2490" s="355">
        <v>9.6229999999999996E-2</v>
      </c>
      <c r="BF2490" s="624">
        <v>41873</v>
      </c>
      <c r="BG2490" s="355">
        <v>1.6549000000000001E-2</v>
      </c>
      <c r="BH2490" s="624">
        <v>41740</v>
      </c>
      <c r="BI2490" s="355">
        <v>8.7593000000000004E-2</v>
      </c>
      <c r="BJ2490" s="624">
        <v>41739</v>
      </c>
      <c r="BK2490" s="355">
        <v>3.0984000000000001E-2</v>
      </c>
    </row>
    <row r="2491" spans="3:63" x14ac:dyDescent="0.15">
      <c r="C2491" s="624"/>
      <c r="D2491" s="355">
        <v>2.7810000000000001E-2</v>
      </c>
      <c r="AV2491" s="624"/>
      <c r="AX2491" s="624">
        <v>41746</v>
      </c>
      <c r="AY2491" s="355">
        <v>2.818E-2</v>
      </c>
      <c r="AZ2491" s="624">
        <v>41810</v>
      </c>
      <c r="BA2491" s="355">
        <v>1.18E-2</v>
      </c>
      <c r="BB2491" s="624">
        <v>41743</v>
      </c>
      <c r="BC2491" s="355">
        <v>0.3306</v>
      </c>
      <c r="BD2491" s="624">
        <v>41743</v>
      </c>
      <c r="BE2491" s="355">
        <v>9.6009999999999998E-2</v>
      </c>
      <c r="BF2491" s="624">
        <v>41876</v>
      </c>
      <c r="BG2491" s="355">
        <v>1.6522999999999999E-2</v>
      </c>
      <c r="BH2491" s="624">
        <v>41743</v>
      </c>
      <c r="BI2491" s="355">
        <v>8.7413000000000005E-2</v>
      </c>
      <c r="BJ2491" s="624">
        <v>41740</v>
      </c>
      <c r="BK2491" s="355">
        <v>3.0967000000000001E-2</v>
      </c>
    </row>
    <row r="2492" spans="3:63" x14ac:dyDescent="0.15">
      <c r="C2492" s="624"/>
      <c r="D2492" s="355">
        <v>2.818E-2</v>
      </c>
      <c r="AV2492" s="624"/>
      <c r="AX2492" s="624">
        <v>41747</v>
      </c>
      <c r="AY2492" s="355">
        <v>2.809E-2</v>
      </c>
      <c r="AZ2492" s="624">
        <v>41813</v>
      </c>
      <c r="BA2492" s="355">
        <v>1.18E-2</v>
      </c>
      <c r="BB2492" s="624">
        <v>41744</v>
      </c>
      <c r="BC2492" s="355">
        <v>0.32979999999999998</v>
      </c>
      <c r="BD2492" s="624">
        <v>41744</v>
      </c>
      <c r="BE2492" s="355">
        <v>9.5939999999999998E-2</v>
      </c>
      <c r="BF2492" s="624">
        <v>41877</v>
      </c>
      <c r="BG2492" s="355">
        <v>1.6531000000000001E-2</v>
      </c>
      <c r="BH2492" s="624">
        <v>41744</v>
      </c>
      <c r="BI2492" s="355">
        <v>8.7446999999999997E-2</v>
      </c>
      <c r="BJ2492" s="624">
        <v>41743</v>
      </c>
      <c r="BK2492" s="355">
        <v>3.0998000000000001E-2</v>
      </c>
    </row>
    <row r="2493" spans="3:63" x14ac:dyDescent="0.15">
      <c r="C2493" s="624"/>
      <c r="D2493" s="355">
        <v>2.809E-2</v>
      </c>
      <c r="AV2493" s="624"/>
      <c r="AX2493" s="624">
        <v>41750</v>
      </c>
      <c r="AY2493" s="355">
        <v>2.8000000000000001E-2</v>
      </c>
      <c r="AZ2493" s="624">
        <v>41814</v>
      </c>
      <c r="BA2493" s="355">
        <v>1.18E-2</v>
      </c>
      <c r="BB2493" s="624">
        <v>41745</v>
      </c>
      <c r="BC2493" s="355">
        <v>0.32979999999999998</v>
      </c>
      <c r="BD2493" s="624">
        <v>41745</v>
      </c>
      <c r="BE2493" s="355">
        <v>9.6290000000000001E-2</v>
      </c>
      <c r="BF2493" s="624">
        <v>41878</v>
      </c>
      <c r="BG2493" s="355">
        <v>1.6573000000000001E-2</v>
      </c>
      <c r="BH2493" s="624">
        <v>41745</v>
      </c>
      <c r="BI2493" s="355">
        <v>8.7455000000000005E-2</v>
      </c>
      <c r="BJ2493" s="624">
        <v>41744</v>
      </c>
      <c r="BK2493" s="355">
        <v>3.0939000000000001E-2</v>
      </c>
    </row>
    <row r="2494" spans="3:63" x14ac:dyDescent="0.15">
      <c r="C2494" s="624"/>
      <c r="D2494" s="355">
        <v>2.8000000000000001E-2</v>
      </c>
      <c r="AV2494" s="624"/>
      <c r="AX2494" s="624">
        <v>41751</v>
      </c>
      <c r="AY2494" s="355">
        <v>2.8060000000000002E-2</v>
      </c>
      <c r="AZ2494" s="624">
        <v>41815</v>
      </c>
      <c r="BA2494" s="355">
        <v>1.18E-2</v>
      </c>
      <c r="BB2494" s="624">
        <v>41746</v>
      </c>
      <c r="BC2494" s="355">
        <v>0.33029999999999998</v>
      </c>
      <c r="BD2494" s="624">
        <v>41746</v>
      </c>
      <c r="BE2494" s="355">
        <v>9.6280000000000004E-2</v>
      </c>
      <c r="BF2494" s="624">
        <v>41879</v>
      </c>
      <c r="BG2494" s="355">
        <v>1.6490999999999999E-2</v>
      </c>
      <c r="BH2494" s="624">
        <v>41746</v>
      </c>
      <c r="BI2494" s="355">
        <v>8.7515999999999997E-2</v>
      </c>
      <c r="BJ2494" s="624">
        <v>41745</v>
      </c>
      <c r="BK2494" s="355">
        <v>3.1029999999999999E-2</v>
      </c>
    </row>
    <row r="2495" spans="3:63" x14ac:dyDescent="0.15">
      <c r="C2495" s="624"/>
      <c r="D2495" s="355">
        <v>2.8060000000000002E-2</v>
      </c>
      <c r="AV2495" s="624"/>
      <c r="AX2495" s="624">
        <v>41752</v>
      </c>
      <c r="AY2495" s="355">
        <v>2.8029999999999999E-2</v>
      </c>
      <c r="AZ2495" s="624">
        <v>41816</v>
      </c>
      <c r="BA2495" s="355">
        <v>1.18E-2</v>
      </c>
      <c r="BB2495" s="624">
        <v>41747</v>
      </c>
      <c r="BC2495" s="355">
        <v>0.33050000000000002</v>
      </c>
      <c r="BD2495" s="624">
        <v>41747</v>
      </c>
      <c r="BE2495" s="355">
        <v>9.6280000000000004E-2</v>
      </c>
      <c r="BF2495" s="624">
        <v>41880</v>
      </c>
      <c r="BG2495" s="355">
        <v>1.6497999999999999E-2</v>
      </c>
      <c r="BH2495" s="624">
        <v>41747</v>
      </c>
      <c r="BI2495" s="355">
        <v>8.7515999999999997E-2</v>
      </c>
      <c r="BJ2495" s="624">
        <v>41746</v>
      </c>
      <c r="BK2495" s="355">
        <v>3.1060999999999998E-2</v>
      </c>
    </row>
    <row r="2496" spans="3:63" x14ac:dyDescent="0.15">
      <c r="C2496" s="624"/>
      <c r="D2496" s="355">
        <v>2.8029999999999999E-2</v>
      </c>
      <c r="AV2496" s="624"/>
      <c r="AX2496" s="624">
        <v>41753</v>
      </c>
      <c r="AY2496" s="355">
        <v>2.7949999999999999E-2</v>
      </c>
      <c r="AZ2496" s="624">
        <v>41817</v>
      </c>
      <c r="BA2496" s="355">
        <v>1.18E-2</v>
      </c>
      <c r="BB2496" s="624">
        <v>41750</v>
      </c>
      <c r="BC2496" s="355">
        <v>0.3301</v>
      </c>
      <c r="BD2496" s="624">
        <v>41750</v>
      </c>
      <c r="BE2496" s="355">
        <v>9.6140000000000003E-2</v>
      </c>
      <c r="BF2496" s="624">
        <v>41883</v>
      </c>
      <c r="BG2496" s="355">
        <v>1.6521000000000001E-2</v>
      </c>
      <c r="BH2496" s="624">
        <v>41750</v>
      </c>
      <c r="BI2496" s="355">
        <v>8.7355000000000002E-2</v>
      </c>
      <c r="BJ2496" s="624">
        <v>41747</v>
      </c>
      <c r="BK2496" s="355">
        <v>3.107E-2</v>
      </c>
    </row>
    <row r="2497" spans="3:63" x14ac:dyDescent="0.15">
      <c r="C2497" s="624"/>
      <c r="D2497" s="355">
        <v>2.7949999999999999E-2</v>
      </c>
      <c r="AV2497" s="624"/>
      <c r="AX2497" s="624">
        <v>41754</v>
      </c>
      <c r="AY2497" s="355">
        <v>2.7779999999999999E-2</v>
      </c>
      <c r="AZ2497" s="624">
        <v>41820</v>
      </c>
      <c r="BA2497" s="355">
        <v>1.18E-2</v>
      </c>
      <c r="BB2497" s="624">
        <v>41751</v>
      </c>
      <c r="BC2497" s="355">
        <v>0.32950000000000002</v>
      </c>
      <c r="BD2497" s="624">
        <v>41751</v>
      </c>
      <c r="BE2497" s="355">
        <v>9.6170000000000005E-2</v>
      </c>
      <c r="BF2497" s="624">
        <v>41884</v>
      </c>
      <c r="BG2497" s="355">
        <v>1.6497999999999999E-2</v>
      </c>
      <c r="BH2497" s="624">
        <v>41751</v>
      </c>
      <c r="BI2497" s="355">
        <v>8.6805999999999994E-2</v>
      </c>
      <c r="BJ2497" s="624">
        <v>41750</v>
      </c>
      <c r="BK2497" s="355">
        <v>3.1019999999999999E-2</v>
      </c>
    </row>
    <row r="2498" spans="3:63" x14ac:dyDescent="0.15">
      <c r="C2498" s="624"/>
      <c r="D2498" s="355">
        <v>2.7779999999999999E-2</v>
      </c>
      <c r="AV2498" s="624"/>
      <c r="AX2498" s="624">
        <v>41757</v>
      </c>
      <c r="AY2498" s="355">
        <v>2.7879999999999999E-2</v>
      </c>
      <c r="AZ2498" s="624">
        <v>41821</v>
      </c>
      <c r="BA2498" s="355">
        <v>1.18E-2</v>
      </c>
      <c r="BB2498" s="624">
        <v>41752</v>
      </c>
      <c r="BC2498" s="355">
        <v>0.32990000000000003</v>
      </c>
      <c r="BD2498" s="624">
        <v>41752</v>
      </c>
      <c r="BE2498" s="355">
        <v>9.6180000000000002E-2</v>
      </c>
      <c r="BF2498" s="624">
        <v>41885</v>
      </c>
      <c r="BG2498" s="355">
        <v>1.6546999999999999E-2</v>
      </c>
      <c r="BH2498" s="624">
        <v>41752</v>
      </c>
      <c r="BI2498" s="355">
        <v>8.6002999999999996E-2</v>
      </c>
      <c r="BJ2498" s="624">
        <v>41751</v>
      </c>
      <c r="BK2498" s="355">
        <v>3.0931E-2</v>
      </c>
    </row>
    <row r="2499" spans="3:63" x14ac:dyDescent="0.15">
      <c r="C2499" s="624"/>
      <c r="D2499" s="355">
        <v>2.7879999999999999E-2</v>
      </c>
      <c r="AV2499" s="624"/>
      <c r="AX2499" s="624">
        <v>41758</v>
      </c>
      <c r="AY2499" s="355">
        <v>2.8070000000000001E-2</v>
      </c>
      <c r="AZ2499" s="624">
        <v>41822</v>
      </c>
      <c r="BA2499" s="355">
        <v>1.18E-2</v>
      </c>
      <c r="BB2499" s="624">
        <v>41753</v>
      </c>
      <c r="BC2499" s="355">
        <v>0.3296</v>
      </c>
      <c r="BD2499" s="624">
        <v>41753</v>
      </c>
      <c r="BE2499" s="355">
        <v>9.6329999999999999E-2</v>
      </c>
      <c r="BF2499" s="624">
        <v>41886</v>
      </c>
      <c r="BG2499" s="355">
        <v>1.6531000000000001E-2</v>
      </c>
      <c r="BH2499" s="624">
        <v>41753</v>
      </c>
      <c r="BI2499" s="355">
        <v>8.6188000000000001E-2</v>
      </c>
      <c r="BJ2499" s="624">
        <v>41752</v>
      </c>
      <c r="BK2499" s="355">
        <v>3.0914000000000001E-2</v>
      </c>
    </row>
    <row r="2500" spans="3:63" x14ac:dyDescent="0.15">
      <c r="C2500" s="624"/>
      <c r="D2500" s="355">
        <v>2.8070000000000001E-2</v>
      </c>
      <c r="AV2500" s="624"/>
      <c r="AX2500" s="624">
        <v>41759</v>
      </c>
      <c r="AY2500" s="355">
        <v>2.8070000000000001E-2</v>
      </c>
      <c r="AZ2500" s="624">
        <v>41823</v>
      </c>
      <c r="BA2500" s="355">
        <v>1.17E-2</v>
      </c>
      <c r="BB2500" s="624">
        <v>41754</v>
      </c>
      <c r="BC2500" s="355">
        <v>0.3286</v>
      </c>
      <c r="BD2500" s="624">
        <v>41754</v>
      </c>
      <c r="BE2500" s="355">
        <v>9.6019999999999994E-2</v>
      </c>
      <c r="BF2500" s="624">
        <v>41887</v>
      </c>
      <c r="BG2500" s="355">
        <v>1.66E-2</v>
      </c>
      <c r="BH2500" s="624">
        <v>41754</v>
      </c>
      <c r="BI2500" s="355">
        <v>8.6459999999999995E-2</v>
      </c>
      <c r="BJ2500" s="624">
        <v>41753</v>
      </c>
      <c r="BK2500" s="355">
        <v>3.0869000000000001E-2</v>
      </c>
    </row>
    <row r="2501" spans="3:63" x14ac:dyDescent="0.15">
      <c r="C2501" s="624"/>
      <c r="D2501" s="355">
        <v>2.8070000000000001E-2</v>
      </c>
      <c r="AV2501" s="624"/>
      <c r="AX2501" s="624">
        <v>41760</v>
      </c>
      <c r="AY2501" s="355">
        <v>2.809E-2</v>
      </c>
      <c r="AZ2501" s="624">
        <v>41824</v>
      </c>
      <c r="BA2501" s="355">
        <v>1.17E-2</v>
      </c>
      <c r="BB2501" s="624">
        <v>41757</v>
      </c>
      <c r="BC2501" s="355">
        <v>0.32919999999999999</v>
      </c>
      <c r="BD2501" s="624">
        <v>41757</v>
      </c>
      <c r="BE2501" s="355">
        <v>9.6689999999999998E-2</v>
      </c>
      <c r="BF2501" s="624">
        <v>41890</v>
      </c>
      <c r="BG2501" s="355">
        <v>1.6541E-2</v>
      </c>
      <c r="BH2501" s="624">
        <v>41757</v>
      </c>
      <c r="BI2501" s="355">
        <v>8.6306999999999995E-2</v>
      </c>
      <c r="BJ2501" s="624">
        <v>41754</v>
      </c>
      <c r="BK2501" s="355">
        <v>3.1031E-2</v>
      </c>
    </row>
    <row r="2502" spans="3:63" x14ac:dyDescent="0.15">
      <c r="C2502" s="624"/>
      <c r="D2502" s="355">
        <v>2.809E-2</v>
      </c>
      <c r="AV2502" s="624"/>
      <c r="AX2502" s="624">
        <v>41761</v>
      </c>
      <c r="AY2502" s="355">
        <v>2.7910000000000001E-2</v>
      </c>
      <c r="AZ2502" s="624">
        <v>41827</v>
      </c>
      <c r="BA2502" s="355">
        <v>1.17E-2</v>
      </c>
      <c r="BB2502" s="624">
        <v>41758</v>
      </c>
      <c r="BC2502" s="355">
        <v>0.32929999999999998</v>
      </c>
      <c r="BD2502" s="624">
        <v>41758</v>
      </c>
      <c r="BE2502" s="355">
        <v>9.7040000000000001E-2</v>
      </c>
      <c r="BF2502" s="624">
        <v>41891</v>
      </c>
      <c r="BG2502" s="355">
        <v>1.6431000000000001E-2</v>
      </c>
      <c r="BH2502" s="624">
        <v>41758</v>
      </c>
      <c r="BI2502" s="355">
        <v>8.6580000000000004E-2</v>
      </c>
      <c r="BJ2502" s="624">
        <v>41757</v>
      </c>
      <c r="BK2502" s="355">
        <v>3.1011E-2</v>
      </c>
    </row>
    <row r="2503" spans="3:63" x14ac:dyDescent="0.15">
      <c r="C2503" s="624"/>
      <c r="D2503" s="355">
        <v>2.7910000000000001E-2</v>
      </c>
      <c r="AV2503" s="624"/>
      <c r="AX2503" s="624">
        <v>41764</v>
      </c>
      <c r="AY2503" s="355">
        <v>2.7990000000000001E-2</v>
      </c>
      <c r="AZ2503" s="624">
        <v>41828</v>
      </c>
      <c r="BA2503" s="355">
        <v>1.18E-2</v>
      </c>
      <c r="BB2503" s="624">
        <v>41759</v>
      </c>
      <c r="BC2503" s="355">
        <v>0.32990000000000003</v>
      </c>
      <c r="BD2503" s="624">
        <v>41759</v>
      </c>
      <c r="BE2503" s="355">
        <v>9.6799999999999997E-2</v>
      </c>
      <c r="BF2503" s="624">
        <v>41892</v>
      </c>
      <c r="BG2503" s="355">
        <v>1.6454E-2</v>
      </c>
      <c r="BH2503" s="624">
        <v>41759</v>
      </c>
      <c r="BI2503" s="355">
        <v>8.6457000000000006E-2</v>
      </c>
      <c r="BJ2503" s="624">
        <v>41758</v>
      </c>
      <c r="BK2503" s="355">
        <v>3.1008000000000001E-2</v>
      </c>
    </row>
    <row r="2504" spans="3:63" x14ac:dyDescent="0.15">
      <c r="C2504" s="624"/>
      <c r="D2504" s="355">
        <v>2.7990000000000001E-2</v>
      </c>
      <c r="AV2504" s="624"/>
      <c r="AX2504" s="624">
        <v>41765</v>
      </c>
      <c r="AY2504" s="355">
        <v>2.8219999999999999E-2</v>
      </c>
      <c r="AZ2504" s="624">
        <v>41829</v>
      </c>
      <c r="BA2504" s="355">
        <v>1.18E-2</v>
      </c>
      <c r="BB2504" s="624">
        <v>41760</v>
      </c>
      <c r="BC2504" s="355">
        <v>0.33050000000000002</v>
      </c>
      <c r="BD2504" s="624">
        <v>41760</v>
      </c>
      <c r="BE2504" s="355">
        <v>9.6750000000000003E-2</v>
      </c>
      <c r="BF2504" s="624">
        <v>41893</v>
      </c>
      <c r="BG2504" s="355">
        <v>1.6409E-2</v>
      </c>
      <c r="BH2504" s="624">
        <v>41760</v>
      </c>
      <c r="BI2504" s="355">
        <v>8.6494000000000001E-2</v>
      </c>
      <c r="BJ2504" s="624">
        <v>41759</v>
      </c>
      <c r="BK2504" s="355">
        <v>3.0880999999999999E-2</v>
      </c>
    </row>
    <row r="2505" spans="3:63" x14ac:dyDescent="0.15">
      <c r="C2505" s="624"/>
      <c r="D2505" s="355">
        <v>2.8219999999999999E-2</v>
      </c>
      <c r="AV2505" s="624"/>
      <c r="AX2505" s="624">
        <v>41766</v>
      </c>
      <c r="AY2505" s="355">
        <v>2.8629999999999999E-2</v>
      </c>
      <c r="AZ2505" s="624">
        <v>41830</v>
      </c>
      <c r="BA2505" s="355">
        <v>1.18E-2</v>
      </c>
      <c r="BB2505" s="624">
        <v>41761</v>
      </c>
      <c r="BC2505" s="355">
        <v>0.32979999999999998</v>
      </c>
      <c r="BD2505" s="624">
        <v>41761</v>
      </c>
      <c r="BE2505" s="355">
        <v>9.7129999999999994E-2</v>
      </c>
      <c r="BF2505" s="624">
        <v>41894</v>
      </c>
      <c r="BG2505" s="355">
        <v>1.6382000000000001E-2</v>
      </c>
      <c r="BH2505" s="624">
        <v>41761</v>
      </c>
      <c r="BI2505" s="355">
        <v>8.6693000000000006E-2</v>
      </c>
      <c r="BJ2505" s="624">
        <v>41760</v>
      </c>
      <c r="BK2505" s="355">
        <v>3.0894999999999999E-2</v>
      </c>
    </row>
    <row r="2506" spans="3:63" x14ac:dyDescent="0.15">
      <c r="C2506" s="624"/>
      <c r="D2506" s="355">
        <v>2.8629999999999999E-2</v>
      </c>
      <c r="AV2506" s="624"/>
      <c r="AX2506" s="624">
        <v>41767</v>
      </c>
      <c r="AY2506" s="355">
        <v>2.852E-2</v>
      </c>
      <c r="AZ2506" s="624">
        <v>41831</v>
      </c>
      <c r="BA2506" s="355">
        <v>1.17E-2</v>
      </c>
      <c r="BB2506" s="624">
        <v>41764</v>
      </c>
      <c r="BC2506" s="355">
        <v>0.33</v>
      </c>
      <c r="BD2506" s="624">
        <v>41764</v>
      </c>
      <c r="BE2506" s="355">
        <v>9.7290000000000001E-2</v>
      </c>
      <c r="BF2506" s="624">
        <v>41897</v>
      </c>
      <c r="BG2506" s="355">
        <v>1.6358000000000001E-2</v>
      </c>
      <c r="BH2506" s="624">
        <v>41764</v>
      </c>
      <c r="BI2506" s="355">
        <v>8.6787000000000003E-2</v>
      </c>
      <c r="BJ2506" s="624">
        <v>41761</v>
      </c>
      <c r="BK2506" s="355">
        <v>3.0863000000000002E-2</v>
      </c>
    </row>
    <row r="2507" spans="3:63" x14ac:dyDescent="0.15">
      <c r="C2507" s="624"/>
      <c r="D2507" s="355">
        <v>2.852E-2</v>
      </c>
      <c r="AV2507" s="624"/>
      <c r="AX2507" s="624">
        <v>41768</v>
      </c>
      <c r="AY2507" s="355">
        <v>2.8400000000000002E-2</v>
      </c>
      <c r="AZ2507" s="624">
        <v>41834</v>
      </c>
      <c r="BA2507" s="355">
        <v>1.17E-2</v>
      </c>
      <c r="BB2507" s="624">
        <v>41765</v>
      </c>
      <c r="BC2507" s="355">
        <v>0.33169999999999999</v>
      </c>
      <c r="BD2507" s="624">
        <v>41765</v>
      </c>
      <c r="BE2507" s="355">
        <v>9.7479999999999997E-2</v>
      </c>
      <c r="BF2507" s="624">
        <v>41898</v>
      </c>
      <c r="BG2507" s="355">
        <v>1.6399E-2</v>
      </c>
      <c r="BH2507" s="624">
        <v>41765</v>
      </c>
      <c r="BI2507" s="355">
        <v>8.6881E-2</v>
      </c>
      <c r="BJ2507" s="624">
        <v>41764</v>
      </c>
      <c r="BK2507" s="355">
        <v>3.0911999999999999E-2</v>
      </c>
    </row>
    <row r="2508" spans="3:63" x14ac:dyDescent="0.15">
      <c r="C2508" s="624"/>
      <c r="D2508" s="355">
        <v>2.8400000000000002E-2</v>
      </c>
      <c r="AV2508" s="624"/>
      <c r="AX2508" s="624">
        <v>41771</v>
      </c>
      <c r="AY2508" s="355">
        <v>2.8549999999999999E-2</v>
      </c>
      <c r="AZ2508" s="624">
        <v>41835</v>
      </c>
      <c r="BA2508" s="355">
        <v>1.17E-2</v>
      </c>
      <c r="BB2508" s="624">
        <v>41766</v>
      </c>
      <c r="BC2508" s="355">
        <v>0.33210000000000001</v>
      </c>
      <c r="BD2508" s="624">
        <v>41766</v>
      </c>
      <c r="BE2508" s="355">
        <v>9.7769999999999996E-2</v>
      </c>
      <c r="BF2508" s="624">
        <v>41899</v>
      </c>
      <c r="BG2508" s="355">
        <v>1.6382000000000001E-2</v>
      </c>
      <c r="BH2508" s="624">
        <v>41766</v>
      </c>
      <c r="BI2508" s="355">
        <v>8.6524000000000004E-2</v>
      </c>
      <c r="BJ2508" s="624">
        <v>41765</v>
      </c>
      <c r="BK2508" s="355">
        <v>3.091E-2</v>
      </c>
    </row>
    <row r="2509" spans="3:63" x14ac:dyDescent="0.15">
      <c r="C2509" s="624"/>
      <c r="D2509" s="355">
        <v>2.8549999999999999E-2</v>
      </c>
      <c r="AV2509" s="624"/>
      <c r="AX2509" s="624">
        <v>41772</v>
      </c>
      <c r="AY2509" s="355">
        <v>2.8649999999999998E-2</v>
      </c>
      <c r="AZ2509" s="624">
        <v>41836</v>
      </c>
      <c r="BA2509" s="355">
        <v>1.1599999999999999E-2</v>
      </c>
      <c r="BB2509" s="624">
        <v>41767</v>
      </c>
      <c r="BC2509" s="355">
        <v>0.33119999999999999</v>
      </c>
      <c r="BD2509" s="624">
        <v>41767</v>
      </c>
      <c r="BE2509" s="355">
        <v>9.7790000000000002E-2</v>
      </c>
      <c r="BF2509" s="624">
        <v>41900</v>
      </c>
      <c r="BG2509" s="355">
        <v>1.6455999999999998E-2</v>
      </c>
      <c r="BH2509" s="624">
        <v>41767</v>
      </c>
      <c r="BI2509" s="355">
        <v>8.6560999999999999E-2</v>
      </c>
      <c r="BJ2509" s="624">
        <v>41766</v>
      </c>
      <c r="BK2509" s="355">
        <v>3.0880999999999999E-2</v>
      </c>
    </row>
    <row r="2510" spans="3:63" x14ac:dyDescent="0.15">
      <c r="C2510" s="624"/>
      <c r="D2510" s="355">
        <v>2.8649999999999998E-2</v>
      </c>
      <c r="AV2510" s="624"/>
      <c r="AX2510" s="624">
        <v>41773</v>
      </c>
      <c r="AY2510" s="355">
        <v>2.8850000000000001E-2</v>
      </c>
      <c r="AZ2510" s="624">
        <v>41837</v>
      </c>
      <c r="BA2510" s="355">
        <v>1.17E-2</v>
      </c>
      <c r="BB2510" s="624">
        <v>41768</v>
      </c>
      <c r="BC2510" s="355">
        <v>0.3291</v>
      </c>
      <c r="BD2510" s="624">
        <v>41768</v>
      </c>
      <c r="BE2510" s="355">
        <v>9.7460000000000005E-2</v>
      </c>
      <c r="BF2510" s="624">
        <v>41901</v>
      </c>
      <c r="BG2510" s="355">
        <v>1.6416E-2</v>
      </c>
      <c r="BH2510" s="624">
        <v>41768</v>
      </c>
      <c r="BI2510" s="355">
        <v>8.6693000000000006E-2</v>
      </c>
      <c r="BJ2510" s="624">
        <v>41767</v>
      </c>
      <c r="BK2510" s="355">
        <v>3.0778E-2</v>
      </c>
    </row>
    <row r="2511" spans="3:63" x14ac:dyDescent="0.15">
      <c r="C2511" s="624"/>
      <c r="D2511" s="355">
        <v>2.8850000000000001E-2</v>
      </c>
      <c r="AV2511" s="624"/>
      <c r="AX2511" s="624">
        <v>41774</v>
      </c>
      <c r="AY2511" s="355">
        <v>2.8760000000000001E-2</v>
      </c>
      <c r="AZ2511" s="624">
        <v>41838</v>
      </c>
      <c r="BA2511" s="355">
        <v>1.1599999999999999E-2</v>
      </c>
      <c r="BB2511" s="624">
        <v>41771</v>
      </c>
      <c r="BC2511" s="355">
        <v>0.32900000000000001</v>
      </c>
      <c r="BD2511" s="624">
        <v>41771</v>
      </c>
      <c r="BE2511" s="355">
        <v>9.7600000000000006E-2</v>
      </c>
      <c r="BF2511" s="624">
        <v>41904</v>
      </c>
      <c r="BG2511" s="355">
        <v>1.6385E-2</v>
      </c>
      <c r="BH2511" s="624">
        <v>41771</v>
      </c>
      <c r="BI2511" s="355">
        <v>8.6787000000000003E-2</v>
      </c>
      <c r="BJ2511" s="624">
        <v>41768</v>
      </c>
      <c r="BK2511" s="355">
        <v>3.0648999999999999E-2</v>
      </c>
    </row>
    <row r="2512" spans="3:63" x14ac:dyDescent="0.15">
      <c r="C2512" s="624"/>
      <c r="D2512" s="355">
        <v>2.8760000000000001E-2</v>
      </c>
      <c r="AV2512" s="624"/>
      <c r="AX2512" s="624">
        <v>41775</v>
      </c>
      <c r="AY2512" s="355">
        <v>2.8819999999999998E-2</v>
      </c>
      <c r="AZ2512" s="624">
        <v>41841</v>
      </c>
      <c r="BA2512" s="355">
        <v>1.1599999999999999E-2</v>
      </c>
      <c r="BB2512" s="624">
        <v>41772</v>
      </c>
      <c r="BC2512" s="355">
        <v>0.32729999999999998</v>
      </c>
      <c r="BD2512" s="624">
        <v>41772</v>
      </c>
      <c r="BE2512" s="355">
        <v>9.7780000000000006E-2</v>
      </c>
      <c r="BF2512" s="624">
        <v>41905</v>
      </c>
      <c r="BG2512" s="355">
        <v>1.6376999999999999E-2</v>
      </c>
      <c r="BH2512" s="624">
        <v>41772</v>
      </c>
      <c r="BI2512" s="355">
        <v>8.6693000000000006E-2</v>
      </c>
      <c r="BJ2512" s="624">
        <v>41771</v>
      </c>
      <c r="BK2512" s="355">
        <v>3.0665000000000001E-2</v>
      </c>
    </row>
    <row r="2513" spans="3:63" x14ac:dyDescent="0.15">
      <c r="C2513" s="624"/>
      <c r="D2513" s="355">
        <v>2.8819999999999998E-2</v>
      </c>
      <c r="AV2513" s="624"/>
      <c r="AX2513" s="624">
        <v>41778</v>
      </c>
      <c r="AY2513" s="355">
        <v>2.8920000000000001E-2</v>
      </c>
      <c r="AZ2513" s="624">
        <v>41842</v>
      </c>
      <c r="BA2513" s="355">
        <v>1.15E-2</v>
      </c>
      <c r="BB2513" s="624">
        <v>41773</v>
      </c>
      <c r="BC2513" s="355">
        <v>0.32729999999999998</v>
      </c>
      <c r="BD2513" s="624">
        <v>41773</v>
      </c>
      <c r="BE2513" s="355">
        <v>9.7299999999999998E-2</v>
      </c>
      <c r="BF2513" s="624">
        <v>41906</v>
      </c>
      <c r="BG2513" s="355">
        <v>1.6441999999999998E-2</v>
      </c>
      <c r="BH2513" s="624">
        <v>41773</v>
      </c>
      <c r="BI2513" s="355">
        <v>8.7335999999999997E-2</v>
      </c>
      <c r="BJ2513" s="624">
        <v>41772</v>
      </c>
      <c r="BK2513" s="355">
        <v>3.0665999999999999E-2</v>
      </c>
    </row>
    <row r="2514" spans="3:63" x14ac:dyDescent="0.15">
      <c r="C2514" s="624"/>
      <c r="D2514" s="355">
        <v>2.8920000000000001E-2</v>
      </c>
      <c r="AV2514" s="624"/>
      <c r="AX2514" s="624">
        <v>41779</v>
      </c>
      <c r="AY2514" s="355">
        <v>2.896E-2</v>
      </c>
      <c r="AZ2514" s="624">
        <v>41843</v>
      </c>
      <c r="BA2514" s="355">
        <v>1.15E-2</v>
      </c>
      <c r="BB2514" s="624">
        <v>41774</v>
      </c>
      <c r="BC2514" s="355">
        <v>0.32700000000000001</v>
      </c>
      <c r="BD2514" s="624">
        <v>41774</v>
      </c>
      <c r="BE2514" s="355">
        <v>9.7170000000000006E-2</v>
      </c>
      <c r="BF2514" s="624">
        <v>41907</v>
      </c>
      <c r="BG2514" s="355">
        <v>1.6261999999999999E-2</v>
      </c>
      <c r="BH2514" s="624">
        <v>41774</v>
      </c>
      <c r="BI2514" s="355">
        <v>8.7335999999999997E-2</v>
      </c>
      <c r="BJ2514" s="624">
        <v>41773</v>
      </c>
      <c r="BK2514" s="355">
        <v>3.0844E-2</v>
      </c>
    </row>
    <row r="2515" spans="3:63" x14ac:dyDescent="0.15">
      <c r="C2515" s="624"/>
      <c r="D2515" s="355">
        <v>2.896E-2</v>
      </c>
      <c r="AV2515" s="624"/>
      <c r="AX2515" s="624">
        <v>41780</v>
      </c>
      <c r="AY2515" s="355">
        <v>2.9170000000000001E-2</v>
      </c>
      <c r="AZ2515" s="624">
        <v>41844</v>
      </c>
      <c r="BA2515" s="355">
        <v>1.1599999999999999E-2</v>
      </c>
      <c r="BB2515" s="624">
        <v>41775</v>
      </c>
      <c r="BC2515" s="355">
        <v>0.32669999999999999</v>
      </c>
      <c r="BD2515" s="624">
        <v>41775</v>
      </c>
      <c r="BE2515" s="355">
        <v>9.7670000000000007E-2</v>
      </c>
      <c r="BF2515" s="624">
        <v>41908</v>
      </c>
      <c r="BG2515" s="355">
        <v>1.6292000000000001E-2</v>
      </c>
      <c r="BH2515" s="624">
        <v>41775</v>
      </c>
      <c r="BI2515" s="355">
        <v>8.7584999999999996E-2</v>
      </c>
      <c r="BJ2515" s="624">
        <v>41774</v>
      </c>
      <c r="BK2515" s="355">
        <v>3.074E-2</v>
      </c>
    </row>
    <row r="2516" spans="3:63" x14ac:dyDescent="0.15">
      <c r="C2516" s="624"/>
      <c r="D2516" s="355">
        <v>2.9170000000000001E-2</v>
      </c>
      <c r="AV2516" s="624"/>
      <c r="AX2516" s="624">
        <v>41781</v>
      </c>
      <c r="AY2516" s="355">
        <v>2.9149999999999999E-2</v>
      </c>
      <c r="AZ2516" s="624">
        <v>41845</v>
      </c>
      <c r="BA2516" s="355">
        <v>1.15E-2</v>
      </c>
      <c r="BB2516" s="624">
        <v>41778</v>
      </c>
      <c r="BC2516" s="355">
        <v>0.32729999999999998</v>
      </c>
      <c r="BD2516" s="624">
        <v>41778</v>
      </c>
      <c r="BE2516" s="355">
        <v>9.7869999999999999E-2</v>
      </c>
      <c r="BF2516" s="624">
        <v>41911</v>
      </c>
      <c r="BG2516" s="355">
        <v>1.6216000000000001E-2</v>
      </c>
      <c r="BH2516" s="624">
        <v>41778</v>
      </c>
      <c r="BI2516" s="355">
        <v>8.7566000000000005E-2</v>
      </c>
      <c r="BJ2516" s="624">
        <v>41775</v>
      </c>
      <c r="BK2516" s="355">
        <v>3.0759999999999999E-2</v>
      </c>
    </row>
    <row r="2517" spans="3:63" x14ac:dyDescent="0.15">
      <c r="C2517" s="624"/>
      <c r="D2517" s="355">
        <v>2.9149999999999999E-2</v>
      </c>
      <c r="AV2517" s="624"/>
      <c r="AX2517" s="624">
        <v>41782</v>
      </c>
      <c r="AY2517" s="355">
        <v>2.93E-2</v>
      </c>
      <c r="AZ2517" s="624">
        <v>41848</v>
      </c>
      <c r="BA2517" s="355">
        <v>1.15E-2</v>
      </c>
      <c r="BB2517" s="624">
        <v>41779</v>
      </c>
      <c r="BC2517" s="355">
        <v>0.3271</v>
      </c>
      <c r="BD2517" s="624">
        <v>41779</v>
      </c>
      <c r="BE2517" s="355">
        <v>9.7540000000000002E-2</v>
      </c>
      <c r="BF2517" s="624">
        <v>41912</v>
      </c>
      <c r="BG2517" s="355">
        <v>1.6150999999999999E-2</v>
      </c>
      <c r="BH2517" s="624">
        <v>41779</v>
      </c>
      <c r="BI2517" s="355">
        <v>8.7031999999999998E-2</v>
      </c>
      <c r="BJ2517" s="624">
        <v>41778</v>
      </c>
      <c r="BK2517" s="355">
        <v>3.0780999999999999E-2</v>
      </c>
    </row>
    <row r="2518" spans="3:63" x14ac:dyDescent="0.15">
      <c r="C2518" s="624"/>
      <c r="D2518" s="355">
        <v>2.93E-2</v>
      </c>
      <c r="AV2518" s="624"/>
      <c r="AX2518" s="624">
        <v>41785</v>
      </c>
      <c r="AY2518" s="355">
        <v>2.9219999999999999E-2</v>
      </c>
      <c r="AZ2518" s="624">
        <v>41849</v>
      </c>
      <c r="BA2518" s="355">
        <v>1.15E-2</v>
      </c>
      <c r="BB2518" s="624">
        <v>41780</v>
      </c>
      <c r="BC2518" s="355">
        <v>0.3276</v>
      </c>
      <c r="BD2518" s="624">
        <v>41780</v>
      </c>
      <c r="BE2518" s="355">
        <v>9.74E-2</v>
      </c>
      <c r="BF2518" s="624">
        <v>41913</v>
      </c>
      <c r="BG2518" s="355">
        <v>1.6177E-2</v>
      </c>
      <c r="BH2518" s="624">
        <v>41780</v>
      </c>
      <c r="BI2518" s="355">
        <v>8.6861999999999995E-2</v>
      </c>
      <c r="BJ2518" s="624">
        <v>41779</v>
      </c>
      <c r="BK2518" s="355">
        <v>3.0735999999999999E-2</v>
      </c>
    </row>
    <row r="2519" spans="3:63" x14ac:dyDescent="0.15">
      <c r="C2519" s="624"/>
      <c r="D2519" s="355">
        <v>2.9219999999999999E-2</v>
      </c>
      <c r="AV2519" s="624"/>
      <c r="AX2519" s="624">
        <v>41786</v>
      </c>
      <c r="AY2519" s="355">
        <v>2.9049999999999999E-2</v>
      </c>
      <c r="AZ2519" s="624">
        <v>41850</v>
      </c>
      <c r="BA2519" s="355">
        <v>1.15E-2</v>
      </c>
      <c r="BB2519" s="624">
        <v>41781</v>
      </c>
      <c r="BC2519" s="355">
        <v>0.32819999999999999</v>
      </c>
      <c r="BD2519" s="624">
        <v>41781</v>
      </c>
      <c r="BE2519" s="355">
        <v>9.7619999999999998E-2</v>
      </c>
      <c r="BF2519" s="624">
        <v>41915</v>
      </c>
      <c r="BG2519" s="355">
        <v>1.6211E-2</v>
      </c>
      <c r="BH2519" s="624">
        <v>41781</v>
      </c>
      <c r="BI2519" s="355">
        <v>8.6742E-2</v>
      </c>
      <c r="BJ2519" s="624">
        <v>41780</v>
      </c>
      <c r="BK2519" s="355">
        <v>3.0800999999999999E-2</v>
      </c>
    </row>
    <row r="2520" spans="3:63" x14ac:dyDescent="0.15">
      <c r="C2520" s="624"/>
      <c r="D2520" s="355">
        <v>2.9049999999999999E-2</v>
      </c>
      <c r="AV2520" s="624"/>
      <c r="AX2520" s="624">
        <v>41787</v>
      </c>
      <c r="AY2520" s="355">
        <v>2.8930000000000001E-2</v>
      </c>
      <c r="AZ2520" s="624">
        <v>41851</v>
      </c>
      <c r="BA2520" s="355">
        <v>1.15E-2</v>
      </c>
      <c r="BB2520" s="624">
        <v>41782</v>
      </c>
      <c r="BC2520" s="355">
        <v>0.3281</v>
      </c>
      <c r="BD2520" s="624">
        <v>41782</v>
      </c>
      <c r="BE2520" s="355">
        <v>9.7600000000000006E-2</v>
      </c>
      <c r="BF2520" s="624">
        <v>41918</v>
      </c>
      <c r="BG2520" s="355">
        <v>1.6317999999999999E-2</v>
      </c>
      <c r="BH2520" s="624">
        <v>41782</v>
      </c>
      <c r="BI2520" s="355">
        <v>8.6096000000000006E-2</v>
      </c>
      <c r="BJ2520" s="624">
        <v>41781</v>
      </c>
      <c r="BK2520" s="355">
        <v>3.0696999999999999E-2</v>
      </c>
    </row>
    <row r="2521" spans="3:63" x14ac:dyDescent="0.15">
      <c r="C2521" s="624"/>
      <c r="D2521" s="355">
        <v>2.8930000000000001E-2</v>
      </c>
      <c r="AV2521" s="624"/>
      <c r="AX2521" s="624">
        <v>41788</v>
      </c>
      <c r="AY2521" s="355">
        <v>2.8830000000000001E-2</v>
      </c>
      <c r="AZ2521" s="624">
        <v>41852</v>
      </c>
      <c r="BA2521" s="355">
        <v>1.15E-2</v>
      </c>
      <c r="BB2521" s="624">
        <v>41785</v>
      </c>
      <c r="BC2521" s="355">
        <v>0.32779999999999998</v>
      </c>
      <c r="BD2521" s="624">
        <v>41785</v>
      </c>
      <c r="BE2521" s="355">
        <v>9.7689999999999999E-2</v>
      </c>
      <c r="BF2521" s="624">
        <v>41919</v>
      </c>
      <c r="BG2521" s="355">
        <v>1.6306000000000001E-2</v>
      </c>
      <c r="BH2521" s="624">
        <v>41785</v>
      </c>
      <c r="BI2521" s="355">
        <v>8.6336999999999997E-2</v>
      </c>
      <c r="BJ2521" s="624">
        <v>41782</v>
      </c>
      <c r="BK2521" s="355">
        <v>3.0731000000000001E-2</v>
      </c>
    </row>
    <row r="2522" spans="3:63" x14ac:dyDescent="0.15">
      <c r="C2522" s="624"/>
      <c r="D2522" s="355">
        <v>2.8830000000000001E-2</v>
      </c>
      <c r="AV2522" s="624"/>
      <c r="AX2522" s="624">
        <v>41789</v>
      </c>
      <c r="AY2522" s="355">
        <v>2.8649999999999998E-2</v>
      </c>
      <c r="AZ2522" s="624">
        <v>41855</v>
      </c>
      <c r="BA2522" s="355">
        <v>1.15E-2</v>
      </c>
      <c r="BB2522" s="624">
        <v>41786</v>
      </c>
      <c r="BC2522" s="355">
        <v>0.32740000000000002</v>
      </c>
      <c r="BD2522" s="624">
        <v>41786</v>
      </c>
      <c r="BE2522" s="355">
        <v>9.7589999999999996E-2</v>
      </c>
      <c r="BF2522" s="624">
        <v>41920</v>
      </c>
      <c r="BG2522" s="355">
        <v>1.6386999999999999E-2</v>
      </c>
      <c r="BH2522" s="624">
        <v>41786</v>
      </c>
      <c r="BI2522" s="355">
        <v>8.6336999999999997E-2</v>
      </c>
      <c r="BJ2522" s="624">
        <v>41785</v>
      </c>
      <c r="BK2522" s="355">
        <v>3.0696000000000001E-2</v>
      </c>
    </row>
    <row r="2523" spans="3:63" x14ac:dyDescent="0.15">
      <c r="C2523" s="624"/>
      <c r="D2523" s="355">
        <v>2.8649999999999998E-2</v>
      </c>
      <c r="AV2523" s="624"/>
      <c r="AX2523" s="624">
        <v>41792</v>
      </c>
      <c r="AY2523" s="355">
        <v>2.8580000000000001E-2</v>
      </c>
      <c r="AZ2523" s="624">
        <v>41856</v>
      </c>
      <c r="BA2523" s="355">
        <v>1.14E-2</v>
      </c>
      <c r="BB2523" s="624">
        <v>41787</v>
      </c>
      <c r="BC2523" s="355">
        <v>0.32740000000000002</v>
      </c>
      <c r="BD2523" s="624">
        <v>41787</v>
      </c>
      <c r="BE2523" s="355">
        <v>9.776E-2</v>
      </c>
      <c r="BF2523" s="624">
        <v>41921</v>
      </c>
      <c r="BG2523" s="355">
        <v>1.6362000000000002E-2</v>
      </c>
      <c r="BH2523" s="624">
        <v>41787</v>
      </c>
      <c r="BI2523" s="355">
        <v>8.6169999999999997E-2</v>
      </c>
      <c r="BJ2523" s="624">
        <v>41786</v>
      </c>
      <c r="BK2523" s="355">
        <v>3.0658000000000001E-2</v>
      </c>
    </row>
    <row r="2524" spans="3:63" x14ac:dyDescent="0.15">
      <c r="C2524" s="624"/>
      <c r="D2524" s="355">
        <v>2.8580000000000001E-2</v>
      </c>
      <c r="AV2524" s="624"/>
      <c r="AX2524" s="624">
        <v>41793</v>
      </c>
      <c r="AY2524" s="355">
        <v>2.852E-2</v>
      </c>
      <c r="AZ2524" s="624">
        <v>41857</v>
      </c>
      <c r="BA2524" s="355">
        <v>1.14E-2</v>
      </c>
      <c r="BB2524" s="624">
        <v>41788</v>
      </c>
      <c r="BC2524" s="355">
        <v>0.3286</v>
      </c>
      <c r="BD2524" s="624">
        <v>41788</v>
      </c>
      <c r="BE2524" s="355">
        <v>9.8169999999999993E-2</v>
      </c>
      <c r="BF2524" s="624">
        <v>41922</v>
      </c>
      <c r="BG2524" s="355">
        <v>1.6324999999999999E-2</v>
      </c>
      <c r="BH2524" s="624">
        <v>41788</v>
      </c>
      <c r="BI2524" s="355">
        <v>8.6169999999999997E-2</v>
      </c>
      <c r="BJ2524" s="624">
        <v>41787</v>
      </c>
      <c r="BK2524" s="355">
        <v>3.0588000000000001E-2</v>
      </c>
    </row>
    <row r="2525" spans="3:63" x14ac:dyDescent="0.15">
      <c r="C2525" s="624"/>
      <c r="D2525" s="355">
        <v>2.852E-2</v>
      </c>
      <c r="AV2525" s="624"/>
      <c r="AX2525" s="624">
        <v>41794</v>
      </c>
      <c r="AY2525" s="355">
        <v>2.8559999999999999E-2</v>
      </c>
      <c r="AZ2525" s="624">
        <v>41858</v>
      </c>
      <c r="BA2525" s="355">
        <v>1.14E-2</v>
      </c>
      <c r="BB2525" s="624">
        <v>41789</v>
      </c>
      <c r="BC2525" s="355">
        <v>0.32900000000000001</v>
      </c>
      <c r="BD2525" s="624">
        <v>41789</v>
      </c>
      <c r="BE2525" s="355">
        <v>9.7890000000000005E-2</v>
      </c>
      <c r="BF2525" s="624">
        <v>41925</v>
      </c>
      <c r="BG2525" s="355">
        <v>1.6386999999999999E-2</v>
      </c>
      <c r="BH2525" s="624">
        <v>41789</v>
      </c>
      <c r="BI2525" s="355">
        <v>8.5653000000000007E-2</v>
      </c>
      <c r="BJ2525" s="624">
        <v>41788</v>
      </c>
      <c r="BK2525" s="355">
        <v>3.0484000000000001E-2</v>
      </c>
    </row>
    <row r="2526" spans="3:63" x14ac:dyDescent="0.15">
      <c r="C2526" s="624"/>
      <c r="D2526" s="355">
        <v>2.8559999999999999E-2</v>
      </c>
      <c r="AV2526" s="624"/>
      <c r="AX2526" s="624">
        <v>41795</v>
      </c>
      <c r="AY2526" s="355">
        <v>2.8830000000000001E-2</v>
      </c>
      <c r="AZ2526" s="624">
        <v>41859</v>
      </c>
      <c r="BA2526" s="355">
        <v>1.14E-2</v>
      </c>
      <c r="BB2526" s="624">
        <v>41792</v>
      </c>
      <c r="BC2526" s="355">
        <v>0.32819999999999999</v>
      </c>
      <c r="BD2526" s="624">
        <v>41792</v>
      </c>
      <c r="BE2526" s="355">
        <v>9.7589999999999996E-2</v>
      </c>
      <c r="BF2526" s="624">
        <v>41926</v>
      </c>
      <c r="BG2526" s="355">
        <v>1.6292000000000001E-2</v>
      </c>
      <c r="BH2526" s="624">
        <v>41792</v>
      </c>
      <c r="BI2526" s="355">
        <v>8.4998000000000004E-2</v>
      </c>
      <c r="BJ2526" s="624">
        <v>41789</v>
      </c>
      <c r="BK2526" s="355">
        <v>3.0474000000000001E-2</v>
      </c>
    </row>
    <row r="2527" spans="3:63" x14ac:dyDescent="0.15">
      <c r="C2527" s="624"/>
      <c r="D2527" s="355">
        <v>2.8830000000000001E-2</v>
      </c>
      <c r="AV2527" s="624"/>
      <c r="AX2527" s="624">
        <v>41796</v>
      </c>
      <c r="AY2527" s="355">
        <v>2.9069999999999999E-2</v>
      </c>
      <c r="AZ2527" s="624">
        <v>41862</v>
      </c>
      <c r="BA2527" s="355">
        <v>1.14E-2</v>
      </c>
      <c r="BB2527" s="624">
        <v>41793</v>
      </c>
      <c r="BC2527" s="355">
        <v>0.32790000000000002</v>
      </c>
      <c r="BD2527" s="624">
        <v>41793</v>
      </c>
      <c r="BE2527" s="355">
        <v>9.7710000000000005E-2</v>
      </c>
      <c r="BF2527" s="624">
        <v>41927</v>
      </c>
      <c r="BG2527" s="355">
        <v>1.6234999999999999E-2</v>
      </c>
      <c r="BH2527" s="624">
        <v>41793</v>
      </c>
      <c r="BI2527" s="355">
        <v>8.4814000000000001E-2</v>
      </c>
      <c r="BJ2527" s="624">
        <v>41792</v>
      </c>
      <c r="BK2527" s="355">
        <v>3.0454999999999999E-2</v>
      </c>
    </row>
    <row r="2528" spans="3:63" x14ac:dyDescent="0.15">
      <c r="C2528" s="624"/>
      <c r="D2528" s="355">
        <v>2.9069999999999999E-2</v>
      </c>
      <c r="AV2528" s="624"/>
      <c r="AX2528" s="624">
        <v>41799</v>
      </c>
      <c r="AY2528" s="355">
        <v>2.911E-2</v>
      </c>
      <c r="AZ2528" s="624">
        <v>41863</v>
      </c>
      <c r="BA2528" s="355">
        <v>1.14E-2</v>
      </c>
      <c r="BB2528" s="624">
        <v>41794</v>
      </c>
      <c r="BC2528" s="355">
        <v>0.32929999999999998</v>
      </c>
      <c r="BD2528" s="624">
        <v>41794</v>
      </c>
      <c r="BE2528" s="355">
        <v>9.7470000000000001E-2</v>
      </c>
      <c r="BF2528" s="624">
        <v>41928</v>
      </c>
      <c r="BG2528" s="355">
        <v>1.6225E-2</v>
      </c>
      <c r="BH2528" s="624">
        <v>41794</v>
      </c>
      <c r="BI2528" s="355">
        <v>8.4103999999999998E-2</v>
      </c>
      <c r="BJ2528" s="624">
        <v>41793</v>
      </c>
      <c r="BK2528" s="355">
        <v>3.0661999999999998E-2</v>
      </c>
    </row>
    <row r="2529" spans="3:63" x14ac:dyDescent="0.15">
      <c r="C2529" s="624"/>
      <c r="D2529" s="355">
        <v>2.911E-2</v>
      </c>
      <c r="AV2529" s="624"/>
      <c r="AX2529" s="624">
        <v>41800</v>
      </c>
      <c r="AY2529" s="355">
        <v>2.913E-2</v>
      </c>
      <c r="AZ2529" s="624">
        <v>41864</v>
      </c>
      <c r="BA2529" s="355">
        <v>1.14E-2</v>
      </c>
      <c r="BB2529" s="624">
        <v>41795</v>
      </c>
      <c r="BC2529" s="355">
        <v>0.33050000000000002</v>
      </c>
      <c r="BD2529" s="624">
        <v>41795</v>
      </c>
      <c r="BE2529" s="355">
        <v>9.8059999999999994E-2</v>
      </c>
      <c r="BF2529" s="624">
        <v>41929</v>
      </c>
      <c r="BG2529" s="355">
        <v>1.6315E-2</v>
      </c>
      <c r="BH2529" s="624">
        <v>41795</v>
      </c>
      <c r="BI2529" s="355">
        <v>8.4317000000000003E-2</v>
      </c>
      <c r="BJ2529" s="624">
        <v>41794</v>
      </c>
      <c r="BK2529" s="355">
        <v>3.0609000000000001E-2</v>
      </c>
    </row>
    <row r="2530" spans="3:63" x14ac:dyDescent="0.15">
      <c r="C2530" s="624"/>
      <c r="D2530" s="355">
        <v>2.913E-2</v>
      </c>
      <c r="AV2530" s="624"/>
      <c r="AX2530" s="624">
        <v>41801</v>
      </c>
      <c r="AY2530" s="355">
        <v>2.9080000000000002E-2</v>
      </c>
      <c r="AZ2530" s="624">
        <v>41865</v>
      </c>
      <c r="BA2530" s="355">
        <v>1.14E-2</v>
      </c>
      <c r="BB2530" s="624">
        <v>41796</v>
      </c>
      <c r="BC2530" s="355">
        <v>0.33310000000000001</v>
      </c>
      <c r="BD2530" s="624">
        <v>41796</v>
      </c>
      <c r="BE2530" s="355">
        <v>9.8049999999999998E-2</v>
      </c>
      <c r="BF2530" s="624">
        <v>41932</v>
      </c>
      <c r="BG2530" s="355">
        <v>1.6351999999999998E-2</v>
      </c>
      <c r="BH2530" s="624">
        <v>41796</v>
      </c>
      <c r="BI2530" s="355">
        <v>8.4501999999999994E-2</v>
      </c>
      <c r="BJ2530" s="624">
        <v>41795</v>
      </c>
      <c r="BK2530" s="355">
        <v>3.0641999999999999E-2</v>
      </c>
    </row>
    <row r="2531" spans="3:63" x14ac:dyDescent="0.15">
      <c r="C2531" s="624"/>
      <c r="D2531" s="355">
        <v>2.9080000000000002E-2</v>
      </c>
      <c r="AV2531" s="624"/>
      <c r="AX2531" s="624">
        <v>41802</v>
      </c>
      <c r="AY2531" s="355">
        <v>2.9090000000000001E-2</v>
      </c>
      <c r="AZ2531" s="624">
        <v>41866</v>
      </c>
      <c r="BA2531" s="355">
        <v>1.15E-2</v>
      </c>
      <c r="BB2531" s="624">
        <v>41799</v>
      </c>
      <c r="BC2531" s="355">
        <v>0.33129999999999998</v>
      </c>
      <c r="BD2531" s="624">
        <v>41799</v>
      </c>
      <c r="BE2531" s="355">
        <v>9.8360000000000003E-2</v>
      </c>
      <c r="BF2531" s="624">
        <v>41933</v>
      </c>
      <c r="BG2531" s="355">
        <v>1.6367E-2</v>
      </c>
      <c r="BH2531" s="624">
        <v>41799</v>
      </c>
      <c r="BI2531" s="355">
        <v>8.4530999999999995E-2</v>
      </c>
      <c r="BJ2531" s="624">
        <v>41796</v>
      </c>
      <c r="BK2531" s="355">
        <v>3.0787999999999999E-2</v>
      </c>
    </row>
    <row r="2532" spans="3:63" x14ac:dyDescent="0.15">
      <c r="C2532" s="624"/>
      <c r="D2532" s="355">
        <v>2.9090000000000001E-2</v>
      </c>
      <c r="AV2532" s="624"/>
      <c r="AX2532" s="624">
        <v>41803</v>
      </c>
      <c r="AY2532" s="355">
        <v>2.9069999999999999E-2</v>
      </c>
      <c r="AZ2532" s="624">
        <v>41869</v>
      </c>
      <c r="BA2532" s="355">
        <v>1.14E-2</v>
      </c>
      <c r="BB2532" s="624">
        <v>41800</v>
      </c>
      <c r="BC2532" s="355">
        <v>0.32990000000000003</v>
      </c>
      <c r="BD2532" s="624">
        <v>41800</v>
      </c>
      <c r="BE2532" s="355">
        <v>9.8330000000000001E-2</v>
      </c>
      <c r="BF2532" s="624">
        <v>41934</v>
      </c>
      <c r="BG2532" s="355">
        <v>1.6341000000000001E-2</v>
      </c>
      <c r="BH2532" s="624">
        <v>41800</v>
      </c>
      <c r="BI2532" s="355">
        <v>8.4692000000000003E-2</v>
      </c>
      <c r="BJ2532" s="624">
        <v>41799</v>
      </c>
      <c r="BK2532" s="355">
        <v>3.0842999999999999E-2</v>
      </c>
    </row>
    <row r="2533" spans="3:63" x14ac:dyDescent="0.15">
      <c r="C2533" s="624"/>
      <c r="D2533" s="355">
        <v>2.9069999999999999E-2</v>
      </c>
      <c r="AV2533" s="624"/>
      <c r="AX2533" s="624">
        <v>41806</v>
      </c>
      <c r="AY2533" s="355">
        <v>2.8889999999999999E-2</v>
      </c>
      <c r="AZ2533" s="624">
        <v>41870</v>
      </c>
      <c r="BA2533" s="355">
        <v>1.1299999999999999E-2</v>
      </c>
      <c r="BB2533" s="624">
        <v>41801</v>
      </c>
      <c r="BC2533" s="355">
        <v>0.32940000000000003</v>
      </c>
      <c r="BD2533" s="624">
        <v>41801</v>
      </c>
      <c r="BE2533" s="355">
        <v>9.8269999999999996E-2</v>
      </c>
      <c r="BF2533" s="624">
        <v>41936</v>
      </c>
      <c r="BG2533" s="355">
        <v>1.6364E-2</v>
      </c>
      <c r="BH2533" s="624">
        <v>41801</v>
      </c>
      <c r="BI2533" s="355">
        <v>8.4673999999999999E-2</v>
      </c>
      <c r="BJ2533" s="624">
        <v>41800</v>
      </c>
      <c r="BK2533" s="355">
        <v>3.0797999999999999E-2</v>
      </c>
    </row>
    <row r="2534" spans="3:63" x14ac:dyDescent="0.15">
      <c r="C2534" s="624"/>
      <c r="D2534" s="355">
        <v>2.8889999999999999E-2</v>
      </c>
      <c r="AV2534" s="624"/>
      <c r="AX2534" s="624">
        <v>41807</v>
      </c>
      <c r="AY2534" s="355">
        <v>2.8719999999999999E-2</v>
      </c>
      <c r="AZ2534" s="624">
        <v>41871</v>
      </c>
      <c r="BA2534" s="355">
        <v>1.1299999999999999E-2</v>
      </c>
      <c r="BB2534" s="624">
        <v>41802</v>
      </c>
      <c r="BC2534" s="355">
        <v>0.32929999999999998</v>
      </c>
      <c r="BD2534" s="624">
        <v>41802</v>
      </c>
      <c r="BE2534" s="355">
        <v>9.8229999999999998E-2</v>
      </c>
      <c r="BF2534" s="624">
        <v>41939</v>
      </c>
      <c r="BG2534" s="355">
        <v>1.6303999999999999E-2</v>
      </c>
      <c r="BH2534" s="624">
        <v>41802</v>
      </c>
      <c r="BI2534" s="355">
        <v>8.4667000000000006E-2</v>
      </c>
      <c r="BJ2534" s="624">
        <v>41801</v>
      </c>
      <c r="BK2534" s="355">
        <v>3.0790000000000001E-2</v>
      </c>
    </row>
    <row r="2535" spans="3:63" x14ac:dyDescent="0.15">
      <c r="C2535" s="624"/>
      <c r="D2535" s="355">
        <v>2.8719999999999999E-2</v>
      </c>
      <c r="AV2535" s="624"/>
      <c r="AX2535" s="624">
        <v>41808</v>
      </c>
      <c r="AY2535" s="355">
        <v>2.9100000000000001E-2</v>
      </c>
      <c r="AZ2535" s="624">
        <v>41872</v>
      </c>
      <c r="BA2535" s="355">
        <v>1.1299999999999999E-2</v>
      </c>
      <c r="BB2535" s="624">
        <v>41803</v>
      </c>
      <c r="BC2535" s="355">
        <v>0.32869999999999999</v>
      </c>
      <c r="BD2535" s="624">
        <v>41803</v>
      </c>
      <c r="BE2535" s="355">
        <v>9.7979999999999998E-2</v>
      </c>
      <c r="BF2535" s="624">
        <v>41940</v>
      </c>
      <c r="BG2535" s="355">
        <v>1.6348000000000001E-2</v>
      </c>
      <c r="BH2535" s="624">
        <v>41803</v>
      </c>
      <c r="BI2535" s="355">
        <v>8.4818000000000005E-2</v>
      </c>
      <c r="BJ2535" s="624">
        <v>41802</v>
      </c>
      <c r="BK2535" s="355">
        <v>3.082E-2</v>
      </c>
    </row>
    <row r="2536" spans="3:63" x14ac:dyDescent="0.15">
      <c r="C2536" s="624"/>
      <c r="D2536" s="355">
        <v>2.9100000000000001E-2</v>
      </c>
      <c r="AV2536" s="624"/>
      <c r="AX2536" s="624">
        <v>41809</v>
      </c>
      <c r="AY2536" s="355">
        <v>2.9069999999999999E-2</v>
      </c>
      <c r="AZ2536" s="624">
        <v>41873</v>
      </c>
      <c r="BA2536" s="355">
        <v>1.1299999999999999E-2</v>
      </c>
      <c r="BB2536" s="624">
        <v>41806</v>
      </c>
      <c r="BC2536" s="355">
        <v>0.32779999999999998</v>
      </c>
      <c r="BD2536" s="624">
        <v>41806</v>
      </c>
      <c r="BE2536" s="355">
        <v>9.8019999999999996E-2</v>
      </c>
      <c r="BF2536" s="624">
        <v>41941</v>
      </c>
      <c r="BG2536" s="355">
        <v>1.6261999999999999E-2</v>
      </c>
      <c r="BH2536" s="624">
        <v>41806</v>
      </c>
      <c r="BI2536" s="355">
        <v>8.4601999999999997E-2</v>
      </c>
      <c r="BJ2536" s="624">
        <v>41803</v>
      </c>
      <c r="BK2536" s="355">
        <v>3.0883000000000001E-2</v>
      </c>
    </row>
    <row r="2537" spans="3:63" x14ac:dyDescent="0.15">
      <c r="C2537" s="624"/>
      <c r="D2537" s="355">
        <v>2.9069999999999999E-2</v>
      </c>
      <c r="AV2537" s="624"/>
      <c r="AX2537" s="624">
        <v>41810</v>
      </c>
      <c r="AY2537" s="355">
        <v>2.903E-2</v>
      </c>
      <c r="AZ2537" s="624">
        <v>41876</v>
      </c>
      <c r="BA2537" s="355">
        <v>1.1299999999999999E-2</v>
      </c>
      <c r="BB2537" s="624">
        <v>41807</v>
      </c>
      <c r="BC2537" s="355">
        <v>0.32700000000000001</v>
      </c>
      <c r="BD2537" s="624">
        <v>41807</v>
      </c>
      <c r="BE2537" s="355">
        <v>9.7820000000000004E-2</v>
      </c>
      <c r="BF2537" s="624">
        <v>41942</v>
      </c>
      <c r="BG2537" s="355">
        <v>1.6303000000000002E-2</v>
      </c>
      <c r="BH2537" s="624">
        <v>41807</v>
      </c>
      <c r="BI2537" s="355">
        <v>8.4122000000000002E-2</v>
      </c>
      <c r="BJ2537" s="624">
        <v>41806</v>
      </c>
      <c r="BK2537" s="355">
        <v>3.0905999999999999E-2</v>
      </c>
    </row>
    <row r="2538" spans="3:63" x14ac:dyDescent="0.15">
      <c r="C2538" s="624"/>
      <c r="D2538" s="355">
        <v>2.903E-2</v>
      </c>
      <c r="AV2538" s="624"/>
      <c r="AX2538" s="624">
        <v>41813</v>
      </c>
      <c r="AY2538" s="355">
        <v>2.9360000000000001E-2</v>
      </c>
      <c r="AZ2538" s="624">
        <v>41877</v>
      </c>
      <c r="BA2538" s="355">
        <v>1.12E-2</v>
      </c>
      <c r="BB2538" s="624">
        <v>41808</v>
      </c>
      <c r="BC2538" s="355">
        <v>0.32929999999999998</v>
      </c>
      <c r="BD2538" s="624">
        <v>41808</v>
      </c>
      <c r="BE2538" s="355">
        <v>9.8199999999999996E-2</v>
      </c>
      <c r="BF2538" s="624">
        <v>41943</v>
      </c>
      <c r="BG2538" s="355">
        <v>1.6284E-2</v>
      </c>
      <c r="BH2538" s="624">
        <v>41808</v>
      </c>
      <c r="BI2538" s="355">
        <v>8.3350999999999995E-2</v>
      </c>
      <c r="BJ2538" s="624">
        <v>41807</v>
      </c>
      <c r="BK2538" s="355">
        <v>3.0772000000000001E-2</v>
      </c>
    </row>
    <row r="2539" spans="3:63" x14ac:dyDescent="0.15">
      <c r="C2539" s="624"/>
      <c r="D2539" s="355">
        <v>2.9360000000000001E-2</v>
      </c>
      <c r="AV2539" s="624"/>
      <c r="AX2539" s="624">
        <v>41814</v>
      </c>
      <c r="AY2539" s="355">
        <v>2.9579999999999999E-2</v>
      </c>
      <c r="AZ2539" s="624">
        <v>41878</v>
      </c>
      <c r="BA2539" s="355">
        <v>1.12E-2</v>
      </c>
      <c r="BB2539" s="624">
        <v>41809</v>
      </c>
      <c r="BC2539" s="355">
        <v>0.32790000000000002</v>
      </c>
      <c r="BD2539" s="624">
        <v>41809</v>
      </c>
      <c r="BE2539" s="355">
        <v>9.8129999999999995E-2</v>
      </c>
      <c r="BF2539" s="624">
        <v>41946</v>
      </c>
      <c r="BG2539" s="355">
        <v>1.6277E-2</v>
      </c>
      <c r="BH2539" s="624">
        <v>41809</v>
      </c>
      <c r="BI2539" s="355">
        <v>8.3793999999999993E-2</v>
      </c>
      <c r="BJ2539" s="624">
        <v>41808</v>
      </c>
      <c r="BK2539" s="355">
        <v>3.0845000000000001E-2</v>
      </c>
    </row>
    <row r="2540" spans="3:63" x14ac:dyDescent="0.15">
      <c r="C2540" s="624"/>
      <c r="D2540" s="355">
        <v>2.9579999999999999E-2</v>
      </c>
      <c r="AV2540" s="624"/>
      <c r="AX2540" s="624">
        <v>41815</v>
      </c>
      <c r="AY2540" s="355">
        <v>2.962E-2</v>
      </c>
      <c r="AZ2540" s="624">
        <v>41879</v>
      </c>
      <c r="BA2540" s="355">
        <v>1.12E-2</v>
      </c>
      <c r="BB2540" s="624">
        <v>41810</v>
      </c>
      <c r="BC2540" s="355">
        <v>0.32619999999999999</v>
      </c>
      <c r="BD2540" s="624">
        <v>41810</v>
      </c>
      <c r="BE2540" s="355">
        <v>9.8049999999999998E-2</v>
      </c>
      <c r="BF2540" s="624">
        <v>41947</v>
      </c>
      <c r="BG2540" s="355">
        <v>1.6308E-2</v>
      </c>
      <c r="BH2540" s="624">
        <v>41810</v>
      </c>
      <c r="BI2540" s="355">
        <v>8.3492999999999998E-2</v>
      </c>
      <c r="BJ2540" s="624">
        <v>41809</v>
      </c>
      <c r="BK2540" s="355">
        <v>3.0800000000000001E-2</v>
      </c>
    </row>
    <row r="2541" spans="3:63" x14ac:dyDescent="0.15">
      <c r="C2541" s="624"/>
      <c r="D2541" s="355">
        <v>2.962E-2</v>
      </c>
      <c r="AV2541" s="624"/>
      <c r="AX2541" s="624">
        <v>41816</v>
      </c>
      <c r="AY2541" s="355">
        <v>2.9690000000000001E-2</v>
      </c>
      <c r="AZ2541" s="624">
        <v>41880</v>
      </c>
      <c r="BA2541" s="355">
        <v>1.11E-2</v>
      </c>
      <c r="BB2541" s="624">
        <v>41813</v>
      </c>
      <c r="BC2541" s="355">
        <v>0.32690000000000002</v>
      </c>
      <c r="BD2541" s="624">
        <v>41813</v>
      </c>
      <c r="BE2541" s="355">
        <v>9.8140000000000005E-2</v>
      </c>
      <c r="BF2541" s="624">
        <v>41948</v>
      </c>
      <c r="BG2541" s="355">
        <v>1.6285999999999998E-2</v>
      </c>
      <c r="BH2541" s="624">
        <v>41813</v>
      </c>
      <c r="BI2541" s="355">
        <v>8.3472000000000005E-2</v>
      </c>
      <c r="BJ2541" s="624">
        <v>41810</v>
      </c>
      <c r="BK2541" s="355">
        <v>3.0802E-2</v>
      </c>
    </row>
    <row r="2542" spans="3:63" x14ac:dyDescent="0.15">
      <c r="C2542" s="624"/>
      <c r="D2542" s="355">
        <v>2.9690000000000001E-2</v>
      </c>
      <c r="AV2542" s="624"/>
      <c r="AX2542" s="624">
        <v>41817</v>
      </c>
      <c r="AY2542" s="355">
        <v>2.963E-2</v>
      </c>
      <c r="AZ2542" s="624">
        <v>41883</v>
      </c>
      <c r="BA2542" s="355">
        <v>1.11E-2</v>
      </c>
      <c r="BB2542" s="624">
        <v>41814</v>
      </c>
      <c r="BC2542" s="355">
        <v>0.32769999999999999</v>
      </c>
      <c r="BD2542" s="624">
        <v>41814</v>
      </c>
      <c r="BE2542" s="355">
        <v>9.8159999999999997E-2</v>
      </c>
      <c r="BF2542" s="624">
        <v>41949</v>
      </c>
      <c r="BG2542" s="355">
        <v>1.6250000000000001E-2</v>
      </c>
      <c r="BH2542" s="624">
        <v>41814</v>
      </c>
      <c r="BI2542" s="355">
        <v>8.3409999999999998E-2</v>
      </c>
      <c r="BJ2542" s="624">
        <v>41813</v>
      </c>
      <c r="BK2542" s="355">
        <v>3.0828999999999999E-2</v>
      </c>
    </row>
    <row r="2543" spans="3:63" x14ac:dyDescent="0.15">
      <c r="C2543" s="624"/>
      <c r="D2543" s="355">
        <v>2.963E-2</v>
      </c>
      <c r="AV2543" s="624"/>
      <c r="AX2543" s="624">
        <v>41820</v>
      </c>
      <c r="AY2543" s="355">
        <v>2.9420000000000002E-2</v>
      </c>
      <c r="AZ2543" s="624">
        <v>41884</v>
      </c>
      <c r="BA2543" s="355">
        <v>1.11E-2</v>
      </c>
      <c r="BB2543" s="624">
        <v>41815</v>
      </c>
      <c r="BC2543" s="355">
        <v>0.32940000000000003</v>
      </c>
      <c r="BD2543" s="624">
        <v>41815</v>
      </c>
      <c r="BE2543" s="355">
        <v>9.8080000000000001E-2</v>
      </c>
      <c r="BF2543" s="624">
        <v>41950</v>
      </c>
      <c r="BG2543" s="355">
        <v>1.6288E-2</v>
      </c>
      <c r="BH2543" s="624">
        <v>41815</v>
      </c>
      <c r="BI2543" s="355">
        <v>8.2712999999999995E-2</v>
      </c>
      <c r="BJ2543" s="624">
        <v>41814</v>
      </c>
      <c r="BK2543" s="355">
        <v>3.0817000000000001E-2</v>
      </c>
    </row>
    <row r="2544" spans="3:63" x14ac:dyDescent="0.15">
      <c r="C2544" s="624"/>
      <c r="D2544" s="355">
        <v>2.9420000000000002E-2</v>
      </c>
      <c r="AV2544" s="624"/>
      <c r="AX2544" s="624">
        <v>41821</v>
      </c>
      <c r="AY2544" s="355">
        <v>2.9139999999999999E-2</v>
      </c>
      <c r="AZ2544" s="624">
        <v>41885</v>
      </c>
      <c r="BA2544" s="355">
        <v>1.11E-2</v>
      </c>
      <c r="BB2544" s="624">
        <v>41816</v>
      </c>
      <c r="BC2544" s="355">
        <v>0.32790000000000002</v>
      </c>
      <c r="BD2544" s="624">
        <v>41816</v>
      </c>
      <c r="BE2544" s="355">
        <v>9.8369999999999999E-2</v>
      </c>
      <c r="BF2544" s="624">
        <v>41953</v>
      </c>
      <c r="BG2544" s="355">
        <v>1.6254000000000001E-2</v>
      </c>
      <c r="BH2544" s="624">
        <v>41816</v>
      </c>
      <c r="BI2544" s="355">
        <v>8.2651000000000002E-2</v>
      </c>
      <c r="BJ2544" s="624">
        <v>41815</v>
      </c>
      <c r="BK2544" s="355">
        <v>3.0817000000000001E-2</v>
      </c>
    </row>
    <row r="2545" spans="3:63" x14ac:dyDescent="0.15">
      <c r="C2545" s="624"/>
      <c r="D2545" s="355">
        <v>2.9139999999999999E-2</v>
      </c>
      <c r="AV2545" s="624"/>
      <c r="AX2545" s="624">
        <v>41822</v>
      </c>
      <c r="AY2545" s="355">
        <v>2.9170000000000001E-2</v>
      </c>
      <c r="AZ2545" s="624">
        <v>41886</v>
      </c>
      <c r="BA2545" s="355">
        <v>1.0999999999999999E-2</v>
      </c>
      <c r="BB2545" s="624">
        <v>41817</v>
      </c>
      <c r="BC2545" s="355">
        <v>0.32869999999999999</v>
      </c>
      <c r="BD2545" s="624">
        <v>41817</v>
      </c>
      <c r="BE2545" s="355">
        <v>9.8619999999999999E-2</v>
      </c>
      <c r="BF2545" s="624">
        <v>41954</v>
      </c>
      <c r="BG2545" s="355">
        <v>1.6263E-2</v>
      </c>
      <c r="BH2545" s="624">
        <v>41817</v>
      </c>
      <c r="BI2545" s="355">
        <v>8.3367999999999998E-2</v>
      </c>
      <c r="BJ2545" s="624">
        <v>41816</v>
      </c>
      <c r="BK2545" s="355">
        <v>3.0797000000000001E-2</v>
      </c>
    </row>
    <row r="2546" spans="3:63" x14ac:dyDescent="0.15">
      <c r="C2546" s="624"/>
      <c r="D2546" s="355">
        <v>2.9170000000000001E-2</v>
      </c>
      <c r="AV2546" s="624"/>
      <c r="AX2546" s="624">
        <v>41823</v>
      </c>
      <c r="AY2546" s="355">
        <v>2.9170000000000001E-2</v>
      </c>
      <c r="AZ2546" s="624">
        <v>41887</v>
      </c>
      <c r="BA2546" s="355">
        <v>1.09E-2</v>
      </c>
      <c r="BB2546" s="624">
        <v>41820</v>
      </c>
      <c r="BC2546" s="355">
        <v>0.32929999999999998</v>
      </c>
      <c r="BD2546" s="624">
        <v>41820</v>
      </c>
      <c r="BE2546" s="355">
        <v>9.8820000000000005E-2</v>
      </c>
      <c r="BF2546" s="624">
        <v>41955</v>
      </c>
      <c r="BG2546" s="355">
        <v>1.6288E-2</v>
      </c>
      <c r="BH2546" s="624">
        <v>41820</v>
      </c>
      <c r="BI2546" s="355">
        <v>8.4281999999999996E-2</v>
      </c>
      <c r="BJ2546" s="624">
        <v>41817</v>
      </c>
      <c r="BK2546" s="355">
        <v>3.0810000000000001E-2</v>
      </c>
    </row>
    <row r="2547" spans="3:63" x14ac:dyDescent="0.15">
      <c r="C2547" s="624"/>
      <c r="D2547" s="355">
        <v>2.9170000000000001E-2</v>
      </c>
      <c r="AV2547" s="624"/>
      <c r="AX2547" s="624">
        <v>41824</v>
      </c>
      <c r="AY2547" s="355">
        <v>2.9069999999999999E-2</v>
      </c>
      <c r="AZ2547" s="624">
        <v>41890</v>
      </c>
      <c r="BA2547" s="355">
        <v>1.09E-2</v>
      </c>
      <c r="BB2547" s="624">
        <v>41821</v>
      </c>
      <c r="BC2547" s="355">
        <v>0.32879999999999998</v>
      </c>
      <c r="BD2547" s="624">
        <v>41821</v>
      </c>
      <c r="BE2547" s="355">
        <v>9.8919999999999994E-2</v>
      </c>
      <c r="BF2547" s="624">
        <v>41956</v>
      </c>
      <c r="BG2547" s="355">
        <v>1.6265000000000002E-2</v>
      </c>
      <c r="BH2547" s="624">
        <v>41821</v>
      </c>
      <c r="BI2547" s="355">
        <v>8.4298999999999999E-2</v>
      </c>
      <c r="BJ2547" s="624">
        <v>41820</v>
      </c>
      <c r="BK2547" s="355">
        <v>3.0825999999999999E-2</v>
      </c>
    </row>
    <row r="2548" spans="3:63" x14ac:dyDescent="0.15">
      <c r="C2548" s="624"/>
      <c r="D2548" s="355">
        <v>2.9069999999999999E-2</v>
      </c>
      <c r="AV2548" s="624"/>
      <c r="AX2548" s="624">
        <v>41827</v>
      </c>
      <c r="AY2548" s="355">
        <v>2.9020000000000001E-2</v>
      </c>
      <c r="AZ2548" s="624">
        <v>41891</v>
      </c>
      <c r="BA2548" s="355">
        <v>1.09E-2</v>
      </c>
      <c r="BB2548" s="624">
        <v>41822</v>
      </c>
      <c r="BC2548" s="355">
        <v>0.32950000000000002</v>
      </c>
      <c r="BD2548" s="624">
        <v>41822</v>
      </c>
      <c r="BE2548" s="355">
        <v>9.9040000000000003E-2</v>
      </c>
      <c r="BF2548" s="624">
        <v>41957</v>
      </c>
      <c r="BG2548" s="355">
        <v>1.6219000000000001E-2</v>
      </c>
      <c r="BH2548" s="624">
        <v>41822</v>
      </c>
      <c r="BI2548" s="355">
        <v>8.4069000000000005E-2</v>
      </c>
      <c r="BJ2548" s="624">
        <v>41821</v>
      </c>
      <c r="BK2548" s="355">
        <v>3.0870000000000002E-2</v>
      </c>
    </row>
    <row r="2549" spans="3:63" x14ac:dyDescent="0.15">
      <c r="C2549" s="624"/>
      <c r="D2549" s="355">
        <v>2.9020000000000001E-2</v>
      </c>
      <c r="AV2549" s="624"/>
      <c r="AX2549" s="624">
        <v>41828</v>
      </c>
      <c r="AY2549" s="355">
        <v>2.92E-2</v>
      </c>
      <c r="AZ2549" s="624">
        <v>41892</v>
      </c>
      <c r="BA2549" s="355">
        <v>1.09E-2</v>
      </c>
      <c r="BB2549" s="624">
        <v>41823</v>
      </c>
      <c r="BC2549" s="355">
        <v>0.3286</v>
      </c>
      <c r="BD2549" s="624">
        <v>41823</v>
      </c>
      <c r="BE2549" s="355">
        <v>9.9070000000000005E-2</v>
      </c>
      <c r="BF2549" s="624">
        <v>41960</v>
      </c>
      <c r="BG2549" s="355">
        <v>1.6182999999999999E-2</v>
      </c>
      <c r="BH2549" s="624">
        <v>41823</v>
      </c>
      <c r="BI2549" s="355">
        <v>8.3892999999999995E-2</v>
      </c>
      <c r="BJ2549" s="624">
        <v>41822</v>
      </c>
      <c r="BK2549" s="355">
        <v>3.0887999999999999E-2</v>
      </c>
    </row>
    <row r="2550" spans="3:63" x14ac:dyDescent="0.15">
      <c r="C2550" s="624"/>
      <c r="D2550" s="355">
        <v>2.92E-2</v>
      </c>
      <c r="AV2550" s="624"/>
      <c r="AX2550" s="624">
        <v>41829</v>
      </c>
      <c r="AY2550" s="355">
        <v>2.9479999999999999E-2</v>
      </c>
      <c r="AZ2550" s="624">
        <v>41893</v>
      </c>
      <c r="BA2550" s="355">
        <v>1.09E-2</v>
      </c>
      <c r="BB2550" s="624">
        <v>41824</v>
      </c>
      <c r="BC2550" s="355">
        <v>0.32750000000000001</v>
      </c>
      <c r="BD2550" s="624">
        <v>41824</v>
      </c>
      <c r="BE2550" s="355">
        <v>9.9070000000000005E-2</v>
      </c>
      <c r="BF2550" s="624">
        <v>41961</v>
      </c>
      <c r="BG2550" s="355">
        <v>1.6195999999999999E-2</v>
      </c>
      <c r="BH2550" s="624">
        <v>41824</v>
      </c>
      <c r="BI2550" s="355">
        <v>8.4210999999999994E-2</v>
      </c>
      <c r="BJ2550" s="624">
        <v>41823</v>
      </c>
      <c r="BK2550" s="355">
        <v>3.0859000000000001E-2</v>
      </c>
    </row>
    <row r="2551" spans="3:63" x14ac:dyDescent="0.15">
      <c r="C2551" s="624"/>
      <c r="D2551" s="355">
        <v>2.9479999999999999E-2</v>
      </c>
      <c r="AV2551" s="624"/>
      <c r="AX2551" s="624">
        <v>41830</v>
      </c>
      <c r="AY2551" s="355">
        <v>2.9409999999999999E-2</v>
      </c>
      <c r="AZ2551" s="624">
        <v>41894</v>
      </c>
      <c r="BA2551" s="355">
        <v>1.09E-2</v>
      </c>
      <c r="BB2551" s="624">
        <v>41827</v>
      </c>
      <c r="BC2551" s="355">
        <v>0.32840000000000003</v>
      </c>
      <c r="BD2551" s="624">
        <v>41827</v>
      </c>
      <c r="BE2551" s="355">
        <v>9.887E-2</v>
      </c>
      <c r="BF2551" s="624">
        <v>41962</v>
      </c>
      <c r="BG2551" s="355">
        <v>1.6111E-2</v>
      </c>
      <c r="BH2551" s="624">
        <v>41827</v>
      </c>
      <c r="BI2551" s="355">
        <v>8.5580000000000003E-2</v>
      </c>
      <c r="BJ2551" s="624">
        <v>41824</v>
      </c>
      <c r="BK2551" s="355">
        <v>3.0886E-2</v>
      </c>
    </row>
    <row r="2552" spans="3:63" x14ac:dyDescent="0.15">
      <c r="C2552" s="624"/>
      <c r="D2552" s="355">
        <v>2.9409999999999999E-2</v>
      </c>
      <c r="AV2552" s="624"/>
      <c r="AX2552" s="624">
        <v>41831</v>
      </c>
      <c r="AY2552" s="355">
        <v>2.9250000000000002E-2</v>
      </c>
      <c r="AZ2552" s="624">
        <v>41897</v>
      </c>
      <c r="BA2552" s="355">
        <v>1.09E-2</v>
      </c>
      <c r="BB2552" s="624">
        <v>41828</v>
      </c>
      <c r="BC2552" s="355">
        <v>0.32990000000000003</v>
      </c>
      <c r="BD2552" s="624">
        <v>41828</v>
      </c>
      <c r="BE2552" s="355">
        <v>9.8809999999999995E-2</v>
      </c>
      <c r="BF2552" s="624">
        <v>41963</v>
      </c>
      <c r="BG2552" s="355">
        <v>1.6150999999999999E-2</v>
      </c>
      <c r="BH2552" s="624">
        <v>41828</v>
      </c>
      <c r="BI2552" s="355">
        <v>8.6022000000000001E-2</v>
      </c>
      <c r="BJ2552" s="624">
        <v>41827</v>
      </c>
      <c r="BK2552" s="355">
        <v>3.0855E-2</v>
      </c>
    </row>
    <row r="2553" spans="3:63" x14ac:dyDescent="0.15">
      <c r="C2553" s="624"/>
      <c r="D2553" s="355">
        <v>2.9250000000000002E-2</v>
      </c>
      <c r="AV2553" s="624"/>
      <c r="AX2553" s="624">
        <v>41834</v>
      </c>
      <c r="AY2553" s="355">
        <v>2.911E-2</v>
      </c>
      <c r="AZ2553" s="624">
        <v>41898</v>
      </c>
      <c r="BA2553" s="355">
        <v>1.09E-2</v>
      </c>
      <c r="BB2553" s="624">
        <v>41829</v>
      </c>
      <c r="BC2553" s="355">
        <v>0.33069999999999999</v>
      </c>
      <c r="BD2553" s="624">
        <v>41829</v>
      </c>
      <c r="BE2553" s="355">
        <v>9.8979999999999999E-2</v>
      </c>
      <c r="BF2553" s="624">
        <v>41964</v>
      </c>
      <c r="BG2553" s="355">
        <v>1.6209000000000001E-2</v>
      </c>
      <c r="BH2553" s="624">
        <v>41829</v>
      </c>
      <c r="BI2553" s="355">
        <v>8.6022000000000001E-2</v>
      </c>
      <c r="BJ2553" s="624">
        <v>41828</v>
      </c>
      <c r="BK2553" s="355">
        <v>3.0880999999999999E-2</v>
      </c>
    </row>
    <row r="2554" spans="3:63" x14ac:dyDescent="0.15">
      <c r="C2554" s="624"/>
      <c r="D2554" s="355">
        <v>2.911E-2</v>
      </c>
      <c r="AV2554" s="624"/>
      <c r="AX2554" s="624">
        <v>41835</v>
      </c>
      <c r="AY2554" s="355">
        <v>2.9080000000000002E-2</v>
      </c>
      <c r="AZ2554" s="624">
        <v>41899</v>
      </c>
      <c r="BA2554" s="355">
        <v>1.0800000000000001E-2</v>
      </c>
      <c r="BB2554" s="624">
        <v>41830</v>
      </c>
      <c r="BC2554" s="355">
        <v>0.32840000000000003</v>
      </c>
      <c r="BD2554" s="624">
        <v>41830</v>
      </c>
      <c r="BE2554" s="355">
        <v>9.8669999999999994E-2</v>
      </c>
      <c r="BF2554" s="624">
        <v>41967</v>
      </c>
      <c r="BG2554" s="355">
        <v>1.6161999999999999E-2</v>
      </c>
      <c r="BH2554" s="624">
        <v>41830</v>
      </c>
      <c r="BI2554" s="355">
        <v>8.6336999999999997E-2</v>
      </c>
      <c r="BJ2554" s="624">
        <v>41829</v>
      </c>
      <c r="BK2554" s="355">
        <v>3.107E-2</v>
      </c>
    </row>
    <row r="2555" spans="3:63" x14ac:dyDescent="0.15">
      <c r="C2555" s="624"/>
      <c r="D2555" s="355">
        <v>2.9080000000000002E-2</v>
      </c>
      <c r="AV2555" s="624"/>
      <c r="AX2555" s="624">
        <v>41836</v>
      </c>
      <c r="AY2555" s="355">
        <v>2.8899999999999999E-2</v>
      </c>
      <c r="AZ2555" s="624">
        <v>41900</v>
      </c>
      <c r="BA2555" s="355">
        <v>1.09E-2</v>
      </c>
      <c r="BB2555" s="624">
        <v>41831</v>
      </c>
      <c r="BC2555" s="355">
        <v>0.3286</v>
      </c>
      <c r="BD2555" s="624">
        <v>41831</v>
      </c>
      <c r="BE2555" s="355">
        <v>9.7979999999999998E-2</v>
      </c>
      <c r="BF2555" s="624">
        <v>41968</v>
      </c>
      <c r="BG2555" s="355">
        <v>1.6174999999999998E-2</v>
      </c>
      <c r="BH2555" s="624">
        <v>41831</v>
      </c>
      <c r="BI2555" s="355">
        <v>8.6169999999999997E-2</v>
      </c>
      <c r="BJ2555" s="624">
        <v>41830</v>
      </c>
      <c r="BK2555" s="355">
        <v>3.1067999999999998E-2</v>
      </c>
    </row>
    <row r="2556" spans="3:63" x14ac:dyDescent="0.15">
      <c r="C2556" s="624"/>
      <c r="D2556" s="355">
        <v>2.8899999999999999E-2</v>
      </c>
      <c r="AV2556" s="624"/>
      <c r="AX2556" s="624">
        <v>41837</v>
      </c>
      <c r="AY2556" s="355">
        <v>2.835E-2</v>
      </c>
      <c r="AZ2556" s="624">
        <v>41901</v>
      </c>
      <c r="BA2556" s="355">
        <v>1.0800000000000001E-2</v>
      </c>
      <c r="BB2556" s="624">
        <v>41834</v>
      </c>
      <c r="BC2556" s="355">
        <v>0.3291</v>
      </c>
      <c r="BD2556" s="624">
        <v>41834</v>
      </c>
      <c r="BE2556" s="355">
        <v>9.8019999999999996E-2</v>
      </c>
      <c r="BF2556" s="624">
        <v>41969</v>
      </c>
      <c r="BG2556" s="355">
        <v>1.6185000000000001E-2</v>
      </c>
      <c r="BH2556" s="624">
        <v>41834</v>
      </c>
      <c r="BI2556" s="355">
        <v>8.5751999999999995E-2</v>
      </c>
      <c r="BJ2556" s="624">
        <v>41831</v>
      </c>
      <c r="BK2556" s="355">
        <v>3.1113999999999999E-2</v>
      </c>
    </row>
    <row r="2557" spans="3:63" x14ac:dyDescent="0.15">
      <c r="C2557" s="624"/>
      <c r="D2557" s="355">
        <v>2.835E-2</v>
      </c>
      <c r="AV2557" s="624"/>
      <c r="AX2557" s="624">
        <v>41838</v>
      </c>
      <c r="AY2557" s="355">
        <v>2.843E-2</v>
      </c>
      <c r="AZ2557" s="624">
        <v>41904</v>
      </c>
      <c r="BA2557" s="355">
        <v>1.09E-2</v>
      </c>
      <c r="BB2557" s="624">
        <v>41835</v>
      </c>
      <c r="BC2557" s="355">
        <v>0.32800000000000001</v>
      </c>
      <c r="BD2557" s="624">
        <v>41835</v>
      </c>
      <c r="BE2557" s="355">
        <v>9.7320000000000004E-2</v>
      </c>
      <c r="BF2557" s="624">
        <v>41970</v>
      </c>
      <c r="BG2557" s="355">
        <v>1.6168999999999999E-2</v>
      </c>
      <c r="BH2557" s="624">
        <v>41835</v>
      </c>
      <c r="BI2557" s="355">
        <v>8.5214999999999999E-2</v>
      </c>
      <c r="BJ2557" s="624">
        <v>41834</v>
      </c>
      <c r="BK2557" s="355">
        <v>3.1116999999999999E-2</v>
      </c>
    </row>
    <row r="2558" spans="3:63" x14ac:dyDescent="0.15">
      <c r="C2558" s="624"/>
      <c r="D2558" s="355">
        <v>2.843E-2</v>
      </c>
      <c r="AV2558" s="624"/>
      <c r="AX2558" s="624">
        <v>41841</v>
      </c>
      <c r="AY2558" s="355">
        <v>2.8420000000000001E-2</v>
      </c>
      <c r="AZ2558" s="624">
        <v>41905</v>
      </c>
      <c r="BA2558" s="355">
        <v>1.09E-2</v>
      </c>
      <c r="BB2558" s="624">
        <v>41836</v>
      </c>
      <c r="BC2558" s="355">
        <v>0.32719999999999999</v>
      </c>
      <c r="BD2558" s="624">
        <v>41836</v>
      </c>
      <c r="BE2558" s="355">
        <v>9.7059999999999994E-2</v>
      </c>
      <c r="BF2558" s="624">
        <v>41971</v>
      </c>
      <c r="BG2558" s="355">
        <v>1.6064999999999999E-2</v>
      </c>
      <c r="BH2558" s="624">
        <v>41836</v>
      </c>
      <c r="BI2558" s="355">
        <v>8.5470000000000004E-2</v>
      </c>
      <c r="BJ2558" s="624">
        <v>41835</v>
      </c>
      <c r="BK2558" s="355">
        <v>3.1133999999999998E-2</v>
      </c>
    </row>
    <row r="2559" spans="3:63" x14ac:dyDescent="0.15">
      <c r="C2559" s="624"/>
      <c r="D2559" s="355">
        <v>2.8420000000000001E-2</v>
      </c>
      <c r="AV2559" s="624"/>
      <c r="AX2559" s="624">
        <v>41842</v>
      </c>
      <c r="AY2559" s="355">
        <v>2.86E-2</v>
      </c>
      <c r="AZ2559" s="624">
        <v>41906</v>
      </c>
      <c r="BA2559" s="355">
        <v>1.0800000000000001E-2</v>
      </c>
      <c r="BB2559" s="624">
        <v>41837</v>
      </c>
      <c r="BC2559" s="355">
        <v>0.32540000000000002</v>
      </c>
      <c r="BD2559" s="624">
        <v>41837</v>
      </c>
      <c r="BE2559" s="355">
        <v>9.6759999999999999E-2</v>
      </c>
      <c r="BF2559" s="624">
        <v>41974</v>
      </c>
      <c r="BG2559" s="355">
        <v>1.6150000000000001E-2</v>
      </c>
      <c r="BH2559" s="624">
        <v>41837</v>
      </c>
      <c r="BI2559" s="355">
        <v>8.5525000000000004E-2</v>
      </c>
      <c r="BJ2559" s="624">
        <v>41836</v>
      </c>
      <c r="BK2559" s="355">
        <v>3.1144999999999999E-2</v>
      </c>
    </row>
    <row r="2560" spans="3:63" x14ac:dyDescent="0.15">
      <c r="C2560" s="624"/>
      <c r="D2560" s="355">
        <v>2.86E-2</v>
      </c>
      <c r="AV2560" s="624"/>
      <c r="AX2560" s="624">
        <v>41843</v>
      </c>
      <c r="AY2560" s="355">
        <v>2.8660000000000001E-2</v>
      </c>
      <c r="AZ2560" s="624">
        <v>41907</v>
      </c>
      <c r="BA2560" s="355">
        <v>1.0699999999999999E-2</v>
      </c>
      <c r="BB2560" s="624">
        <v>41838</v>
      </c>
      <c r="BC2560" s="355">
        <v>0.32600000000000001</v>
      </c>
      <c r="BD2560" s="624">
        <v>41838</v>
      </c>
      <c r="BE2560" s="355">
        <v>9.7129999999999994E-2</v>
      </c>
      <c r="BF2560" s="624">
        <v>41975</v>
      </c>
      <c r="BG2560" s="355">
        <v>1.6173E-2</v>
      </c>
      <c r="BH2560" s="624">
        <v>41838</v>
      </c>
      <c r="BI2560" s="355">
        <v>8.6077000000000001E-2</v>
      </c>
      <c r="BJ2560" s="624">
        <v>41837</v>
      </c>
      <c r="BK2560" s="355">
        <v>3.1067999999999998E-2</v>
      </c>
    </row>
    <row r="2561" spans="3:63" x14ac:dyDescent="0.15">
      <c r="C2561" s="624"/>
      <c r="D2561" s="355">
        <v>2.8660000000000001E-2</v>
      </c>
      <c r="AV2561" s="624"/>
      <c r="AX2561" s="624">
        <v>41844</v>
      </c>
      <c r="AY2561" s="355">
        <v>2.8510000000000001E-2</v>
      </c>
      <c r="AZ2561" s="624">
        <v>41908</v>
      </c>
      <c r="BA2561" s="355">
        <v>1.0699999999999999E-2</v>
      </c>
      <c r="BB2561" s="624">
        <v>41841</v>
      </c>
      <c r="BC2561" s="355">
        <v>0.32619999999999999</v>
      </c>
      <c r="BD2561" s="624">
        <v>41841</v>
      </c>
      <c r="BE2561" s="355">
        <v>9.7360000000000002E-2</v>
      </c>
      <c r="BF2561" s="624">
        <v>41976</v>
      </c>
      <c r="BG2561" s="355">
        <v>1.6143000000000001E-2</v>
      </c>
      <c r="BH2561" s="624">
        <v>41841</v>
      </c>
      <c r="BI2561" s="355">
        <v>8.6468000000000003E-2</v>
      </c>
      <c r="BJ2561" s="624">
        <v>41838</v>
      </c>
      <c r="BK2561" s="355">
        <v>3.1104E-2</v>
      </c>
    </row>
    <row r="2562" spans="3:63" x14ac:dyDescent="0.15">
      <c r="C2562" s="624"/>
      <c r="D2562" s="355">
        <v>2.8510000000000001E-2</v>
      </c>
      <c r="AV2562" s="624"/>
      <c r="AX2562" s="624">
        <v>41845</v>
      </c>
      <c r="AY2562" s="355">
        <v>2.8469999999999999E-2</v>
      </c>
      <c r="AZ2562" s="624">
        <v>41911</v>
      </c>
      <c r="BA2562" s="355">
        <v>1.0699999999999999E-2</v>
      </c>
      <c r="BB2562" s="624">
        <v>41842</v>
      </c>
      <c r="BC2562" s="355">
        <v>0.32540000000000002</v>
      </c>
      <c r="BD2562" s="624">
        <v>41842</v>
      </c>
      <c r="BE2562" s="355">
        <v>9.7629999999999995E-2</v>
      </c>
      <c r="BF2562" s="624">
        <v>41977</v>
      </c>
      <c r="BG2562" s="355">
        <v>1.6232E-2</v>
      </c>
      <c r="BH2562" s="624">
        <v>41842</v>
      </c>
      <c r="BI2562" s="355">
        <v>8.6280999999999997E-2</v>
      </c>
      <c r="BJ2562" s="624">
        <v>41841</v>
      </c>
      <c r="BK2562" s="355">
        <v>3.1352999999999999E-2</v>
      </c>
    </row>
    <row r="2563" spans="3:63" x14ac:dyDescent="0.15">
      <c r="C2563" s="624"/>
      <c r="D2563" s="355">
        <v>2.8469999999999999E-2</v>
      </c>
      <c r="AV2563" s="624"/>
      <c r="AX2563" s="624">
        <v>41848</v>
      </c>
      <c r="AY2563" s="355">
        <v>2.811E-2</v>
      </c>
      <c r="AZ2563" s="624">
        <v>41912</v>
      </c>
      <c r="BA2563" s="355">
        <v>1.0699999999999999E-2</v>
      </c>
      <c r="BB2563" s="624">
        <v>41843</v>
      </c>
      <c r="BC2563" s="355">
        <v>0.3256</v>
      </c>
      <c r="BD2563" s="624">
        <v>41843</v>
      </c>
      <c r="BE2563" s="355">
        <v>9.7650000000000001E-2</v>
      </c>
      <c r="BF2563" s="624">
        <v>41978</v>
      </c>
      <c r="BG2563" s="355">
        <v>1.6132000000000001E-2</v>
      </c>
      <c r="BH2563" s="624">
        <v>41843</v>
      </c>
      <c r="BI2563" s="355">
        <v>8.6881E-2</v>
      </c>
      <c r="BJ2563" s="624">
        <v>41842</v>
      </c>
      <c r="BK2563" s="355">
        <v>3.1488000000000002E-2</v>
      </c>
    </row>
    <row r="2564" spans="3:63" x14ac:dyDescent="0.15">
      <c r="C2564" s="624"/>
      <c r="D2564" s="355">
        <v>2.811E-2</v>
      </c>
      <c r="AV2564" s="624"/>
      <c r="AX2564" s="624">
        <v>41849</v>
      </c>
      <c r="AY2564" s="355">
        <v>2.7969999999999998E-2</v>
      </c>
      <c r="AZ2564" s="624">
        <v>41913</v>
      </c>
      <c r="BA2564" s="355">
        <v>1.06E-2</v>
      </c>
      <c r="BB2564" s="624">
        <v>41844</v>
      </c>
      <c r="BC2564" s="355">
        <v>0.32529999999999998</v>
      </c>
      <c r="BD2564" s="624">
        <v>41844</v>
      </c>
      <c r="BE2564" s="355">
        <v>9.7110000000000002E-2</v>
      </c>
      <c r="BF2564" s="624">
        <v>41981</v>
      </c>
      <c r="BG2564" s="355">
        <v>1.6171000000000001E-2</v>
      </c>
      <c r="BH2564" s="624">
        <v>41844</v>
      </c>
      <c r="BI2564" s="355">
        <v>8.6468000000000003E-2</v>
      </c>
      <c r="BJ2564" s="624">
        <v>41843</v>
      </c>
      <c r="BK2564" s="355">
        <v>3.1474000000000002E-2</v>
      </c>
    </row>
    <row r="2565" spans="3:63" x14ac:dyDescent="0.15">
      <c r="C2565" s="624"/>
      <c r="D2565" s="355">
        <v>2.7969999999999998E-2</v>
      </c>
      <c r="AV2565" s="624"/>
      <c r="AX2565" s="624">
        <v>41850</v>
      </c>
      <c r="AY2565" s="355">
        <v>2.811E-2</v>
      </c>
      <c r="AZ2565" s="624">
        <v>41914</v>
      </c>
      <c r="BA2565" s="355">
        <v>1.0699999999999999E-2</v>
      </c>
      <c r="BB2565" s="624">
        <v>41845</v>
      </c>
      <c r="BC2565" s="355">
        <v>0.32390000000000002</v>
      </c>
      <c r="BD2565" s="624">
        <v>41845</v>
      </c>
      <c r="BE2565" s="355">
        <v>9.7420000000000007E-2</v>
      </c>
      <c r="BF2565" s="624">
        <v>41982</v>
      </c>
      <c r="BG2565" s="355">
        <v>1.6115999999999998E-2</v>
      </c>
      <c r="BH2565" s="624">
        <v>41845</v>
      </c>
      <c r="BI2565" s="355">
        <v>8.6374000000000006E-2</v>
      </c>
      <c r="BJ2565" s="624">
        <v>41844</v>
      </c>
      <c r="BK2565" s="355">
        <v>3.1403E-2</v>
      </c>
    </row>
    <row r="2566" spans="3:63" x14ac:dyDescent="0.15">
      <c r="C2566" s="624"/>
      <c r="D2566" s="355">
        <v>2.811E-2</v>
      </c>
      <c r="AV2566" s="624"/>
      <c r="AX2566" s="624">
        <v>41851</v>
      </c>
      <c r="AY2566" s="355">
        <v>2.7990000000000001E-2</v>
      </c>
      <c r="AZ2566" s="624">
        <v>41915</v>
      </c>
      <c r="BA2566" s="355">
        <v>1.0500000000000001E-2</v>
      </c>
      <c r="BB2566" s="624">
        <v>41848</v>
      </c>
      <c r="BC2566" s="355">
        <v>0.32429999999999998</v>
      </c>
      <c r="BD2566" s="624">
        <v>41848</v>
      </c>
      <c r="BE2566" s="355">
        <v>9.7460000000000005E-2</v>
      </c>
      <c r="BF2566" s="624">
        <v>41983</v>
      </c>
      <c r="BG2566" s="355">
        <v>1.6064999999999999E-2</v>
      </c>
      <c r="BH2566" s="624">
        <v>41848</v>
      </c>
      <c r="BI2566" s="355">
        <v>8.6374000000000006E-2</v>
      </c>
      <c r="BJ2566" s="624">
        <v>41845</v>
      </c>
      <c r="BK2566" s="355">
        <v>3.1397000000000001E-2</v>
      </c>
    </row>
    <row r="2567" spans="3:63" x14ac:dyDescent="0.15">
      <c r="C2567" s="624"/>
      <c r="D2567" s="355">
        <v>2.7990000000000001E-2</v>
      </c>
      <c r="AV2567" s="624"/>
      <c r="AX2567" s="624">
        <v>41852</v>
      </c>
      <c r="AY2567" s="355">
        <v>2.7969999999999998E-2</v>
      </c>
      <c r="AZ2567" s="624">
        <v>41918</v>
      </c>
      <c r="BA2567" s="355">
        <v>1.06E-2</v>
      </c>
      <c r="BB2567" s="624">
        <v>41849</v>
      </c>
      <c r="BC2567" s="355">
        <v>0.32290000000000002</v>
      </c>
      <c r="BD2567" s="624">
        <v>41849</v>
      </c>
      <c r="BE2567" s="355">
        <v>9.7430000000000003E-2</v>
      </c>
      <c r="BF2567" s="624">
        <v>41984</v>
      </c>
      <c r="BG2567" s="355">
        <v>1.5990999999999998E-2</v>
      </c>
      <c r="BH2567" s="624">
        <v>41849</v>
      </c>
      <c r="BI2567" s="355">
        <v>8.6374000000000006E-2</v>
      </c>
      <c r="BJ2567" s="624">
        <v>41848</v>
      </c>
      <c r="BK2567" s="355">
        <v>3.1437E-2</v>
      </c>
    </row>
    <row r="2568" spans="3:63" x14ac:dyDescent="0.15">
      <c r="C2568" s="624"/>
      <c r="D2568" s="355">
        <v>2.7969999999999998E-2</v>
      </c>
      <c r="AV2568" s="624"/>
      <c r="AX2568" s="624">
        <v>41855</v>
      </c>
      <c r="AY2568" s="355">
        <v>2.7859999999999999E-2</v>
      </c>
      <c r="AZ2568" s="624">
        <v>41919</v>
      </c>
      <c r="BA2568" s="355">
        <v>1.06E-2</v>
      </c>
      <c r="BB2568" s="624">
        <v>41850</v>
      </c>
      <c r="BC2568" s="355">
        <v>0.32229999999999998</v>
      </c>
      <c r="BD2568" s="624">
        <v>41850</v>
      </c>
      <c r="BE2568" s="355">
        <v>9.7220000000000001E-2</v>
      </c>
      <c r="BF2568" s="624">
        <v>41985</v>
      </c>
      <c r="BG2568" s="355">
        <v>1.5966000000000001E-2</v>
      </c>
      <c r="BH2568" s="624">
        <v>41850</v>
      </c>
      <c r="BI2568" s="355">
        <v>8.6374000000000006E-2</v>
      </c>
      <c r="BJ2568" s="624">
        <v>41849</v>
      </c>
      <c r="BK2568" s="355">
        <v>3.1407999999999998E-2</v>
      </c>
    </row>
    <row r="2569" spans="3:63" x14ac:dyDescent="0.15">
      <c r="C2569" s="624"/>
      <c r="D2569" s="355">
        <v>2.7859999999999999E-2</v>
      </c>
      <c r="AV2569" s="624"/>
      <c r="AX2569" s="624">
        <v>41856</v>
      </c>
      <c r="AY2569" s="355">
        <v>2.7709999999999999E-2</v>
      </c>
      <c r="AZ2569" s="624">
        <v>41920</v>
      </c>
      <c r="BA2569" s="355">
        <v>1.0699999999999999E-2</v>
      </c>
      <c r="BB2569" s="624">
        <v>41851</v>
      </c>
      <c r="BC2569" s="355">
        <v>0.32050000000000001</v>
      </c>
      <c r="BD2569" s="624">
        <v>41851</v>
      </c>
      <c r="BE2569" s="355">
        <v>9.6839999999999996E-2</v>
      </c>
      <c r="BF2569" s="624">
        <v>41988</v>
      </c>
      <c r="BG2569" s="355">
        <v>1.5723000000000001E-2</v>
      </c>
      <c r="BH2569" s="624">
        <v>41851</v>
      </c>
      <c r="BI2569" s="355">
        <v>8.6374000000000006E-2</v>
      </c>
      <c r="BJ2569" s="624">
        <v>41850</v>
      </c>
      <c r="BK2569" s="355">
        <v>3.1283999999999999E-2</v>
      </c>
    </row>
    <row r="2570" spans="3:63" x14ac:dyDescent="0.15">
      <c r="C2570" s="624"/>
      <c r="D2570" s="355">
        <v>2.7709999999999999E-2</v>
      </c>
      <c r="AV2570" s="624"/>
      <c r="AX2570" s="624">
        <v>41857</v>
      </c>
      <c r="AY2570" s="355">
        <v>2.7629999999999998E-2</v>
      </c>
      <c r="AZ2570" s="624">
        <v>41921</v>
      </c>
      <c r="BA2570" s="355">
        <v>1.06E-2</v>
      </c>
      <c r="BB2570" s="624">
        <v>41852</v>
      </c>
      <c r="BC2570" s="355">
        <v>0.32090000000000002</v>
      </c>
      <c r="BD2570" s="624">
        <v>41852</v>
      </c>
      <c r="BE2570" s="355">
        <v>9.6960000000000005E-2</v>
      </c>
      <c r="BF2570" s="624">
        <v>41989</v>
      </c>
      <c r="BG2570" s="355">
        <v>1.567E-2</v>
      </c>
      <c r="BH2570" s="624">
        <v>41852</v>
      </c>
      <c r="BI2570" s="355">
        <v>8.4567000000000003E-2</v>
      </c>
      <c r="BJ2570" s="624">
        <v>41851</v>
      </c>
      <c r="BK2570" s="355">
        <v>3.1063E-2</v>
      </c>
    </row>
    <row r="2571" spans="3:63" x14ac:dyDescent="0.15">
      <c r="C2571" s="624"/>
      <c r="D2571" s="355">
        <v>2.7629999999999998E-2</v>
      </c>
      <c r="AV2571" s="624"/>
      <c r="AX2571" s="624">
        <v>41858</v>
      </c>
      <c r="AY2571" s="355">
        <v>2.7550000000000002E-2</v>
      </c>
      <c r="AZ2571" s="624">
        <v>41922</v>
      </c>
      <c r="BA2571" s="355">
        <v>1.06E-2</v>
      </c>
      <c r="BB2571" s="624">
        <v>41855</v>
      </c>
      <c r="BC2571" s="355">
        <v>0.3216</v>
      </c>
      <c r="BD2571" s="624">
        <v>41855</v>
      </c>
      <c r="BE2571" s="355">
        <v>9.6799999999999997E-2</v>
      </c>
      <c r="BF2571" s="624">
        <v>41990</v>
      </c>
      <c r="BG2571" s="355">
        <v>1.5788E-2</v>
      </c>
      <c r="BH2571" s="624">
        <v>41855</v>
      </c>
      <c r="BI2571" s="355">
        <v>8.5033999999999998E-2</v>
      </c>
      <c r="BJ2571" s="624">
        <v>41852</v>
      </c>
      <c r="BK2571" s="355">
        <v>3.1113999999999999E-2</v>
      </c>
    </row>
    <row r="2572" spans="3:63" x14ac:dyDescent="0.15">
      <c r="C2572" s="624"/>
      <c r="D2572" s="355">
        <v>2.7550000000000002E-2</v>
      </c>
      <c r="AV2572" s="624"/>
      <c r="AX2572" s="624">
        <v>41859</v>
      </c>
      <c r="AY2572" s="355">
        <v>2.7650000000000001E-2</v>
      </c>
      <c r="AZ2572" s="624">
        <v>41925</v>
      </c>
      <c r="BA2572" s="355">
        <v>1.0699999999999999E-2</v>
      </c>
      <c r="BB2572" s="624">
        <v>41856</v>
      </c>
      <c r="BC2572" s="355">
        <v>0.31940000000000002</v>
      </c>
      <c r="BD2572" s="624">
        <v>41856</v>
      </c>
      <c r="BE2572" s="355">
        <v>9.6579999999999999E-2</v>
      </c>
      <c r="BF2572" s="624">
        <v>41991</v>
      </c>
      <c r="BG2572" s="355">
        <v>1.5872000000000001E-2</v>
      </c>
      <c r="BH2572" s="624">
        <v>41856</v>
      </c>
      <c r="BI2572" s="355">
        <v>8.5415000000000005E-2</v>
      </c>
      <c r="BJ2572" s="624">
        <v>41855</v>
      </c>
      <c r="BK2572" s="355">
        <v>3.1104E-2</v>
      </c>
    </row>
    <row r="2573" spans="3:63" x14ac:dyDescent="0.15">
      <c r="C2573" s="624"/>
      <c r="D2573" s="355">
        <v>2.7650000000000001E-2</v>
      </c>
      <c r="AV2573" s="624"/>
      <c r="AX2573" s="624">
        <v>41862</v>
      </c>
      <c r="AY2573" s="355">
        <v>2.784E-2</v>
      </c>
      <c r="AZ2573" s="624">
        <v>41926</v>
      </c>
      <c r="BA2573" s="355">
        <v>1.06E-2</v>
      </c>
      <c r="BB2573" s="624">
        <v>41857</v>
      </c>
      <c r="BC2573" s="355">
        <v>0.31850000000000001</v>
      </c>
      <c r="BD2573" s="624">
        <v>41857</v>
      </c>
      <c r="BE2573" s="355">
        <v>9.6729999999999997E-2</v>
      </c>
      <c r="BF2573" s="624">
        <v>41992</v>
      </c>
      <c r="BG2573" s="355">
        <v>1.5782999999999998E-2</v>
      </c>
      <c r="BH2573" s="624">
        <v>41857</v>
      </c>
      <c r="BI2573" s="355">
        <v>8.5214999999999999E-2</v>
      </c>
      <c r="BJ2573" s="624">
        <v>41856</v>
      </c>
      <c r="BK2573" s="355">
        <v>3.1050000000000001E-2</v>
      </c>
    </row>
    <row r="2574" spans="3:63" x14ac:dyDescent="0.15">
      <c r="C2574" s="624"/>
      <c r="D2574" s="355">
        <v>2.784E-2</v>
      </c>
      <c r="AV2574" s="624"/>
      <c r="AX2574" s="624">
        <v>41863</v>
      </c>
      <c r="AY2574" s="355">
        <v>2.7640000000000001E-2</v>
      </c>
      <c r="AZ2574" s="624">
        <v>41927</v>
      </c>
      <c r="BA2574" s="355">
        <v>1.0800000000000001E-2</v>
      </c>
      <c r="BB2574" s="624">
        <v>41858</v>
      </c>
      <c r="BC2574" s="355">
        <v>0.317</v>
      </c>
      <c r="BD2574" s="624">
        <v>41858</v>
      </c>
      <c r="BE2574" s="355">
        <v>9.6439999999999998E-2</v>
      </c>
      <c r="BF2574" s="624">
        <v>41995</v>
      </c>
      <c r="BG2574" s="355">
        <v>1.5806000000000001E-2</v>
      </c>
      <c r="BH2574" s="624">
        <v>41858</v>
      </c>
      <c r="BI2574" s="355">
        <v>8.4735000000000005E-2</v>
      </c>
      <c r="BJ2574" s="624">
        <v>41857</v>
      </c>
      <c r="BK2574" s="355">
        <v>3.1067999999999998E-2</v>
      </c>
    </row>
    <row r="2575" spans="3:63" x14ac:dyDescent="0.15">
      <c r="C2575" s="624"/>
      <c r="D2575" s="355">
        <v>2.7640000000000001E-2</v>
      </c>
      <c r="AV2575" s="624"/>
      <c r="AX2575" s="624">
        <v>41864</v>
      </c>
      <c r="AY2575" s="355">
        <v>2.7779999999999999E-2</v>
      </c>
      <c r="AZ2575" s="624">
        <v>41928</v>
      </c>
      <c r="BA2575" s="355">
        <v>1.0699999999999999E-2</v>
      </c>
      <c r="BB2575" s="624">
        <v>41859</v>
      </c>
      <c r="BC2575" s="355">
        <v>0.31929999999999997</v>
      </c>
      <c r="BD2575" s="624">
        <v>41859</v>
      </c>
      <c r="BE2575" s="355">
        <v>9.6979999999999997E-2</v>
      </c>
      <c r="BF2575" s="624">
        <v>41996</v>
      </c>
      <c r="BG2575" s="355">
        <v>1.5762000000000002E-2</v>
      </c>
      <c r="BH2575" s="624">
        <v>41859</v>
      </c>
      <c r="BI2575" s="355">
        <v>8.4907999999999997E-2</v>
      </c>
      <c r="BJ2575" s="624">
        <v>41858</v>
      </c>
      <c r="BK2575" s="355">
        <v>3.1014E-2</v>
      </c>
    </row>
    <row r="2576" spans="3:63" x14ac:dyDescent="0.15">
      <c r="C2576" s="624"/>
      <c r="D2576" s="355">
        <v>2.7779999999999999E-2</v>
      </c>
      <c r="AV2576" s="624"/>
      <c r="AX2576" s="624">
        <v>41865</v>
      </c>
      <c r="AY2576" s="355">
        <v>2.776E-2</v>
      </c>
      <c r="AZ2576" s="624">
        <v>41929</v>
      </c>
      <c r="BA2576" s="355">
        <v>1.0699999999999999E-2</v>
      </c>
      <c r="BB2576" s="624">
        <v>41862</v>
      </c>
      <c r="BC2576" s="355">
        <v>0.31900000000000001</v>
      </c>
      <c r="BD2576" s="624">
        <v>41862</v>
      </c>
      <c r="BE2576" s="355">
        <v>9.7040000000000001E-2</v>
      </c>
      <c r="BF2576" s="624">
        <v>41997</v>
      </c>
      <c r="BG2576" s="355">
        <v>1.5741999999999999E-2</v>
      </c>
      <c r="BH2576" s="624">
        <v>41862</v>
      </c>
      <c r="BI2576" s="355">
        <v>8.5726999999999998E-2</v>
      </c>
      <c r="BJ2576" s="624">
        <v>41859</v>
      </c>
      <c r="BK2576" s="355">
        <v>3.1137000000000001E-2</v>
      </c>
    </row>
    <row r="2577" spans="3:63" x14ac:dyDescent="0.15">
      <c r="C2577" s="624"/>
      <c r="D2577" s="355">
        <v>2.776E-2</v>
      </c>
      <c r="AV2577" s="624"/>
      <c r="AX2577" s="624">
        <v>41866</v>
      </c>
      <c r="AY2577" s="355">
        <v>2.7689999999999999E-2</v>
      </c>
      <c r="AZ2577" s="624">
        <v>41932</v>
      </c>
      <c r="BA2577" s="355">
        <v>1.0699999999999999E-2</v>
      </c>
      <c r="BB2577" s="624">
        <v>41863</v>
      </c>
      <c r="BC2577" s="355">
        <v>0.31830000000000003</v>
      </c>
      <c r="BD2577" s="624">
        <v>41863</v>
      </c>
      <c r="BE2577" s="355">
        <v>9.733E-2</v>
      </c>
      <c r="BF2577" s="624">
        <v>41999</v>
      </c>
      <c r="BG2577" s="355">
        <v>1.5708E-2</v>
      </c>
      <c r="BH2577" s="624">
        <v>41863</v>
      </c>
      <c r="BI2577" s="355">
        <v>8.5561999999999999E-2</v>
      </c>
      <c r="BJ2577" s="624">
        <v>41862</v>
      </c>
      <c r="BK2577" s="355">
        <v>3.1171000000000001E-2</v>
      </c>
    </row>
    <row r="2578" spans="3:63" x14ac:dyDescent="0.15">
      <c r="C2578" s="624"/>
      <c r="D2578" s="355">
        <v>2.7689999999999999E-2</v>
      </c>
      <c r="AV2578" s="624"/>
      <c r="AX2578" s="624">
        <v>41869</v>
      </c>
      <c r="AY2578" s="355">
        <v>2.7720000000000002E-2</v>
      </c>
      <c r="AZ2578" s="624">
        <v>41933</v>
      </c>
      <c r="BA2578" s="355">
        <v>1.0699999999999999E-2</v>
      </c>
      <c r="BB2578" s="624">
        <v>41864</v>
      </c>
      <c r="BC2578" s="355">
        <v>0.31909999999999999</v>
      </c>
      <c r="BD2578" s="624">
        <v>41864</v>
      </c>
      <c r="BE2578" s="355">
        <v>9.708E-2</v>
      </c>
      <c r="BF2578" s="624">
        <v>42002</v>
      </c>
      <c r="BG2578" s="355">
        <v>1.5706999999999999E-2</v>
      </c>
      <c r="BH2578" s="624">
        <v>41864</v>
      </c>
      <c r="BI2578" s="355">
        <v>8.5536000000000001E-2</v>
      </c>
      <c r="BJ2578" s="624">
        <v>41863</v>
      </c>
      <c r="BK2578" s="355">
        <v>3.1158000000000002E-2</v>
      </c>
    </row>
    <row r="2579" spans="3:63" x14ac:dyDescent="0.15">
      <c r="C2579" s="624"/>
      <c r="D2579" s="355">
        <v>2.7720000000000002E-2</v>
      </c>
      <c r="AV2579" s="624"/>
      <c r="AX2579" s="624">
        <v>41870</v>
      </c>
      <c r="AY2579" s="355">
        <v>2.7650000000000001E-2</v>
      </c>
      <c r="AZ2579" s="624">
        <v>41934</v>
      </c>
      <c r="BA2579" s="355">
        <v>1.06E-2</v>
      </c>
      <c r="BB2579" s="624">
        <v>41865</v>
      </c>
      <c r="BC2579" s="355">
        <v>0.31979999999999997</v>
      </c>
      <c r="BD2579" s="624">
        <v>41865</v>
      </c>
      <c r="BE2579" s="355">
        <v>9.8000000000000004E-2</v>
      </c>
      <c r="BF2579" s="624">
        <v>42003</v>
      </c>
      <c r="BG2579" s="355">
        <v>1.5789000000000001E-2</v>
      </c>
      <c r="BH2579" s="624">
        <v>41865</v>
      </c>
      <c r="BI2579" s="355">
        <v>8.5635000000000003E-2</v>
      </c>
      <c r="BJ2579" s="624">
        <v>41864</v>
      </c>
      <c r="BK2579" s="355">
        <v>3.1304999999999999E-2</v>
      </c>
    </row>
    <row r="2580" spans="3:63" x14ac:dyDescent="0.15">
      <c r="C2580" s="624"/>
      <c r="D2580" s="355">
        <v>2.7650000000000001E-2</v>
      </c>
      <c r="AV2580" s="624"/>
      <c r="AX2580" s="624">
        <v>41871</v>
      </c>
      <c r="AY2580" s="355">
        <v>2.7539999999999999E-2</v>
      </c>
      <c r="AZ2580" s="624">
        <v>41935</v>
      </c>
      <c r="BA2580" s="355">
        <v>1.06E-2</v>
      </c>
      <c r="BB2580" s="624">
        <v>41866</v>
      </c>
      <c r="BC2580" s="355">
        <v>0.31850000000000001</v>
      </c>
      <c r="BD2580" s="624">
        <v>41866</v>
      </c>
      <c r="BE2580" s="355">
        <v>9.826E-2</v>
      </c>
      <c r="BF2580" s="624">
        <v>42004</v>
      </c>
      <c r="BG2580" s="355">
        <v>1.5813000000000001E-2</v>
      </c>
      <c r="BH2580" s="624">
        <v>41866</v>
      </c>
      <c r="BI2580" s="355">
        <v>8.5664000000000004E-2</v>
      </c>
      <c r="BJ2580" s="624">
        <v>41865</v>
      </c>
      <c r="BK2580" s="355">
        <v>3.1401999999999999E-2</v>
      </c>
    </row>
    <row r="2581" spans="3:63" x14ac:dyDescent="0.15">
      <c r="C2581" s="624"/>
      <c r="D2581" s="355">
        <v>2.7539999999999999E-2</v>
      </c>
      <c r="AV2581" s="624"/>
      <c r="AX2581" s="624">
        <v>41872</v>
      </c>
      <c r="AY2581" s="355">
        <v>2.777E-2</v>
      </c>
      <c r="AZ2581" s="624">
        <v>41936</v>
      </c>
      <c r="BA2581" s="355">
        <v>1.06E-2</v>
      </c>
      <c r="BB2581" s="624">
        <v>41869</v>
      </c>
      <c r="BC2581" s="355">
        <v>0.31950000000000001</v>
      </c>
      <c r="BD2581" s="624">
        <v>41869</v>
      </c>
      <c r="BE2581" s="355">
        <v>9.8299999999999998E-2</v>
      </c>
      <c r="BF2581" s="624">
        <v>42005</v>
      </c>
      <c r="BG2581" s="355">
        <v>1.583E-2</v>
      </c>
      <c r="BH2581" s="624">
        <v>41869</v>
      </c>
      <c r="BI2581" s="355">
        <v>8.5635000000000003E-2</v>
      </c>
      <c r="BJ2581" s="624">
        <v>41866</v>
      </c>
      <c r="BK2581" s="355">
        <v>3.1372999999999998E-2</v>
      </c>
    </row>
    <row r="2582" spans="3:63" x14ac:dyDescent="0.15">
      <c r="C2582" s="624"/>
      <c r="D2582" s="355">
        <v>2.777E-2</v>
      </c>
      <c r="AV2582" s="624"/>
      <c r="AX2582" s="624">
        <v>41873</v>
      </c>
      <c r="AY2582" s="355">
        <v>2.767E-2</v>
      </c>
      <c r="AZ2582" s="624">
        <v>41939</v>
      </c>
      <c r="BA2582" s="355">
        <v>1.06E-2</v>
      </c>
      <c r="BB2582" s="624">
        <v>41870</v>
      </c>
      <c r="BC2582" s="355">
        <v>0.31840000000000002</v>
      </c>
      <c r="BD2582" s="624">
        <v>41870</v>
      </c>
      <c r="BE2582" s="355">
        <v>9.8030000000000006E-2</v>
      </c>
      <c r="BF2582" s="624">
        <v>42006</v>
      </c>
      <c r="BG2582" s="355">
        <v>1.5817000000000001E-2</v>
      </c>
      <c r="BH2582" s="624">
        <v>41870</v>
      </c>
      <c r="BI2582" s="355">
        <v>8.5624000000000006E-2</v>
      </c>
      <c r="BJ2582" s="624">
        <v>41869</v>
      </c>
      <c r="BK2582" s="355">
        <v>3.1411000000000001E-2</v>
      </c>
    </row>
    <row r="2583" spans="3:63" x14ac:dyDescent="0.15">
      <c r="C2583" s="624"/>
      <c r="D2583" s="355">
        <v>2.767E-2</v>
      </c>
      <c r="AV2583" s="624"/>
      <c r="AX2583" s="624">
        <v>41876</v>
      </c>
      <c r="AY2583" s="355">
        <v>2.7660000000000001E-2</v>
      </c>
      <c r="AZ2583" s="624">
        <v>41940</v>
      </c>
      <c r="BA2583" s="355">
        <v>1.0699999999999999E-2</v>
      </c>
      <c r="BB2583" s="624">
        <v>41871</v>
      </c>
      <c r="BC2583" s="355">
        <v>0.3165</v>
      </c>
      <c r="BD2583" s="624">
        <v>41871</v>
      </c>
      <c r="BE2583" s="355">
        <v>9.7720000000000001E-2</v>
      </c>
      <c r="BF2583" s="624">
        <v>42009</v>
      </c>
      <c r="BG2583" s="355">
        <v>1.5755000000000002E-2</v>
      </c>
      <c r="BH2583" s="624">
        <v>41871</v>
      </c>
      <c r="BI2583" s="355">
        <v>8.5487999999999995E-2</v>
      </c>
      <c r="BJ2583" s="624">
        <v>41870</v>
      </c>
      <c r="BK2583" s="355">
        <v>3.1341000000000001E-2</v>
      </c>
    </row>
    <row r="2584" spans="3:63" x14ac:dyDescent="0.15">
      <c r="C2584" s="624"/>
      <c r="D2584" s="355">
        <v>2.7660000000000001E-2</v>
      </c>
      <c r="AV2584" s="624"/>
      <c r="AX2584" s="624">
        <v>41877</v>
      </c>
      <c r="AY2584" s="355">
        <v>2.7660000000000001E-2</v>
      </c>
      <c r="AZ2584" s="624">
        <v>41941</v>
      </c>
      <c r="BA2584" s="355">
        <v>1.06E-2</v>
      </c>
      <c r="BB2584" s="624">
        <v>41872</v>
      </c>
      <c r="BC2584" s="355">
        <v>0.31719999999999998</v>
      </c>
      <c r="BD2584" s="624">
        <v>41872</v>
      </c>
      <c r="BE2584" s="355">
        <v>9.7680000000000003E-2</v>
      </c>
      <c r="BF2584" s="624">
        <v>42010</v>
      </c>
      <c r="BG2584" s="355">
        <v>1.5758999999999999E-2</v>
      </c>
      <c r="BH2584" s="624">
        <v>41872</v>
      </c>
      <c r="BI2584" s="355">
        <v>8.5525000000000004E-2</v>
      </c>
      <c r="BJ2584" s="624">
        <v>41871</v>
      </c>
      <c r="BK2584" s="355">
        <v>3.124E-2</v>
      </c>
    </row>
    <row r="2585" spans="3:63" x14ac:dyDescent="0.15">
      <c r="C2585" s="624"/>
      <c r="D2585" s="355">
        <v>2.7660000000000001E-2</v>
      </c>
      <c r="AV2585" s="624"/>
      <c r="AX2585" s="624">
        <v>41878</v>
      </c>
      <c r="AY2585" s="355">
        <v>2.7640000000000001E-2</v>
      </c>
      <c r="AZ2585" s="624">
        <v>41942</v>
      </c>
      <c r="BA2585" s="355">
        <v>1.06E-2</v>
      </c>
      <c r="BB2585" s="624">
        <v>41873</v>
      </c>
      <c r="BC2585" s="355">
        <v>0.31590000000000001</v>
      </c>
      <c r="BD2585" s="624">
        <v>41873</v>
      </c>
      <c r="BE2585" s="355">
        <v>9.8199999999999996E-2</v>
      </c>
      <c r="BF2585" s="624">
        <v>42011</v>
      </c>
      <c r="BG2585" s="355">
        <v>1.5833E-2</v>
      </c>
      <c r="BH2585" s="624">
        <v>41873</v>
      </c>
      <c r="BI2585" s="355">
        <v>8.5605000000000001E-2</v>
      </c>
      <c r="BJ2585" s="624">
        <v>41872</v>
      </c>
      <c r="BK2585" s="355">
        <v>3.1269999999999999E-2</v>
      </c>
    </row>
    <row r="2586" spans="3:63" x14ac:dyDescent="0.15">
      <c r="C2586" s="624"/>
      <c r="D2586" s="355">
        <v>2.7640000000000001E-2</v>
      </c>
      <c r="AV2586" s="624"/>
      <c r="AX2586" s="624">
        <v>41879</v>
      </c>
      <c r="AY2586" s="355">
        <v>2.7199999999999998E-2</v>
      </c>
      <c r="AZ2586" s="624">
        <v>41943</v>
      </c>
      <c r="BA2586" s="355">
        <v>1.0500000000000001E-2</v>
      </c>
      <c r="BB2586" s="624">
        <v>41876</v>
      </c>
      <c r="BC2586" s="355">
        <v>0.31519999999999998</v>
      </c>
      <c r="BD2586" s="624">
        <v>41876</v>
      </c>
      <c r="BE2586" s="355">
        <v>9.8030000000000006E-2</v>
      </c>
      <c r="BF2586" s="624">
        <v>42012</v>
      </c>
      <c r="BG2586" s="355">
        <v>1.6007E-2</v>
      </c>
      <c r="BH2586" s="624">
        <v>41876</v>
      </c>
      <c r="BI2586" s="355">
        <v>8.5349999999999995E-2</v>
      </c>
      <c r="BJ2586" s="624">
        <v>41873</v>
      </c>
      <c r="BK2586" s="355">
        <v>3.1310999999999999E-2</v>
      </c>
    </row>
    <row r="2587" spans="3:63" x14ac:dyDescent="0.15">
      <c r="C2587" s="624"/>
      <c r="D2587" s="355">
        <v>2.7199999999999998E-2</v>
      </c>
      <c r="AV2587" s="624"/>
      <c r="AX2587" s="624">
        <v>41880</v>
      </c>
      <c r="AY2587" s="355">
        <v>2.699E-2</v>
      </c>
      <c r="AZ2587" s="624">
        <v>41946</v>
      </c>
      <c r="BA2587" s="355">
        <v>1.0500000000000001E-2</v>
      </c>
      <c r="BB2587" s="624">
        <v>41877</v>
      </c>
      <c r="BC2587" s="355">
        <v>0.3145</v>
      </c>
      <c r="BD2587" s="624">
        <v>41877</v>
      </c>
      <c r="BE2587" s="355">
        <v>9.8390000000000005E-2</v>
      </c>
      <c r="BF2587" s="624">
        <v>42013</v>
      </c>
      <c r="BG2587" s="355">
        <v>1.6108999999999998E-2</v>
      </c>
      <c r="BH2587" s="624">
        <v>41877</v>
      </c>
      <c r="BI2587" s="355">
        <v>8.5378999999999997E-2</v>
      </c>
      <c r="BJ2587" s="624">
        <v>41876</v>
      </c>
      <c r="BK2587" s="355">
        <v>3.1281000000000003E-2</v>
      </c>
    </row>
    <row r="2588" spans="3:63" x14ac:dyDescent="0.15">
      <c r="C2588" s="624"/>
      <c r="D2588" s="355">
        <v>2.699E-2</v>
      </c>
      <c r="AV2588" s="624"/>
      <c r="AX2588" s="624">
        <v>41883</v>
      </c>
      <c r="AY2588" s="355">
        <v>2.6790000000000001E-2</v>
      </c>
      <c r="AZ2588" s="624">
        <v>41947</v>
      </c>
      <c r="BA2588" s="355">
        <v>1.0500000000000001E-2</v>
      </c>
      <c r="BB2588" s="624">
        <v>41878</v>
      </c>
      <c r="BC2588" s="355">
        <v>0.31409999999999999</v>
      </c>
      <c r="BD2588" s="624">
        <v>41878</v>
      </c>
      <c r="BE2588" s="355">
        <v>9.8580000000000001E-2</v>
      </c>
      <c r="BF2588" s="624">
        <v>42016</v>
      </c>
      <c r="BG2588" s="355">
        <v>1.6111E-2</v>
      </c>
      <c r="BH2588" s="624">
        <v>41878</v>
      </c>
      <c r="BI2588" s="355">
        <v>8.5615999999999998E-2</v>
      </c>
      <c r="BJ2588" s="624">
        <v>41877</v>
      </c>
      <c r="BK2588" s="355">
        <v>3.1320000000000001E-2</v>
      </c>
    </row>
    <row r="2589" spans="3:63" x14ac:dyDescent="0.15">
      <c r="C2589" s="624"/>
      <c r="D2589" s="355">
        <v>2.6790000000000001E-2</v>
      </c>
      <c r="AV2589" s="624"/>
      <c r="AX2589" s="624">
        <v>41884</v>
      </c>
      <c r="AY2589" s="355">
        <v>2.6710000000000001E-2</v>
      </c>
      <c r="AZ2589" s="624">
        <v>41948</v>
      </c>
      <c r="BA2589" s="355">
        <v>1.0500000000000001E-2</v>
      </c>
      <c r="BB2589" s="624">
        <v>41879</v>
      </c>
      <c r="BC2589" s="355">
        <v>0.31219999999999998</v>
      </c>
      <c r="BD2589" s="624">
        <v>41879</v>
      </c>
      <c r="BE2589" s="355">
        <v>9.8449999999999996E-2</v>
      </c>
      <c r="BF2589" s="624">
        <v>42017</v>
      </c>
      <c r="BG2589" s="355">
        <v>1.6136000000000001E-2</v>
      </c>
      <c r="BH2589" s="624">
        <v>41879</v>
      </c>
      <c r="BI2589" s="355">
        <v>8.5487999999999995E-2</v>
      </c>
      <c r="BJ2589" s="624">
        <v>41878</v>
      </c>
      <c r="BK2589" s="355">
        <v>3.134E-2</v>
      </c>
    </row>
    <row r="2590" spans="3:63" x14ac:dyDescent="0.15">
      <c r="C2590" s="624"/>
      <c r="D2590" s="355">
        <v>2.6710000000000001E-2</v>
      </c>
      <c r="AV2590" s="624"/>
      <c r="AX2590" s="624">
        <v>41885</v>
      </c>
      <c r="AY2590" s="355">
        <v>2.7140000000000001E-2</v>
      </c>
      <c r="AZ2590" s="624">
        <v>41949</v>
      </c>
      <c r="BA2590" s="355">
        <v>1.04E-2</v>
      </c>
      <c r="BB2590" s="624">
        <v>41880</v>
      </c>
      <c r="BC2590" s="355">
        <v>0.31180000000000002</v>
      </c>
      <c r="BD2590" s="624">
        <v>41880</v>
      </c>
      <c r="BE2590" s="355">
        <v>9.8570000000000005E-2</v>
      </c>
      <c r="BF2590" s="624">
        <v>42018</v>
      </c>
      <c r="BG2590" s="355">
        <v>1.6081999999999999E-2</v>
      </c>
      <c r="BH2590" s="624">
        <v>41880</v>
      </c>
      <c r="BI2590" s="355">
        <v>8.5436999999999999E-2</v>
      </c>
      <c r="BJ2590" s="624">
        <v>41879</v>
      </c>
      <c r="BK2590" s="355">
        <v>3.1302000000000003E-2</v>
      </c>
    </row>
    <row r="2591" spans="3:63" x14ac:dyDescent="0.15">
      <c r="C2591" s="624"/>
      <c r="D2591" s="355">
        <v>2.7140000000000001E-2</v>
      </c>
      <c r="AV2591" s="624"/>
      <c r="AX2591" s="624">
        <v>41886</v>
      </c>
      <c r="AY2591" s="355">
        <v>2.7040000000000002E-2</v>
      </c>
      <c r="AZ2591" s="624">
        <v>41950</v>
      </c>
      <c r="BA2591" s="355">
        <v>1.04E-2</v>
      </c>
      <c r="BB2591" s="624">
        <v>41883</v>
      </c>
      <c r="BC2591" s="355">
        <v>0.31230000000000002</v>
      </c>
      <c r="BD2591" s="624">
        <v>41883</v>
      </c>
      <c r="BE2591" s="355">
        <v>9.8699999999999996E-2</v>
      </c>
      <c r="BF2591" s="624">
        <v>42019</v>
      </c>
      <c r="BG2591" s="355">
        <v>1.6149E-2</v>
      </c>
      <c r="BH2591" s="624">
        <v>41883</v>
      </c>
      <c r="BI2591" s="355">
        <v>8.5397000000000001E-2</v>
      </c>
      <c r="BJ2591" s="624">
        <v>41880</v>
      </c>
      <c r="BK2591" s="355">
        <v>3.1301000000000002E-2</v>
      </c>
    </row>
    <row r="2592" spans="3:63" x14ac:dyDescent="0.15">
      <c r="C2592" s="624"/>
      <c r="D2592" s="355">
        <v>2.7040000000000002E-2</v>
      </c>
      <c r="AV2592" s="624"/>
      <c r="AX2592" s="624">
        <v>41887</v>
      </c>
      <c r="AY2592" s="355">
        <v>2.707E-2</v>
      </c>
      <c r="AZ2592" s="624">
        <v>41953</v>
      </c>
      <c r="BA2592" s="355">
        <v>1.03E-2</v>
      </c>
      <c r="BB2592" s="624">
        <v>41884</v>
      </c>
      <c r="BC2592" s="355">
        <v>0.31209999999999999</v>
      </c>
      <c r="BD2592" s="624">
        <v>41884</v>
      </c>
      <c r="BE2592" s="355">
        <v>9.8250000000000004E-2</v>
      </c>
      <c r="BF2592" s="624">
        <v>42020</v>
      </c>
      <c r="BG2592" s="355">
        <v>1.6227999999999999E-2</v>
      </c>
      <c r="BH2592" s="624">
        <v>41884</v>
      </c>
      <c r="BI2592" s="355">
        <v>8.5283999999999999E-2</v>
      </c>
      <c r="BJ2592" s="624">
        <v>41883</v>
      </c>
      <c r="BK2592" s="355">
        <v>3.1272000000000001E-2</v>
      </c>
    </row>
    <row r="2593" spans="3:63" x14ac:dyDescent="0.15">
      <c r="C2593" s="624"/>
      <c r="D2593" s="355">
        <v>2.707E-2</v>
      </c>
      <c r="AV2593" s="624"/>
      <c r="AX2593" s="624">
        <v>41890</v>
      </c>
      <c r="AY2593" s="355">
        <v>2.7E-2</v>
      </c>
      <c r="AZ2593" s="624">
        <v>41954</v>
      </c>
      <c r="BA2593" s="355">
        <v>1.04E-2</v>
      </c>
      <c r="BB2593" s="624">
        <v>41885</v>
      </c>
      <c r="BC2593" s="355">
        <v>0.3135</v>
      </c>
      <c r="BD2593" s="624">
        <v>41885</v>
      </c>
      <c r="BE2593" s="355">
        <v>9.801E-2</v>
      </c>
      <c r="BF2593" s="624">
        <v>42023</v>
      </c>
      <c r="BG2593" s="355">
        <v>1.6212000000000001E-2</v>
      </c>
      <c r="BH2593" s="624">
        <v>41885</v>
      </c>
      <c r="BI2593" s="355">
        <v>8.4907999999999997E-2</v>
      </c>
      <c r="BJ2593" s="624">
        <v>41884</v>
      </c>
      <c r="BK2593" s="355">
        <v>3.1119000000000001E-2</v>
      </c>
    </row>
    <row r="2594" spans="3:63" x14ac:dyDescent="0.15">
      <c r="C2594" s="624"/>
      <c r="D2594" s="355">
        <v>2.7E-2</v>
      </c>
      <c r="AV2594" s="624"/>
      <c r="AX2594" s="624">
        <v>41891</v>
      </c>
      <c r="AY2594" s="355">
        <v>2.6960000000000001E-2</v>
      </c>
      <c r="AZ2594" s="624">
        <v>41955</v>
      </c>
      <c r="BA2594" s="355">
        <v>1.03E-2</v>
      </c>
      <c r="BB2594" s="624">
        <v>41886</v>
      </c>
      <c r="BC2594" s="355">
        <v>0.30880000000000002</v>
      </c>
      <c r="BD2594" s="624">
        <v>41886</v>
      </c>
      <c r="BE2594" s="355">
        <v>9.7900000000000001E-2</v>
      </c>
      <c r="BF2594" s="624">
        <v>42024</v>
      </c>
      <c r="BG2594" s="355">
        <v>1.6199000000000002E-2</v>
      </c>
      <c r="BH2594" s="624">
        <v>41886</v>
      </c>
      <c r="BI2594" s="355">
        <v>8.5004999999999997E-2</v>
      </c>
      <c r="BJ2594" s="624">
        <v>41885</v>
      </c>
      <c r="BK2594" s="355">
        <v>3.1220999999999999E-2</v>
      </c>
    </row>
    <row r="2595" spans="3:63" x14ac:dyDescent="0.15">
      <c r="C2595" s="624"/>
      <c r="D2595" s="355">
        <v>2.6960000000000001E-2</v>
      </c>
      <c r="AV2595" s="624"/>
      <c r="AX2595" s="624">
        <v>41892</v>
      </c>
      <c r="AY2595" s="355">
        <v>2.681E-2</v>
      </c>
      <c r="AZ2595" s="624">
        <v>41956</v>
      </c>
      <c r="BA2595" s="355">
        <v>1.04E-2</v>
      </c>
      <c r="BB2595" s="624">
        <v>41887</v>
      </c>
      <c r="BC2595" s="355">
        <v>0.31</v>
      </c>
      <c r="BD2595" s="624">
        <v>41887</v>
      </c>
      <c r="BE2595" s="355">
        <v>9.7619999999999998E-2</v>
      </c>
      <c r="BF2595" s="624">
        <v>42025</v>
      </c>
      <c r="BG2595" s="355">
        <v>1.6251000000000002E-2</v>
      </c>
      <c r="BH2595" s="624">
        <v>41887</v>
      </c>
      <c r="BI2595" s="355">
        <v>8.5081000000000004E-2</v>
      </c>
      <c r="BJ2595" s="624">
        <v>41886</v>
      </c>
      <c r="BK2595" s="355">
        <v>3.1171000000000001E-2</v>
      </c>
    </row>
    <row r="2596" spans="3:63" x14ac:dyDescent="0.15">
      <c r="C2596" s="624"/>
      <c r="D2596" s="355">
        <v>2.681E-2</v>
      </c>
      <c r="AV2596" s="624"/>
      <c r="AX2596" s="624">
        <v>41893</v>
      </c>
      <c r="AY2596" s="355">
        <v>2.6630000000000001E-2</v>
      </c>
      <c r="AZ2596" s="624">
        <v>41957</v>
      </c>
      <c r="BA2596" s="355">
        <v>1.04E-2</v>
      </c>
      <c r="BB2596" s="624">
        <v>41890</v>
      </c>
      <c r="BC2596" s="355">
        <v>0.3085</v>
      </c>
      <c r="BD2596" s="624">
        <v>41890</v>
      </c>
      <c r="BE2596" s="355">
        <v>9.7059999999999994E-2</v>
      </c>
      <c r="BF2596" s="624">
        <v>42026</v>
      </c>
      <c r="BG2596" s="355">
        <v>1.6288E-2</v>
      </c>
      <c r="BH2596" s="624">
        <v>41890</v>
      </c>
      <c r="BI2596" s="355">
        <v>8.5288000000000003E-2</v>
      </c>
      <c r="BJ2596" s="624">
        <v>41887</v>
      </c>
      <c r="BK2596" s="355">
        <v>3.1260000000000003E-2</v>
      </c>
    </row>
    <row r="2597" spans="3:63" x14ac:dyDescent="0.15">
      <c r="C2597" s="624"/>
      <c r="D2597" s="355">
        <v>2.6630000000000001E-2</v>
      </c>
      <c r="AV2597" s="624"/>
      <c r="AX2597" s="624">
        <v>41894</v>
      </c>
      <c r="AY2597" s="355">
        <v>2.647E-2</v>
      </c>
      <c r="AZ2597" s="624">
        <v>41960</v>
      </c>
      <c r="BA2597" s="355">
        <v>1.04E-2</v>
      </c>
      <c r="BB2597" s="624">
        <v>41891</v>
      </c>
      <c r="BC2597" s="355">
        <v>0.30780000000000002</v>
      </c>
      <c r="BD2597" s="624">
        <v>41891</v>
      </c>
      <c r="BE2597" s="355">
        <v>9.6600000000000005E-2</v>
      </c>
      <c r="BF2597" s="624">
        <v>42027</v>
      </c>
      <c r="BG2597" s="355">
        <v>1.6277E-2</v>
      </c>
      <c r="BH2597" s="624">
        <v>41891</v>
      </c>
      <c r="BI2597" s="355">
        <v>8.498E-2</v>
      </c>
      <c r="BJ2597" s="624">
        <v>41890</v>
      </c>
      <c r="BK2597" s="355">
        <v>3.1184E-2</v>
      </c>
    </row>
    <row r="2598" spans="3:63" x14ac:dyDescent="0.15">
      <c r="C2598" s="624"/>
      <c r="D2598" s="355">
        <v>2.647E-2</v>
      </c>
      <c r="AV2598" s="624"/>
      <c r="AX2598" s="624">
        <v>41897</v>
      </c>
      <c r="AY2598" s="355">
        <v>2.6069999999999999E-2</v>
      </c>
      <c r="AZ2598" s="624">
        <v>41961</v>
      </c>
      <c r="BA2598" s="355">
        <v>1.04E-2</v>
      </c>
      <c r="BB2598" s="624">
        <v>41892</v>
      </c>
      <c r="BC2598" s="355">
        <v>0.30790000000000001</v>
      </c>
      <c r="BD2598" s="624">
        <v>41892</v>
      </c>
      <c r="BE2598" s="355">
        <v>9.6839999999999996E-2</v>
      </c>
      <c r="BF2598" s="624">
        <v>42030</v>
      </c>
      <c r="BG2598" s="355">
        <v>1.6279999999999999E-2</v>
      </c>
      <c r="BH2598" s="624">
        <v>41892</v>
      </c>
      <c r="BI2598" s="355">
        <v>8.4655999999999995E-2</v>
      </c>
      <c r="BJ2598" s="624">
        <v>41891</v>
      </c>
      <c r="BK2598" s="355">
        <v>3.1171999999999998E-2</v>
      </c>
    </row>
    <row r="2599" spans="3:63" x14ac:dyDescent="0.15">
      <c r="C2599" s="624"/>
      <c r="D2599" s="355">
        <v>2.6069999999999999E-2</v>
      </c>
      <c r="AV2599" s="624"/>
      <c r="AX2599" s="624">
        <v>41898</v>
      </c>
      <c r="AY2599" s="355">
        <v>2.6100000000000002E-2</v>
      </c>
      <c r="AZ2599" s="624">
        <v>41962</v>
      </c>
      <c r="BA2599" s="355">
        <v>1.04E-2</v>
      </c>
      <c r="BB2599" s="624">
        <v>41893</v>
      </c>
      <c r="BC2599" s="355">
        <v>0.30790000000000001</v>
      </c>
      <c r="BD2599" s="624">
        <v>41893</v>
      </c>
      <c r="BE2599" s="355">
        <v>9.6449999999999994E-2</v>
      </c>
      <c r="BF2599" s="624">
        <v>42031</v>
      </c>
      <c r="BG2599" s="355">
        <v>1.6271999999999998E-2</v>
      </c>
      <c r="BH2599" s="624">
        <v>41893</v>
      </c>
      <c r="BI2599" s="355">
        <v>8.4533999999999998E-2</v>
      </c>
      <c r="BJ2599" s="624">
        <v>41892</v>
      </c>
      <c r="BK2599" s="355">
        <v>3.108E-2</v>
      </c>
    </row>
    <row r="2600" spans="3:63" x14ac:dyDescent="0.15">
      <c r="C2600" s="624"/>
      <c r="D2600" s="355">
        <v>2.6100000000000002E-2</v>
      </c>
      <c r="AV2600" s="624"/>
      <c r="AX2600" s="624">
        <v>41899</v>
      </c>
      <c r="AY2600" s="355">
        <v>2.598E-2</v>
      </c>
      <c r="AZ2600" s="624">
        <v>41963</v>
      </c>
      <c r="BA2600" s="355">
        <v>1.0500000000000001E-2</v>
      </c>
      <c r="BB2600" s="624">
        <v>41894</v>
      </c>
      <c r="BC2600" s="355">
        <v>0.30830000000000002</v>
      </c>
      <c r="BD2600" s="624">
        <v>41894</v>
      </c>
      <c r="BE2600" s="355">
        <v>9.6589999999999995E-2</v>
      </c>
      <c r="BF2600" s="624">
        <v>42032</v>
      </c>
      <c r="BG2600" s="355">
        <v>1.6295E-2</v>
      </c>
      <c r="BH2600" s="624">
        <v>41894</v>
      </c>
      <c r="BI2600" s="355">
        <v>8.4610000000000005E-2</v>
      </c>
      <c r="BJ2600" s="624">
        <v>41893</v>
      </c>
      <c r="BK2600" s="355">
        <v>3.1060999999999998E-2</v>
      </c>
    </row>
    <row r="2601" spans="3:63" x14ac:dyDescent="0.15">
      <c r="C2601" s="624"/>
      <c r="D2601" s="355">
        <v>2.598E-2</v>
      </c>
      <c r="AV2601" s="624"/>
      <c r="AX2601" s="624">
        <v>41900</v>
      </c>
      <c r="AY2601" s="355">
        <v>2.6020000000000001E-2</v>
      </c>
      <c r="AZ2601" s="624">
        <v>41964</v>
      </c>
      <c r="BA2601" s="355">
        <v>1.03E-2</v>
      </c>
      <c r="BB2601" s="624">
        <v>41897</v>
      </c>
      <c r="BC2601" s="355">
        <v>0.30840000000000001</v>
      </c>
      <c r="BD2601" s="624">
        <v>41897</v>
      </c>
      <c r="BE2601" s="355">
        <v>9.6299999999999997E-2</v>
      </c>
      <c r="BF2601" s="624">
        <v>42033</v>
      </c>
      <c r="BG2601" s="355">
        <v>1.6181000000000001E-2</v>
      </c>
      <c r="BH2601" s="624">
        <v>41897</v>
      </c>
      <c r="BI2601" s="355">
        <v>8.3839999999999998E-2</v>
      </c>
      <c r="BJ2601" s="624">
        <v>41894</v>
      </c>
      <c r="BK2601" s="355">
        <v>3.1008000000000001E-2</v>
      </c>
    </row>
    <row r="2602" spans="3:63" x14ac:dyDescent="0.15">
      <c r="C2602" s="624"/>
      <c r="D2602" s="355">
        <v>2.6020000000000001E-2</v>
      </c>
      <c r="AV2602" s="624"/>
      <c r="AX2602" s="624">
        <v>41901</v>
      </c>
      <c r="AY2602" s="355">
        <v>2.6020000000000001E-2</v>
      </c>
      <c r="AZ2602" s="624">
        <v>41967</v>
      </c>
      <c r="BA2602" s="355">
        <v>1.03E-2</v>
      </c>
      <c r="BB2602" s="624">
        <v>41898</v>
      </c>
      <c r="BC2602" s="355">
        <v>0.3095</v>
      </c>
      <c r="BD2602" s="624">
        <v>41898</v>
      </c>
      <c r="BE2602" s="355">
        <v>9.6850000000000006E-2</v>
      </c>
      <c r="BF2602" s="624">
        <v>42034</v>
      </c>
      <c r="BG2602" s="355">
        <v>1.6095999999999999E-2</v>
      </c>
      <c r="BH2602" s="624">
        <v>41898</v>
      </c>
      <c r="BI2602" s="355">
        <v>8.3671999999999996E-2</v>
      </c>
      <c r="BJ2602" s="624">
        <v>41897</v>
      </c>
      <c r="BK2602" s="355">
        <v>3.0977999999999999E-2</v>
      </c>
    </row>
    <row r="2603" spans="3:63" x14ac:dyDescent="0.15">
      <c r="C2603" s="624"/>
      <c r="D2603" s="355">
        <v>2.6020000000000001E-2</v>
      </c>
      <c r="AV2603" s="624"/>
      <c r="AX2603" s="624">
        <v>41904</v>
      </c>
      <c r="AY2603" s="355">
        <v>2.5819999999999999E-2</v>
      </c>
      <c r="AZ2603" s="624">
        <v>41968</v>
      </c>
      <c r="BA2603" s="355">
        <v>1.04E-2</v>
      </c>
      <c r="BB2603" s="624">
        <v>41899</v>
      </c>
      <c r="BC2603" s="355">
        <v>0.30719999999999997</v>
      </c>
      <c r="BD2603" s="624">
        <v>41899</v>
      </c>
      <c r="BE2603" s="355">
        <v>9.597E-2</v>
      </c>
      <c r="BF2603" s="624">
        <v>42037</v>
      </c>
      <c r="BG2603" s="355">
        <v>1.6208E-2</v>
      </c>
      <c r="BH2603" s="624">
        <v>41899</v>
      </c>
      <c r="BI2603" s="355">
        <v>8.3682000000000006E-2</v>
      </c>
      <c r="BJ2603" s="624">
        <v>41898</v>
      </c>
      <c r="BK2603" s="355">
        <v>3.1049E-2</v>
      </c>
    </row>
    <row r="2604" spans="3:63" x14ac:dyDescent="0.15">
      <c r="C2604" s="624"/>
      <c r="D2604" s="355">
        <v>2.5819999999999999E-2</v>
      </c>
      <c r="AV2604" s="624"/>
      <c r="AX2604" s="624">
        <v>41905</v>
      </c>
      <c r="AY2604" s="355">
        <v>2.5909999999999999E-2</v>
      </c>
      <c r="AZ2604" s="624">
        <v>41969</v>
      </c>
      <c r="BA2604" s="355">
        <v>1.04E-2</v>
      </c>
      <c r="BB2604" s="624">
        <v>41900</v>
      </c>
      <c r="BC2604" s="355">
        <v>0.30759999999999998</v>
      </c>
      <c r="BD2604" s="624">
        <v>41900</v>
      </c>
      <c r="BE2604" s="355">
        <v>9.5750000000000002E-2</v>
      </c>
      <c r="BF2604" s="624">
        <v>42038</v>
      </c>
      <c r="BG2604" s="355">
        <v>1.6232E-2</v>
      </c>
      <c r="BH2604" s="624">
        <v>41900</v>
      </c>
      <c r="BI2604" s="355">
        <v>8.3455000000000001E-2</v>
      </c>
      <c r="BJ2604" s="624">
        <v>41899</v>
      </c>
      <c r="BK2604" s="355">
        <v>3.0956999999999998E-2</v>
      </c>
    </row>
    <row r="2605" spans="3:63" x14ac:dyDescent="0.15">
      <c r="C2605" s="624"/>
      <c r="D2605" s="355">
        <v>2.5909999999999999E-2</v>
      </c>
      <c r="AV2605" s="624"/>
      <c r="AX2605" s="624">
        <v>41906</v>
      </c>
      <c r="AY2605" s="355">
        <v>2.6179999999999998E-2</v>
      </c>
      <c r="AZ2605" s="624">
        <v>41970</v>
      </c>
      <c r="BA2605" s="355">
        <v>1.03E-2</v>
      </c>
      <c r="BB2605" s="624">
        <v>41901</v>
      </c>
      <c r="BC2605" s="355">
        <v>0.30659999999999998</v>
      </c>
      <c r="BD2605" s="624">
        <v>41901</v>
      </c>
      <c r="BE2605" s="355">
        <v>9.5769999999999994E-2</v>
      </c>
      <c r="BF2605" s="624">
        <v>42039</v>
      </c>
      <c r="BG2605" s="355">
        <v>1.6173E-2</v>
      </c>
      <c r="BH2605" s="624">
        <v>41901</v>
      </c>
      <c r="BI2605" s="355">
        <v>8.3553000000000002E-2</v>
      </c>
      <c r="BJ2605" s="624">
        <v>41900</v>
      </c>
      <c r="BK2605" s="355">
        <v>3.1005999999999999E-2</v>
      </c>
    </row>
    <row r="2606" spans="3:63" x14ac:dyDescent="0.15">
      <c r="C2606" s="624"/>
      <c r="D2606" s="355">
        <v>2.6179999999999998E-2</v>
      </c>
      <c r="AV2606" s="624"/>
      <c r="AX2606" s="624">
        <v>41907</v>
      </c>
      <c r="AY2606" s="355">
        <v>2.5989999999999999E-2</v>
      </c>
      <c r="AZ2606" s="624">
        <v>41971</v>
      </c>
      <c r="BA2606" s="355">
        <v>1.03E-2</v>
      </c>
      <c r="BB2606" s="624">
        <v>41904</v>
      </c>
      <c r="BC2606" s="355">
        <v>0.30719999999999997</v>
      </c>
      <c r="BD2606" s="624">
        <v>41904</v>
      </c>
      <c r="BE2606" s="355">
        <v>9.6060000000000006E-2</v>
      </c>
      <c r="BF2606" s="624">
        <v>42040</v>
      </c>
      <c r="BG2606" s="355">
        <v>1.6201E-2</v>
      </c>
      <c r="BH2606" s="624">
        <v>41904</v>
      </c>
      <c r="BI2606" s="355">
        <v>8.3517999999999995E-2</v>
      </c>
      <c r="BJ2606" s="624">
        <v>41901</v>
      </c>
      <c r="BK2606" s="355">
        <v>3.1057999999999999E-2</v>
      </c>
    </row>
    <row r="2607" spans="3:63" x14ac:dyDescent="0.15">
      <c r="C2607" s="624"/>
      <c r="D2607" s="355">
        <v>2.5989999999999999E-2</v>
      </c>
      <c r="AV2607" s="624"/>
      <c r="AX2607" s="624">
        <v>41908</v>
      </c>
      <c r="AY2607" s="355">
        <v>2.554E-2</v>
      </c>
      <c r="AZ2607" s="624">
        <v>41974</v>
      </c>
      <c r="BA2607" s="355">
        <v>1.03E-2</v>
      </c>
      <c r="BB2607" s="624">
        <v>41905</v>
      </c>
      <c r="BC2607" s="355">
        <v>0.30780000000000002</v>
      </c>
      <c r="BD2607" s="624">
        <v>41905</v>
      </c>
      <c r="BE2607" s="355">
        <v>9.6140000000000003E-2</v>
      </c>
      <c r="BF2607" s="624">
        <v>42041</v>
      </c>
      <c r="BG2607" s="355">
        <v>1.6129000000000001E-2</v>
      </c>
      <c r="BH2607" s="624">
        <v>41905</v>
      </c>
      <c r="BI2607" s="355">
        <v>8.3551E-2</v>
      </c>
      <c r="BJ2607" s="624">
        <v>41904</v>
      </c>
      <c r="BK2607" s="355">
        <v>3.0998000000000001E-2</v>
      </c>
    </row>
    <row r="2608" spans="3:63" x14ac:dyDescent="0.15">
      <c r="C2608" s="624"/>
      <c r="D2608" s="355">
        <v>2.554E-2</v>
      </c>
      <c r="AV2608" s="624"/>
      <c r="AX2608" s="624">
        <v>41911</v>
      </c>
      <c r="AY2608" s="355">
        <v>2.5340000000000001E-2</v>
      </c>
      <c r="AZ2608" s="624">
        <v>41975</v>
      </c>
      <c r="BA2608" s="355">
        <v>1.03E-2</v>
      </c>
      <c r="BB2608" s="624">
        <v>41906</v>
      </c>
      <c r="BC2608" s="355">
        <v>0.30620000000000003</v>
      </c>
      <c r="BD2608" s="624">
        <v>41906</v>
      </c>
      <c r="BE2608" s="355">
        <v>9.6170000000000005E-2</v>
      </c>
      <c r="BF2608" s="624">
        <v>42044</v>
      </c>
      <c r="BG2608" s="355">
        <v>1.6093E-2</v>
      </c>
      <c r="BH2608" s="624">
        <v>41906</v>
      </c>
      <c r="BI2608" s="355">
        <v>8.3755999999999997E-2</v>
      </c>
      <c r="BJ2608" s="624">
        <v>41905</v>
      </c>
      <c r="BK2608" s="355">
        <v>3.1008000000000001E-2</v>
      </c>
    </row>
    <row r="2609" spans="3:63" x14ac:dyDescent="0.15">
      <c r="C2609" s="624"/>
      <c r="D2609" s="355">
        <v>2.5340000000000001E-2</v>
      </c>
      <c r="AV2609" s="624"/>
      <c r="AX2609" s="624">
        <v>41912</v>
      </c>
      <c r="AY2609" s="355">
        <v>2.5260000000000001E-2</v>
      </c>
      <c r="AZ2609" s="624">
        <v>41976</v>
      </c>
      <c r="BA2609" s="355">
        <v>1.0200000000000001E-2</v>
      </c>
      <c r="BB2609" s="624">
        <v>41907</v>
      </c>
      <c r="BC2609" s="355">
        <v>0.3049</v>
      </c>
      <c r="BD2609" s="624">
        <v>41907</v>
      </c>
      <c r="BE2609" s="355">
        <v>9.5810000000000006E-2</v>
      </c>
      <c r="BF2609" s="624">
        <v>42045</v>
      </c>
      <c r="BG2609" s="355">
        <v>1.6043999999999999E-2</v>
      </c>
      <c r="BH2609" s="624">
        <v>41907</v>
      </c>
      <c r="BI2609" s="355">
        <v>8.3228999999999997E-2</v>
      </c>
      <c r="BJ2609" s="624">
        <v>41906</v>
      </c>
      <c r="BK2609" s="355">
        <v>3.1033999999999999E-2</v>
      </c>
    </row>
    <row r="2610" spans="3:63" x14ac:dyDescent="0.15">
      <c r="C2610" s="624"/>
      <c r="D2610" s="355">
        <v>2.5260000000000001E-2</v>
      </c>
      <c r="AV2610" s="624"/>
      <c r="AX2610" s="624">
        <v>41913</v>
      </c>
      <c r="AY2610" s="355">
        <v>2.52E-2</v>
      </c>
      <c r="AZ2610" s="624">
        <v>41977</v>
      </c>
      <c r="BA2610" s="355">
        <v>1.0200000000000001E-2</v>
      </c>
      <c r="BB2610" s="624">
        <v>41908</v>
      </c>
      <c r="BC2610" s="355">
        <v>0.30320000000000003</v>
      </c>
      <c r="BD2610" s="624">
        <v>41908</v>
      </c>
      <c r="BE2610" s="355">
        <v>9.5310000000000006E-2</v>
      </c>
      <c r="BF2610" s="624">
        <v>42046</v>
      </c>
      <c r="BG2610" s="355">
        <v>1.6029999999999999E-2</v>
      </c>
      <c r="BH2610" s="624">
        <v>41908</v>
      </c>
      <c r="BI2610" s="355">
        <v>8.2558999999999994E-2</v>
      </c>
      <c r="BJ2610" s="624">
        <v>41907</v>
      </c>
      <c r="BK2610" s="355">
        <v>3.0973000000000001E-2</v>
      </c>
    </row>
    <row r="2611" spans="3:63" x14ac:dyDescent="0.15">
      <c r="C2611" s="624"/>
      <c r="D2611" s="355">
        <v>2.52E-2</v>
      </c>
      <c r="AV2611" s="624"/>
      <c r="AX2611" s="624">
        <v>41914</v>
      </c>
      <c r="AY2611" s="355">
        <v>2.528E-2</v>
      </c>
      <c r="AZ2611" s="624">
        <v>41978</v>
      </c>
      <c r="BA2611" s="355">
        <v>1.01E-2</v>
      </c>
      <c r="BB2611" s="624">
        <v>41911</v>
      </c>
      <c r="BC2611" s="355">
        <v>0.30330000000000001</v>
      </c>
      <c r="BD2611" s="624">
        <v>41911</v>
      </c>
      <c r="BE2611" s="355">
        <v>9.468E-2</v>
      </c>
      <c r="BF2611" s="624">
        <v>42047</v>
      </c>
      <c r="BG2611" s="355">
        <v>1.609E-2</v>
      </c>
      <c r="BH2611" s="624">
        <v>41911</v>
      </c>
      <c r="BI2611" s="355">
        <v>8.2405999999999993E-2</v>
      </c>
      <c r="BJ2611" s="624">
        <v>41908</v>
      </c>
      <c r="BK2611" s="355">
        <v>3.0931E-2</v>
      </c>
    </row>
    <row r="2612" spans="3:63" x14ac:dyDescent="0.15">
      <c r="C2612" s="624"/>
      <c r="D2612" s="355">
        <v>2.528E-2</v>
      </c>
      <c r="AV2612" s="624"/>
      <c r="AX2612" s="624">
        <v>41915</v>
      </c>
      <c r="AY2612" s="355">
        <v>2.4920000000000001E-2</v>
      </c>
      <c r="AZ2612" s="624">
        <v>41981</v>
      </c>
      <c r="BA2612" s="355">
        <v>1.01E-2</v>
      </c>
      <c r="BB2612" s="624">
        <v>41912</v>
      </c>
      <c r="BC2612" s="355">
        <v>0.30199999999999999</v>
      </c>
      <c r="BD2612" s="624">
        <v>41912</v>
      </c>
      <c r="BE2612" s="355">
        <v>9.4469999999999998E-2</v>
      </c>
      <c r="BF2612" s="624">
        <v>42048</v>
      </c>
      <c r="BG2612" s="355">
        <v>1.6107E-2</v>
      </c>
      <c r="BH2612" s="624">
        <v>41912</v>
      </c>
      <c r="BI2612" s="355">
        <v>8.2020999999999997E-2</v>
      </c>
      <c r="BJ2612" s="624">
        <v>41911</v>
      </c>
      <c r="BK2612" s="355">
        <v>3.0863999999999999E-2</v>
      </c>
    </row>
    <row r="2613" spans="3:63" x14ac:dyDescent="0.15">
      <c r="C2613" s="624"/>
      <c r="D2613" s="355">
        <v>2.4920000000000001E-2</v>
      </c>
      <c r="AV2613" s="624"/>
      <c r="AX2613" s="624">
        <v>41918</v>
      </c>
      <c r="AY2613" s="355">
        <v>2.5180000000000001E-2</v>
      </c>
      <c r="AZ2613" s="624">
        <v>41982</v>
      </c>
      <c r="BA2613" s="355">
        <v>1.0200000000000001E-2</v>
      </c>
      <c r="BB2613" s="624">
        <v>41913</v>
      </c>
      <c r="BC2613" s="355">
        <v>0.3024</v>
      </c>
      <c r="BD2613" s="624">
        <v>41913</v>
      </c>
      <c r="BE2613" s="355">
        <v>9.4149999999999998E-2</v>
      </c>
      <c r="BF2613" s="624">
        <v>42051</v>
      </c>
      <c r="BG2613" s="355">
        <v>1.6079E-2</v>
      </c>
      <c r="BH2613" s="624">
        <v>41913</v>
      </c>
      <c r="BI2613" s="355">
        <v>8.2185999999999995E-2</v>
      </c>
      <c r="BJ2613" s="624">
        <v>41912</v>
      </c>
      <c r="BK2613" s="355">
        <v>3.0838999999999998E-2</v>
      </c>
    </row>
    <row r="2614" spans="3:63" x14ac:dyDescent="0.15">
      <c r="C2614" s="624"/>
      <c r="D2614" s="355">
        <v>2.5180000000000001E-2</v>
      </c>
      <c r="AV2614" s="624"/>
      <c r="AX2614" s="624">
        <v>41919</v>
      </c>
      <c r="AY2614" s="355">
        <v>2.5049999999999999E-2</v>
      </c>
      <c r="AZ2614" s="624">
        <v>41983</v>
      </c>
      <c r="BA2614" s="355">
        <v>1.0200000000000001E-2</v>
      </c>
      <c r="BB2614" s="624">
        <v>41914</v>
      </c>
      <c r="BC2614" s="355">
        <v>0.30359999999999998</v>
      </c>
      <c r="BD2614" s="624">
        <v>41914</v>
      </c>
      <c r="BE2614" s="355">
        <v>9.4350000000000003E-2</v>
      </c>
      <c r="BF2614" s="624">
        <v>42052</v>
      </c>
      <c r="BG2614" s="355">
        <v>1.6084999999999999E-2</v>
      </c>
      <c r="BH2614" s="624">
        <v>41914</v>
      </c>
      <c r="BI2614" s="355">
        <v>8.2439999999999999E-2</v>
      </c>
      <c r="BJ2614" s="624">
        <v>41913</v>
      </c>
      <c r="BK2614" s="355">
        <v>3.0842000000000001E-2</v>
      </c>
    </row>
    <row r="2615" spans="3:63" x14ac:dyDescent="0.15">
      <c r="C2615" s="624"/>
      <c r="D2615" s="355">
        <v>2.5049999999999999E-2</v>
      </c>
      <c r="AV2615" s="624"/>
      <c r="AX2615" s="624">
        <v>41920</v>
      </c>
      <c r="AY2615" s="355">
        <v>2.5020000000000001E-2</v>
      </c>
      <c r="AZ2615" s="624">
        <v>41984</v>
      </c>
      <c r="BA2615" s="355">
        <v>1.0200000000000001E-2</v>
      </c>
      <c r="BB2615" s="624">
        <v>41915</v>
      </c>
      <c r="BC2615" s="355">
        <v>0.29859999999999998</v>
      </c>
      <c r="BD2615" s="624">
        <v>41915</v>
      </c>
      <c r="BE2615" s="355">
        <v>9.3729999999999994E-2</v>
      </c>
      <c r="BF2615" s="624">
        <v>42053</v>
      </c>
      <c r="BG2615" s="355">
        <v>1.6074000000000001E-2</v>
      </c>
      <c r="BH2615" s="624">
        <v>41915</v>
      </c>
      <c r="BI2615" s="355">
        <v>8.2101999999999994E-2</v>
      </c>
      <c r="BJ2615" s="624">
        <v>41914</v>
      </c>
      <c r="BK2615" s="355">
        <v>3.0814000000000001E-2</v>
      </c>
    </row>
    <row r="2616" spans="3:63" x14ac:dyDescent="0.15">
      <c r="C2616" s="624"/>
      <c r="D2616" s="355">
        <v>2.5020000000000001E-2</v>
      </c>
      <c r="AV2616" s="624"/>
      <c r="AX2616" s="624">
        <v>41921</v>
      </c>
      <c r="AY2616" s="355">
        <v>2.4930000000000001E-2</v>
      </c>
      <c r="AZ2616" s="624">
        <v>41985</v>
      </c>
      <c r="BA2616" s="355">
        <v>1.0200000000000001E-2</v>
      </c>
      <c r="BB2616" s="624">
        <v>41918</v>
      </c>
      <c r="BC2616" s="355">
        <v>0.30280000000000001</v>
      </c>
      <c r="BD2616" s="624">
        <v>41918</v>
      </c>
      <c r="BE2616" s="355">
        <v>9.393E-2</v>
      </c>
      <c r="BF2616" s="624">
        <v>42054</v>
      </c>
      <c r="BG2616" s="355">
        <v>1.6093E-2</v>
      </c>
      <c r="BH2616" s="624">
        <v>41918</v>
      </c>
      <c r="BI2616" s="355">
        <v>8.2202999999999998E-2</v>
      </c>
      <c r="BJ2616" s="624">
        <v>41915</v>
      </c>
      <c r="BK2616" s="355">
        <v>3.0637000000000001E-2</v>
      </c>
    </row>
    <row r="2617" spans="3:63" x14ac:dyDescent="0.15">
      <c r="C2617" s="624"/>
      <c r="D2617" s="355">
        <v>2.4930000000000001E-2</v>
      </c>
      <c r="AV2617" s="624"/>
      <c r="AX2617" s="624">
        <v>41922</v>
      </c>
      <c r="AY2617" s="355">
        <v>2.479E-2</v>
      </c>
      <c r="AZ2617" s="624">
        <v>41988</v>
      </c>
      <c r="BA2617" s="355">
        <v>1.0200000000000001E-2</v>
      </c>
      <c r="BB2617" s="624">
        <v>41919</v>
      </c>
      <c r="BC2617" s="355">
        <v>0.30280000000000001</v>
      </c>
      <c r="BD2617" s="624">
        <v>41919</v>
      </c>
      <c r="BE2617" s="355">
        <v>9.375E-2</v>
      </c>
      <c r="BF2617" s="624">
        <v>42055</v>
      </c>
      <c r="BG2617" s="355">
        <v>1.6060000000000001E-2</v>
      </c>
      <c r="BH2617" s="624">
        <v>41919</v>
      </c>
      <c r="BI2617" s="355">
        <v>8.1997E-2</v>
      </c>
      <c r="BJ2617" s="624">
        <v>41918</v>
      </c>
      <c r="BK2617" s="355">
        <v>3.0693999999999999E-2</v>
      </c>
    </row>
    <row r="2618" spans="3:63" x14ac:dyDescent="0.15">
      <c r="C2618" s="624"/>
      <c r="D2618" s="355">
        <v>2.479E-2</v>
      </c>
      <c r="AV2618" s="624"/>
      <c r="AX2618" s="624">
        <v>41925</v>
      </c>
      <c r="AY2618" s="355">
        <v>2.469E-2</v>
      </c>
      <c r="AZ2618" s="624">
        <v>41989</v>
      </c>
      <c r="BA2618" s="355">
        <v>1.0200000000000001E-2</v>
      </c>
      <c r="BB2618" s="624">
        <v>41920</v>
      </c>
      <c r="BC2618" s="355">
        <v>0.3049</v>
      </c>
      <c r="BD2618" s="624">
        <v>41920</v>
      </c>
      <c r="BE2618" s="355">
        <v>9.3560000000000004E-2</v>
      </c>
      <c r="BF2618" s="624">
        <v>42058</v>
      </c>
      <c r="BG2618" s="355">
        <v>1.6087000000000001E-2</v>
      </c>
      <c r="BH2618" s="624">
        <v>41920</v>
      </c>
      <c r="BI2618" s="355">
        <v>8.1958000000000003E-2</v>
      </c>
      <c r="BJ2618" s="624">
        <v>41919</v>
      </c>
      <c r="BK2618" s="355">
        <v>3.0689000000000001E-2</v>
      </c>
    </row>
    <row r="2619" spans="3:63" x14ac:dyDescent="0.15">
      <c r="C2619" s="624"/>
      <c r="D2619" s="355">
        <v>2.469E-2</v>
      </c>
      <c r="AV2619" s="624"/>
      <c r="AX2619" s="624">
        <v>41926</v>
      </c>
      <c r="AY2619" s="355">
        <v>2.444E-2</v>
      </c>
      <c r="AZ2619" s="624">
        <v>41990</v>
      </c>
      <c r="BA2619" s="355">
        <v>1.01E-2</v>
      </c>
      <c r="BB2619" s="624">
        <v>41921</v>
      </c>
      <c r="BC2619" s="355">
        <v>0.3034</v>
      </c>
      <c r="BD2619" s="624">
        <v>41921</v>
      </c>
      <c r="BE2619" s="355">
        <v>9.3539999999999998E-2</v>
      </c>
      <c r="BF2619" s="624">
        <v>42059</v>
      </c>
      <c r="BG2619" s="355">
        <v>1.6152E-2</v>
      </c>
      <c r="BH2619" s="624">
        <v>41921</v>
      </c>
      <c r="BI2619" s="355">
        <v>8.2136000000000001E-2</v>
      </c>
      <c r="BJ2619" s="624">
        <v>41920</v>
      </c>
      <c r="BK2619" s="355">
        <v>3.0731999999999999E-2</v>
      </c>
    </row>
    <row r="2620" spans="3:63" x14ac:dyDescent="0.15">
      <c r="C2620" s="624"/>
      <c r="D2620" s="355">
        <v>2.444E-2</v>
      </c>
      <c r="AV2620" s="624"/>
      <c r="AX2620" s="624">
        <v>41927</v>
      </c>
      <c r="AY2620" s="355">
        <v>2.4760000000000001E-2</v>
      </c>
      <c r="AZ2620" s="624">
        <v>41991</v>
      </c>
      <c r="BA2620" s="355">
        <v>0.01</v>
      </c>
      <c r="BB2620" s="624">
        <v>41922</v>
      </c>
      <c r="BC2620" s="355">
        <v>0.30170000000000002</v>
      </c>
      <c r="BD2620" s="624">
        <v>41922</v>
      </c>
      <c r="BE2620" s="355">
        <v>9.3149999999999997E-2</v>
      </c>
      <c r="BF2620" s="624">
        <v>42060</v>
      </c>
      <c r="BG2620" s="355">
        <v>1.6164999999999999E-2</v>
      </c>
      <c r="BH2620" s="624">
        <v>41922</v>
      </c>
      <c r="BI2620" s="355">
        <v>8.1833000000000003E-2</v>
      </c>
      <c r="BJ2620" s="624">
        <v>41921</v>
      </c>
      <c r="BK2620" s="355">
        <v>3.0839999999999999E-2</v>
      </c>
    </row>
    <row r="2621" spans="3:63" x14ac:dyDescent="0.15">
      <c r="C2621" s="624"/>
      <c r="D2621" s="355">
        <v>2.4760000000000001E-2</v>
      </c>
      <c r="AV2621" s="624"/>
      <c r="AX2621" s="624">
        <v>41928</v>
      </c>
      <c r="AY2621" s="355">
        <v>2.4479999999999998E-2</v>
      </c>
      <c r="AZ2621" s="624">
        <v>41992</v>
      </c>
      <c r="BA2621" s="355">
        <v>0.01</v>
      </c>
      <c r="BB2621" s="624">
        <v>41925</v>
      </c>
      <c r="BC2621" s="355">
        <v>0.30420000000000003</v>
      </c>
      <c r="BD2621" s="624">
        <v>41925</v>
      </c>
      <c r="BE2621" s="355">
        <v>9.3710000000000002E-2</v>
      </c>
      <c r="BF2621" s="624">
        <v>42061</v>
      </c>
      <c r="BG2621" s="355">
        <v>1.6197E-2</v>
      </c>
      <c r="BH2621" s="624">
        <v>41925</v>
      </c>
      <c r="BI2621" s="355">
        <v>8.1900000000000001E-2</v>
      </c>
      <c r="BJ2621" s="624">
        <v>41922</v>
      </c>
      <c r="BK2621" s="355">
        <v>3.0800000000000001E-2</v>
      </c>
    </row>
    <row r="2622" spans="3:63" x14ac:dyDescent="0.15">
      <c r="C2622" s="624"/>
      <c r="D2622" s="355">
        <v>2.4479999999999998E-2</v>
      </c>
      <c r="AV2622" s="624"/>
      <c r="AX2622" s="624">
        <v>41929</v>
      </c>
      <c r="AY2622" s="355">
        <v>2.4549999999999999E-2</v>
      </c>
      <c r="AZ2622" s="624">
        <v>41995</v>
      </c>
      <c r="BA2622" s="355">
        <v>1.01E-2</v>
      </c>
      <c r="BB2622" s="624">
        <v>41926</v>
      </c>
      <c r="BC2622" s="355">
        <v>0.30109999999999998</v>
      </c>
      <c r="BD2622" s="624">
        <v>41926</v>
      </c>
      <c r="BE2622" s="355">
        <v>9.3840000000000007E-2</v>
      </c>
      <c r="BF2622" s="624">
        <v>42062</v>
      </c>
      <c r="BG2622" s="355">
        <v>1.6234999999999999E-2</v>
      </c>
      <c r="BH2622" s="624">
        <v>41926</v>
      </c>
      <c r="BI2622" s="355">
        <v>8.1934000000000007E-2</v>
      </c>
      <c r="BJ2622" s="624">
        <v>41925</v>
      </c>
      <c r="BK2622" s="355">
        <v>3.0863999999999999E-2</v>
      </c>
    </row>
    <row r="2623" spans="3:63" x14ac:dyDescent="0.15">
      <c r="C2623" s="624"/>
      <c r="D2623" s="355">
        <v>2.4549999999999999E-2</v>
      </c>
      <c r="AV2623" s="624"/>
      <c r="AX2623" s="624">
        <v>41932</v>
      </c>
      <c r="AY2623" s="355">
        <v>2.4369999999999999E-2</v>
      </c>
      <c r="AZ2623" s="624">
        <v>41996</v>
      </c>
      <c r="BA2623" s="355">
        <v>0.01</v>
      </c>
      <c r="BB2623" s="624">
        <v>41927</v>
      </c>
      <c r="BC2623" s="355">
        <v>0.30409999999999998</v>
      </c>
      <c r="BD2623" s="624">
        <v>41927</v>
      </c>
      <c r="BE2623" s="355">
        <v>9.425E-2</v>
      </c>
      <c r="BF2623" s="624">
        <v>42065</v>
      </c>
      <c r="BG2623" s="355">
        <v>1.6164999999999999E-2</v>
      </c>
      <c r="BH2623" s="624">
        <v>41927</v>
      </c>
      <c r="BI2623" s="355">
        <v>8.1766000000000005E-2</v>
      </c>
      <c r="BJ2623" s="624">
        <v>41926</v>
      </c>
      <c r="BK2623" s="355">
        <v>3.0773999999999999E-2</v>
      </c>
    </row>
    <row r="2624" spans="3:63" x14ac:dyDescent="0.15">
      <c r="C2624" s="624"/>
      <c r="D2624" s="355">
        <v>2.4369999999999999E-2</v>
      </c>
      <c r="AV2624" s="624"/>
      <c r="AX2624" s="624">
        <v>41933</v>
      </c>
      <c r="AY2624" s="355">
        <v>2.4420000000000001E-2</v>
      </c>
      <c r="AZ2624" s="624">
        <v>41997</v>
      </c>
      <c r="BA2624" s="355">
        <v>0.01</v>
      </c>
      <c r="BB2624" s="624">
        <v>41928</v>
      </c>
      <c r="BC2624" s="355">
        <v>0.30280000000000001</v>
      </c>
      <c r="BD2624" s="624">
        <v>41928</v>
      </c>
      <c r="BE2624" s="355">
        <v>9.4240000000000004E-2</v>
      </c>
      <c r="BF2624" s="624">
        <v>42066</v>
      </c>
      <c r="BG2624" s="355">
        <v>1.6173E-2</v>
      </c>
      <c r="BH2624" s="624">
        <v>41928</v>
      </c>
      <c r="BI2624" s="355">
        <v>8.1666000000000002E-2</v>
      </c>
      <c r="BJ2624" s="624">
        <v>41927</v>
      </c>
      <c r="BK2624" s="355">
        <v>3.0839999999999999E-2</v>
      </c>
    </row>
    <row r="2625" spans="3:63" x14ac:dyDescent="0.15">
      <c r="C2625" s="624"/>
      <c r="D2625" s="355">
        <v>2.4420000000000001E-2</v>
      </c>
      <c r="AV2625" s="624"/>
      <c r="AX2625" s="624">
        <v>41934</v>
      </c>
      <c r="AY2625" s="355">
        <v>2.4170000000000001E-2</v>
      </c>
      <c r="AZ2625" s="624">
        <v>41998</v>
      </c>
      <c r="BA2625" s="355">
        <v>1.01E-2</v>
      </c>
      <c r="BB2625" s="624">
        <v>41929</v>
      </c>
      <c r="BC2625" s="355">
        <v>0.30249999999999999</v>
      </c>
      <c r="BD2625" s="624">
        <v>41929</v>
      </c>
      <c r="BE2625" s="355">
        <v>9.4049999999999995E-2</v>
      </c>
      <c r="BF2625" s="624">
        <v>42067</v>
      </c>
      <c r="BG2625" s="355">
        <v>1.6049000000000001E-2</v>
      </c>
      <c r="BH2625" s="624">
        <v>41929</v>
      </c>
      <c r="BI2625" s="355">
        <v>8.2816000000000001E-2</v>
      </c>
      <c r="BJ2625" s="624">
        <v>41928</v>
      </c>
      <c r="BK2625" s="355">
        <v>3.0845000000000001E-2</v>
      </c>
    </row>
    <row r="2626" spans="3:63" x14ac:dyDescent="0.15">
      <c r="C2626" s="624"/>
      <c r="D2626" s="355">
        <v>2.4170000000000001E-2</v>
      </c>
      <c r="AV2626" s="624"/>
      <c r="AX2626" s="624">
        <v>41935</v>
      </c>
      <c r="AY2626" s="355">
        <v>2.3980000000000001E-2</v>
      </c>
      <c r="AZ2626" s="624">
        <v>41999</v>
      </c>
      <c r="BA2626" s="355">
        <v>1.01E-2</v>
      </c>
      <c r="BB2626" s="624">
        <v>41932</v>
      </c>
      <c r="BC2626" s="355">
        <v>0.30309999999999998</v>
      </c>
      <c r="BD2626" s="624">
        <v>41932</v>
      </c>
      <c r="BE2626" s="355">
        <v>9.4659999999999994E-2</v>
      </c>
      <c r="BF2626" s="624">
        <v>42068</v>
      </c>
      <c r="BG2626" s="355">
        <v>1.6025999999999999E-2</v>
      </c>
      <c r="BH2626" s="624">
        <v>41932</v>
      </c>
      <c r="BI2626" s="355">
        <v>8.3612000000000006E-2</v>
      </c>
      <c r="BJ2626" s="624">
        <v>41929</v>
      </c>
      <c r="BK2626" s="355">
        <v>3.0859000000000001E-2</v>
      </c>
    </row>
    <row r="2627" spans="3:63" x14ac:dyDescent="0.15">
      <c r="C2627" s="624"/>
      <c r="D2627" s="355">
        <v>2.3980000000000001E-2</v>
      </c>
      <c r="AV2627" s="624"/>
      <c r="AX2627" s="624">
        <v>41936</v>
      </c>
      <c r="AY2627" s="355">
        <v>2.3869999999999999E-2</v>
      </c>
      <c r="AZ2627" s="624">
        <v>42002</v>
      </c>
      <c r="BA2627" s="355">
        <v>0.01</v>
      </c>
      <c r="BB2627" s="624">
        <v>41933</v>
      </c>
      <c r="BC2627" s="355">
        <v>0.30130000000000001</v>
      </c>
      <c r="BD2627" s="624">
        <v>41933</v>
      </c>
      <c r="BE2627" s="355">
        <v>9.4759999999999997E-2</v>
      </c>
      <c r="BF2627" s="624">
        <v>42069</v>
      </c>
      <c r="BG2627" s="355">
        <v>1.5925999999999999E-2</v>
      </c>
      <c r="BH2627" s="624">
        <v>41933</v>
      </c>
      <c r="BI2627" s="355">
        <v>8.3506999999999998E-2</v>
      </c>
      <c r="BJ2627" s="624">
        <v>41932</v>
      </c>
      <c r="BK2627" s="355">
        <v>3.0988999999999999E-2</v>
      </c>
    </row>
    <row r="2628" spans="3:63" x14ac:dyDescent="0.15">
      <c r="C2628" s="624"/>
      <c r="D2628" s="355">
        <v>2.3869999999999999E-2</v>
      </c>
      <c r="AV2628" s="624"/>
      <c r="AX2628" s="624">
        <v>41939</v>
      </c>
      <c r="AY2628" s="355">
        <v>2.367E-2</v>
      </c>
      <c r="AZ2628" s="624">
        <v>42003</v>
      </c>
      <c r="BA2628" s="355">
        <v>1.01E-2</v>
      </c>
      <c r="BB2628" s="624">
        <v>41934</v>
      </c>
      <c r="BC2628" s="355">
        <v>0.29880000000000001</v>
      </c>
      <c r="BD2628" s="624">
        <v>41934</v>
      </c>
      <c r="BE2628" s="355">
        <v>9.4899999999999998E-2</v>
      </c>
      <c r="BF2628" s="624">
        <v>42072</v>
      </c>
      <c r="BG2628" s="355">
        <v>1.5966000000000001E-2</v>
      </c>
      <c r="BH2628" s="624">
        <v>41934</v>
      </c>
      <c r="BI2628" s="355">
        <v>8.3264000000000005E-2</v>
      </c>
      <c r="BJ2628" s="624">
        <v>41933</v>
      </c>
      <c r="BK2628" s="355">
        <v>3.0981999999999999E-2</v>
      </c>
    </row>
    <row r="2629" spans="3:63" x14ac:dyDescent="0.15">
      <c r="C2629" s="624"/>
      <c r="D2629" s="355">
        <v>2.367E-2</v>
      </c>
      <c r="AV2629" s="624"/>
      <c r="AX2629" s="624">
        <v>41940</v>
      </c>
      <c r="AY2629" s="355">
        <v>2.3560000000000001E-2</v>
      </c>
      <c r="AZ2629" s="624">
        <v>42004</v>
      </c>
      <c r="BA2629" s="355">
        <v>0.01</v>
      </c>
      <c r="BB2629" s="624">
        <v>41935</v>
      </c>
      <c r="BC2629" s="355">
        <v>0.29909999999999998</v>
      </c>
      <c r="BD2629" s="624">
        <v>41935</v>
      </c>
      <c r="BE2629" s="355">
        <v>9.4329999999999997E-2</v>
      </c>
      <c r="BF2629" s="624">
        <v>42073</v>
      </c>
      <c r="BG2629" s="355">
        <v>1.5913E-2</v>
      </c>
      <c r="BH2629" s="624">
        <v>41935</v>
      </c>
      <c r="BI2629" s="355">
        <v>8.2970000000000002E-2</v>
      </c>
      <c r="BJ2629" s="624">
        <v>41934</v>
      </c>
      <c r="BK2629" s="355">
        <v>3.0917E-2</v>
      </c>
    </row>
    <row r="2630" spans="3:63" x14ac:dyDescent="0.15">
      <c r="C2630" s="624"/>
      <c r="D2630" s="355">
        <v>2.3560000000000001E-2</v>
      </c>
      <c r="AV2630" s="624"/>
      <c r="AX2630" s="624">
        <v>41941</v>
      </c>
      <c r="AY2630" s="355">
        <v>2.316E-2</v>
      </c>
      <c r="AZ2630" s="624">
        <v>42005</v>
      </c>
      <c r="BA2630" s="355">
        <v>0.01</v>
      </c>
      <c r="BB2630" s="624">
        <v>41936</v>
      </c>
      <c r="BC2630" s="355">
        <v>0.30070000000000002</v>
      </c>
      <c r="BD2630" s="624">
        <v>41936</v>
      </c>
      <c r="BE2630" s="355">
        <v>9.4600000000000004E-2</v>
      </c>
      <c r="BF2630" s="624">
        <v>42074</v>
      </c>
      <c r="BG2630" s="355">
        <v>1.5928999999999999E-2</v>
      </c>
      <c r="BH2630" s="624">
        <v>41936</v>
      </c>
      <c r="BI2630" s="355">
        <v>8.2991999999999996E-2</v>
      </c>
      <c r="BJ2630" s="624">
        <v>41935</v>
      </c>
      <c r="BK2630" s="355">
        <v>3.0901000000000001E-2</v>
      </c>
    </row>
    <row r="2631" spans="3:63" x14ac:dyDescent="0.15">
      <c r="C2631" s="624"/>
      <c r="D2631" s="355">
        <v>2.316E-2</v>
      </c>
      <c r="AV2631" s="624"/>
      <c r="AX2631" s="624">
        <v>41942</v>
      </c>
      <c r="AY2631" s="355">
        <v>2.4049999999999998E-2</v>
      </c>
      <c r="AZ2631" s="624">
        <v>42006</v>
      </c>
      <c r="BA2631" s="355">
        <v>9.9000000000000008E-3</v>
      </c>
      <c r="BB2631" s="624">
        <v>41939</v>
      </c>
      <c r="BC2631" s="355">
        <v>0.30049999999999999</v>
      </c>
      <c r="BD2631" s="624">
        <v>41939</v>
      </c>
      <c r="BE2631" s="355">
        <v>9.5070000000000002E-2</v>
      </c>
      <c r="BF2631" s="624">
        <v>42075</v>
      </c>
      <c r="BG2631" s="355">
        <v>1.6004000000000001E-2</v>
      </c>
      <c r="BH2631" s="624">
        <v>41939</v>
      </c>
      <c r="BI2631" s="355">
        <v>8.2747000000000001E-2</v>
      </c>
      <c r="BJ2631" s="624">
        <v>41936</v>
      </c>
      <c r="BK2631" s="355">
        <v>3.0856000000000001E-2</v>
      </c>
    </row>
    <row r="2632" spans="3:63" x14ac:dyDescent="0.15">
      <c r="C2632" s="624"/>
      <c r="D2632" s="355">
        <v>2.4049999999999998E-2</v>
      </c>
      <c r="AV2632" s="624"/>
      <c r="AX2632" s="624">
        <v>41943</v>
      </c>
      <c r="AY2632" s="355">
        <v>2.325E-2</v>
      </c>
      <c r="AZ2632" s="624">
        <v>42009</v>
      </c>
      <c r="BA2632" s="355">
        <v>9.7999999999999997E-3</v>
      </c>
      <c r="BB2632" s="624">
        <v>41940</v>
      </c>
      <c r="BC2632" s="355">
        <v>0.30209999999999998</v>
      </c>
      <c r="BD2632" s="624">
        <v>41940</v>
      </c>
      <c r="BE2632" s="355">
        <v>9.5420000000000005E-2</v>
      </c>
      <c r="BF2632" s="624">
        <v>42076</v>
      </c>
      <c r="BG2632" s="355">
        <v>1.5852999999999999E-2</v>
      </c>
      <c r="BH2632" s="624">
        <v>41940</v>
      </c>
      <c r="BI2632" s="355">
        <v>8.2152000000000003E-2</v>
      </c>
      <c r="BJ2632" s="624">
        <v>41939</v>
      </c>
      <c r="BK2632" s="355">
        <v>3.083E-2</v>
      </c>
    </row>
    <row r="2633" spans="3:63" x14ac:dyDescent="0.15">
      <c r="C2633" s="624"/>
      <c r="D2633" s="355">
        <v>2.325E-2</v>
      </c>
      <c r="AV2633" s="624"/>
      <c r="AX2633" s="624">
        <v>41946</v>
      </c>
      <c r="AY2633" s="355">
        <v>2.2939999999999999E-2</v>
      </c>
      <c r="AZ2633" s="624">
        <v>42010</v>
      </c>
      <c r="BA2633" s="355">
        <v>9.7000000000000003E-3</v>
      </c>
      <c r="BB2633" s="624">
        <v>41941</v>
      </c>
      <c r="BC2633" s="355">
        <v>0.29899999999999999</v>
      </c>
      <c r="BD2633" s="624">
        <v>41941</v>
      </c>
      <c r="BE2633" s="355">
        <v>9.486E-2</v>
      </c>
      <c r="BF2633" s="624">
        <v>42079</v>
      </c>
      <c r="BG2633" s="355">
        <v>1.5928999999999999E-2</v>
      </c>
      <c r="BH2633" s="624">
        <v>41941</v>
      </c>
      <c r="BI2633" s="355">
        <v>8.2237000000000005E-2</v>
      </c>
      <c r="BJ2633" s="624">
        <v>41940</v>
      </c>
      <c r="BK2633" s="355">
        <v>3.0828999999999999E-2</v>
      </c>
    </row>
    <row r="2634" spans="3:63" x14ac:dyDescent="0.15">
      <c r="C2634" s="624"/>
      <c r="D2634" s="355">
        <v>2.2939999999999999E-2</v>
      </c>
      <c r="AV2634" s="624"/>
      <c r="AX2634" s="624">
        <v>41947</v>
      </c>
      <c r="AY2634" s="355">
        <v>2.2950000000000002E-2</v>
      </c>
      <c r="AZ2634" s="624">
        <v>42011</v>
      </c>
      <c r="BA2634" s="355">
        <v>9.7000000000000003E-3</v>
      </c>
      <c r="BB2634" s="624">
        <v>41942</v>
      </c>
      <c r="BC2634" s="355">
        <v>0.29949999999999999</v>
      </c>
      <c r="BD2634" s="624">
        <v>41942</v>
      </c>
      <c r="BE2634" s="355">
        <v>9.4820000000000002E-2</v>
      </c>
      <c r="BF2634" s="624">
        <v>42080</v>
      </c>
      <c r="BG2634" s="355">
        <v>1.5966000000000001E-2</v>
      </c>
      <c r="BH2634" s="624">
        <v>41942</v>
      </c>
      <c r="BI2634" s="355">
        <v>8.2542000000000004E-2</v>
      </c>
      <c r="BJ2634" s="624">
        <v>41941</v>
      </c>
      <c r="BK2634" s="355">
        <v>3.0742999999999999E-2</v>
      </c>
    </row>
    <row r="2635" spans="3:63" x14ac:dyDescent="0.15">
      <c r="C2635" s="624"/>
      <c r="D2635" s="355">
        <v>2.2950000000000002E-2</v>
      </c>
      <c r="AV2635" s="624"/>
      <c r="AX2635" s="624">
        <v>41948</v>
      </c>
      <c r="AY2635" s="355">
        <v>2.2280000000000001E-2</v>
      </c>
      <c r="AZ2635" s="624">
        <v>42012</v>
      </c>
      <c r="BA2635" s="355">
        <v>9.5999999999999992E-3</v>
      </c>
      <c r="BB2635" s="624">
        <v>41943</v>
      </c>
      <c r="BC2635" s="355">
        <v>0.2964</v>
      </c>
      <c r="BD2635" s="624">
        <v>41943</v>
      </c>
      <c r="BE2635" s="355">
        <v>9.3130000000000004E-2</v>
      </c>
      <c r="BF2635" s="624">
        <v>42081</v>
      </c>
      <c r="BG2635" s="355">
        <v>1.6074000000000001E-2</v>
      </c>
      <c r="BH2635" s="624">
        <v>41943</v>
      </c>
      <c r="BI2635" s="355">
        <v>8.2821000000000006E-2</v>
      </c>
      <c r="BJ2635" s="624">
        <v>41942</v>
      </c>
      <c r="BK2635" s="355">
        <v>3.0723E-2</v>
      </c>
    </row>
    <row r="2636" spans="3:63" x14ac:dyDescent="0.15">
      <c r="C2636" s="624"/>
      <c r="D2636" s="355">
        <v>2.2280000000000001E-2</v>
      </c>
      <c r="AV2636" s="624"/>
      <c r="AX2636" s="624">
        <v>41949</v>
      </c>
      <c r="AY2636" s="355">
        <v>2.137E-2</v>
      </c>
      <c r="AZ2636" s="624">
        <v>42013</v>
      </c>
      <c r="BA2636" s="355">
        <v>9.5999999999999992E-3</v>
      </c>
      <c r="BB2636" s="624">
        <v>41946</v>
      </c>
      <c r="BC2636" s="355">
        <v>0.29549999999999998</v>
      </c>
      <c r="BD2636" s="624">
        <v>41946</v>
      </c>
      <c r="BE2636" s="355">
        <v>9.2270000000000005E-2</v>
      </c>
      <c r="BF2636" s="624">
        <v>42082</v>
      </c>
      <c r="BG2636" s="355">
        <v>1.6004000000000001E-2</v>
      </c>
      <c r="BH2636" s="624">
        <v>41946</v>
      </c>
      <c r="BI2636" s="355">
        <v>8.2474000000000006E-2</v>
      </c>
      <c r="BJ2636" s="624">
        <v>41943</v>
      </c>
      <c r="BK2636" s="355">
        <v>3.0672999999999999E-2</v>
      </c>
    </row>
    <row r="2637" spans="3:63" x14ac:dyDescent="0.15">
      <c r="C2637" s="624"/>
      <c r="D2637" s="355">
        <v>2.137E-2</v>
      </c>
      <c r="AV2637" s="624"/>
      <c r="AX2637" s="624">
        <v>41950</v>
      </c>
      <c r="AY2637" s="355">
        <v>2.1420000000000002E-2</v>
      </c>
      <c r="AZ2637" s="624">
        <v>42016</v>
      </c>
      <c r="BA2637" s="355">
        <v>9.5999999999999992E-3</v>
      </c>
      <c r="BB2637" s="624">
        <v>41947</v>
      </c>
      <c r="BC2637" s="355">
        <v>0.29680000000000001</v>
      </c>
      <c r="BD2637" s="624">
        <v>41947</v>
      </c>
      <c r="BE2637" s="355">
        <v>9.2740000000000003E-2</v>
      </c>
      <c r="BF2637" s="624">
        <v>42083</v>
      </c>
      <c r="BG2637" s="355">
        <v>1.6049999999999998E-2</v>
      </c>
      <c r="BH2637" s="624">
        <v>41947</v>
      </c>
      <c r="BI2637" s="355">
        <v>8.2712999999999995E-2</v>
      </c>
      <c r="BJ2637" s="624">
        <v>41946</v>
      </c>
      <c r="BK2637" s="355">
        <v>3.0571999999999998E-2</v>
      </c>
    </row>
    <row r="2638" spans="3:63" x14ac:dyDescent="0.15">
      <c r="C2638" s="624"/>
      <c r="D2638" s="355">
        <v>2.1420000000000002E-2</v>
      </c>
      <c r="AV2638" s="624"/>
      <c r="AX2638" s="624">
        <v>41953</v>
      </c>
      <c r="AY2638" s="355">
        <v>2.18E-2</v>
      </c>
      <c r="AZ2638" s="624">
        <v>42017</v>
      </c>
      <c r="BA2638" s="355">
        <v>9.5999999999999992E-3</v>
      </c>
      <c r="BB2638" s="624">
        <v>41948</v>
      </c>
      <c r="BC2638" s="355">
        <v>0.29530000000000001</v>
      </c>
      <c r="BD2638" s="624">
        <v>41948</v>
      </c>
      <c r="BE2638" s="355">
        <v>9.1700000000000004E-2</v>
      </c>
      <c r="BF2638" s="624">
        <v>42086</v>
      </c>
      <c r="BG2638" s="355">
        <v>1.6087000000000001E-2</v>
      </c>
      <c r="BH2638" s="624">
        <v>41948</v>
      </c>
      <c r="BI2638" s="355">
        <v>8.2101999999999994E-2</v>
      </c>
      <c r="BJ2638" s="624">
        <v>41947</v>
      </c>
      <c r="BK2638" s="355">
        <v>3.0601E-2</v>
      </c>
    </row>
    <row r="2639" spans="3:63" x14ac:dyDescent="0.15">
      <c r="C2639" s="624"/>
      <c r="D2639" s="355">
        <v>2.18E-2</v>
      </c>
      <c r="AV2639" s="624"/>
      <c r="AX2639" s="624">
        <v>41954</v>
      </c>
      <c r="AY2639" s="355">
        <v>2.1579999999999998E-2</v>
      </c>
      <c r="AZ2639" s="624">
        <v>42018</v>
      </c>
      <c r="BA2639" s="355">
        <v>9.5999999999999992E-3</v>
      </c>
      <c r="BB2639" s="624">
        <v>41949</v>
      </c>
      <c r="BC2639" s="355">
        <v>0.29320000000000002</v>
      </c>
      <c r="BD2639" s="624">
        <v>41949</v>
      </c>
      <c r="BE2639" s="355">
        <v>9.1539999999999996E-2</v>
      </c>
      <c r="BF2639" s="624">
        <v>42087</v>
      </c>
      <c r="BG2639" s="355">
        <v>1.6038E-2</v>
      </c>
      <c r="BH2639" s="624">
        <v>41949</v>
      </c>
      <c r="BI2639" s="355">
        <v>8.2033999999999996E-2</v>
      </c>
      <c r="BJ2639" s="624">
        <v>41948</v>
      </c>
      <c r="BK2639" s="355">
        <v>3.0519999999999999E-2</v>
      </c>
    </row>
    <row r="2640" spans="3:63" x14ac:dyDescent="0.15">
      <c r="C2640" s="624"/>
      <c r="D2640" s="355">
        <v>2.1579999999999998E-2</v>
      </c>
      <c r="AV2640" s="624"/>
      <c r="AX2640" s="624">
        <v>41955</v>
      </c>
      <c r="AY2640" s="355">
        <v>2.2179999999999998E-2</v>
      </c>
      <c r="AZ2640" s="624">
        <v>42019</v>
      </c>
      <c r="BA2640" s="355">
        <v>9.4999999999999998E-3</v>
      </c>
      <c r="BB2640" s="624">
        <v>41950</v>
      </c>
      <c r="BC2640" s="355">
        <v>0.29470000000000002</v>
      </c>
      <c r="BD2640" s="624">
        <v>41950</v>
      </c>
      <c r="BE2640" s="355">
        <v>9.1980000000000006E-2</v>
      </c>
      <c r="BF2640" s="624">
        <v>42088</v>
      </c>
      <c r="BG2640" s="355">
        <v>1.6021000000000001E-2</v>
      </c>
      <c r="BH2640" s="624">
        <v>41950</v>
      </c>
      <c r="BI2640" s="355">
        <v>8.2354999999999998E-2</v>
      </c>
      <c r="BJ2640" s="624">
        <v>41949</v>
      </c>
      <c r="BK2640" s="355">
        <v>3.0484000000000001E-2</v>
      </c>
    </row>
    <row r="2641" spans="3:63" x14ac:dyDescent="0.15">
      <c r="C2641" s="624"/>
      <c r="D2641" s="355">
        <v>2.2179999999999998E-2</v>
      </c>
      <c r="AV2641" s="624"/>
      <c r="AX2641" s="624">
        <v>41956</v>
      </c>
      <c r="AY2641" s="355">
        <v>2.138E-2</v>
      </c>
      <c r="AZ2641" s="624">
        <v>42020</v>
      </c>
      <c r="BA2641" s="355">
        <v>9.4999999999999998E-3</v>
      </c>
      <c r="BB2641" s="624">
        <v>41953</v>
      </c>
      <c r="BC2641" s="355">
        <v>0.2944</v>
      </c>
      <c r="BD2641" s="624">
        <v>41953</v>
      </c>
      <c r="BE2641" s="355">
        <v>9.1700000000000004E-2</v>
      </c>
      <c r="BF2641" s="624">
        <v>42089</v>
      </c>
      <c r="BG2641" s="355">
        <v>1.5892E-2</v>
      </c>
      <c r="BH2641" s="624">
        <v>41953</v>
      </c>
      <c r="BI2641" s="355">
        <v>8.2270999999999997E-2</v>
      </c>
      <c r="BJ2641" s="624">
        <v>41950</v>
      </c>
      <c r="BK2641" s="355">
        <v>3.0511E-2</v>
      </c>
    </row>
    <row r="2642" spans="3:63" x14ac:dyDescent="0.15">
      <c r="C2642" s="624"/>
      <c r="D2642" s="355">
        <v>2.138E-2</v>
      </c>
      <c r="AV2642" s="624"/>
      <c r="AX2642" s="624">
        <v>41957</v>
      </c>
      <c r="AY2642" s="355">
        <v>2.1190000000000001E-2</v>
      </c>
      <c r="AZ2642" s="624">
        <v>42023</v>
      </c>
      <c r="BA2642" s="355">
        <v>9.4999999999999998E-3</v>
      </c>
      <c r="BB2642" s="624">
        <v>41954</v>
      </c>
      <c r="BC2642" s="355">
        <v>0.29570000000000002</v>
      </c>
      <c r="BD2642" s="624">
        <v>41954</v>
      </c>
      <c r="BE2642" s="355">
        <v>9.1329999999999995E-2</v>
      </c>
      <c r="BF2642" s="624">
        <v>42090</v>
      </c>
      <c r="BG2642" s="355">
        <v>1.5984999999999999E-2</v>
      </c>
      <c r="BH2642" s="624">
        <v>41954</v>
      </c>
      <c r="BI2642" s="355">
        <v>8.1934000000000007E-2</v>
      </c>
      <c r="BJ2642" s="624">
        <v>41953</v>
      </c>
      <c r="BK2642" s="355">
        <v>3.0499999999999999E-2</v>
      </c>
    </row>
    <row r="2643" spans="3:63" x14ac:dyDescent="0.15">
      <c r="C2643" s="624"/>
      <c r="D2643" s="355">
        <v>2.1190000000000001E-2</v>
      </c>
      <c r="AV2643" s="624"/>
      <c r="AX2643" s="624">
        <v>41960</v>
      </c>
      <c r="AY2643" s="355">
        <v>2.1190000000000001E-2</v>
      </c>
      <c r="AZ2643" s="624">
        <v>42024</v>
      </c>
      <c r="BA2643" s="355">
        <v>9.4000000000000004E-3</v>
      </c>
      <c r="BB2643" s="624">
        <v>41955</v>
      </c>
      <c r="BC2643" s="355">
        <v>0.2949</v>
      </c>
      <c r="BD2643" s="624">
        <v>41955</v>
      </c>
      <c r="BE2643" s="355">
        <v>9.1350000000000001E-2</v>
      </c>
      <c r="BF2643" s="624">
        <v>42093</v>
      </c>
      <c r="BG2643" s="355">
        <v>1.5997999999999998E-2</v>
      </c>
      <c r="BH2643" s="624">
        <v>41955</v>
      </c>
      <c r="BI2643" s="355">
        <v>8.2020999999999997E-2</v>
      </c>
      <c r="BJ2643" s="624">
        <v>41954</v>
      </c>
      <c r="BK2643" s="355">
        <v>3.0432000000000001E-2</v>
      </c>
    </row>
    <row r="2644" spans="3:63" x14ac:dyDescent="0.15">
      <c r="C2644" s="624"/>
      <c r="D2644" s="355">
        <v>2.1190000000000001E-2</v>
      </c>
      <c r="AV2644" s="624"/>
      <c r="AX2644" s="624">
        <v>41961</v>
      </c>
      <c r="AY2644" s="355">
        <v>2.1319999999999999E-2</v>
      </c>
      <c r="AZ2644" s="624">
        <v>42025</v>
      </c>
      <c r="BA2644" s="355">
        <v>9.4999999999999998E-3</v>
      </c>
      <c r="BB2644" s="624">
        <v>41956</v>
      </c>
      <c r="BC2644" s="355">
        <v>0.2944</v>
      </c>
      <c r="BD2644" s="624">
        <v>41956</v>
      </c>
      <c r="BE2644" s="355">
        <v>9.1179999999999997E-2</v>
      </c>
      <c r="BF2644" s="624">
        <v>42094</v>
      </c>
      <c r="BG2644" s="355">
        <v>1.6048E-2</v>
      </c>
      <c r="BH2644" s="624">
        <v>41956</v>
      </c>
      <c r="BI2644" s="355">
        <v>8.2001000000000004E-2</v>
      </c>
      <c r="BJ2644" s="624">
        <v>41955</v>
      </c>
      <c r="BK2644" s="355">
        <v>3.0442E-2</v>
      </c>
    </row>
    <row r="2645" spans="3:63" x14ac:dyDescent="0.15">
      <c r="C2645" s="624"/>
      <c r="D2645" s="355">
        <v>2.1319999999999999E-2</v>
      </c>
      <c r="AV2645" s="624"/>
      <c r="AX2645" s="624">
        <v>41962</v>
      </c>
      <c r="AY2645" s="355">
        <v>2.1340000000000001E-2</v>
      </c>
      <c r="AZ2645" s="624">
        <v>42026</v>
      </c>
      <c r="BA2645" s="355">
        <v>9.2999999999999992E-3</v>
      </c>
      <c r="BB2645" s="624">
        <v>41957</v>
      </c>
      <c r="BC2645" s="355">
        <v>0.29609999999999997</v>
      </c>
      <c r="BD2645" s="624">
        <v>41957</v>
      </c>
      <c r="BE2645" s="355">
        <v>9.0840000000000004E-2</v>
      </c>
      <c r="BF2645" s="624">
        <v>42097</v>
      </c>
      <c r="BG2645" s="355">
        <v>1.6138E-2</v>
      </c>
      <c r="BH2645" s="624">
        <v>41957</v>
      </c>
      <c r="BI2645" s="355">
        <v>8.2202999999999998E-2</v>
      </c>
      <c r="BJ2645" s="624">
        <v>41956</v>
      </c>
      <c r="BK2645" s="355">
        <v>3.0488000000000001E-2</v>
      </c>
    </row>
    <row r="2646" spans="3:63" x14ac:dyDescent="0.15">
      <c r="C2646" s="624"/>
      <c r="D2646" s="355">
        <v>2.1340000000000001E-2</v>
      </c>
      <c r="AV2646" s="624"/>
      <c r="AX2646" s="624">
        <v>41963</v>
      </c>
      <c r="AY2646" s="355">
        <v>2.1669999999999998E-2</v>
      </c>
      <c r="AZ2646" s="624">
        <v>42027</v>
      </c>
      <c r="BA2646" s="355">
        <v>9.1000000000000004E-3</v>
      </c>
      <c r="BB2646" s="624">
        <v>41960</v>
      </c>
      <c r="BC2646" s="355">
        <v>0.2949</v>
      </c>
      <c r="BD2646" s="624">
        <v>41960</v>
      </c>
      <c r="BE2646" s="355">
        <v>9.0819999999999998E-2</v>
      </c>
      <c r="BF2646" s="624">
        <v>42100</v>
      </c>
      <c r="BG2646" s="355">
        <v>1.6081000000000002E-2</v>
      </c>
      <c r="BH2646" s="624">
        <v>41960</v>
      </c>
      <c r="BI2646" s="355">
        <v>8.2435999999999995E-2</v>
      </c>
      <c r="BJ2646" s="624">
        <v>41957</v>
      </c>
      <c r="BK2646" s="355">
        <v>3.0485000000000002E-2</v>
      </c>
    </row>
    <row r="2647" spans="3:63" x14ac:dyDescent="0.15">
      <c r="C2647" s="624"/>
      <c r="D2647" s="355">
        <v>2.1669999999999998E-2</v>
      </c>
      <c r="AV2647" s="624"/>
      <c r="AX2647" s="624">
        <v>41964</v>
      </c>
      <c r="AY2647" s="355">
        <v>2.188E-2</v>
      </c>
      <c r="AZ2647" s="624">
        <v>42030</v>
      </c>
      <c r="BA2647" s="355">
        <v>9.1000000000000004E-3</v>
      </c>
      <c r="BB2647" s="624">
        <v>41961</v>
      </c>
      <c r="BC2647" s="355">
        <v>0.29730000000000001</v>
      </c>
      <c r="BD2647" s="624">
        <v>41961</v>
      </c>
      <c r="BE2647" s="355">
        <v>9.0829999999999994E-2</v>
      </c>
      <c r="BF2647" s="624">
        <v>42101</v>
      </c>
      <c r="BG2647" s="355">
        <v>1.6052E-2</v>
      </c>
      <c r="BH2647" s="624">
        <v>41961</v>
      </c>
      <c r="BI2647" s="355">
        <v>8.2897999999999999E-2</v>
      </c>
      <c r="BJ2647" s="624">
        <v>41960</v>
      </c>
      <c r="BK2647" s="355">
        <v>3.0491999999999998E-2</v>
      </c>
    </row>
    <row r="2648" spans="3:63" x14ac:dyDescent="0.15">
      <c r="C2648" s="624"/>
      <c r="D2648" s="355">
        <v>2.188E-2</v>
      </c>
      <c r="AV2648" s="624"/>
      <c r="AX2648" s="624">
        <v>41967</v>
      </c>
      <c r="AY2648" s="355">
        <v>2.223E-2</v>
      </c>
      <c r="AZ2648" s="624">
        <v>42031</v>
      </c>
      <c r="BA2648" s="355">
        <v>9.1999999999999998E-3</v>
      </c>
      <c r="BB2648" s="624">
        <v>41962</v>
      </c>
      <c r="BC2648" s="355">
        <v>0.29749999999999999</v>
      </c>
      <c r="BD2648" s="624">
        <v>41962</v>
      </c>
      <c r="BE2648" s="355">
        <v>8.9789999999999995E-2</v>
      </c>
      <c r="BF2648" s="624">
        <v>42102</v>
      </c>
      <c r="BG2648" s="355">
        <v>1.6074000000000001E-2</v>
      </c>
      <c r="BH2648" s="624">
        <v>41962</v>
      </c>
      <c r="BI2648" s="355">
        <v>8.2507999999999998E-2</v>
      </c>
      <c r="BJ2648" s="624">
        <v>41961</v>
      </c>
      <c r="BK2648" s="355">
        <v>3.0526999999999999E-2</v>
      </c>
    </row>
    <row r="2649" spans="3:63" x14ac:dyDescent="0.15">
      <c r="C2649" s="624"/>
      <c r="D2649" s="355">
        <v>2.223E-2</v>
      </c>
      <c r="AV2649" s="624"/>
      <c r="AX2649" s="624">
        <v>41968</v>
      </c>
      <c r="AY2649" s="355">
        <v>2.1610000000000001E-2</v>
      </c>
      <c r="AZ2649" s="624">
        <v>42032</v>
      </c>
      <c r="BA2649" s="355">
        <v>9.1000000000000004E-3</v>
      </c>
      <c r="BB2649" s="624">
        <v>41963</v>
      </c>
      <c r="BC2649" s="355">
        <v>0.29759999999999998</v>
      </c>
      <c r="BD2649" s="624">
        <v>41963</v>
      </c>
      <c r="BE2649" s="355">
        <v>8.9950000000000002E-2</v>
      </c>
      <c r="BF2649" s="624">
        <v>42103</v>
      </c>
      <c r="BG2649" s="355">
        <v>1.6049000000000001E-2</v>
      </c>
      <c r="BH2649" s="624">
        <v>41963</v>
      </c>
      <c r="BI2649" s="355">
        <v>8.2305000000000003E-2</v>
      </c>
      <c r="BJ2649" s="624">
        <v>41962</v>
      </c>
      <c r="BK2649" s="355">
        <v>3.0453000000000001E-2</v>
      </c>
    </row>
    <row r="2650" spans="3:63" x14ac:dyDescent="0.15">
      <c r="C2650" s="624"/>
      <c r="D2650" s="355">
        <v>2.1610000000000001E-2</v>
      </c>
      <c r="AV2650" s="624"/>
      <c r="AX2650" s="624">
        <v>41969</v>
      </c>
      <c r="AY2650" s="355">
        <v>2.1090000000000001E-2</v>
      </c>
      <c r="AZ2650" s="624">
        <v>42033</v>
      </c>
      <c r="BA2650" s="355">
        <v>9.1999999999999998E-3</v>
      </c>
      <c r="BB2650" s="624">
        <v>41964</v>
      </c>
      <c r="BC2650" s="355">
        <v>0.29499999999999998</v>
      </c>
      <c r="BD2650" s="624">
        <v>41964</v>
      </c>
      <c r="BE2650" s="355">
        <v>8.9969999999999994E-2</v>
      </c>
      <c r="BF2650" s="624">
        <v>42104</v>
      </c>
      <c r="BG2650" s="355">
        <v>1.6057999999999999E-2</v>
      </c>
      <c r="BH2650" s="624">
        <v>41964</v>
      </c>
      <c r="BI2650" s="355">
        <v>8.2542000000000004E-2</v>
      </c>
      <c r="BJ2650" s="624">
        <v>41963</v>
      </c>
      <c r="BK2650" s="355">
        <v>3.049E-2</v>
      </c>
    </row>
    <row r="2651" spans="3:63" x14ac:dyDescent="0.15">
      <c r="C2651" s="624"/>
      <c r="D2651" s="355">
        <v>2.1090000000000001E-2</v>
      </c>
      <c r="AV2651" s="624"/>
      <c r="AX2651" s="624">
        <v>41970</v>
      </c>
      <c r="AY2651" s="355">
        <v>2.0559999999999998E-2</v>
      </c>
      <c r="AZ2651" s="624">
        <v>42034</v>
      </c>
      <c r="BA2651" s="355">
        <v>9.1999999999999998E-3</v>
      </c>
      <c r="BB2651" s="624">
        <v>41967</v>
      </c>
      <c r="BC2651" s="355">
        <v>0.29649999999999999</v>
      </c>
      <c r="BD2651" s="624">
        <v>41967</v>
      </c>
      <c r="BE2651" s="355">
        <v>8.9770000000000003E-2</v>
      </c>
      <c r="BF2651" s="624">
        <v>42107</v>
      </c>
      <c r="BG2651" s="355">
        <v>1.6018999999999999E-2</v>
      </c>
      <c r="BH2651" s="624">
        <v>41967</v>
      </c>
      <c r="BI2651" s="355">
        <v>8.2337999999999995E-2</v>
      </c>
      <c r="BJ2651" s="624">
        <v>41964</v>
      </c>
      <c r="BK2651" s="355">
        <v>3.0504E-2</v>
      </c>
    </row>
    <row r="2652" spans="3:63" x14ac:dyDescent="0.15">
      <c r="C2652" s="624"/>
      <c r="D2652" s="355">
        <v>2.0559999999999998E-2</v>
      </c>
      <c r="AV2652" s="624"/>
      <c r="AX2652" s="624">
        <v>41971</v>
      </c>
      <c r="AY2652" s="355">
        <v>1.983E-2</v>
      </c>
      <c r="AZ2652" s="624">
        <v>42037</v>
      </c>
      <c r="BA2652" s="355">
        <v>9.2999999999999992E-3</v>
      </c>
      <c r="BB2652" s="624">
        <v>41968</v>
      </c>
      <c r="BC2652" s="355">
        <v>0.29870000000000002</v>
      </c>
      <c r="BD2652" s="624">
        <v>41968</v>
      </c>
      <c r="BE2652" s="355">
        <v>9.0050000000000005E-2</v>
      </c>
      <c r="BF2652" s="624">
        <v>42108</v>
      </c>
      <c r="BG2652" s="355">
        <v>1.6057999999999999E-2</v>
      </c>
      <c r="BH2652" s="624">
        <v>41968</v>
      </c>
      <c r="BI2652" s="355">
        <v>8.2304000000000002E-2</v>
      </c>
      <c r="BJ2652" s="624">
        <v>41967</v>
      </c>
      <c r="BK2652" s="355">
        <v>3.0461999999999999E-2</v>
      </c>
    </row>
    <row r="2653" spans="3:63" x14ac:dyDescent="0.15">
      <c r="C2653" s="624"/>
      <c r="D2653" s="355">
        <v>1.983E-2</v>
      </c>
      <c r="AV2653" s="624"/>
      <c r="AX2653" s="624">
        <v>41974</v>
      </c>
      <c r="AY2653" s="355">
        <v>1.9539999999999998E-2</v>
      </c>
      <c r="AZ2653" s="624">
        <v>42038</v>
      </c>
      <c r="BA2653" s="355">
        <v>9.4000000000000004E-3</v>
      </c>
      <c r="BB2653" s="624">
        <v>41969</v>
      </c>
      <c r="BC2653" s="355">
        <v>0.29930000000000001</v>
      </c>
      <c r="BD2653" s="624">
        <v>41969</v>
      </c>
      <c r="BE2653" s="355">
        <v>9.06E-2</v>
      </c>
      <c r="BF2653" s="624">
        <v>42109</v>
      </c>
      <c r="BG2653" s="355">
        <v>1.6029999999999999E-2</v>
      </c>
      <c r="BH2653" s="624">
        <v>41969</v>
      </c>
      <c r="BI2653" s="355">
        <v>8.2197999999999993E-2</v>
      </c>
      <c r="BJ2653" s="624">
        <v>41968</v>
      </c>
      <c r="BK2653" s="355">
        <v>3.0504E-2</v>
      </c>
    </row>
    <row r="2654" spans="3:63" x14ac:dyDescent="0.15">
      <c r="C2654" s="624"/>
      <c r="D2654" s="355">
        <v>1.9539999999999998E-2</v>
      </c>
      <c r="AV2654" s="624"/>
      <c r="AX2654" s="624">
        <v>41975</v>
      </c>
      <c r="AY2654" s="355">
        <v>1.856E-2</v>
      </c>
      <c r="AZ2654" s="624">
        <v>42039</v>
      </c>
      <c r="BA2654" s="355">
        <v>9.2999999999999992E-3</v>
      </c>
      <c r="BB2654" s="624">
        <v>41970</v>
      </c>
      <c r="BC2654" s="355">
        <v>0.2984</v>
      </c>
      <c r="BD2654" s="624">
        <v>41970</v>
      </c>
      <c r="BE2654" s="355">
        <v>9.0880000000000002E-2</v>
      </c>
      <c r="BF2654" s="624">
        <v>42110</v>
      </c>
      <c r="BG2654" s="355">
        <v>1.6046000000000001E-2</v>
      </c>
      <c r="BH2654" s="624">
        <v>41970</v>
      </c>
      <c r="BI2654" s="355">
        <v>8.2324999999999995E-2</v>
      </c>
      <c r="BJ2654" s="624">
        <v>41969</v>
      </c>
      <c r="BK2654" s="355">
        <v>3.0526999999999999E-2</v>
      </c>
    </row>
    <row r="2655" spans="3:63" x14ac:dyDescent="0.15">
      <c r="C2655" s="624"/>
      <c r="D2655" s="355">
        <v>1.856E-2</v>
      </c>
      <c r="AV2655" s="624"/>
      <c r="AX2655" s="624">
        <v>41976</v>
      </c>
      <c r="AY2655" s="355">
        <v>1.8780000000000002E-2</v>
      </c>
      <c r="AZ2655" s="624">
        <v>42040</v>
      </c>
      <c r="BA2655" s="355">
        <v>9.4000000000000004E-3</v>
      </c>
      <c r="BB2655" s="624">
        <v>41971</v>
      </c>
      <c r="BC2655" s="355">
        <v>0.29759999999999998</v>
      </c>
      <c r="BD2655" s="624">
        <v>41971</v>
      </c>
      <c r="BE2655" s="355">
        <v>8.9829999999999993E-2</v>
      </c>
      <c r="BF2655" s="624">
        <v>42111</v>
      </c>
      <c r="BG2655" s="355">
        <v>1.5990000000000001E-2</v>
      </c>
      <c r="BH2655" s="624">
        <v>41971</v>
      </c>
      <c r="BI2655" s="355">
        <v>8.1953999999999999E-2</v>
      </c>
      <c r="BJ2655" s="624">
        <v>41970</v>
      </c>
      <c r="BK2655" s="355">
        <v>3.0519000000000001E-2</v>
      </c>
    </row>
    <row r="2656" spans="3:63" x14ac:dyDescent="0.15">
      <c r="C2656" s="624"/>
      <c r="D2656" s="355">
        <v>1.8780000000000002E-2</v>
      </c>
      <c r="AV2656" s="624"/>
      <c r="AX2656" s="624">
        <v>41977</v>
      </c>
      <c r="AY2656" s="355">
        <v>1.839E-2</v>
      </c>
      <c r="AZ2656" s="624">
        <v>42041</v>
      </c>
      <c r="BA2656" s="355">
        <v>9.2999999999999992E-3</v>
      </c>
      <c r="BB2656" s="624">
        <v>41974</v>
      </c>
      <c r="BC2656" s="355">
        <v>0.29849999999999999</v>
      </c>
      <c r="BD2656" s="624">
        <v>41974</v>
      </c>
      <c r="BE2656" s="355">
        <v>9.0109999999999996E-2</v>
      </c>
      <c r="BF2656" s="624">
        <v>42114</v>
      </c>
      <c r="BG2656" s="355">
        <v>1.5833E-2</v>
      </c>
      <c r="BH2656" s="624">
        <v>41974</v>
      </c>
      <c r="BI2656" s="355">
        <v>8.1466999999999998E-2</v>
      </c>
      <c r="BJ2656" s="624">
        <v>41971</v>
      </c>
      <c r="BK2656" s="355">
        <v>3.0440999999999999E-2</v>
      </c>
    </row>
    <row r="2657" spans="3:63" x14ac:dyDescent="0.15">
      <c r="C2657" s="624"/>
      <c r="D2657" s="355">
        <v>1.839E-2</v>
      </c>
      <c r="AV2657" s="624"/>
      <c r="AX2657" s="624">
        <v>41978</v>
      </c>
      <c r="AY2657" s="355">
        <v>1.898E-2</v>
      </c>
      <c r="AZ2657" s="624">
        <v>42044</v>
      </c>
      <c r="BA2657" s="355">
        <v>9.2999999999999992E-3</v>
      </c>
      <c r="BB2657" s="624">
        <v>41975</v>
      </c>
      <c r="BC2657" s="355">
        <v>0.2974</v>
      </c>
      <c r="BD2657" s="624">
        <v>41975</v>
      </c>
      <c r="BE2657" s="355">
        <v>8.9660000000000004E-2</v>
      </c>
      <c r="BF2657" s="624">
        <v>42115</v>
      </c>
      <c r="BG2657" s="355">
        <v>1.5906E-2</v>
      </c>
      <c r="BH2657" s="624">
        <v>41975</v>
      </c>
      <c r="BI2657" s="355">
        <v>8.1500000000000003E-2</v>
      </c>
      <c r="BJ2657" s="624">
        <v>41974</v>
      </c>
      <c r="BK2657" s="355">
        <v>3.0499999999999999E-2</v>
      </c>
    </row>
    <row r="2658" spans="3:63" x14ac:dyDescent="0.15">
      <c r="C2658" s="624"/>
      <c r="D2658" s="355">
        <v>1.898E-2</v>
      </c>
      <c r="AV2658" s="624"/>
      <c r="AX2658" s="624">
        <v>41981</v>
      </c>
      <c r="AY2658" s="355">
        <v>1.8610000000000002E-2</v>
      </c>
      <c r="AZ2658" s="624">
        <v>42045</v>
      </c>
      <c r="BA2658" s="355">
        <v>9.2999999999999992E-3</v>
      </c>
      <c r="BB2658" s="624">
        <v>41976</v>
      </c>
      <c r="BC2658" s="355">
        <v>0.2964</v>
      </c>
      <c r="BD2658" s="624">
        <v>41976</v>
      </c>
      <c r="BE2658" s="355">
        <v>8.9599999999999999E-2</v>
      </c>
      <c r="BF2658" s="624">
        <v>42116</v>
      </c>
      <c r="BG2658" s="355">
        <v>1.5875E-2</v>
      </c>
      <c r="BH2658" s="624">
        <v>41976</v>
      </c>
      <c r="BI2658" s="355">
        <v>8.1254999999999994E-2</v>
      </c>
      <c r="BJ2658" s="624">
        <v>41975</v>
      </c>
      <c r="BK2658" s="355">
        <v>3.0414E-2</v>
      </c>
    </row>
    <row r="2659" spans="3:63" x14ac:dyDescent="0.15">
      <c r="C2659" s="624"/>
      <c r="D2659" s="355">
        <v>1.8610000000000002E-2</v>
      </c>
      <c r="AV2659" s="624"/>
      <c r="AX2659" s="624">
        <v>41982</v>
      </c>
      <c r="AY2659" s="355">
        <v>1.8499999999999999E-2</v>
      </c>
      <c r="AZ2659" s="624">
        <v>42046</v>
      </c>
      <c r="BA2659" s="355">
        <v>9.2999999999999992E-3</v>
      </c>
      <c r="BB2659" s="624">
        <v>41977</v>
      </c>
      <c r="BC2659" s="355">
        <v>0.29780000000000001</v>
      </c>
      <c r="BD2659" s="624">
        <v>41977</v>
      </c>
      <c r="BE2659" s="355">
        <v>8.9899999999999994E-2</v>
      </c>
      <c r="BF2659" s="624">
        <v>42117</v>
      </c>
      <c r="BG2659" s="355">
        <v>1.5803999999999999E-2</v>
      </c>
      <c r="BH2659" s="624">
        <v>41977</v>
      </c>
      <c r="BI2659" s="355">
        <v>8.1350000000000006E-2</v>
      </c>
      <c r="BJ2659" s="624">
        <v>41976</v>
      </c>
      <c r="BK2659" s="355">
        <v>3.0418000000000001E-2</v>
      </c>
    </row>
    <row r="2660" spans="3:63" x14ac:dyDescent="0.15">
      <c r="C2660" s="624"/>
      <c r="D2660" s="355">
        <v>1.8499999999999999E-2</v>
      </c>
      <c r="AV2660" s="624"/>
      <c r="AX2660" s="624">
        <v>41983</v>
      </c>
      <c r="AY2660" s="355">
        <v>1.822E-2</v>
      </c>
      <c r="AZ2660" s="624">
        <v>42047</v>
      </c>
      <c r="BA2660" s="355">
        <v>9.4000000000000004E-3</v>
      </c>
      <c r="BB2660" s="624">
        <v>41978</v>
      </c>
      <c r="BC2660" s="355">
        <v>0.2954</v>
      </c>
      <c r="BD2660" s="624">
        <v>41978</v>
      </c>
      <c r="BE2660" s="355">
        <v>8.9149999999999993E-2</v>
      </c>
      <c r="BF2660" s="624">
        <v>42118</v>
      </c>
      <c r="BG2660" s="355">
        <v>1.5678000000000001E-2</v>
      </c>
      <c r="BH2660" s="624">
        <v>41978</v>
      </c>
      <c r="BI2660" s="355">
        <v>8.0750000000000002E-2</v>
      </c>
      <c r="BJ2660" s="624">
        <v>41977</v>
      </c>
      <c r="BK2660" s="355">
        <v>3.0393E-2</v>
      </c>
    </row>
    <row r="2661" spans="3:63" x14ac:dyDescent="0.15">
      <c r="C2661" s="624"/>
      <c r="D2661" s="355">
        <v>1.822E-2</v>
      </c>
      <c r="AV2661" s="624"/>
      <c r="AX2661" s="624">
        <v>41984</v>
      </c>
      <c r="AY2661" s="355">
        <v>1.772E-2</v>
      </c>
      <c r="AZ2661" s="624">
        <v>42048</v>
      </c>
      <c r="BA2661" s="355">
        <v>9.4000000000000004E-3</v>
      </c>
      <c r="BB2661" s="624">
        <v>41981</v>
      </c>
      <c r="BC2661" s="355">
        <v>0.29599999999999999</v>
      </c>
      <c r="BD2661" s="624">
        <v>41981</v>
      </c>
      <c r="BE2661" s="355">
        <v>8.9889999999999998E-2</v>
      </c>
      <c r="BF2661" s="624">
        <v>42121</v>
      </c>
      <c r="BG2661" s="355">
        <v>1.5802E-2</v>
      </c>
      <c r="BH2661" s="624">
        <v>41981</v>
      </c>
      <c r="BI2661" s="355">
        <v>8.0823999999999993E-2</v>
      </c>
      <c r="BJ2661" s="624">
        <v>41978</v>
      </c>
      <c r="BK2661" s="355">
        <v>3.0280000000000001E-2</v>
      </c>
    </row>
    <row r="2662" spans="3:63" x14ac:dyDescent="0.15">
      <c r="C2662" s="624"/>
      <c r="D2662" s="355">
        <v>1.772E-2</v>
      </c>
      <c r="AV2662" s="624"/>
      <c r="AX2662" s="624">
        <v>41985</v>
      </c>
      <c r="AY2662" s="355">
        <v>1.7180000000000001E-2</v>
      </c>
      <c r="AZ2662" s="624">
        <v>42051</v>
      </c>
      <c r="BA2662" s="355">
        <v>9.4000000000000004E-3</v>
      </c>
      <c r="BB2662" s="624">
        <v>41982</v>
      </c>
      <c r="BC2662" s="355">
        <v>0.29759999999999998</v>
      </c>
      <c r="BD2662" s="624">
        <v>41982</v>
      </c>
      <c r="BE2662" s="355">
        <v>9.0509999999999993E-2</v>
      </c>
      <c r="BF2662" s="624">
        <v>42122</v>
      </c>
      <c r="BG2662" s="355">
        <v>1.5859000000000002E-2</v>
      </c>
      <c r="BH2662" s="624">
        <v>41982</v>
      </c>
      <c r="BI2662" s="355">
        <v>8.0775E-2</v>
      </c>
      <c r="BJ2662" s="624">
        <v>41981</v>
      </c>
      <c r="BK2662" s="355">
        <v>3.0296E-2</v>
      </c>
    </row>
    <row r="2663" spans="3:63" x14ac:dyDescent="0.15">
      <c r="C2663" s="624"/>
      <c r="D2663" s="355">
        <v>1.7180000000000001E-2</v>
      </c>
      <c r="AV2663" s="624"/>
      <c r="AX2663" s="624">
        <v>41988</v>
      </c>
      <c r="AY2663" s="355">
        <v>1.528E-2</v>
      </c>
      <c r="AZ2663" s="624">
        <v>42052</v>
      </c>
      <c r="BA2663" s="355">
        <v>9.4000000000000004E-3</v>
      </c>
      <c r="BB2663" s="624">
        <v>41983</v>
      </c>
      <c r="BC2663" s="355">
        <v>0.29799999999999999</v>
      </c>
      <c r="BD2663" s="624">
        <v>41983</v>
      </c>
      <c r="BE2663" s="355">
        <v>9.0749999999999997E-2</v>
      </c>
      <c r="BF2663" s="624">
        <v>42123</v>
      </c>
      <c r="BG2663" s="355">
        <v>1.5757E-2</v>
      </c>
      <c r="BH2663" s="624">
        <v>41983</v>
      </c>
      <c r="BI2663" s="355">
        <v>8.1049999999999997E-2</v>
      </c>
      <c r="BJ2663" s="624">
        <v>41982</v>
      </c>
      <c r="BK2663" s="355">
        <v>3.0457000000000001E-2</v>
      </c>
    </row>
    <row r="2664" spans="3:63" x14ac:dyDescent="0.15">
      <c r="C2664" s="624"/>
      <c r="D2664" s="355">
        <v>1.528E-2</v>
      </c>
      <c r="AV2664" s="624"/>
      <c r="AX2664" s="624">
        <v>41989</v>
      </c>
      <c r="AY2664" s="355">
        <v>1.465E-2</v>
      </c>
      <c r="AZ2664" s="624">
        <v>42053</v>
      </c>
      <c r="BA2664" s="355">
        <v>9.4000000000000004E-3</v>
      </c>
      <c r="BB2664" s="624">
        <v>41984</v>
      </c>
      <c r="BC2664" s="355">
        <v>0.2974</v>
      </c>
      <c r="BD2664" s="624">
        <v>41984</v>
      </c>
      <c r="BE2664" s="355">
        <v>9.0670000000000001E-2</v>
      </c>
      <c r="BF2664" s="624">
        <v>42124</v>
      </c>
      <c r="BG2664" s="355">
        <v>1.5740000000000001E-2</v>
      </c>
      <c r="BH2664" s="624">
        <v>41984</v>
      </c>
      <c r="BI2664" s="355">
        <v>8.0321000000000004E-2</v>
      </c>
      <c r="BJ2664" s="624">
        <v>41983</v>
      </c>
      <c r="BK2664" s="355">
        <v>3.0509000000000001E-2</v>
      </c>
    </row>
    <row r="2665" spans="3:63" x14ac:dyDescent="0.15">
      <c r="C2665" s="624"/>
      <c r="D2665" s="355">
        <v>1.465E-2</v>
      </c>
      <c r="AV2665" s="624"/>
      <c r="AX2665" s="624">
        <v>41990</v>
      </c>
      <c r="AY2665" s="355">
        <v>1.651E-2</v>
      </c>
      <c r="AZ2665" s="624">
        <v>42054</v>
      </c>
      <c r="BA2665" s="355">
        <v>9.4000000000000004E-3</v>
      </c>
      <c r="BB2665" s="624">
        <v>41985</v>
      </c>
      <c r="BC2665" s="355">
        <v>0.29780000000000001</v>
      </c>
      <c r="BD2665" s="624">
        <v>41985</v>
      </c>
      <c r="BE2665" s="355">
        <v>9.0550000000000005E-2</v>
      </c>
      <c r="BF2665" s="624">
        <v>42125</v>
      </c>
      <c r="BG2665" s="355">
        <v>1.5692000000000001E-2</v>
      </c>
      <c r="BH2665" s="624">
        <v>41985</v>
      </c>
      <c r="BI2665" s="355">
        <v>7.9334000000000002E-2</v>
      </c>
      <c r="BJ2665" s="624">
        <v>41984</v>
      </c>
      <c r="BK2665" s="355">
        <v>3.0464999999999999E-2</v>
      </c>
    </row>
    <row r="2666" spans="3:63" x14ac:dyDescent="0.15">
      <c r="C2666" s="624"/>
      <c r="D2666" s="355">
        <v>1.651E-2</v>
      </c>
      <c r="AV2666" s="624"/>
      <c r="AX2666" s="624">
        <v>41991</v>
      </c>
      <c r="AY2666" s="355">
        <v>1.6140000000000002E-2</v>
      </c>
      <c r="AZ2666" s="624">
        <v>42055</v>
      </c>
      <c r="BA2666" s="355">
        <v>9.4999999999999998E-3</v>
      </c>
      <c r="BB2666" s="624">
        <v>41988</v>
      </c>
      <c r="BC2666" s="355">
        <v>0.29709999999999998</v>
      </c>
      <c r="BD2666" s="624">
        <v>41988</v>
      </c>
      <c r="BE2666" s="355">
        <v>9.1109999999999997E-2</v>
      </c>
      <c r="BF2666" s="624">
        <v>42128</v>
      </c>
      <c r="BG2666" s="355">
        <v>1.5717999999999999E-2</v>
      </c>
      <c r="BH2666" s="624">
        <v>41988</v>
      </c>
      <c r="BI2666" s="355">
        <v>7.7280000000000001E-2</v>
      </c>
      <c r="BJ2666" s="624">
        <v>41985</v>
      </c>
      <c r="BK2666" s="355">
        <v>3.0401000000000001E-2</v>
      </c>
    </row>
    <row r="2667" spans="3:63" x14ac:dyDescent="0.15">
      <c r="C2667" s="624"/>
      <c r="D2667" s="355">
        <v>1.6140000000000002E-2</v>
      </c>
      <c r="AV2667" s="624"/>
      <c r="AX2667" s="624">
        <v>41992</v>
      </c>
      <c r="AY2667" s="355">
        <v>1.6799999999999999E-2</v>
      </c>
      <c r="AZ2667" s="624">
        <v>42058</v>
      </c>
      <c r="BA2667" s="355">
        <v>9.4000000000000004E-3</v>
      </c>
      <c r="BB2667" s="624">
        <v>41989</v>
      </c>
      <c r="BC2667" s="355">
        <v>0.29680000000000001</v>
      </c>
      <c r="BD2667" s="624">
        <v>41989</v>
      </c>
      <c r="BE2667" s="355">
        <v>9.2509999999999995E-2</v>
      </c>
      <c r="BF2667" s="624">
        <v>42129</v>
      </c>
      <c r="BG2667" s="355">
        <v>1.5785E-2</v>
      </c>
      <c r="BH2667" s="624">
        <v>41989</v>
      </c>
      <c r="BI2667" s="355">
        <v>7.8548000000000007E-2</v>
      </c>
      <c r="BJ2667" s="624">
        <v>41988</v>
      </c>
      <c r="BK2667" s="355">
        <v>3.0327E-2</v>
      </c>
    </row>
    <row r="2668" spans="3:63" x14ac:dyDescent="0.15">
      <c r="C2668" s="624"/>
      <c r="D2668" s="355">
        <v>1.6799999999999999E-2</v>
      </c>
      <c r="AV2668" s="624"/>
      <c r="AX2668" s="624">
        <v>41995</v>
      </c>
      <c r="AY2668" s="355">
        <v>1.7919999999999998E-2</v>
      </c>
      <c r="AZ2668" s="624">
        <v>42059</v>
      </c>
      <c r="BA2668" s="355">
        <v>9.4000000000000004E-3</v>
      </c>
      <c r="BB2668" s="624">
        <v>41990</v>
      </c>
      <c r="BC2668" s="355">
        <v>0.29160000000000003</v>
      </c>
      <c r="BD2668" s="624">
        <v>41990</v>
      </c>
      <c r="BE2668" s="355">
        <v>9.1090000000000004E-2</v>
      </c>
      <c r="BF2668" s="624">
        <v>42130</v>
      </c>
      <c r="BG2668" s="355">
        <v>1.5727000000000001E-2</v>
      </c>
      <c r="BH2668" s="624">
        <v>41990</v>
      </c>
      <c r="BI2668" s="355">
        <v>7.8601000000000004E-2</v>
      </c>
      <c r="BJ2668" s="624">
        <v>41989</v>
      </c>
      <c r="BK2668" s="355">
        <v>3.0322000000000002E-2</v>
      </c>
    </row>
    <row r="2669" spans="3:63" x14ac:dyDescent="0.15">
      <c r="C2669" s="624"/>
      <c r="D2669" s="355">
        <v>1.7919999999999998E-2</v>
      </c>
      <c r="AV2669" s="624"/>
      <c r="AX2669" s="624">
        <v>41996</v>
      </c>
      <c r="AY2669" s="355">
        <v>1.83E-2</v>
      </c>
      <c r="AZ2669" s="624">
        <v>42060</v>
      </c>
      <c r="BA2669" s="355">
        <v>9.4000000000000004E-3</v>
      </c>
      <c r="BB2669" s="624">
        <v>41991</v>
      </c>
      <c r="BC2669" s="355">
        <v>0.28910000000000002</v>
      </c>
      <c r="BD2669" s="624">
        <v>41991</v>
      </c>
      <c r="BE2669" s="355">
        <v>9.0969999999999995E-2</v>
      </c>
      <c r="BF2669" s="624">
        <v>42131</v>
      </c>
      <c r="BG2669" s="355">
        <v>1.5589E-2</v>
      </c>
      <c r="BH2669" s="624">
        <v>41991</v>
      </c>
      <c r="BI2669" s="355">
        <v>8.0007999999999996E-2</v>
      </c>
      <c r="BJ2669" s="624">
        <v>41990</v>
      </c>
      <c r="BK2669" s="355">
        <v>3.0367999999999999E-2</v>
      </c>
    </row>
    <row r="2670" spans="3:63" x14ac:dyDescent="0.15">
      <c r="C2670" s="624"/>
      <c r="D2670" s="355">
        <v>1.83E-2</v>
      </c>
      <c r="AV2670" s="624"/>
      <c r="AX2670" s="624">
        <v>41997</v>
      </c>
      <c r="AY2670" s="355">
        <v>1.8759999999999999E-2</v>
      </c>
      <c r="AZ2670" s="624">
        <v>42061</v>
      </c>
      <c r="BA2670" s="355">
        <v>9.2999999999999992E-3</v>
      </c>
      <c r="BB2670" s="624">
        <v>41992</v>
      </c>
      <c r="BC2670" s="355">
        <v>0.2868</v>
      </c>
      <c r="BD2670" s="624">
        <v>41992</v>
      </c>
      <c r="BE2670" s="355">
        <v>9.0920000000000001E-2</v>
      </c>
      <c r="BF2670" s="624">
        <v>42132</v>
      </c>
      <c r="BG2670" s="355">
        <v>1.5703999999999999E-2</v>
      </c>
      <c r="BH2670" s="624">
        <v>41992</v>
      </c>
      <c r="BI2670" s="355">
        <v>8.0633999999999997E-2</v>
      </c>
      <c r="BJ2670" s="624">
        <v>41991</v>
      </c>
      <c r="BK2670" s="355">
        <v>3.0384999999999999E-2</v>
      </c>
    </row>
    <row r="2671" spans="3:63" x14ac:dyDescent="0.15">
      <c r="C2671" s="624"/>
      <c r="D2671" s="355">
        <v>1.8759999999999999E-2</v>
      </c>
      <c r="AV2671" s="624"/>
      <c r="AX2671" s="624">
        <v>41998</v>
      </c>
      <c r="AY2671" s="355">
        <v>1.8890000000000001E-2</v>
      </c>
      <c r="AZ2671" s="624">
        <v>42062</v>
      </c>
      <c r="BA2671" s="355">
        <v>9.2999999999999992E-3</v>
      </c>
      <c r="BB2671" s="624">
        <v>41995</v>
      </c>
      <c r="BC2671" s="355">
        <v>0.28699999999999998</v>
      </c>
      <c r="BD2671" s="624">
        <v>41995</v>
      </c>
      <c r="BE2671" s="355">
        <v>9.0899999999999995E-2</v>
      </c>
      <c r="BF2671" s="624">
        <v>42135</v>
      </c>
      <c r="BG2671" s="355">
        <v>1.5606999999999999E-2</v>
      </c>
      <c r="BH2671" s="624">
        <v>41995</v>
      </c>
      <c r="BI2671" s="355">
        <v>8.0172999999999994E-2</v>
      </c>
      <c r="BJ2671" s="624">
        <v>41992</v>
      </c>
      <c r="BK2671" s="355">
        <v>3.0429000000000001E-2</v>
      </c>
    </row>
    <row r="2672" spans="3:63" x14ac:dyDescent="0.15">
      <c r="C2672" s="624"/>
      <c r="D2672" s="355">
        <v>1.8890000000000001E-2</v>
      </c>
      <c r="AV2672" s="624"/>
      <c r="AX2672" s="624">
        <v>41999</v>
      </c>
      <c r="AY2672" s="355">
        <v>1.8519999999999998E-2</v>
      </c>
      <c r="AZ2672" s="624">
        <v>42065</v>
      </c>
      <c r="BA2672" s="355">
        <v>9.2999999999999992E-3</v>
      </c>
      <c r="BB2672" s="624">
        <v>41996</v>
      </c>
      <c r="BC2672" s="355">
        <v>0.28299999999999997</v>
      </c>
      <c r="BD2672" s="624">
        <v>41996</v>
      </c>
      <c r="BE2672" s="355">
        <v>9.0359999999999996E-2</v>
      </c>
      <c r="BF2672" s="624">
        <v>42136</v>
      </c>
      <c r="BG2672" s="355">
        <v>1.5566E-2</v>
      </c>
      <c r="BH2672" s="624">
        <v>41996</v>
      </c>
      <c r="BI2672" s="355">
        <v>7.9751000000000002E-2</v>
      </c>
      <c r="BJ2672" s="624">
        <v>41995</v>
      </c>
      <c r="BK2672" s="355">
        <v>3.0393E-2</v>
      </c>
    </row>
    <row r="2673" spans="3:63" x14ac:dyDescent="0.15">
      <c r="C2673" s="624"/>
      <c r="D2673" s="355">
        <v>1.8519999999999998E-2</v>
      </c>
      <c r="AV2673" s="624"/>
      <c r="AX2673" s="624">
        <v>42002</v>
      </c>
      <c r="AY2673" s="355">
        <v>1.6930000000000001E-2</v>
      </c>
      <c r="AZ2673" s="624">
        <v>42066</v>
      </c>
      <c r="BA2673" s="355">
        <v>9.1999999999999998E-3</v>
      </c>
      <c r="BB2673" s="624">
        <v>41997</v>
      </c>
      <c r="BC2673" s="355">
        <v>0.28079999999999999</v>
      </c>
      <c r="BD2673" s="624">
        <v>41997</v>
      </c>
      <c r="BE2673" s="355">
        <v>9.0499999999999997E-2</v>
      </c>
      <c r="BF2673" s="624">
        <v>42137</v>
      </c>
      <c r="BG2673" s="355">
        <v>1.562E-2</v>
      </c>
      <c r="BH2673" s="624">
        <v>41997</v>
      </c>
      <c r="BI2673" s="355">
        <v>8.0366000000000007E-2</v>
      </c>
      <c r="BJ2673" s="624">
        <v>41996</v>
      </c>
      <c r="BK2673" s="355">
        <v>3.0391000000000001E-2</v>
      </c>
    </row>
    <row r="2674" spans="3:63" x14ac:dyDescent="0.15">
      <c r="C2674" s="624"/>
      <c r="D2674" s="355">
        <v>1.6930000000000001E-2</v>
      </c>
      <c r="AV2674" s="624"/>
      <c r="AX2674" s="624">
        <v>42003</v>
      </c>
      <c r="AY2674" s="355">
        <v>1.8030000000000001E-2</v>
      </c>
      <c r="AZ2674" s="624">
        <v>42067</v>
      </c>
      <c r="BA2674" s="355">
        <v>9.1999999999999998E-3</v>
      </c>
      <c r="BB2674" s="624">
        <v>41998</v>
      </c>
      <c r="BC2674" s="355">
        <v>0.28170000000000001</v>
      </c>
      <c r="BD2674" s="624">
        <v>41998</v>
      </c>
      <c r="BE2674" s="355">
        <v>9.0759999999999993E-2</v>
      </c>
      <c r="BF2674" s="624">
        <v>42138</v>
      </c>
      <c r="BG2674" s="355">
        <v>1.5764E-2</v>
      </c>
      <c r="BH2674" s="624">
        <v>41998</v>
      </c>
      <c r="BI2674" s="355">
        <v>8.0191999999999999E-2</v>
      </c>
      <c r="BJ2674" s="624">
        <v>41997</v>
      </c>
      <c r="BK2674" s="355">
        <v>3.0412000000000002E-2</v>
      </c>
    </row>
    <row r="2675" spans="3:63" x14ac:dyDescent="0.15">
      <c r="C2675" s="624"/>
      <c r="D2675" s="355">
        <v>1.8030000000000001E-2</v>
      </c>
      <c r="AV2675" s="624"/>
      <c r="AX2675" s="624">
        <v>42004</v>
      </c>
      <c r="AY2675" s="355">
        <v>1.7229999999999999E-2</v>
      </c>
      <c r="AZ2675" s="624">
        <v>42068</v>
      </c>
      <c r="BA2675" s="355">
        <v>9.1000000000000004E-3</v>
      </c>
      <c r="BB2675" s="624">
        <v>41999</v>
      </c>
      <c r="BC2675" s="355">
        <v>0.2777</v>
      </c>
      <c r="BD2675" s="624">
        <v>41999</v>
      </c>
      <c r="BE2675" s="355">
        <v>9.0410000000000004E-2</v>
      </c>
      <c r="BF2675" s="624">
        <v>42139</v>
      </c>
      <c r="BG2675" s="355">
        <v>1.5762999999999999E-2</v>
      </c>
      <c r="BH2675" s="624">
        <v>41999</v>
      </c>
      <c r="BI2675" s="355">
        <v>8.0436999999999995E-2</v>
      </c>
      <c r="BJ2675" s="624">
        <v>41998</v>
      </c>
      <c r="BK2675" s="355">
        <v>3.0429999999999999E-2</v>
      </c>
    </row>
    <row r="2676" spans="3:63" x14ac:dyDescent="0.15">
      <c r="C2676" s="624"/>
      <c r="D2676" s="355">
        <v>1.7229999999999999E-2</v>
      </c>
      <c r="AV2676" s="624"/>
      <c r="AX2676" s="624">
        <v>42005</v>
      </c>
      <c r="AY2676" s="355">
        <v>1.7229999999999999E-2</v>
      </c>
      <c r="AZ2676" s="624">
        <v>42069</v>
      </c>
      <c r="BA2676" s="355">
        <v>8.9999999999999993E-3</v>
      </c>
      <c r="BB2676" s="624">
        <v>42002</v>
      </c>
      <c r="BC2676" s="355">
        <v>0.28189999999999998</v>
      </c>
      <c r="BD2676" s="624">
        <v>42002</v>
      </c>
      <c r="BE2676" s="355">
        <v>9.0880000000000002E-2</v>
      </c>
      <c r="BF2676" s="624">
        <v>42142</v>
      </c>
      <c r="BG2676" s="355">
        <v>1.5689000000000002E-2</v>
      </c>
      <c r="BH2676" s="624">
        <v>42002</v>
      </c>
      <c r="BI2676" s="355">
        <v>8.0463000000000007E-2</v>
      </c>
      <c r="BJ2676" s="624">
        <v>41999</v>
      </c>
      <c r="BK2676" s="355">
        <v>3.0388999999999999E-2</v>
      </c>
    </row>
    <row r="2677" spans="3:63" x14ac:dyDescent="0.15">
      <c r="C2677" s="624"/>
      <c r="D2677" s="355">
        <v>1.7229999999999999E-2</v>
      </c>
      <c r="AV2677" s="624"/>
      <c r="AX2677" s="624">
        <v>42006</v>
      </c>
      <c r="AY2677" s="355">
        <v>1.6969999999999999E-2</v>
      </c>
      <c r="AZ2677" s="624">
        <v>42072</v>
      </c>
      <c r="BA2677" s="355">
        <v>8.9999999999999993E-3</v>
      </c>
      <c r="BB2677" s="624">
        <v>42003</v>
      </c>
      <c r="BC2677" s="355">
        <v>0.28420000000000001</v>
      </c>
      <c r="BD2677" s="624">
        <v>42003</v>
      </c>
      <c r="BE2677" s="355">
        <v>9.1170000000000001E-2</v>
      </c>
      <c r="BF2677" s="624">
        <v>42143</v>
      </c>
      <c r="BG2677" s="355">
        <v>1.5682999999999999E-2</v>
      </c>
      <c r="BH2677" s="624">
        <v>42003</v>
      </c>
      <c r="BI2677" s="355">
        <v>8.0561999999999995E-2</v>
      </c>
      <c r="BJ2677" s="624">
        <v>42002</v>
      </c>
      <c r="BK2677" s="355">
        <v>3.0348E-2</v>
      </c>
    </row>
    <row r="2678" spans="3:63" x14ac:dyDescent="0.15">
      <c r="C2678" s="624"/>
      <c r="D2678" s="355">
        <v>1.6969999999999999E-2</v>
      </c>
      <c r="AV2678" s="624"/>
      <c r="AX2678" s="624">
        <v>42009</v>
      </c>
      <c r="AY2678" s="355">
        <v>1.652E-2</v>
      </c>
      <c r="AZ2678" s="624">
        <v>42073</v>
      </c>
      <c r="BA2678" s="355">
        <v>8.8000000000000005E-3</v>
      </c>
      <c r="BB2678" s="624">
        <v>42004</v>
      </c>
      <c r="BC2678" s="355">
        <v>0.2823</v>
      </c>
      <c r="BD2678" s="624">
        <v>42004</v>
      </c>
      <c r="BE2678" s="355">
        <v>9.1410000000000005E-2</v>
      </c>
      <c r="BF2678" s="624">
        <v>42144</v>
      </c>
      <c r="BG2678" s="355">
        <v>1.5723000000000001E-2</v>
      </c>
      <c r="BH2678" s="624">
        <v>42004</v>
      </c>
      <c r="BI2678" s="355">
        <v>8.0421000000000006E-2</v>
      </c>
      <c r="BJ2678" s="624">
        <v>42003</v>
      </c>
      <c r="BK2678" s="355">
        <v>3.0426999999999999E-2</v>
      </c>
    </row>
    <row r="2679" spans="3:63" x14ac:dyDescent="0.15">
      <c r="C2679" s="624"/>
      <c r="D2679" s="355">
        <v>1.652E-2</v>
      </c>
      <c r="AV2679" s="624"/>
      <c r="AX2679" s="624">
        <v>42010</v>
      </c>
      <c r="AY2679" s="355">
        <v>1.584E-2</v>
      </c>
      <c r="AZ2679" s="624">
        <v>42074</v>
      </c>
      <c r="BA2679" s="355">
        <v>8.8999999999999999E-3</v>
      </c>
      <c r="BB2679" s="624">
        <v>42005</v>
      </c>
      <c r="BC2679" s="355">
        <v>0.28249999999999997</v>
      </c>
      <c r="BD2679" s="624">
        <v>42005</v>
      </c>
      <c r="BE2679" s="355">
        <v>9.1469999999999996E-2</v>
      </c>
      <c r="BF2679" s="624">
        <v>42145</v>
      </c>
      <c r="BG2679" s="355">
        <v>1.5720999999999999E-2</v>
      </c>
      <c r="BH2679" s="624">
        <v>42005</v>
      </c>
      <c r="BI2679" s="355">
        <v>8.0411999999999997E-2</v>
      </c>
      <c r="BJ2679" s="624">
        <v>42004</v>
      </c>
      <c r="BK2679" s="355">
        <v>3.0391000000000001E-2</v>
      </c>
    </row>
    <row r="2680" spans="3:63" x14ac:dyDescent="0.15">
      <c r="C2680" s="624"/>
      <c r="D2680" s="355">
        <v>1.584E-2</v>
      </c>
      <c r="AV2680" s="624"/>
      <c r="AX2680" s="624">
        <v>42011</v>
      </c>
      <c r="AY2680" s="355">
        <v>1.5939999999999999E-2</v>
      </c>
      <c r="AZ2680" s="624">
        <v>42075</v>
      </c>
      <c r="BA2680" s="355">
        <v>8.8000000000000005E-3</v>
      </c>
      <c r="BB2680" s="624">
        <v>42006</v>
      </c>
      <c r="BC2680" s="355">
        <v>0.27879999999999999</v>
      </c>
      <c r="BD2680" s="624">
        <v>42006</v>
      </c>
      <c r="BE2680" s="355">
        <v>9.0319999999999998E-2</v>
      </c>
      <c r="BF2680" s="624">
        <v>42146</v>
      </c>
      <c r="BG2680" s="355">
        <v>1.5737999999999999E-2</v>
      </c>
      <c r="BH2680" s="624">
        <v>42006</v>
      </c>
      <c r="BI2680" s="355">
        <v>7.9834000000000002E-2</v>
      </c>
      <c r="BJ2680" s="624">
        <v>42005</v>
      </c>
      <c r="BK2680" s="355">
        <v>3.0379E-2</v>
      </c>
    </row>
    <row r="2681" spans="3:63" x14ac:dyDescent="0.15">
      <c r="C2681" s="624"/>
      <c r="D2681" s="355">
        <v>1.5939999999999999E-2</v>
      </c>
      <c r="AV2681" s="624"/>
      <c r="AX2681" s="624">
        <v>42012</v>
      </c>
      <c r="AY2681" s="355">
        <v>1.661E-2</v>
      </c>
      <c r="AZ2681" s="624">
        <v>42076</v>
      </c>
      <c r="BA2681" s="355">
        <v>8.6999999999999994E-3</v>
      </c>
      <c r="BB2681" s="624">
        <v>42009</v>
      </c>
      <c r="BC2681" s="355">
        <v>0.2782</v>
      </c>
      <c r="BD2681" s="624">
        <v>42009</v>
      </c>
      <c r="BE2681" s="355">
        <v>9.01E-2</v>
      </c>
      <c r="BF2681" s="624">
        <v>42149</v>
      </c>
      <c r="BG2681" s="355">
        <v>1.5723000000000001E-2</v>
      </c>
      <c r="BH2681" s="624">
        <v>42009</v>
      </c>
      <c r="BI2681" s="355">
        <v>7.9228999999999994E-2</v>
      </c>
      <c r="BJ2681" s="624">
        <v>42006</v>
      </c>
      <c r="BK2681" s="355">
        <v>3.0339999999999999E-2</v>
      </c>
    </row>
    <row r="2682" spans="3:63" x14ac:dyDescent="0.15">
      <c r="C2682" s="624"/>
      <c r="D2682" s="355">
        <v>1.661E-2</v>
      </c>
      <c r="AV2682" s="624"/>
      <c r="AX2682" s="624">
        <v>42013</v>
      </c>
      <c r="AY2682" s="355">
        <v>1.6140000000000002E-2</v>
      </c>
      <c r="AZ2682" s="624">
        <v>42079</v>
      </c>
      <c r="BA2682" s="355">
        <v>8.8000000000000005E-3</v>
      </c>
      <c r="BB2682" s="624">
        <v>42010</v>
      </c>
      <c r="BC2682" s="355">
        <v>0.27529999999999999</v>
      </c>
      <c r="BD2682" s="624">
        <v>42010</v>
      </c>
      <c r="BE2682" s="355">
        <v>9.0980000000000005E-2</v>
      </c>
      <c r="BF2682" s="624">
        <v>42150</v>
      </c>
      <c r="BG2682" s="355">
        <v>1.5632E-2</v>
      </c>
      <c r="BH2682" s="624">
        <v>42010</v>
      </c>
      <c r="BI2682" s="355">
        <v>7.9036999999999996E-2</v>
      </c>
      <c r="BJ2682" s="624">
        <v>42009</v>
      </c>
      <c r="BK2682" s="355">
        <v>3.0332000000000001E-2</v>
      </c>
    </row>
    <row r="2683" spans="3:63" x14ac:dyDescent="0.15">
      <c r="C2683" s="624"/>
      <c r="D2683" s="355">
        <v>1.6140000000000002E-2</v>
      </c>
      <c r="AV2683" s="624"/>
      <c r="AX2683" s="624">
        <v>42016</v>
      </c>
      <c r="AY2683" s="355">
        <v>1.584E-2</v>
      </c>
      <c r="AZ2683" s="624">
        <v>42080</v>
      </c>
      <c r="BA2683" s="355">
        <v>8.8000000000000005E-3</v>
      </c>
      <c r="BB2683" s="624">
        <v>42011</v>
      </c>
      <c r="BC2683" s="355">
        <v>0.2757</v>
      </c>
      <c r="BD2683" s="624">
        <v>42011</v>
      </c>
      <c r="BE2683" s="355">
        <v>9.1020000000000004E-2</v>
      </c>
      <c r="BF2683" s="624">
        <v>42151</v>
      </c>
      <c r="BG2683" s="355">
        <v>1.5646E-2</v>
      </c>
      <c r="BH2683" s="624">
        <v>42011</v>
      </c>
      <c r="BI2683" s="355">
        <v>7.8864000000000004E-2</v>
      </c>
      <c r="BJ2683" s="624">
        <v>42010</v>
      </c>
      <c r="BK2683" s="355">
        <v>3.0425000000000001E-2</v>
      </c>
    </row>
    <row r="2684" spans="3:63" x14ac:dyDescent="0.15">
      <c r="C2684" s="624"/>
      <c r="D2684" s="355">
        <v>1.584E-2</v>
      </c>
      <c r="AV2684" s="624"/>
      <c r="AX2684" s="624">
        <v>42017</v>
      </c>
      <c r="AY2684" s="355">
        <v>1.529E-2</v>
      </c>
      <c r="AZ2684" s="624">
        <v>42081</v>
      </c>
      <c r="BA2684" s="355">
        <v>9.1000000000000004E-3</v>
      </c>
      <c r="BB2684" s="624">
        <v>42012</v>
      </c>
      <c r="BC2684" s="355">
        <v>0.27539999999999998</v>
      </c>
      <c r="BD2684" s="624">
        <v>42012</v>
      </c>
      <c r="BE2684" s="355">
        <v>9.128E-2</v>
      </c>
      <c r="BF2684" s="624">
        <v>42152</v>
      </c>
      <c r="BG2684" s="355">
        <v>1.5679999999999999E-2</v>
      </c>
      <c r="BH2684" s="624">
        <v>42012</v>
      </c>
      <c r="BI2684" s="355">
        <v>7.8958E-2</v>
      </c>
      <c r="BJ2684" s="624">
        <v>42011</v>
      </c>
      <c r="BK2684" s="355">
        <v>3.0432000000000001E-2</v>
      </c>
    </row>
    <row r="2685" spans="3:63" x14ac:dyDescent="0.15">
      <c r="C2685" s="624"/>
      <c r="D2685" s="355">
        <v>1.529E-2</v>
      </c>
      <c r="AV2685" s="624"/>
      <c r="AX2685" s="624">
        <v>42018</v>
      </c>
      <c r="AY2685" s="355">
        <v>1.5469999999999999E-2</v>
      </c>
      <c r="AZ2685" s="624">
        <v>42082</v>
      </c>
      <c r="BA2685" s="355">
        <v>8.8999999999999999E-3</v>
      </c>
      <c r="BB2685" s="624">
        <v>42013</v>
      </c>
      <c r="BC2685" s="355">
        <v>0.27760000000000001</v>
      </c>
      <c r="BD2685" s="624">
        <v>42013</v>
      </c>
      <c r="BE2685" s="355">
        <v>9.214E-2</v>
      </c>
      <c r="BF2685" s="624">
        <v>42153</v>
      </c>
      <c r="BG2685" s="355">
        <v>1.5677E-2</v>
      </c>
      <c r="BH2685" s="624">
        <v>42013</v>
      </c>
      <c r="BI2685" s="355">
        <v>7.9468999999999998E-2</v>
      </c>
      <c r="BJ2685" s="624">
        <v>42012</v>
      </c>
      <c r="BK2685" s="355">
        <v>3.0425000000000001E-2</v>
      </c>
    </row>
    <row r="2686" spans="3:63" x14ac:dyDescent="0.15">
      <c r="C2686" s="624"/>
      <c r="D2686" s="355">
        <v>1.5469999999999999E-2</v>
      </c>
      <c r="AV2686" s="624"/>
      <c r="AX2686" s="624">
        <v>42019</v>
      </c>
      <c r="AY2686" s="355">
        <v>1.533E-2</v>
      </c>
      <c r="AZ2686" s="624">
        <v>42083</v>
      </c>
      <c r="BA2686" s="355">
        <v>8.9999999999999993E-3</v>
      </c>
      <c r="BB2686" s="624">
        <v>42016</v>
      </c>
      <c r="BC2686" s="355">
        <v>0.27679999999999999</v>
      </c>
      <c r="BD2686" s="624">
        <v>42016</v>
      </c>
      <c r="BE2686" s="355">
        <v>9.2359999999999998E-2</v>
      </c>
      <c r="BF2686" s="624">
        <v>42156</v>
      </c>
      <c r="BG2686" s="355">
        <v>1.5723000000000001E-2</v>
      </c>
      <c r="BH2686" s="624">
        <v>42016</v>
      </c>
      <c r="BI2686" s="355">
        <v>7.9566999999999999E-2</v>
      </c>
      <c r="BJ2686" s="624">
        <v>42013</v>
      </c>
      <c r="BK2686" s="355">
        <v>3.0414E-2</v>
      </c>
    </row>
    <row r="2687" spans="3:63" x14ac:dyDescent="0.15">
      <c r="C2687" s="624"/>
      <c r="D2687" s="355">
        <v>1.533E-2</v>
      </c>
      <c r="AV2687" s="624"/>
      <c r="AX2687" s="624">
        <v>42020</v>
      </c>
      <c r="AY2687" s="355">
        <v>1.532E-2</v>
      </c>
      <c r="AZ2687" s="624">
        <v>42086</v>
      </c>
      <c r="BA2687" s="355">
        <v>9.1000000000000004E-3</v>
      </c>
      <c r="BB2687" s="624">
        <v>42017</v>
      </c>
      <c r="BC2687" s="355">
        <v>0.27479999999999999</v>
      </c>
      <c r="BD2687" s="624">
        <v>42017</v>
      </c>
      <c r="BE2687" s="355">
        <v>9.2689999999999995E-2</v>
      </c>
      <c r="BF2687" s="624">
        <v>42157</v>
      </c>
      <c r="BG2687" s="355">
        <v>1.5702000000000001E-2</v>
      </c>
      <c r="BH2687" s="624">
        <v>42017</v>
      </c>
      <c r="BI2687" s="355">
        <v>7.9289999999999999E-2</v>
      </c>
      <c r="BJ2687" s="624">
        <v>42016</v>
      </c>
      <c r="BK2687" s="355">
        <v>3.0415999999999999E-2</v>
      </c>
    </row>
    <row r="2688" spans="3:63" x14ac:dyDescent="0.15">
      <c r="C2688" s="624"/>
      <c r="D2688" s="355">
        <v>1.532E-2</v>
      </c>
      <c r="AV2688" s="624"/>
      <c r="AX2688" s="624">
        <v>42023</v>
      </c>
      <c r="AY2688" s="355">
        <v>1.54E-2</v>
      </c>
      <c r="AZ2688" s="624">
        <v>42087</v>
      </c>
      <c r="BA2688" s="355">
        <v>9.1000000000000004E-3</v>
      </c>
      <c r="BB2688" s="624">
        <v>42018</v>
      </c>
      <c r="BC2688" s="355">
        <v>0.27689999999999998</v>
      </c>
      <c r="BD2688" s="624">
        <v>42018</v>
      </c>
      <c r="BE2688" s="355">
        <v>9.2329999999999995E-2</v>
      </c>
      <c r="BF2688" s="624">
        <v>42158</v>
      </c>
      <c r="BG2688" s="355">
        <v>1.5622E-2</v>
      </c>
      <c r="BH2688" s="624">
        <v>42018</v>
      </c>
      <c r="BI2688" s="355">
        <v>7.9485E-2</v>
      </c>
      <c r="BJ2688" s="624">
        <v>42017</v>
      </c>
      <c r="BK2688" s="355">
        <v>3.0476E-2</v>
      </c>
    </row>
    <row r="2689" spans="3:63" x14ac:dyDescent="0.15">
      <c r="C2689" s="624"/>
      <c r="D2689" s="355">
        <v>1.54E-2</v>
      </c>
      <c r="AV2689" s="624"/>
      <c r="AX2689" s="624">
        <v>42024</v>
      </c>
      <c r="AY2689" s="355">
        <v>1.533E-2</v>
      </c>
      <c r="AZ2689" s="624">
        <v>42088</v>
      </c>
      <c r="BA2689" s="355">
        <v>9.1000000000000004E-3</v>
      </c>
      <c r="BB2689" s="624">
        <v>42019</v>
      </c>
      <c r="BC2689" s="355">
        <v>0.26960000000000001</v>
      </c>
      <c r="BD2689" s="624">
        <v>42019</v>
      </c>
      <c r="BE2689" s="355">
        <v>9.2960000000000001E-2</v>
      </c>
      <c r="BF2689" s="624">
        <v>42159</v>
      </c>
      <c r="BG2689" s="355">
        <v>1.5630999999999999E-2</v>
      </c>
      <c r="BH2689" s="624">
        <v>42019</v>
      </c>
      <c r="BI2689" s="355">
        <v>7.9757999999999996E-2</v>
      </c>
      <c r="BJ2689" s="624">
        <v>42018</v>
      </c>
      <c r="BK2689" s="355">
        <v>3.0525E-2</v>
      </c>
    </row>
    <row r="2690" spans="3:63" x14ac:dyDescent="0.15">
      <c r="C2690" s="624"/>
      <c r="D2690" s="355">
        <v>1.533E-2</v>
      </c>
      <c r="AV2690" s="624"/>
      <c r="AX2690" s="624">
        <v>42025</v>
      </c>
      <c r="AY2690" s="355">
        <v>1.5339999999999999E-2</v>
      </c>
      <c r="AZ2690" s="624">
        <v>42089</v>
      </c>
      <c r="BA2690" s="355">
        <v>8.9999999999999993E-3</v>
      </c>
      <c r="BB2690" s="624">
        <v>42020</v>
      </c>
      <c r="BC2690" s="355">
        <v>0.26869999999999999</v>
      </c>
      <c r="BD2690" s="624">
        <v>42020</v>
      </c>
      <c r="BE2690" s="355">
        <v>9.2619999999999994E-2</v>
      </c>
      <c r="BF2690" s="624">
        <v>42160</v>
      </c>
      <c r="BG2690" s="355">
        <v>1.5594E-2</v>
      </c>
      <c r="BH2690" s="624">
        <v>42020</v>
      </c>
      <c r="BI2690" s="355">
        <v>7.9346E-2</v>
      </c>
      <c r="BJ2690" s="624">
        <v>42019</v>
      </c>
      <c r="BK2690" s="355">
        <v>3.0543000000000001E-2</v>
      </c>
    </row>
    <row r="2691" spans="3:63" x14ac:dyDescent="0.15">
      <c r="C2691" s="624"/>
      <c r="D2691" s="355">
        <v>1.5339999999999999E-2</v>
      </c>
      <c r="AV2691" s="624"/>
      <c r="AX2691" s="624">
        <v>42026</v>
      </c>
      <c r="AY2691" s="355">
        <v>1.5570000000000001E-2</v>
      </c>
      <c r="AZ2691" s="624">
        <v>42090</v>
      </c>
      <c r="BA2691" s="355">
        <v>8.9999999999999993E-3</v>
      </c>
      <c r="BB2691" s="624">
        <v>42023</v>
      </c>
      <c r="BC2691" s="355">
        <v>0.2681</v>
      </c>
      <c r="BD2691" s="624">
        <v>42023</v>
      </c>
      <c r="BE2691" s="355">
        <v>9.2649999999999996E-2</v>
      </c>
      <c r="BF2691" s="624">
        <v>42163</v>
      </c>
      <c r="BG2691" s="355">
        <v>1.5639E-2</v>
      </c>
      <c r="BH2691" s="624">
        <v>42023</v>
      </c>
      <c r="BI2691" s="355">
        <v>7.9089000000000007E-2</v>
      </c>
      <c r="BJ2691" s="624">
        <v>42020</v>
      </c>
      <c r="BK2691" s="355">
        <v>3.0713000000000001E-2</v>
      </c>
    </row>
    <row r="2692" spans="3:63" x14ac:dyDescent="0.15">
      <c r="C2692" s="624"/>
      <c r="D2692" s="355">
        <v>1.5570000000000001E-2</v>
      </c>
      <c r="AV2692" s="624"/>
      <c r="AX2692" s="624">
        <v>42027</v>
      </c>
      <c r="AY2692" s="355">
        <v>1.545E-2</v>
      </c>
      <c r="AZ2692" s="624">
        <v>42093</v>
      </c>
      <c r="BA2692" s="355">
        <v>8.9999999999999993E-3</v>
      </c>
      <c r="BB2692" s="624">
        <v>42024</v>
      </c>
      <c r="BC2692" s="355">
        <v>0.26669999999999999</v>
      </c>
      <c r="BD2692" s="624">
        <v>42024</v>
      </c>
      <c r="BE2692" s="355">
        <v>9.1920000000000002E-2</v>
      </c>
      <c r="BF2692" s="624">
        <v>42164</v>
      </c>
      <c r="BG2692" s="355">
        <v>1.5618999999999999E-2</v>
      </c>
      <c r="BH2692" s="624">
        <v>42024</v>
      </c>
      <c r="BI2692" s="355">
        <v>7.9504000000000005E-2</v>
      </c>
      <c r="BJ2692" s="624">
        <v>42023</v>
      </c>
      <c r="BK2692" s="355">
        <v>3.0692000000000001E-2</v>
      </c>
    </row>
    <row r="2693" spans="3:63" x14ac:dyDescent="0.15">
      <c r="C2693" s="624"/>
      <c r="D2693" s="355">
        <v>1.545E-2</v>
      </c>
      <c r="AV2693" s="624"/>
      <c r="AX2693" s="624">
        <v>42030</v>
      </c>
      <c r="AY2693" s="355">
        <v>1.5089999999999999E-2</v>
      </c>
      <c r="AZ2693" s="624">
        <v>42094</v>
      </c>
      <c r="BA2693" s="355">
        <v>8.8999999999999999E-3</v>
      </c>
      <c r="BB2693" s="624">
        <v>42025</v>
      </c>
      <c r="BC2693" s="355">
        <v>0.27</v>
      </c>
      <c r="BD2693" s="624">
        <v>42025</v>
      </c>
      <c r="BE2693" s="355">
        <v>9.2399999999999996E-2</v>
      </c>
      <c r="BF2693" s="624">
        <v>42165</v>
      </c>
      <c r="BG2693" s="355">
        <v>1.5678999999999998E-2</v>
      </c>
      <c r="BH2693" s="624">
        <v>42025</v>
      </c>
      <c r="BI2693" s="355">
        <v>8.0180000000000001E-2</v>
      </c>
      <c r="BJ2693" s="624">
        <v>42024</v>
      </c>
      <c r="BK2693" s="355">
        <v>3.0575999999999999E-2</v>
      </c>
    </row>
    <row r="2694" spans="3:63" x14ac:dyDescent="0.15">
      <c r="C2694" s="624"/>
      <c r="D2694" s="355">
        <v>1.5089999999999999E-2</v>
      </c>
      <c r="AV2694" s="624"/>
      <c r="AX2694" s="624">
        <v>42031</v>
      </c>
      <c r="AY2694" s="355">
        <v>1.477E-2</v>
      </c>
      <c r="AZ2694" s="624">
        <v>42095</v>
      </c>
      <c r="BA2694" s="355">
        <v>8.9999999999999993E-3</v>
      </c>
      <c r="BB2694" s="624">
        <v>42026</v>
      </c>
      <c r="BC2694" s="355">
        <v>0.2671</v>
      </c>
      <c r="BD2694" s="624">
        <v>42026</v>
      </c>
      <c r="BE2694" s="355">
        <v>9.2149999999999996E-2</v>
      </c>
      <c r="BF2694" s="624">
        <v>42166</v>
      </c>
      <c r="BG2694" s="355">
        <v>1.5633000000000001E-2</v>
      </c>
      <c r="BH2694" s="624">
        <v>42026</v>
      </c>
      <c r="BI2694" s="355">
        <v>8.0574000000000007E-2</v>
      </c>
      <c r="BJ2694" s="624">
        <v>42025</v>
      </c>
      <c r="BK2694" s="355">
        <v>3.0686000000000001E-2</v>
      </c>
    </row>
    <row r="2695" spans="3:63" x14ac:dyDescent="0.15">
      <c r="C2695" s="624"/>
      <c r="D2695" s="355">
        <v>1.477E-2</v>
      </c>
      <c r="AV2695" s="624"/>
      <c r="AX2695" s="624">
        <v>42032</v>
      </c>
      <c r="AY2695" s="355">
        <v>1.4749999999999999E-2</v>
      </c>
      <c r="AZ2695" s="624">
        <v>42096</v>
      </c>
      <c r="BA2695" s="355">
        <v>9.1000000000000004E-3</v>
      </c>
      <c r="BB2695" s="624">
        <v>42027</v>
      </c>
      <c r="BC2695" s="355">
        <v>0.26640000000000003</v>
      </c>
      <c r="BD2695" s="624">
        <v>42027</v>
      </c>
      <c r="BE2695" s="355">
        <v>9.2799999999999994E-2</v>
      </c>
      <c r="BF2695" s="624">
        <v>42167</v>
      </c>
      <c r="BG2695" s="355">
        <v>1.5594999999999999E-2</v>
      </c>
      <c r="BH2695" s="624">
        <v>42027</v>
      </c>
      <c r="BI2695" s="355">
        <v>8.0227999999999994E-2</v>
      </c>
      <c r="BJ2695" s="624">
        <v>42026</v>
      </c>
      <c r="BK2695" s="355">
        <v>3.0669999999999999E-2</v>
      </c>
    </row>
    <row r="2696" spans="3:63" x14ac:dyDescent="0.15">
      <c r="C2696" s="624"/>
      <c r="D2696" s="355">
        <v>1.4749999999999999E-2</v>
      </c>
      <c r="AV2696" s="624"/>
      <c r="AX2696" s="624">
        <v>42033</v>
      </c>
      <c r="AY2696" s="355">
        <v>1.453E-2</v>
      </c>
      <c r="AZ2696" s="624">
        <v>42097</v>
      </c>
      <c r="BA2696" s="355">
        <v>9.1000000000000004E-3</v>
      </c>
      <c r="BB2696" s="624">
        <v>42030</v>
      </c>
      <c r="BC2696" s="355">
        <v>0.2666</v>
      </c>
      <c r="BD2696" s="624">
        <v>42030</v>
      </c>
      <c r="BE2696" s="355">
        <v>9.2530000000000001E-2</v>
      </c>
      <c r="BF2696" s="624">
        <v>42170</v>
      </c>
      <c r="BG2696" s="355">
        <v>1.5604E-2</v>
      </c>
      <c r="BH2696" s="624">
        <v>42030</v>
      </c>
      <c r="BI2696" s="355">
        <v>8.0037999999999998E-2</v>
      </c>
      <c r="BJ2696" s="624">
        <v>42027</v>
      </c>
      <c r="BK2696" s="355">
        <v>3.0721999999999999E-2</v>
      </c>
    </row>
    <row r="2697" spans="3:63" x14ac:dyDescent="0.15">
      <c r="C2697" s="624"/>
      <c r="D2697" s="355">
        <v>1.453E-2</v>
      </c>
      <c r="AV2697" s="624"/>
      <c r="AX2697" s="624">
        <v>42034</v>
      </c>
      <c r="AY2697" s="355">
        <v>1.4420000000000001E-2</v>
      </c>
      <c r="AZ2697" s="624">
        <v>42100</v>
      </c>
      <c r="BA2697" s="355">
        <v>9.1000000000000004E-3</v>
      </c>
      <c r="BB2697" s="624">
        <v>42031</v>
      </c>
      <c r="BC2697" s="355">
        <v>0.26840000000000003</v>
      </c>
      <c r="BD2697" s="624">
        <v>42031</v>
      </c>
      <c r="BE2697" s="355">
        <v>9.2759999999999995E-2</v>
      </c>
      <c r="BF2697" s="624">
        <v>42171</v>
      </c>
      <c r="BG2697" s="355">
        <v>1.5573E-2</v>
      </c>
      <c r="BH2697" s="624">
        <v>42031</v>
      </c>
      <c r="BI2697" s="355">
        <v>8.0217999999999998E-2</v>
      </c>
      <c r="BJ2697" s="624">
        <v>42030</v>
      </c>
      <c r="BK2697" s="355">
        <v>3.0713000000000001E-2</v>
      </c>
    </row>
    <row r="2698" spans="3:63" x14ac:dyDescent="0.15">
      <c r="C2698" s="624"/>
      <c r="D2698" s="355">
        <v>1.4420000000000001E-2</v>
      </c>
      <c r="AV2698" s="624"/>
      <c r="AX2698" s="624">
        <v>42037</v>
      </c>
      <c r="AY2698" s="355">
        <v>1.464E-2</v>
      </c>
      <c r="AZ2698" s="624">
        <v>42101</v>
      </c>
      <c r="BA2698" s="355">
        <v>8.9999999999999993E-3</v>
      </c>
      <c r="BB2698" s="624">
        <v>42032</v>
      </c>
      <c r="BC2698" s="355">
        <v>0.26579999999999998</v>
      </c>
      <c r="BD2698" s="624">
        <v>42032</v>
      </c>
      <c r="BE2698" s="355">
        <v>9.2090000000000005E-2</v>
      </c>
      <c r="BF2698" s="624">
        <v>42172</v>
      </c>
      <c r="BG2698" s="355">
        <v>1.5646E-2</v>
      </c>
      <c r="BH2698" s="624">
        <v>42032</v>
      </c>
      <c r="BI2698" s="355">
        <v>7.9930000000000001E-2</v>
      </c>
      <c r="BJ2698" s="624">
        <v>42031</v>
      </c>
      <c r="BK2698" s="355">
        <v>3.0765000000000001E-2</v>
      </c>
    </row>
    <row r="2699" spans="3:63" x14ac:dyDescent="0.15">
      <c r="C2699" s="624"/>
      <c r="D2699" s="355">
        <v>1.464E-2</v>
      </c>
      <c r="AV2699" s="624"/>
      <c r="AX2699" s="624">
        <v>42038</v>
      </c>
      <c r="AY2699" s="355">
        <v>1.5339999999999999E-2</v>
      </c>
      <c r="AZ2699" s="624">
        <v>42102</v>
      </c>
      <c r="BA2699" s="355">
        <v>8.9999999999999993E-3</v>
      </c>
      <c r="BB2699" s="624">
        <v>42033</v>
      </c>
      <c r="BC2699" s="355">
        <v>0.26860000000000001</v>
      </c>
      <c r="BD2699" s="624">
        <v>42033</v>
      </c>
      <c r="BE2699" s="355">
        <v>9.0910000000000005E-2</v>
      </c>
      <c r="BF2699" s="624">
        <v>42173</v>
      </c>
      <c r="BG2699" s="355">
        <v>1.5709999999999998E-2</v>
      </c>
      <c r="BH2699" s="624">
        <v>42033</v>
      </c>
      <c r="BI2699" s="355">
        <v>7.9201999999999995E-2</v>
      </c>
      <c r="BJ2699" s="624">
        <v>42032</v>
      </c>
      <c r="BK2699" s="355">
        <v>3.0707999999999999E-2</v>
      </c>
    </row>
    <row r="2700" spans="3:63" x14ac:dyDescent="0.15">
      <c r="C2700" s="624"/>
      <c r="D2700" s="355">
        <v>1.5339999999999999E-2</v>
      </c>
      <c r="AV2700" s="624"/>
      <c r="AX2700" s="624">
        <v>42039</v>
      </c>
      <c r="AY2700" s="355">
        <v>1.468E-2</v>
      </c>
      <c r="AZ2700" s="624">
        <v>42103</v>
      </c>
      <c r="BA2700" s="355">
        <v>8.8999999999999999E-3</v>
      </c>
      <c r="BB2700" s="624">
        <v>42034</v>
      </c>
      <c r="BC2700" s="355">
        <v>0.26960000000000001</v>
      </c>
      <c r="BD2700" s="624">
        <v>42034</v>
      </c>
      <c r="BE2700" s="355">
        <v>9.0700000000000003E-2</v>
      </c>
      <c r="BF2700" s="624">
        <v>42174</v>
      </c>
      <c r="BG2700" s="355">
        <v>1.5747000000000001E-2</v>
      </c>
      <c r="BH2700" s="624">
        <v>42034</v>
      </c>
      <c r="BI2700" s="355">
        <v>7.8498999999999999E-2</v>
      </c>
      <c r="BJ2700" s="624">
        <v>42033</v>
      </c>
      <c r="BK2700" s="355">
        <v>3.0509000000000001E-2</v>
      </c>
    </row>
    <row r="2701" spans="3:63" x14ac:dyDescent="0.15">
      <c r="C2701" s="624"/>
      <c r="D2701" s="355">
        <v>1.468E-2</v>
      </c>
      <c r="AV2701" s="624"/>
      <c r="AX2701" s="624">
        <v>42040</v>
      </c>
      <c r="AY2701" s="355">
        <v>1.502E-2</v>
      </c>
      <c r="AZ2701" s="624">
        <v>42104</v>
      </c>
      <c r="BA2701" s="355">
        <v>8.8000000000000005E-3</v>
      </c>
      <c r="BB2701" s="624">
        <v>42037</v>
      </c>
      <c r="BC2701" s="355">
        <v>0.27060000000000001</v>
      </c>
      <c r="BD2701" s="624">
        <v>42037</v>
      </c>
      <c r="BE2701" s="355">
        <v>9.0950000000000003E-2</v>
      </c>
      <c r="BF2701" s="624">
        <v>42177</v>
      </c>
      <c r="BG2701" s="355">
        <v>1.5741999999999999E-2</v>
      </c>
      <c r="BH2701" s="624">
        <v>42037</v>
      </c>
      <c r="BI2701" s="355">
        <v>7.8920000000000004E-2</v>
      </c>
      <c r="BJ2701" s="624">
        <v>42034</v>
      </c>
      <c r="BK2701" s="355">
        <v>3.0589000000000002E-2</v>
      </c>
    </row>
    <row r="2702" spans="3:63" x14ac:dyDescent="0.15">
      <c r="C2702" s="624"/>
      <c r="D2702" s="355">
        <v>1.502E-2</v>
      </c>
      <c r="AV2702" s="624"/>
      <c r="AX2702" s="624">
        <v>42041</v>
      </c>
      <c r="AY2702" s="355">
        <v>1.5010000000000001E-2</v>
      </c>
      <c r="AZ2702" s="624">
        <v>42107</v>
      </c>
      <c r="BA2702" s="355">
        <v>8.8000000000000005E-3</v>
      </c>
      <c r="BB2702" s="624">
        <v>42038</v>
      </c>
      <c r="BC2702" s="355">
        <v>0.27510000000000001</v>
      </c>
      <c r="BD2702" s="624">
        <v>42038</v>
      </c>
      <c r="BE2702" s="355">
        <v>9.1490000000000002E-2</v>
      </c>
      <c r="BF2702" s="624">
        <v>42178</v>
      </c>
      <c r="BG2702" s="355">
        <v>1.5722E-2</v>
      </c>
      <c r="BH2702" s="624">
        <v>42038</v>
      </c>
      <c r="BI2702" s="355">
        <v>7.9465999999999995E-2</v>
      </c>
      <c r="BJ2702" s="624">
        <v>42037</v>
      </c>
      <c r="BK2702" s="355">
        <v>3.0693999999999999E-2</v>
      </c>
    </row>
    <row r="2703" spans="3:63" x14ac:dyDescent="0.15">
      <c r="C2703" s="624"/>
      <c r="D2703" s="355">
        <v>1.5010000000000001E-2</v>
      </c>
      <c r="AV2703" s="624"/>
      <c r="AX2703" s="624">
        <v>42044</v>
      </c>
      <c r="AY2703" s="355">
        <v>1.521E-2</v>
      </c>
      <c r="AZ2703" s="624">
        <v>42108</v>
      </c>
      <c r="BA2703" s="355">
        <v>8.8999999999999999E-3</v>
      </c>
      <c r="BB2703" s="624">
        <v>42039</v>
      </c>
      <c r="BC2703" s="355">
        <v>0.27189999999999998</v>
      </c>
      <c r="BD2703" s="624">
        <v>42039</v>
      </c>
      <c r="BE2703" s="355">
        <v>9.1929999999999998E-2</v>
      </c>
      <c r="BF2703" s="624">
        <v>42179</v>
      </c>
      <c r="BG2703" s="355">
        <v>1.5741999999999999E-2</v>
      </c>
      <c r="BH2703" s="624">
        <v>42039</v>
      </c>
      <c r="BI2703" s="355">
        <v>7.9114000000000004E-2</v>
      </c>
      <c r="BJ2703" s="624">
        <v>42038</v>
      </c>
      <c r="BK2703" s="355">
        <v>3.0678E-2</v>
      </c>
    </row>
    <row r="2704" spans="3:63" x14ac:dyDescent="0.15">
      <c r="C2704" s="624"/>
      <c r="D2704" s="355">
        <v>1.521E-2</v>
      </c>
      <c r="AV2704" s="624"/>
      <c r="AX2704" s="624">
        <v>42045</v>
      </c>
      <c r="AY2704" s="355">
        <v>1.528E-2</v>
      </c>
      <c r="AZ2704" s="624">
        <v>42109</v>
      </c>
      <c r="BA2704" s="355">
        <v>8.8999999999999999E-3</v>
      </c>
      <c r="BB2704" s="624">
        <v>42040</v>
      </c>
      <c r="BC2704" s="355">
        <v>0.27539999999999998</v>
      </c>
      <c r="BD2704" s="624">
        <v>42040</v>
      </c>
      <c r="BE2704" s="355">
        <v>9.2020000000000005E-2</v>
      </c>
      <c r="BF2704" s="624">
        <v>42180</v>
      </c>
      <c r="BG2704" s="355">
        <v>1.5734999999999999E-2</v>
      </c>
      <c r="BH2704" s="624">
        <v>42040</v>
      </c>
      <c r="BI2704" s="355">
        <v>7.9416E-2</v>
      </c>
      <c r="BJ2704" s="624">
        <v>42039</v>
      </c>
      <c r="BK2704" s="355">
        <v>3.0630000000000001E-2</v>
      </c>
    </row>
    <row r="2705" spans="3:63" x14ac:dyDescent="0.15">
      <c r="C2705" s="624"/>
      <c r="D2705" s="355">
        <v>1.528E-2</v>
      </c>
      <c r="AV2705" s="624"/>
      <c r="AX2705" s="624">
        <v>42046</v>
      </c>
      <c r="AY2705" s="355">
        <v>1.533E-2</v>
      </c>
      <c r="AZ2705" s="624">
        <v>42110</v>
      </c>
      <c r="BA2705" s="355">
        <v>8.9999999999999993E-3</v>
      </c>
      <c r="BB2705" s="624">
        <v>42041</v>
      </c>
      <c r="BC2705" s="355">
        <v>0.2722</v>
      </c>
      <c r="BD2705" s="624">
        <v>42041</v>
      </c>
      <c r="BE2705" s="355">
        <v>9.1079999999999994E-2</v>
      </c>
      <c r="BF2705" s="624">
        <v>42181</v>
      </c>
      <c r="BG2705" s="355">
        <v>1.576E-2</v>
      </c>
      <c r="BH2705" s="624">
        <v>42041</v>
      </c>
      <c r="BI2705" s="355">
        <v>7.9050999999999996E-2</v>
      </c>
      <c r="BJ2705" s="624">
        <v>42040</v>
      </c>
      <c r="BK2705" s="355">
        <v>3.0675000000000001E-2</v>
      </c>
    </row>
    <row r="2706" spans="3:63" x14ac:dyDescent="0.15">
      <c r="C2706" s="624"/>
      <c r="D2706" s="355">
        <v>1.533E-2</v>
      </c>
      <c r="AV2706" s="624"/>
      <c r="AX2706" s="624">
        <v>42047</v>
      </c>
      <c r="AY2706" s="355">
        <v>1.532E-2</v>
      </c>
      <c r="AZ2706" s="624">
        <v>42111</v>
      </c>
      <c r="BA2706" s="355">
        <v>8.9999999999999993E-3</v>
      </c>
      <c r="BB2706" s="624">
        <v>42044</v>
      </c>
      <c r="BC2706" s="355">
        <v>0.2707</v>
      </c>
      <c r="BD2706" s="624">
        <v>42044</v>
      </c>
      <c r="BE2706" s="355">
        <v>9.1310000000000002E-2</v>
      </c>
      <c r="BF2706" s="624">
        <v>42184</v>
      </c>
      <c r="BG2706" s="355">
        <v>1.5698E-2</v>
      </c>
      <c r="BH2706" s="624">
        <v>42044</v>
      </c>
      <c r="BI2706" s="355">
        <v>7.8865000000000005E-2</v>
      </c>
      <c r="BJ2706" s="624">
        <v>42041</v>
      </c>
      <c r="BK2706" s="355">
        <v>3.0623999999999998E-2</v>
      </c>
    </row>
    <row r="2707" spans="3:63" x14ac:dyDescent="0.15">
      <c r="C2707" s="624"/>
      <c r="D2707" s="355">
        <v>1.532E-2</v>
      </c>
      <c r="AV2707" s="624"/>
      <c r="AX2707" s="624">
        <v>42048</v>
      </c>
      <c r="AY2707" s="355">
        <v>1.5949999999999999E-2</v>
      </c>
      <c r="AZ2707" s="624">
        <v>42114</v>
      </c>
      <c r="BA2707" s="355">
        <v>8.9999999999999993E-3</v>
      </c>
      <c r="BB2707" s="624">
        <v>42045</v>
      </c>
      <c r="BC2707" s="355">
        <v>0.26950000000000002</v>
      </c>
      <c r="BD2707" s="624">
        <v>42045</v>
      </c>
      <c r="BE2707" s="355">
        <v>9.0959999999999999E-2</v>
      </c>
      <c r="BF2707" s="624">
        <v>42185</v>
      </c>
      <c r="BG2707" s="355">
        <v>1.5722E-2</v>
      </c>
      <c r="BH2707" s="624">
        <v>42045</v>
      </c>
      <c r="BI2707" s="355">
        <v>7.8529000000000002E-2</v>
      </c>
      <c r="BJ2707" s="624">
        <v>42044</v>
      </c>
      <c r="BK2707" s="355">
        <v>3.0689000000000001E-2</v>
      </c>
    </row>
    <row r="2708" spans="3:63" x14ac:dyDescent="0.15">
      <c r="C2708" s="624"/>
      <c r="D2708" s="355">
        <v>1.5949999999999999E-2</v>
      </c>
      <c r="AV2708" s="624"/>
      <c r="AX2708" s="624">
        <v>42051</v>
      </c>
      <c r="AY2708" s="355">
        <v>1.583E-2</v>
      </c>
      <c r="AZ2708" s="624">
        <v>42115</v>
      </c>
      <c r="BA2708" s="355">
        <v>8.9999999999999993E-3</v>
      </c>
      <c r="BB2708" s="624">
        <v>42046</v>
      </c>
      <c r="BC2708" s="355">
        <v>0.26929999999999998</v>
      </c>
      <c r="BD2708" s="624">
        <v>42046</v>
      </c>
      <c r="BE2708" s="355">
        <v>9.0240000000000001E-2</v>
      </c>
      <c r="BF2708" s="624">
        <v>42186</v>
      </c>
      <c r="BG2708" s="355">
        <v>1.5734000000000001E-2</v>
      </c>
      <c r="BH2708" s="624">
        <v>42046</v>
      </c>
      <c r="BI2708" s="355">
        <v>7.7760999999999997E-2</v>
      </c>
      <c r="BJ2708" s="624">
        <v>42045</v>
      </c>
      <c r="BK2708" s="355">
        <v>3.0639E-2</v>
      </c>
    </row>
    <row r="2709" spans="3:63" x14ac:dyDescent="0.15">
      <c r="C2709" s="624"/>
      <c r="D2709" s="355">
        <v>1.583E-2</v>
      </c>
      <c r="AV2709" s="624"/>
      <c r="AX2709" s="624">
        <v>42052</v>
      </c>
      <c r="AY2709" s="355">
        <v>1.6E-2</v>
      </c>
      <c r="AZ2709" s="624">
        <v>42116</v>
      </c>
      <c r="BA2709" s="355">
        <v>8.8999999999999999E-3</v>
      </c>
      <c r="BB2709" s="624">
        <v>42047</v>
      </c>
      <c r="BC2709" s="355">
        <v>0.2737</v>
      </c>
      <c r="BD2709" s="624">
        <v>42047</v>
      </c>
      <c r="BE2709" s="355">
        <v>9.078E-2</v>
      </c>
      <c r="BF2709" s="624">
        <v>42187</v>
      </c>
      <c r="BG2709" s="355">
        <v>1.5796000000000001E-2</v>
      </c>
      <c r="BH2709" s="624">
        <v>42047</v>
      </c>
      <c r="BI2709" s="355">
        <v>7.8523999999999997E-2</v>
      </c>
      <c r="BJ2709" s="624">
        <v>42046</v>
      </c>
      <c r="BK2709" s="355">
        <v>3.0626E-2</v>
      </c>
    </row>
    <row r="2710" spans="3:63" x14ac:dyDescent="0.15">
      <c r="C2710" s="624"/>
      <c r="D2710" s="355">
        <v>1.6E-2</v>
      </c>
      <c r="AV2710" s="624"/>
      <c r="AX2710" s="624">
        <v>42053</v>
      </c>
      <c r="AY2710" s="355">
        <v>1.6240000000000001E-2</v>
      </c>
      <c r="AZ2710" s="624">
        <v>42117</v>
      </c>
      <c r="BA2710" s="355">
        <v>8.9999999999999993E-3</v>
      </c>
      <c r="BB2710" s="624">
        <v>42048</v>
      </c>
      <c r="BC2710" s="355">
        <v>0.27200000000000002</v>
      </c>
      <c r="BD2710" s="624">
        <v>42048</v>
      </c>
      <c r="BE2710" s="355">
        <v>9.1050000000000006E-2</v>
      </c>
      <c r="BF2710" s="624">
        <v>42188</v>
      </c>
      <c r="BG2710" s="355">
        <v>1.5768999999999998E-2</v>
      </c>
      <c r="BH2710" s="624">
        <v>42048</v>
      </c>
      <c r="BI2710" s="355">
        <v>7.8529000000000002E-2</v>
      </c>
      <c r="BJ2710" s="624">
        <v>42047</v>
      </c>
      <c r="BK2710" s="355">
        <v>3.0665999999999999E-2</v>
      </c>
    </row>
    <row r="2711" spans="3:63" x14ac:dyDescent="0.15">
      <c r="C2711" s="624"/>
      <c r="D2711" s="355">
        <v>1.6240000000000001E-2</v>
      </c>
      <c r="AV2711" s="624"/>
      <c r="AX2711" s="624">
        <v>42054</v>
      </c>
      <c r="AY2711" s="355">
        <v>1.6160000000000001E-2</v>
      </c>
      <c r="AZ2711" s="624">
        <v>42118</v>
      </c>
      <c r="BA2711" s="355">
        <v>8.9999999999999993E-3</v>
      </c>
      <c r="BB2711" s="624">
        <v>42051</v>
      </c>
      <c r="BC2711" s="355">
        <v>0.27200000000000002</v>
      </c>
      <c r="BD2711" s="624">
        <v>42051</v>
      </c>
      <c r="BE2711" s="355">
        <v>9.0759999999999993E-2</v>
      </c>
      <c r="BF2711" s="624">
        <v>42191</v>
      </c>
      <c r="BG2711" s="355">
        <v>1.5807000000000002E-2</v>
      </c>
      <c r="BH2711" s="624">
        <v>42051</v>
      </c>
      <c r="BI2711" s="355">
        <v>7.8387999999999999E-2</v>
      </c>
      <c r="BJ2711" s="624">
        <v>42048</v>
      </c>
      <c r="BK2711" s="355">
        <v>3.0676999999999999E-2</v>
      </c>
    </row>
    <row r="2712" spans="3:63" x14ac:dyDescent="0.15">
      <c r="C2712" s="624"/>
      <c r="D2712" s="355">
        <v>1.6160000000000001E-2</v>
      </c>
      <c r="AV2712" s="624"/>
      <c r="AX2712" s="624">
        <v>42055</v>
      </c>
      <c r="AY2712" s="355">
        <v>1.6049999999999998E-2</v>
      </c>
      <c r="AZ2712" s="624">
        <v>42121</v>
      </c>
      <c r="BA2712" s="355">
        <v>8.9999999999999993E-3</v>
      </c>
      <c r="BB2712" s="624">
        <v>42052</v>
      </c>
      <c r="BC2712" s="355">
        <v>0.27229999999999999</v>
      </c>
      <c r="BD2712" s="624">
        <v>42052</v>
      </c>
      <c r="BE2712" s="355">
        <v>9.0179999999999996E-2</v>
      </c>
      <c r="BF2712" s="624">
        <v>42192</v>
      </c>
      <c r="BG2712" s="355">
        <v>1.5753E-2</v>
      </c>
      <c r="BH2712" s="624">
        <v>42052</v>
      </c>
      <c r="BI2712" s="355">
        <v>7.8125E-2</v>
      </c>
      <c r="BJ2712" s="624">
        <v>42051</v>
      </c>
      <c r="BK2712" s="355">
        <v>3.0683999999999999E-2</v>
      </c>
    </row>
    <row r="2713" spans="3:63" x14ac:dyDescent="0.15">
      <c r="C2713" s="624"/>
      <c r="D2713" s="355">
        <v>1.6049999999999998E-2</v>
      </c>
      <c r="AV2713" s="624"/>
      <c r="AX2713" s="624">
        <v>42058</v>
      </c>
      <c r="AY2713" s="355">
        <v>1.5689999999999999E-2</v>
      </c>
      <c r="AZ2713" s="624">
        <v>42122</v>
      </c>
      <c r="BA2713" s="355">
        <v>9.1000000000000004E-3</v>
      </c>
      <c r="BB2713" s="624">
        <v>42053</v>
      </c>
      <c r="BC2713" s="355">
        <v>0.27239999999999998</v>
      </c>
      <c r="BD2713" s="624">
        <v>42053</v>
      </c>
      <c r="BE2713" s="355">
        <v>9.0200000000000002E-2</v>
      </c>
      <c r="BF2713" s="624">
        <v>42193</v>
      </c>
      <c r="BG2713" s="355">
        <v>1.5758000000000001E-2</v>
      </c>
      <c r="BH2713" s="624">
        <v>42053</v>
      </c>
      <c r="BI2713" s="355">
        <v>7.7772999999999995E-2</v>
      </c>
      <c r="BJ2713" s="624">
        <v>42052</v>
      </c>
      <c r="BK2713" s="355">
        <v>3.0683999999999999E-2</v>
      </c>
    </row>
    <row r="2714" spans="3:63" x14ac:dyDescent="0.15">
      <c r="C2714" s="624"/>
      <c r="D2714" s="355">
        <v>1.5689999999999999E-2</v>
      </c>
      <c r="AV2714" s="624"/>
      <c r="AX2714" s="624">
        <v>42059</v>
      </c>
      <c r="AY2714" s="355">
        <v>1.593E-2</v>
      </c>
      <c r="AZ2714" s="624">
        <v>42123</v>
      </c>
      <c r="BA2714" s="355">
        <v>9.1999999999999998E-3</v>
      </c>
      <c r="BB2714" s="624">
        <v>42054</v>
      </c>
      <c r="BC2714" s="355">
        <v>0.27250000000000002</v>
      </c>
      <c r="BD2714" s="624">
        <v>42054</v>
      </c>
      <c r="BE2714" s="355">
        <v>8.9940000000000006E-2</v>
      </c>
      <c r="BF2714" s="624">
        <v>42194</v>
      </c>
      <c r="BG2714" s="355">
        <v>1.5792E-2</v>
      </c>
      <c r="BH2714" s="624">
        <v>42054</v>
      </c>
      <c r="BI2714" s="355">
        <v>7.7687999999999993E-2</v>
      </c>
      <c r="BJ2714" s="624">
        <v>42053</v>
      </c>
      <c r="BK2714" s="355">
        <v>3.0698E-2</v>
      </c>
    </row>
    <row r="2715" spans="3:63" x14ac:dyDescent="0.15">
      <c r="C2715" s="624"/>
      <c r="D2715" s="355">
        <v>1.593E-2</v>
      </c>
      <c r="AV2715" s="624"/>
      <c r="AX2715" s="624">
        <v>42060</v>
      </c>
      <c r="AY2715" s="355">
        <v>1.6289999999999999E-2</v>
      </c>
      <c r="AZ2715" s="624">
        <v>42124</v>
      </c>
      <c r="BA2715" s="355">
        <v>9.2999999999999992E-3</v>
      </c>
      <c r="BB2715" s="624">
        <v>42055</v>
      </c>
      <c r="BC2715" s="355">
        <v>0.27310000000000001</v>
      </c>
      <c r="BD2715" s="624">
        <v>42055</v>
      </c>
      <c r="BE2715" s="355">
        <v>9.0039999999999995E-2</v>
      </c>
      <c r="BF2715" s="624">
        <v>42195</v>
      </c>
      <c r="BG2715" s="355">
        <v>1.5785E-2</v>
      </c>
      <c r="BH2715" s="624">
        <v>42055</v>
      </c>
      <c r="BI2715" s="355">
        <v>7.7882000000000007E-2</v>
      </c>
      <c r="BJ2715" s="624">
        <v>42054</v>
      </c>
      <c r="BK2715" s="355">
        <v>3.0714000000000002E-2</v>
      </c>
    </row>
    <row r="2716" spans="3:63" x14ac:dyDescent="0.15">
      <c r="C2716" s="624"/>
      <c r="D2716" s="355">
        <v>1.6289999999999999E-2</v>
      </c>
      <c r="AV2716" s="624"/>
      <c r="AX2716" s="624">
        <v>42061</v>
      </c>
      <c r="AY2716" s="355">
        <v>1.6369999999999999E-2</v>
      </c>
      <c r="AZ2716" s="624">
        <v>42125</v>
      </c>
      <c r="BA2716" s="355">
        <v>9.2999999999999992E-3</v>
      </c>
      <c r="BB2716" s="624">
        <v>42058</v>
      </c>
      <c r="BC2716" s="355">
        <v>0.2712</v>
      </c>
      <c r="BD2716" s="624">
        <v>42058</v>
      </c>
      <c r="BE2716" s="355">
        <v>9.0209999999999999E-2</v>
      </c>
      <c r="BF2716" s="624">
        <v>42198</v>
      </c>
      <c r="BG2716" s="355">
        <v>1.5761000000000001E-2</v>
      </c>
      <c r="BH2716" s="624">
        <v>42058</v>
      </c>
      <c r="BI2716" s="355">
        <v>7.7501E-2</v>
      </c>
      <c r="BJ2716" s="624">
        <v>42055</v>
      </c>
      <c r="BK2716" s="355">
        <v>3.0721999999999999E-2</v>
      </c>
    </row>
    <row r="2717" spans="3:63" x14ac:dyDescent="0.15">
      <c r="C2717" s="624"/>
      <c r="D2717" s="355">
        <v>1.6369999999999999E-2</v>
      </c>
      <c r="AV2717" s="624"/>
      <c r="AX2717" s="624">
        <v>42062</v>
      </c>
      <c r="AY2717" s="355">
        <v>1.5859999999999999E-2</v>
      </c>
      <c r="AZ2717" s="624">
        <v>42128</v>
      </c>
      <c r="BA2717" s="355">
        <v>9.1999999999999998E-3</v>
      </c>
      <c r="BB2717" s="624">
        <v>42059</v>
      </c>
      <c r="BC2717" s="355">
        <v>0.27279999999999999</v>
      </c>
      <c r="BD2717" s="624">
        <v>42059</v>
      </c>
      <c r="BE2717" s="355">
        <v>9.0469999999999995E-2</v>
      </c>
      <c r="BF2717" s="624">
        <v>42199</v>
      </c>
      <c r="BG2717" s="355">
        <v>1.5803000000000001E-2</v>
      </c>
      <c r="BH2717" s="624">
        <v>42059</v>
      </c>
      <c r="BI2717" s="355">
        <v>7.7663999999999997E-2</v>
      </c>
      <c r="BJ2717" s="624">
        <v>42058</v>
      </c>
      <c r="BK2717" s="355">
        <v>3.0721999999999999E-2</v>
      </c>
    </row>
    <row r="2718" spans="3:63" x14ac:dyDescent="0.15">
      <c r="C2718" s="624"/>
      <c r="D2718" s="355">
        <v>1.5859999999999999E-2</v>
      </c>
      <c r="AV2718" s="624"/>
      <c r="AX2718" s="624">
        <v>42065</v>
      </c>
      <c r="AY2718" s="355">
        <v>1.601E-2</v>
      </c>
      <c r="AZ2718" s="624">
        <v>42129</v>
      </c>
      <c r="BA2718" s="355">
        <v>9.2999999999999992E-3</v>
      </c>
      <c r="BB2718" s="624">
        <v>42060</v>
      </c>
      <c r="BC2718" s="355">
        <v>0.2732</v>
      </c>
      <c r="BD2718" s="624">
        <v>42060</v>
      </c>
      <c r="BE2718" s="355">
        <v>9.085E-2</v>
      </c>
      <c r="BF2718" s="624">
        <v>42200</v>
      </c>
      <c r="BG2718" s="355">
        <v>1.5746E-2</v>
      </c>
      <c r="BH2718" s="624">
        <v>42060</v>
      </c>
      <c r="BI2718" s="355">
        <v>7.7675999999999995E-2</v>
      </c>
      <c r="BJ2718" s="624">
        <v>42059</v>
      </c>
      <c r="BK2718" s="355">
        <v>3.0734000000000001E-2</v>
      </c>
    </row>
    <row r="2719" spans="3:63" x14ac:dyDescent="0.15">
      <c r="C2719" s="624"/>
      <c r="D2719" s="355">
        <v>1.601E-2</v>
      </c>
      <c r="AV2719" s="624"/>
      <c r="AX2719" s="624">
        <v>42066</v>
      </c>
      <c r="AY2719" s="355">
        <v>1.6160000000000001E-2</v>
      </c>
      <c r="AZ2719" s="624">
        <v>42130</v>
      </c>
      <c r="BA2719" s="355">
        <v>9.4000000000000004E-3</v>
      </c>
      <c r="BB2719" s="624">
        <v>42061</v>
      </c>
      <c r="BC2719" s="355">
        <v>0.26979999999999998</v>
      </c>
      <c r="BD2719" s="624">
        <v>42061</v>
      </c>
      <c r="BE2719" s="355">
        <v>9.0670000000000001E-2</v>
      </c>
      <c r="BF2719" s="624">
        <v>42201</v>
      </c>
      <c r="BG2719" s="355">
        <v>1.5753E-2</v>
      </c>
      <c r="BH2719" s="624">
        <v>42061</v>
      </c>
      <c r="BI2719" s="355">
        <v>7.7682000000000001E-2</v>
      </c>
      <c r="BJ2719" s="624">
        <v>42060</v>
      </c>
      <c r="BK2719" s="355">
        <v>3.075E-2</v>
      </c>
    </row>
    <row r="2720" spans="3:63" x14ac:dyDescent="0.15">
      <c r="C2720" s="624"/>
      <c r="D2720" s="355">
        <v>1.6160000000000001E-2</v>
      </c>
      <c r="AV2720" s="624"/>
      <c r="AX2720" s="624">
        <v>42067</v>
      </c>
      <c r="AY2720" s="355">
        <v>1.6160000000000001E-2</v>
      </c>
      <c r="AZ2720" s="624">
        <v>42131</v>
      </c>
      <c r="BA2720" s="355">
        <v>9.2999999999999992E-3</v>
      </c>
      <c r="BB2720" s="624">
        <v>42062</v>
      </c>
      <c r="BC2720" s="355">
        <v>0.2697</v>
      </c>
      <c r="BD2720" s="624">
        <v>42062</v>
      </c>
      <c r="BE2720" s="355">
        <v>9.0789999999999996E-2</v>
      </c>
      <c r="BF2720" s="624">
        <v>42202</v>
      </c>
      <c r="BG2720" s="355">
        <v>1.5755000000000002E-2</v>
      </c>
      <c r="BH2720" s="624">
        <v>42062</v>
      </c>
      <c r="BI2720" s="355">
        <v>7.6920000000000002E-2</v>
      </c>
      <c r="BJ2720" s="624">
        <v>42061</v>
      </c>
      <c r="BK2720" s="355">
        <v>3.0873999999999999E-2</v>
      </c>
    </row>
    <row r="2721" spans="3:63" x14ac:dyDescent="0.15">
      <c r="C2721" s="624"/>
      <c r="D2721" s="355">
        <v>1.6160000000000001E-2</v>
      </c>
      <c r="AV2721" s="624"/>
      <c r="AX2721" s="624">
        <v>42068</v>
      </c>
      <c r="AY2721" s="355">
        <v>1.6400000000000001E-2</v>
      </c>
      <c r="AZ2721" s="624">
        <v>42132</v>
      </c>
      <c r="BA2721" s="355">
        <v>9.2999999999999992E-3</v>
      </c>
      <c r="BB2721" s="624">
        <v>42065</v>
      </c>
      <c r="BC2721" s="355">
        <v>0.26889999999999997</v>
      </c>
      <c r="BD2721" s="624">
        <v>42065</v>
      </c>
      <c r="BE2721" s="355">
        <v>9.0620000000000006E-2</v>
      </c>
      <c r="BF2721" s="624">
        <v>42205</v>
      </c>
      <c r="BG2721" s="355">
        <v>1.5713000000000001E-2</v>
      </c>
      <c r="BH2721" s="624">
        <v>42065</v>
      </c>
      <c r="BI2721" s="355">
        <v>7.6935000000000003E-2</v>
      </c>
      <c r="BJ2721" s="624">
        <v>42062</v>
      </c>
      <c r="BK2721" s="355">
        <v>3.0901999999999999E-2</v>
      </c>
    </row>
    <row r="2722" spans="3:63" x14ac:dyDescent="0.15">
      <c r="C2722" s="624"/>
      <c r="D2722" s="355">
        <v>1.6400000000000001E-2</v>
      </c>
      <c r="AV2722" s="624"/>
      <c r="AX2722" s="624">
        <v>42069</v>
      </c>
      <c r="AY2722" s="355">
        <v>1.6570000000000001E-2</v>
      </c>
      <c r="AZ2722" s="624">
        <v>42135</v>
      </c>
      <c r="BA2722" s="355">
        <v>9.1999999999999998E-3</v>
      </c>
      <c r="BB2722" s="624">
        <v>42066</v>
      </c>
      <c r="BC2722" s="355">
        <v>0.26829999999999998</v>
      </c>
      <c r="BD2722" s="624">
        <v>42066</v>
      </c>
      <c r="BE2722" s="355">
        <v>9.1160000000000005E-2</v>
      </c>
      <c r="BF2722" s="624">
        <v>42206</v>
      </c>
      <c r="BG2722" s="355">
        <v>1.5727999999999999E-2</v>
      </c>
      <c r="BH2722" s="624">
        <v>42066</v>
      </c>
      <c r="BI2722" s="355">
        <v>7.6994000000000007E-2</v>
      </c>
      <c r="BJ2722" s="624">
        <v>42065</v>
      </c>
      <c r="BK2722" s="355">
        <v>3.0908999999999999E-2</v>
      </c>
    </row>
    <row r="2723" spans="3:63" x14ac:dyDescent="0.15">
      <c r="C2723" s="624"/>
      <c r="D2723" s="355">
        <v>1.6570000000000001E-2</v>
      </c>
      <c r="AV2723" s="624"/>
      <c r="AX2723" s="624">
        <v>42072</v>
      </c>
      <c r="AY2723" s="355">
        <v>1.652E-2</v>
      </c>
      <c r="AZ2723" s="624">
        <v>42136</v>
      </c>
      <c r="BA2723" s="355">
        <v>9.2999999999999992E-3</v>
      </c>
      <c r="BB2723" s="624">
        <v>42067</v>
      </c>
      <c r="BC2723" s="355">
        <v>0.26690000000000003</v>
      </c>
      <c r="BD2723" s="624">
        <v>42067</v>
      </c>
      <c r="BE2723" s="355">
        <v>9.0770000000000003E-2</v>
      </c>
      <c r="BF2723" s="624">
        <v>42207</v>
      </c>
      <c r="BG2723" s="355">
        <v>1.5730000000000001E-2</v>
      </c>
      <c r="BH2723" s="624">
        <v>42067</v>
      </c>
      <c r="BI2723" s="355">
        <v>7.6752000000000001E-2</v>
      </c>
      <c r="BJ2723" s="624">
        <v>42066</v>
      </c>
      <c r="BK2723" s="355">
        <v>3.0907E-2</v>
      </c>
    </row>
    <row r="2724" spans="3:63" x14ac:dyDescent="0.15">
      <c r="C2724" s="624"/>
      <c r="D2724" s="355">
        <v>1.652E-2</v>
      </c>
      <c r="AV2724" s="624"/>
      <c r="AX2724" s="624">
        <v>42073</v>
      </c>
      <c r="AY2724" s="355">
        <v>1.6070000000000001E-2</v>
      </c>
      <c r="AZ2724" s="624">
        <v>42137</v>
      </c>
      <c r="BA2724" s="355">
        <v>9.4000000000000004E-3</v>
      </c>
      <c r="BB2724" s="624">
        <v>42068</v>
      </c>
      <c r="BC2724" s="355">
        <v>0.2661</v>
      </c>
      <c r="BD2724" s="624">
        <v>42068</v>
      </c>
      <c r="BE2724" s="355">
        <v>9.0719999999999995E-2</v>
      </c>
      <c r="BF2724" s="624">
        <v>42208</v>
      </c>
      <c r="BG2724" s="355">
        <v>1.5644999999999999E-2</v>
      </c>
      <c r="BH2724" s="624">
        <v>42068</v>
      </c>
      <c r="BI2724" s="355">
        <v>7.6733999999999997E-2</v>
      </c>
      <c r="BJ2724" s="624">
        <v>42067</v>
      </c>
      <c r="BK2724" s="355">
        <v>3.0859999999999999E-2</v>
      </c>
    </row>
    <row r="2725" spans="3:63" x14ac:dyDescent="0.15">
      <c r="C2725" s="624"/>
      <c r="D2725" s="355">
        <v>1.6070000000000001E-2</v>
      </c>
      <c r="AV2725" s="624"/>
      <c r="AX2725" s="624">
        <v>42074</v>
      </c>
      <c r="AY2725" s="355">
        <v>1.6279999999999999E-2</v>
      </c>
      <c r="AZ2725" s="624">
        <v>42138</v>
      </c>
      <c r="BA2725" s="355">
        <v>9.4999999999999998E-3</v>
      </c>
      <c r="BB2725" s="624">
        <v>42069</v>
      </c>
      <c r="BC2725" s="355">
        <v>0.26250000000000001</v>
      </c>
      <c r="BD2725" s="624">
        <v>42069</v>
      </c>
      <c r="BE2725" s="355">
        <v>8.9990000000000001E-2</v>
      </c>
      <c r="BF2725" s="624">
        <v>42209</v>
      </c>
      <c r="BG2725" s="355">
        <v>1.5592999999999999E-2</v>
      </c>
      <c r="BH2725" s="624">
        <v>42069</v>
      </c>
      <c r="BI2725" s="355">
        <v>7.6337000000000002E-2</v>
      </c>
      <c r="BJ2725" s="624">
        <v>42068</v>
      </c>
      <c r="BK2725" s="355">
        <v>3.0838000000000001E-2</v>
      </c>
    </row>
    <row r="2726" spans="3:63" x14ac:dyDescent="0.15">
      <c r="C2726" s="624"/>
      <c r="D2726" s="355">
        <v>1.6279999999999999E-2</v>
      </c>
      <c r="AV2726" s="624"/>
      <c r="AX2726" s="624">
        <v>42075</v>
      </c>
      <c r="AY2726" s="355">
        <v>1.636E-2</v>
      </c>
      <c r="AZ2726" s="624">
        <v>42139</v>
      </c>
      <c r="BA2726" s="355">
        <v>9.4999999999999998E-3</v>
      </c>
      <c r="BB2726" s="624">
        <v>42072</v>
      </c>
      <c r="BC2726" s="355">
        <v>0.26369999999999999</v>
      </c>
      <c r="BD2726" s="624">
        <v>42072</v>
      </c>
      <c r="BE2726" s="355">
        <v>8.9719999999999994E-2</v>
      </c>
      <c r="BF2726" s="624">
        <v>42212</v>
      </c>
      <c r="BG2726" s="355">
        <v>1.5576E-2</v>
      </c>
      <c r="BH2726" s="624">
        <v>42072</v>
      </c>
      <c r="BI2726" s="355">
        <v>7.6395000000000005E-2</v>
      </c>
      <c r="BJ2726" s="624">
        <v>42069</v>
      </c>
      <c r="BK2726" s="355">
        <v>3.0693999999999999E-2</v>
      </c>
    </row>
    <row r="2727" spans="3:63" x14ac:dyDescent="0.15">
      <c r="C2727" s="624"/>
      <c r="D2727" s="355">
        <v>1.636E-2</v>
      </c>
      <c r="AV2727" s="624"/>
      <c r="AX2727" s="624">
        <v>42076</v>
      </c>
      <c r="AY2727" s="355">
        <v>1.61E-2</v>
      </c>
      <c r="AZ2727" s="624">
        <v>42142</v>
      </c>
      <c r="BA2727" s="355">
        <v>9.4000000000000004E-3</v>
      </c>
      <c r="BB2727" s="624">
        <v>42073</v>
      </c>
      <c r="BC2727" s="355">
        <v>0.2571</v>
      </c>
      <c r="BD2727" s="624">
        <v>42073</v>
      </c>
      <c r="BE2727" s="355">
        <v>8.8700000000000001E-2</v>
      </c>
      <c r="BF2727" s="624">
        <v>42213</v>
      </c>
      <c r="BG2727" s="355">
        <v>1.5672999999999999E-2</v>
      </c>
      <c r="BH2727" s="624">
        <v>42073</v>
      </c>
      <c r="BI2727" s="355">
        <v>7.5383000000000006E-2</v>
      </c>
      <c r="BJ2727" s="624">
        <v>42072</v>
      </c>
      <c r="BK2727" s="355">
        <v>3.0689000000000001E-2</v>
      </c>
    </row>
    <row r="2728" spans="3:63" x14ac:dyDescent="0.15">
      <c r="C2728" s="624"/>
      <c r="D2728" s="355">
        <v>1.61E-2</v>
      </c>
      <c r="AV2728" s="624"/>
      <c r="AX2728" s="624">
        <v>42079</v>
      </c>
      <c r="AY2728" s="355">
        <v>1.6049999999999998E-2</v>
      </c>
      <c r="AZ2728" s="624">
        <v>42143</v>
      </c>
      <c r="BA2728" s="355">
        <v>9.1999999999999998E-3</v>
      </c>
      <c r="BB2728" s="624">
        <v>42074</v>
      </c>
      <c r="BC2728" s="355">
        <v>0.25580000000000003</v>
      </c>
      <c r="BD2728" s="624">
        <v>42074</v>
      </c>
      <c r="BE2728" s="355">
        <v>8.8330000000000006E-2</v>
      </c>
      <c r="BF2728" s="624">
        <v>42214</v>
      </c>
      <c r="BG2728" s="355">
        <v>1.5667E-2</v>
      </c>
      <c r="BH2728" s="624">
        <v>42074</v>
      </c>
      <c r="BI2728" s="355">
        <v>7.5843999999999995E-2</v>
      </c>
      <c r="BJ2728" s="624">
        <v>42073</v>
      </c>
      <c r="BK2728" s="355">
        <v>3.0571000000000001E-2</v>
      </c>
    </row>
    <row r="2729" spans="3:63" x14ac:dyDescent="0.15">
      <c r="C2729" s="624"/>
      <c r="D2729" s="355">
        <v>1.6049999999999998E-2</v>
      </c>
      <c r="AV2729" s="624"/>
      <c r="AX2729" s="624">
        <v>42080</v>
      </c>
      <c r="AY2729" s="355">
        <v>1.6289999999999999E-2</v>
      </c>
      <c r="AZ2729" s="624">
        <v>42144</v>
      </c>
      <c r="BA2729" s="355">
        <v>9.1999999999999998E-3</v>
      </c>
      <c r="BB2729" s="624">
        <v>42075</v>
      </c>
      <c r="BC2729" s="355">
        <v>0.25679999999999997</v>
      </c>
      <c r="BD2729" s="624">
        <v>42075</v>
      </c>
      <c r="BE2729" s="355">
        <v>8.8840000000000002E-2</v>
      </c>
      <c r="BF2729" s="624">
        <v>42215</v>
      </c>
      <c r="BG2729" s="355">
        <v>1.559E-2</v>
      </c>
      <c r="BH2729" s="624">
        <v>42075</v>
      </c>
      <c r="BI2729" s="355">
        <v>7.5786000000000006E-2</v>
      </c>
      <c r="BJ2729" s="624">
        <v>42074</v>
      </c>
      <c r="BK2729" s="355">
        <v>3.0439999999999998E-2</v>
      </c>
    </row>
    <row r="2730" spans="3:63" x14ac:dyDescent="0.15">
      <c r="C2730" s="624"/>
      <c r="D2730" s="355">
        <v>1.6289999999999999E-2</v>
      </c>
      <c r="AV2730" s="624"/>
      <c r="AX2730" s="624">
        <v>42081</v>
      </c>
      <c r="AY2730" s="355">
        <v>1.6889999999999999E-2</v>
      </c>
      <c r="AZ2730" s="624">
        <v>42145</v>
      </c>
      <c r="BA2730" s="355">
        <v>9.1999999999999998E-3</v>
      </c>
      <c r="BB2730" s="624">
        <v>42076</v>
      </c>
      <c r="BC2730" s="355">
        <v>0.25290000000000001</v>
      </c>
      <c r="BD2730" s="624">
        <v>42076</v>
      </c>
      <c r="BE2730" s="355">
        <v>8.7859999999999994E-2</v>
      </c>
      <c r="BF2730" s="624">
        <v>42216</v>
      </c>
      <c r="BG2730" s="355">
        <v>1.5611E-2</v>
      </c>
      <c r="BH2730" s="624">
        <v>42076</v>
      </c>
      <c r="BI2730" s="355">
        <v>7.5393000000000002E-2</v>
      </c>
      <c r="BJ2730" s="624">
        <v>42075</v>
      </c>
      <c r="BK2730" s="355">
        <v>3.0439000000000001E-2</v>
      </c>
    </row>
    <row r="2731" spans="3:63" x14ac:dyDescent="0.15">
      <c r="C2731" s="624"/>
      <c r="D2731" s="355">
        <v>1.6889999999999999E-2</v>
      </c>
      <c r="AV2731" s="624"/>
      <c r="AX2731" s="624">
        <v>42082</v>
      </c>
      <c r="AY2731" s="355">
        <v>1.6660000000000001E-2</v>
      </c>
      <c r="AZ2731" s="624">
        <v>42146</v>
      </c>
      <c r="BA2731" s="355">
        <v>9.1000000000000004E-3</v>
      </c>
      <c r="BB2731" s="624">
        <v>42079</v>
      </c>
      <c r="BC2731" s="355">
        <v>0.25590000000000002</v>
      </c>
      <c r="BD2731" s="624">
        <v>42079</v>
      </c>
      <c r="BE2731" s="355">
        <v>8.8349999999999998E-2</v>
      </c>
      <c r="BF2731" s="624">
        <v>42219</v>
      </c>
      <c r="BG2731" s="355">
        <v>1.5582E-2</v>
      </c>
      <c r="BH2731" s="624">
        <v>42079</v>
      </c>
      <c r="BI2731" s="355">
        <v>7.5791999999999998E-2</v>
      </c>
      <c r="BJ2731" s="624">
        <v>42076</v>
      </c>
      <c r="BK2731" s="355">
        <v>3.0321000000000001E-2</v>
      </c>
    </row>
    <row r="2732" spans="3:63" x14ac:dyDescent="0.15">
      <c r="C2732" s="624"/>
      <c r="D2732" s="355">
        <v>1.6660000000000001E-2</v>
      </c>
      <c r="AV2732" s="624"/>
      <c r="AX2732" s="624">
        <v>42083</v>
      </c>
      <c r="AY2732" s="355">
        <v>1.686E-2</v>
      </c>
      <c r="AZ2732" s="624">
        <v>42149</v>
      </c>
      <c r="BA2732" s="355">
        <v>9.1000000000000004E-3</v>
      </c>
      <c r="BB2732" s="624">
        <v>42080</v>
      </c>
      <c r="BC2732" s="355">
        <v>0.25619999999999998</v>
      </c>
      <c r="BD2732" s="624">
        <v>42080</v>
      </c>
      <c r="BE2732" s="355">
        <v>8.8550000000000004E-2</v>
      </c>
      <c r="BF2732" s="624">
        <v>42220</v>
      </c>
      <c r="BG2732" s="355">
        <v>1.5674E-2</v>
      </c>
      <c r="BH2732" s="624">
        <v>42080</v>
      </c>
      <c r="BI2732" s="355">
        <v>7.5953000000000007E-2</v>
      </c>
      <c r="BJ2732" s="624">
        <v>42079</v>
      </c>
      <c r="BK2732" s="355">
        <v>3.039E-2</v>
      </c>
    </row>
    <row r="2733" spans="3:63" x14ac:dyDescent="0.15">
      <c r="C2733" s="624"/>
      <c r="D2733" s="355">
        <v>1.686E-2</v>
      </c>
      <c r="AV2733" s="624"/>
      <c r="AX2733" s="624">
        <v>42086</v>
      </c>
      <c r="AY2733" s="355">
        <v>1.703E-2</v>
      </c>
      <c r="AZ2733" s="624">
        <v>42150</v>
      </c>
      <c r="BA2733" s="355">
        <v>8.9999999999999993E-3</v>
      </c>
      <c r="BB2733" s="624">
        <v>42081</v>
      </c>
      <c r="BC2733" s="355">
        <v>0.26290000000000002</v>
      </c>
      <c r="BD2733" s="624">
        <v>42081</v>
      </c>
      <c r="BE2733" s="355">
        <v>8.9950000000000002E-2</v>
      </c>
      <c r="BF2733" s="624">
        <v>42221</v>
      </c>
      <c r="BG2733" s="355">
        <v>1.5701E-2</v>
      </c>
      <c r="BH2733" s="624">
        <v>42081</v>
      </c>
      <c r="BI2733" s="355">
        <v>7.6370999999999994E-2</v>
      </c>
      <c r="BJ2733" s="624">
        <v>42080</v>
      </c>
      <c r="BK2733" s="355">
        <v>3.0370000000000001E-2</v>
      </c>
    </row>
    <row r="2734" spans="3:63" x14ac:dyDescent="0.15">
      <c r="C2734" s="624"/>
      <c r="D2734" s="355">
        <v>1.703E-2</v>
      </c>
      <c r="AV2734" s="624"/>
      <c r="AX2734" s="624">
        <v>42087</v>
      </c>
      <c r="AY2734" s="355">
        <v>1.7309999999999999E-2</v>
      </c>
      <c r="AZ2734" s="624">
        <v>42151</v>
      </c>
      <c r="BA2734" s="355">
        <v>8.9999999999999993E-3</v>
      </c>
      <c r="BB2734" s="624">
        <v>42082</v>
      </c>
      <c r="BC2734" s="355">
        <v>0.25800000000000001</v>
      </c>
      <c r="BD2734" s="624">
        <v>42082</v>
      </c>
      <c r="BE2734" s="355">
        <v>8.9130000000000001E-2</v>
      </c>
      <c r="BF2734" s="624">
        <v>42222</v>
      </c>
      <c r="BG2734" s="355">
        <v>1.5692999999999999E-2</v>
      </c>
      <c r="BH2734" s="624">
        <v>42082</v>
      </c>
      <c r="BI2734" s="355">
        <v>7.6517000000000002E-2</v>
      </c>
      <c r="BJ2734" s="624">
        <v>42081</v>
      </c>
      <c r="BK2734" s="355">
        <v>3.0594E-2</v>
      </c>
    </row>
    <row r="2735" spans="3:63" x14ac:dyDescent="0.15">
      <c r="C2735" s="624"/>
      <c r="D2735" s="355">
        <v>1.7309999999999999E-2</v>
      </c>
      <c r="AV2735" s="624"/>
      <c r="AX2735" s="624">
        <v>42088</v>
      </c>
      <c r="AY2735" s="355">
        <v>1.7440000000000001E-2</v>
      </c>
      <c r="AZ2735" s="624">
        <v>42152</v>
      </c>
      <c r="BA2735" s="355">
        <v>9.1000000000000004E-3</v>
      </c>
      <c r="BB2735" s="624">
        <v>42083</v>
      </c>
      <c r="BC2735" s="355">
        <v>0.26169999999999999</v>
      </c>
      <c r="BD2735" s="624">
        <v>42083</v>
      </c>
      <c r="BE2735" s="355">
        <v>8.9800000000000005E-2</v>
      </c>
      <c r="BF2735" s="624">
        <v>42223</v>
      </c>
      <c r="BG2735" s="355">
        <v>1.5678999999999998E-2</v>
      </c>
      <c r="BH2735" s="624">
        <v>42083</v>
      </c>
      <c r="BI2735" s="355">
        <v>7.6763999999999999E-2</v>
      </c>
      <c r="BJ2735" s="624">
        <v>42082</v>
      </c>
      <c r="BK2735" s="355">
        <v>3.0544000000000002E-2</v>
      </c>
    </row>
    <row r="2736" spans="3:63" x14ac:dyDescent="0.15">
      <c r="C2736" s="624"/>
      <c r="D2736" s="355">
        <v>1.7440000000000001E-2</v>
      </c>
      <c r="AV2736" s="624"/>
      <c r="AX2736" s="624">
        <v>42089</v>
      </c>
      <c r="AY2736" s="355">
        <v>1.745E-2</v>
      </c>
      <c r="AZ2736" s="624">
        <v>42153</v>
      </c>
      <c r="BA2736" s="355">
        <v>9.1000000000000004E-3</v>
      </c>
      <c r="BB2736" s="624">
        <v>42086</v>
      </c>
      <c r="BC2736" s="355">
        <v>0.26650000000000001</v>
      </c>
      <c r="BD2736" s="624">
        <v>42086</v>
      </c>
      <c r="BE2736" s="355">
        <v>9.0620000000000006E-2</v>
      </c>
      <c r="BF2736" s="624">
        <v>42226</v>
      </c>
      <c r="BG2736" s="355">
        <v>1.5679999999999999E-2</v>
      </c>
      <c r="BH2736" s="624">
        <v>42086</v>
      </c>
      <c r="BI2736" s="355">
        <v>7.6988000000000001E-2</v>
      </c>
      <c r="BJ2736" s="624">
        <v>42083</v>
      </c>
      <c r="BK2736" s="355">
        <v>3.0741999999999998E-2</v>
      </c>
    </row>
    <row r="2737" spans="3:63" x14ac:dyDescent="0.15">
      <c r="C2737" s="624"/>
      <c r="D2737" s="355">
        <v>1.745E-2</v>
      </c>
      <c r="AV2737" s="624"/>
      <c r="AX2737" s="624">
        <v>42090</v>
      </c>
      <c r="AY2737" s="355">
        <v>1.729E-2</v>
      </c>
      <c r="AZ2737" s="624">
        <v>42156</v>
      </c>
      <c r="BA2737" s="355">
        <v>9.1000000000000004E-3</v>
      </c>
      <c r="BB2737" s="624">
        <v>42087</v>
      </c>
      <c r="BC2737" s="355">
        <v>0.26700000000000002</v>
      </c>
      <c r="BD2737" s="624">
        <v>42087</v>
      </c>
      <c r="BE2737" s="355">
        <v>9.0609999999999996E-2</v>
      </c>
      <c r="BF2737" s="624">
        <v>42227</v>
      </c>
      <c r="BG2737" s="355">
        <v>1.5544000000000001E-2</v>
      </c>
      <c r="BH2737" s="624">
        <v>42087</v>
      </c>
      <c r="BI2737" s="355">
        <v>7.7340000000000006E-2</v>
      </c>
      <c r="BJ2737" s="624">
        <v>42086</v>
      </c>
      <c r="BK2737" s="355">
        <v>3.0765000000000001E-2</v>
      </c>
    </row>
    <row r="2738" spans="3:63" x14ac:dyDescent="0.15">
      <c r="C2738" s="624"/>
      <c r="D2738" s="355">
        <v>1.729E-2</v>
      </c>
      <c r="AV2738" s="624"/>
      <c r="AX2738" s="624">
        <v>42093</v>
      </c>
      <c r="AY2738" s="355">
        <v>1.736E-2</v>
      </c>
      <c r="AZ2738" s="624">
        <v>42157</v>
      </c>
      <c r="BA2738" s="355">
        <v>9.1999999999999998E-3</v>
      </c>
      <c r="BB2738" s="624">
        <v>42088</v>
      </c>
      <c r="BC2738" s="355">
        <v>0.26850000000000002</v>
      </c>
      <c r="BD2738" s="624">
        <v>42088</v>
      </c>
      <c r="BE2738" s="355">
        <v>9.0819999999999998E-2</v>
      </c>
      <c r="BF2738" s="624">
        <v>42228</v>
      </c>
      <c r="BG2738" s="355">
        <v>1.5398E-2</v>
      </c>
      <c r="BH2738" s="624">
        <v>42088</v>
      </c>
      <c r="BI2738" s="355">
        <v>7.7048000000000005E-2</v>
      </c>
      <c r="BJ2738" s="624">
        <v>42087</v>
      </c>
      <c r="BK2738" s="355">
        <v>3.0769999999999999E-2</v>
      </c>
    </row>
    <row r="2739" spans="3:63" x14ac:dyDescent="0.15">
      <c r="C2739" s="624"/>
      <c r="D2739" s="355">
        <v>1.736E-2</v>
      </c>
      <c r="AV2739" s="624"/>
      <c r="AX2739" s="624">
        <v>42094</v>
      </c>
      <c r="AY2739" s="355">
        <v>1.7180000000000001E-2</v>
      </c>
      <c r="AZ2739" s="624">
        <v>42158</v>
      </c>
      <c r="BA2739" s="355">
        <v>9.2999999999999992E-3</v>
      </c>
      <c r="BB2739" s="624">
        <v>42089</v>
      </c>
      <c r="BC2739" s="355">
        <v>0.26650000000000001</v>
      </c>
      <c r="BD2739" s="624">
        <v>42089</v>
      </c>
      <c r="BE2739" s="355">
        <v>9.0490000000000001E-2</v>
      </c>
      <c r="BF2739" s="624">
        <v>42229</v>
      </c>
      <c r="BG2739" s="355">
        <v>1.5335E-2</v>
      </c>
      <c r="BH2739" s="624">
        <v>42089</v>
      </c>
      <c r="BI2739" s="355">
        <v>7.6774999999999996E-2</v>
      </c>
      <c r="BJ2739" s="624">
        <v>42088</v>
      </c>
      <c r="BK2739" s="355">
        <v>3.0735999999999999E-2</v>
      </c>
    </row>
    <row r="2740" spans="3:63" x14ac:dyDescent="0.15">
      <c r="C2740" s="624"/>
      <c r="D2740" s="355">
        <v>1.7180000000000001E-2</v>
      </c>
      <c r="AV2740" s="624"/>
      <c r="AX2740" s="624">
        <v>42095</v>
      </c>
      <c r="AY2740" s="355">
        <v>1.736E-2</v>
      </c>
      <c r="AZ2740" s="624">
        <v>42159</v>
      </c>
      <c r="BA2740" s="355">
        <v>9.2999999999999992E-3</v>
      </c>
      <c r="BB2740" s="624">
        <v>42090</v>
      </c>
      <c r="BC2740" s="355">
        <v>0.26569999999999999</v>
      </c>
      <c r="BD2740" s="624">
        <v>42090</v>
      </c>
      <c r="BE2740" s="355">
        <v>9.06E-2</v>
      </c>
      <c r="BF2740" s="624">
        <v>42230</v>
      </c>
      <c r="BG2740" s="355">
        <v>1.5365E-2</v>
      </c>
      <c r="BH2740" s="624">
        <v>42090</v>
      </c>
      <c r="BI2740" s="355">
        <v>7.6510999999999996E-2</v>
      </c>
      <c r="BJ2740" s="624">
        <v>42089</v>
      </c>
      <c r="BK2740" s="355">
        <v>3.0721999999999999E-2</v>
      </c>
    </row>
    <row r="2741" spans="3:63" x14ac:dyDescent="0.15">
      <c r="C2741" s="624"/>
      <c r="D2741" s="355">
        <v>1.736E-2</v>
      </c>
      <c r="AV2741" s="624"/>
      <c r="AX2741" s="624">
        <v>42096</v>
      </c>
      <c r="AY2741" s="355">
        <v>1.771E-2</v>
      </c>
      <c r="AZ2741" s="624">
        <v>42160</v>
      </c>
      <c r="BA2741" s="355">
        <v>9.1999999999999998E-3</v>
      </c>
      <c r="BB2741" s="624">
        <v>42093</v>
      </c>
      <c r="BC2741" s="355">
        <v>0.2651</v>
      </c>
      <c r="BD2741" s="624">
        <v>42093</v>
      </c>
      <c r="BE2741" s="355">
        <v>9.0249999999999997E-2</v>
      </c>
      <c r="BF2741" s="624">
        <v>42233</v>
      </c>
      <c r="BG2741" s="355">
        <v>1.5288E-2</v>
      </c>
      <c r="BH2741" s="624">
        <v>42093</v>
      </c>
      <c r="BI2741" s="355">
        <v>7.6394000000000004E-2</v>
      </c>
      <c r="BJ2741" s="624">
        <v>42090</v>
      </c>
      <c r="BK2741" s="355">
        <v>3.0713000000000001E-2</v>
      </c>
    </row>
    <row r="2742" spans="3:63" x14ac:dyDescent="0.15">
      <c r="C2742" s="624"/>
      <c r="D2742" s="355">
        <v>1.771E-2</v>
      </c>
      <c r="AV2742" s="624"/>
      <c r="AX2742" s="624">
        <v>42097</v>
      </c>
      <c r="AY2742" s="355">
        <v>1.7690000000000001E-2</v>
      </c>
      <c r="AZ2742" s="624">
        <v>42163</v>
      </c>
      <c r="BA2742" s="355">
        <v>9.4000000000000004E-3</v>
      </c>
      <c r="BB2742" s="624">
        <v>42094</v>
      </c>
      <c r="BC2742" s="355">
        <v>0.26319999999999999</v>
      </c>
      <c r="BD2742" s="624">
        <v>42094</v>
      </c>
      <c r="BE2742" s="355">
        <v>9.0149999999999994E-2</v>
      </c>
      <c r="BF2742" s="624">
        <v>42234</v>
      </c>
      <c r="BG2742" s="355">
        <v>1.5262E-2</v>
      </c>
      <c r="BH2742" s="624">
        <v>42094</v>
      </c>
      <c r="BI2742" s="355">
        <v>7.6505000000000004E-2</v>
      </c>
      <c r="BJ2742" s="624">
        <v>42093</v>
      </c>
      <c r="BK2742" s="355">
        <v>3.0675000000000001E-2</v>
      </c>
    </row>
    <row r="2743" spans="3:63" x14ac:dyDescent="0.15">
      <c r="C2743" s="624"/>
      <c r="D2743" s="355">
        <v>1.7690000000000001E-2</v>
      </c>
      <c r="AV2743" s="624"/>
      <c r="AX2743" s="624">
        <v>42100</v>
      </c>
      <c r="AY2743" s="355">
        <v>1.806E-2</v>
      </c>
      <c r="AZ2743" s="624">
        <v>42164</v>
      </c>
      <c r="BA2743" s="355">
        <v>9.2999999999999992E-3</v>
      </c>
      <c r="BB2743" s="624">
        <v>42095</v>
      </c>
      <c r="BC2743" s="355">
        <v>0.26519999999999999</v>
      </c>
      <c r="BD2743" s="624">
        <v>42095</v>
      </c>
      <c r="BE2743" s="355">
        <v>9.1039999999999996E-2</v>
      </c>
      <c r="BF2743" s="624">
        <v>42235</v>
      </c>
      <c r="BG2743" s="355">
        <v>1.5369000000000001E-2</v>
      </c>
      <c r="BH2743" s="624">
        <v>42095</v>
      </c>
      <c r="BI2743" s="355">
        <v>7.7071000000000001E-2</v>
      </c>
      <c r="BJ2743" s="624">
        <v>42094</v>
      </c>
      <c r="BK2743" s="355">
        <v>3.0700000000000002E-2</v>
      </c>
    </row>
    <row r="2744" spans="3:63" x14ac:dyDescent="0.15">
      <c r="C2744" s="624"/>
      <c r="D2744" s="355">
        <v>1.806E-2</v>
      </c>
      <c r="AV2744" s="624"/>
      <c r="AX2744" s="624">
        <v>42101</v>
      </c>
      <c r="AY2744" s="355">
        <v>1.8169999999999999E-2</v>
      </c>
      <c r="AZ2744" s="624">
        <v>42165</v>
      </c>
      <c r="BA2744" s="355">
        <v>9.4000000000000004E-3</v>
      </c>
      <c r="BB2744" s="624">
        <v>42096</v>
      </c>
      <c r="BC2744" s="355">
        <v>0.26719999999999999</v>
      </c>
      <c r="BD2744" s="624">
        <v>42096</v>
      </c>
      <c r="BE2744" s="355">
        <v>9.1630000000000003E-2</v>
      </c>
      <c r="BF2744" s="624">
        <v>42236</v>
      </c>
      <c r="BG2744" s="355">
        <v>1.5283E-2</v>
      </c>
      <c r="BH2744" s="624">
        <v>42096</v>
      </c>
      <c r="BI2744" s="355">
        <v>7.6739000000000002E-2</v>
      </c>
      <c r="BJ2744" s="624">
        <v>42095</v>
      </c>
      <c r="BK2744" s="355">
        <v>3.0778E-2</v>
      </c>
    </row>
    <row r="2745" spans="3:63" x14ac:dyDescent="0.15">
      <c r="C2745" s="624"/>
      <c r="D2745" s="355">
        <v>1.8169999999999999E-2</v>
      </c>
      <c r="AV2745" s="624"/>
      <c r="AX2745" s="624">
        <v>42102</v>
      </c>
      <c r="AY2745" s="355">
        <v>1.864E-2</v>
      </c>
      <c r="AZ2745" s="624">
        <v>42166</v>
      </c>
      <c r="BA2745" s="355">
        <v>9.2999999999999992E-3</v>
      </c>
      <c r="BB2745" s="624">
        <v>42097</v>
      </c>
      <c r="BC2745" s="355">
        <v>0.27050000000000002</v>
      </c>
      <c r="BD2745" s="624">
        <v>42097</v>
      </c>
      <c r="BE2745" s="355">
        <v>9.2009999999999995E-2</v>
      </c>
      <c r="BF2745" s="624">
        <v>42237</v>
      </c>
      <c r="BG2745" s="355">
        <v>1.5101E-2</v>
      </c>
      <c r="BH2745" s="624">
        <v>42097</v>
      </c>
      <c r="BI2745" s="355">
        <v>7.7214000000000005E-2</v>
      </c>
      <c r="BJ2745" s="624">
        <v>42096</v>
      </c>
      <c r="BK2745" s="355">
        <v>3.0807000000000001E-2</v>
      </c>
    </row>
    <row r="2746" spans="3:63" x14ac:dyDescent="0.15">
      <c r="C2746" s="624"/>
      <c r="D2746" s="355">
        <v>1.864E-2</v>
      </c>
      <c r="AV2746" s="624"/>
      <c r="AX2746" s="624">
        <v>42103</v>
      </c>
      <c r="AY2746" s="355">
        <v>1.9279999999999999E-2</v>
      </c>
      <c r="AZ2746" s="624">
        <v>42167</v>
      </c>
      <c r="BA2746" s="355">
        <v>9.4000000000000004E-3</v>
      </c>
      <c r="BB2746" s="624">
        <v>42100</v>
      </c>
      <c r="BC2746" s="355">
        <v>0.26800000000000002</v>
      </c>
      <c r="BD2746" s="624">
        <v>42100</v>
      </c>
      <c r="BE2746" s="355">
        <v>9.2069999999999999E-2</v>
      </c>
      <c r="BF2746" s="624">
        <v>42240</v>
      </c>
      <c r="BG2746" s="355">
        <v>1.4921E-2</v>
      </c>
      <c r="BH2746" s="624">
        <v>42100</v>
      </c>
      <c r="BI2746" s="355">
        <v>7.7219999999999997E-2</v>
      </c>
      <c r="BJ2746" s="624">
        <v>42097</v>
      </c>
      <c r="BK2746" s="355">
        <v>3.0918000000000001E-2</v>
      </c>
    </row>
    <row r="2747" spans="3:63" x14ac:dyDescent="0.15">
      <c r="C2747" s="624"/>
      <c r="D2747" s="355">
        <v>1.9279999999999999E-2</v>
      </c>
      <c r="AV2747" s="624"/>
      <c r="AX2747" s="624">
        <v>42104</v>
      </c>
      <c r="AY2747" s="355">
        <v>1.866E-2</v>
      </c>
      <c r="AZ2747" s="624">
        <v>42170</v>
      </c>
      <c r="BA2747" s="355">
        <v>9.4000000000000004E-3</v>
      </c>
      <c r="BB2747" s="624">
        <v>42101</v>
      </c>
      <c r="BC2747" s="355">
        <v>0.2676</v>
      </c>
      <c r="BD2747" s="624">
        <v>42101</v>
      </c>
      <c r="BE2747" s="355">
        <v>9.128E-2</v>
      </c>
      <c r="BF2747" s="624">
        <v>42241</v>
      </c>
      <c r="BG2747" s="355">
        <v>1.5077E-2</v>
      </c>
      <c r="BH2747" s="624">
        <v>42101</v>
      </c>
      <c r="BI2747" s="355">
        <v>7.6940999999999996E-2</v>
      </c>
      <c r="BJ2747" s="624">
        <v>42100</v>
      </c>
      <c r="BK2747" s="355">
        <v>3.0821000000000001E-2</v>
      </c>
    </row>
    <row r="2748" spans="3:63" x14ac:dyDescent="0.15">
      <c r="C2748" s="624"/>
      <c r="D2748" s="355">
        <v>1.866E-2</v>
      </c>
      <c r="AV2748" s="624"/>
      <c r="AX2748" s="624">
        <v>42107</v>
      </c>
      <c r="AY2748" s="355">
        <v>1.9179999999999999E-2</v>
      </c>
      <c r="AZ2748" s="624">
        <v>42171</v>
      </c>
      <c r="BA2748" s="355">
        <v>9.2999999999999992E-3</v>
      </c>
      <c r="BB2748" s="624">
        <v>42102</v>
      </c>
      <c r="BC2748" s="355">
        <v>0.26910000000000001</v>
      </c>
      <c r="BD2748" s="624">
        <v>42102</v>
      </c>
      <c r="BE2748" s="355">
        <v>9.1499999999999998E-2</v>
      </c>
      <c r="BF2748" s="624">
        <v>42242</v>
      </c>
      <c r="BG2748" s="355">
        <v>1.5148999999999999E-2</v>
      </c>
      <c r="BH2748" s="624">
        <v>42102</v>
      </c>
      <c r="BI2748" s="355">
        <v>7.7148999999999995E-2</v>
      </c>
      <c r="BJ2748" s="624">
        <v>42101</v>
      </c>
      <c r="BK2748" s="355">
        <v>3.0707999999999999E-2</v>
      </c>
    </row>
    <row r="2749" spans="3:63" x14ac:dyDescent="0.15">
      <c r="C2749" s="624"/>
      <c r="D2749" s="355">
        <v>1.9179999999999999E-2</v>
      </c>
      <c r="AV2749" s="624"/>
      <c r="AX2749" s="624">
        <v>42108</v>
      </c>
      <c r="AY2749" s="355">
        <v>1.9619999999999999E-2</v>
      </c>
      <c r="AZ2749" s="624">
        <v>42172</v>
      </c>
      <c r="BA2749" s="355">
        <v>9.4000000000000004E-3</v>
      </c>
      <c r="BB2749" s="624">
        <v>42103</v>
      </c>
      <c r="BC2749" s="355">
        <v>0.26469999999999999</v>
      </c>
      <c r="BD2749" s="624">
        <v>42103</v>
      </c>
      <c r="BE2749" s="355">
        <v>9.1179999999999997E-2</v>
      </c>
      <c r="BF2749" s="624">
        <v>42243</v>
      </c>
      <c r="BG2749" s="355">
        <v>1.5159000000000001E-2</v>
      </c>
      <c r="BH2749" s="624">
        <v>42103</v>
      </c>
      <c r="BI2749" s="355">
        <v>7.7113000000000001E-2</v>
      </c>
      <c r="BJ2749" s="624">
        <v>42102</v>
      </c>
      <c r="BK2749" s="355">
        <v>3.0714999999999999E-2</v>
      </c>
    </row>
    <row r="2750" spans="3:63" x14ac:dyDescent="0.15">
      <c r="C2750" s="624"/>
      <c r="D2750" s="355">
        <v>1.9619999999999999E-2</v>
      </c>
      <c r="AV2750" s="624"/>
      <c r="AX2750" s="624">
        <v>42109</v>
      </c>
      <c r="AY2750" s="355">
        <v>2.0150000000000001E-2</v>
      </c>
      <c r="AZ2750" s="624">
        <v>42173</v>
      </c>
      <c r="BA2750" s="355">
        <v>9.4000000000000004E-3</v>
      </c>
      <c r="BB2750" s="624">
        <v>42104</v>
      </c>
      <c r="BC2750" s="355">
        <v>0.26350000000000001</v>
      </c>
      <c r="BD2750" s="624">
        <v>42104</v>
      </c>
      <c r="BE2750" s="355">
        <v>9.146E-2</v>
      </c>
      <c r="BF2750" s="624">
        <v>42244</v>
      </c>
      <c r="BG2750" s="355">
        <v>1.5117E-2</v>
      </c>
      <c r="BH2750" s="624">
        <v>42104</v>
      </c>
      <c r="BI2750" s="355">
        <v>7.7405000000000002E-2</v>
      </c>
      <c r="BJ2750" s="624">
        <v>42103</v>
      </c>
      <c r="BK2750" s="355">
        <v>3.0696000000000001E-2</v>
      </c>
    </row>
    <row r="2751" spans="3:63" x14ac:dyDescent="0.15">
      <c r="C2751" s="624"/>
      <c r="D2751" s="355">
        <v>2.0150000000000001E-2</v>
      </c>
      <c r="AV2751" s="624"/>
      <c r="AX2751" s="624">
        <v>42110</v>
      </c>
      <c r="AY2751" s="355">
        <v>2.0080000000000001E-2</v>
      </c>
      <c r="AZ2751" s="624">
        <v>42174</v>
      </c>
      <c r="BA2751" s="355">
        <v>9.4000000000000004E-3</v>
      </c>
      <c r="BB2751" s="624">
        <v>42107</v>
      </c>
      <c r="BC2751" s="355">
        <v>0.26369999999999999</v>
      </c>
      <c r="BD2751" s="624">
        <v>42107</v>
      </c>
      <c r="BE2751" s="355">
        <v>9.0759999999999993E-2</v>
      </c>
      <c r="BF2751" s="624">
        <v>42247</v>
      </c>
      <c r="BG2751" s="355">
        <v>1.5056999999999999E-2</v>
      </c>
      <c r="BH2751" s="624">
        <v>42107</v>
      </c>
      <c r="BI2751" s="355">
        <v>7.6712000000000002E-2</v>
      </c>
      <c r="BJ2751" s="624">
        <v>42104</v>
      </c>
      <c r="BK2751" s="355">
        <v>3.0731000000000001E-2</v>
      </c>
    </row>
    <row r="2752" spans="3:63" x14ac:dyDescent="0.15">
      <c r="C2752" s="624"/>
      <c r="D2752" s="355">
        <v>2.0080000000000001E-2</v>
      </c>
      <c r="AV2752" s="624"/>
      <c r="AX2752" s="624">
        <v>42111</v>
      </c>
      <c r="AY2752" s="355">
        <v>1.925E-2</v>
      </c>
      <c r="AZ2752" s="624">
        <v>42177</v>
      </c>
      <c r="BA2752" s="355">
        <v>9.4000000000000004E-3</v>
      </c>
      <c r="BB2752" s="624">
        <v>42108</v>
      </c>
      <c r="BC2752" s="355">
        <v>0.26540000000000002</v>
      </c>
      <c r="BD2752" s="624">
        <v>42108</v>
      </c>
      <c r="BE2752" s="355">
        <v>9.1579999999999995E-2</v>
      </c>
      <c r="BF2752" s="624">
        <v>42248</v>
      </c>
      <c r="BG2752" s="355">
        <v>1.5063999999999999E-2</v>
      </c>
      <c r="BH2752" s="624">
        <v>42108</v>
      </c>
      <c r="BI2752" s="355">
        <v>7.7285999999999994E-2</v>
      </c>
      <c r="BJ2752" s="624">
        <v>42107</v>
      </c>
      <c r="BK2752" s="355">
        <v>3.0720000000000001E-2</v>
      </c>
    </row>
    <row r="2753" spans="3:63" x14ac:dyDescent="0.15">
      <c r="C2753" s="624"/>
      <c r="D2753" s="355">
        <v>1.925E-2</v>
      </c>
      <c r="AV2753" s="624"/>
      <c r="AX2753" s="624">
        <v>42114</v>
      </c>
      <c r="AY2753" s="355">
        <v>1.8749999999999999E-2</v>
      </c>
      <c r="AZ2753" s="624">
        <v>42178</v>
      </c>
      <c r="BA2753" s="355">
        <v>9.2999999999999992E-3</v>
      </c>
      <c r="BB2753" s="624">
        <v>42109</v>
      </c>
      <c r="BC2753" s="355">
        <v>0.26569999999999999</v>
      </c>
      <c r="BD2753" s="624">
        <v>42109</v>
      </c>
      <c r="BE2753" s="355">
        <v>9.1539999999999996E-2</v>
      </c>
      <c r="BF2753" s="624">
        <v>42249</v>
      </c>
      <c r="BG2753" s="355">
        <v>1.5105E-2</v>
      </c>
      <c r="BH2753" s="624">
        <v>42109</v>
      </c>
      <c r="BI2753" s="355">
        <v>7.7440999999999996E-2</v>
      </c>
      <c r="BJ2753" s="624">
        <v>42108</v>
      </c>
      <c r="BK2753" s="355">
        <v>3.0786000000000001E-2</v>
      </c>
    </row>
    <row r="2754" spans="3:63" x14ac:dyDescent="0.15">
      <c r="C2754" s="624"/>
      <c r="D2754" s="355">
        <v>1.8749999999999999E-2</v>
      </c>
      <c r="AV2754" s="624"/>
      <c r="AX2754" s="624">
        <v>42115</v>
      </c>
      <c r="AY2754" s="355">
        <v>1.8599999999999998E-2</v>
      </c>
      <c r="AZ2754" s="624">
        <v>42179</v>
      </c>
      <c r="BA2754" s="355">
        <v>9.2999999999999992E-3</v>
      </c>
      <c r="BB2754" s="624">
        <v>42110</v>
      </c>
      <c r="BC2754" s="355">
        <v>0.26729999999999998</v>
      </c>
      <c r="BD2754" s="624">
        <v>42110</v>
      </c>
      <c r="BE2754" s="355">
        <v>9.221E-2</v>
      </c>
      <c r="BF2754" s="624">
        <v>42250</v>
      </c>
      <c r="BG2754" s="355">
        <v>1.5125E-2</v>
      </c>
      <c r="BH2754" s="624">
        <v>42110</v>
      </c>
      <c r="BI2754" s="355">
        <v>7.7923999999999993E-2</v>
      </c>
      <c r="BJ2754" s="624">
        <v>42109</v>
      </c>
      <c r="BK2754" s="355">
        <v>3.0839999999999999E-2</v>
      </c>
    </row>
    <row r="2755" spans="3:63" x14ac:dyDescent="0.15">
      <c r="C2755" s="624"/>
      <c r="D2755" s="355">
        <v>1.8599999999999998E-2</v>
      </c>
      <c r="AV2755" s="624"/>
      <c r="AX2755" s="624">
        <v>42116</v>
      </c>
      <c r="AY2755" s="355">
        <v>1.9199999999999998E-2</v>
      </c>
      <c r="AZ2755" s="624">
        <v>42180</v>
      </c>
      <c r="BA2755" s="355">
        <v>9.2999999999999992E-3</v>
      </c>
      <c r="BB2755" s="624">
        <v>42111</v>
      </c>
      <c r="BC2755" s="355">
        <v>0.26840000000000003</v>
      </c>
      <c r="BD2755" s="624">
        <v>42111</v>
      </c>
      <c r="BE2755" s="355">
        <v>9.2270000000000005E-2</v>
      </c>
      <c r="BF2755" s="624">
        <v>42251</v>
      </c>
      <c r="BG2755" s="355">
        <v>1.4985999999999999E-2</v>
      </c>
      <c r="BH2755" s="624">
        <v>42111</v>
      </c>
      <c r="BI2755" s="355">
        <v>7.7896000000000007E-2</v>
      </c>
      <c r="BJ2755" s="624">
        <v>42110</v>
      </c>
      <c r="BK2755" s="355">
        <v>3.0869000000000001E-2</v>
      </c>
    </row>
    <row r="2756" spans="3:63" x14ac:dyDescent="0.15">
      <c r="C2756" s="624"/>
      <c r="D2756" s="355">
        <v>1.9199999999999998E-2</v>
      </c>
      <c r="AV2756" s="624"/>
      <c r="AX2756" s="624">
        <v>42117</v>
      </c>
      <c r="AY2756" s="355">
        <v>1.9699999999999999E-2</v>
      </c>
      <c r="AZ2756" s="624">
        <v>42181</v>
      </c>
      <c r="BA2756" s="355">
        <v>9.2999999999999992E-3</v>
      </c>
      <c r="BB2756" s="624">
        <v>42114</v>
      </c>
      <c r="BC2756" s="355">
        <v>0.26910000000000001</v>
      </c>
      <c r="BD2756" s="624">
        <v>42114</v>
      </c>
      <c r="BE2756" s="355">
        <v>9.2310000000000003E-2</v>
      </c>
      <c r="BF2756" s="624">
        <v>42254</v>
      </c>
      <c r="BG2756" s="355">
        <v>1.495E-2</v>
      </c>
      <c r="BH2756" s="624">
        <v>42114</v>
      </c>
      <c r="BI2756" s="355">
        <v>7.6887999999999998E-2</v>
      </c>
      <c r="BJ2756" s="624">
        <v>42111</v>
      </c>
      <c r="BK2756" s="355">
        <v>3.0911999999999999E-2</v>
      </c>
    </row>
    <row r="2757" spans="3:63" x14ac:dyDescent="0.15">
      <c r="C2757" s="624"/>
      <c r="D2757" s="355">
        <v>1.9699999999999999E-2</v>
      </c>
      <c r="AV2757" s="624"/>
      <c r="AX2757" s="624">
        <v>42118</v>
      </c>
      <c r="AY2757" s="355">
        <v>1.9650000000000001E-2</v>
      </c>
      <c r="AZ2757" s="624">
        <v>42184</v>
      </c>
      <c r="BA2757" s="355">
        <v>9.2999999999999992E-3</v>
      </c>
      <c r="BB2757" s="624">
        <v>42115</v>
      </c>
      <c r="BC2757" s="355">
        <v>0.26929999999999998</v>
      </c>
      <c r="BD2757" s="624">
        <v>42115</v>
      </c>
      <c r="BE2757" s="355">
        <v>9.2340000000000005E-2</v>
      </c>
      <c r="BF2757" s="624">
        <v>42255</v>
      </c>
      <c r="BG2757" s="355">
        <v>1.5086E-2</v>
      </c>
      <c r="BH2757" s="624">
        <v>42115</v>
      </c>
      <c r="BI2757" s="355">
        <v>7.7202000000000007E-2</v>
      </c>
      <c r="BJ2757" s="624">
        <v>42114</v>
      </c>
      <c r="BK2757" s="355">
        <v>3.0856999999999999E-2</v>
      </c>
    </row>
    <row r="2758" spans="3:63" x14ac:dyDescent="0.15">
      <c r="C2758" s="624"/>
      <c r="D2758" s="355">
        <v>1.9650000000000001E-2</v>
      </c>
      <c r="AV2758" s="624"/>
      <c r="AX2758" s="624">
        <v>42121</v>
      </c>
      <c r="AY2758" s="355">
        <v>1.9279999999999999E-2</v>
      </c>
      <c r="AZ2758" s="624">
        <v>42185</v>
      </c>
      <c r="BA2758" s="355">
        <v>9.2999999999999992E-3</v>
      </c>
      <c r="BB2758" s="624">
        <v>42116</v>
      </c>
      <c r="BC2758" s="355">
        <v>0.26889999999999997</v>
      </c>
      <c r="BD2758" s="624">
        <v>42116</v>
      </c>
      <c r="BE2758" s="355">
        <v>9.2249999999999999E-2</v>
      </c>
      <c r="BF2758" s="624">
        <v>42256</v>
      </c>
      <c r="BG2758" s="355">
        <v>1.5011E-2</v>
      </c>
      <c r="BH2758" s="624">
        <v>42116</v>
      </c>
      <c r="BI2758" s="355">
        <v>7.7341999999999994E-2</v>
      </c>
      <c r="BJ2758" s="624">
        <v>42115</v>
      </c>
      <c r="BK2758" s="355">
        <v>3.0886E-2</v>
      </c>
    </row>
    <row r="2759" spans="3:63" x14ac:dyDescent="0.15">
      <c r="C2759" s="624"/>
      <c r="D2759" s="355">
        <v>1.9279999999999999E-2</v>
      </c>
      <c r="AV2759" s="624"/>
      <c r="AX2759" s="624">
        <v>42122</v>
      </c>
      <c r="AY2759" s="355">
        <v>1.9470000000000001E-2</v>
      </c>
      <c r="AZ2759" s="624">
        <v>42186</v>
      </c>
      <c r="BA2759" s="355">
        <v>9.1999999999999998E-3</v>
      </c>
      <c r="BB2759" s="624">
        <v>42117</v>
      </c>
      <c r="BC2759" s="355">
        <v>0.27050000000000002</v>
      </c>
      <c r="BD2759" s="624">
        <v>42117</v>
      </c>
      <c r="BE2759" s="355">
        <v>9.2499999999999999E-2</v>
      </c>
      <c r="BF2759" s="624">
        <v>42257</v>
      </c>
      <c r="BG2759" s="355">
        <v>1.5088000000000001E-2</v>
      </c>
      <c r="BH2759" s="624">
        <v>42117</v>
      </c>
      <c r="BI2759" s="355">
        <v>7.7310000000000004E-2</v>
      </c>
      <c r="BJ2759" s="624">
        <v>42116</v>
      </c>
      <c r="BK2759" s="355">
        <v>3.0886E-2</v>
      </c>
    </row>
    <row r="2760" spans="3:63" x14ac:dyDescent="0.15">
      <c r="C2760" s="624"/>
      <c r="D2760" s="355">
        <v>1.9470000000000001E-2</v>
      </c>
      <c r="AV2760" s="624"/>
      <c r="AX2760" s="624">
        <v>42123</v>
      </c>
      <c r="AY2760" s="355">
        <v>1.9599999999999999E-2</v>
      </c>
      <c r="AZ2760" s="624">
        <v>42187</v>
      </c>
      <c r="BA2760" s="355">
        <v>9.1999999999999998E-3</v>
      </c>
      <c r="BB2760" s="624">
        <v>42118</v>
      </c>
      <c r="BC2760" s="355">
        <v>0.26950000000000002</v>
      </c>
      <c r="BD2760" s="624">
        <v>42118</v>
      </c>
      <c r="BE2760" s="355">
        <v>9.2899999999999996E-2</v>
      </c>
      <c r="BF2760" s="624">
        <v>42258</v>
      </c>
      <c r="BG2760" s="355">
        <v>1.5096E-2</v>
      </c>
      <c r="BH2760" s="624">
        <v>42118</v>
      </c>
      <c r="BI2760" s="355">
        <v>7.7200000000000005E-2</v>
      </c>
      <c r="BJ2760" s="624">
        <v>42117</v>
      </c>
      <c r="BK2760" s="355">
        <v>3.0817000000000001E-2</v>
      </c>
    </row>
    <row r="2761" spans="3:63" x14ac:dyDescent="0.15">
      <c r="C2761" s="624"/>
      <c r="D2761" s="355">
        <v>1.9599999999999999E-2</v>
      </c>
      <c r="AV2761" s="624"/>
      <c r="AX2761" s="624">
        <v>42124</v>
      </c>
      <c r="AY2761" s="355">
        <v>1.9369999999999998E-2</v>
      </c>
      <c r="AZ2761" s="624">
        <v>42188</v>
      </c>
      <c r="BA2761" s="355">
        <v>9.1999999999999998E-3</v>
      </c>
      <c r="BB2761" s="624">
        <v>42121</v>
      </c>
      <c r="BC2761" s="355">
        <v>0.27300000000000002</v>
      </c>
      <c r="BD2761" s="624">
        <v>42121</v>
      </c>
      <c r="BE2761" s="355">
        <v>9.3560000000000004E-2</v>
      </c>
      <c r="BF2761" s="624">
        <v>42261</v>
      </c>
      <c r="BG2761" s="355">
        <v>1.5082999999999999E-2</v>
      </c>
      <c r="BH2761" s="624">
        <v>42121</v>
      </c>
      <c r="BI2761" s="355">
        <v>7.7223E-2</v>
      </c>
      <c r="BJ2761" s="624">
        <v>42118</v>
      </c>
      <c r="BK2761" s="355">
        <v>3.0713000000000001E-2</v>
      </c>
    </row>
    <row r="2762" spans="3:63" x14ac:dyDescent="0.15">
      <c r="C2762" s="624"/>
      <c r="D2762" s="355">
        <v>1.9369999999999998E-2</v>
      </c>
      <c r="AV2762" s="624"/>
      <c r="AX2762" s="624">
        <v>42125</v>
      </c>
      <c r="AY2762" s="355">
        <v>1.9269999999999999E-2</v>
      </c>
      <c r="AZ2762" s="624">
        <v>42191</v>
      </c>
      <c r="BA2762" s="355">
        <v>9.1999999999999998E-3</v>
      </c>
      <c r="BB2762" s="624">
        <v>42122</v>
      </c>
      <c r="BC2762" s="355">
        <v>0.27500000000000002</v>
      </c>
      <c r="BD2762" s="624">
        <v>42122</v>
      </c>
      <c r="BE2762" s="355">
        <v>9.393E-2</v>
      </c>
      <c r="BF2762" s="624">
        <v>42262</v>
      </c>
      <c r="BG2762" s="355">
        <v>1.5049E-2</v>
      </c>
      <c r="BH2762" s="624">
        <v>42122</v>
      </c>
      <c r="BI2762" s="355">
        <v>7.7273999999999995E-2</v>
      </c>
      <c r="BJ2762" s="624">
        <v>42121</v>
      </c>
      <c r="BK2762" s="355">
        <v>3.0676999999999999E-2</v>
      </c>
    </row>
    <row r="2763" spans="3:63" x14ac:dyDescent="0.15">
      <c r="C2763" s="624"/>
      <c r="D2763" s="355">
        <v>1.9269999999999999E-2</v>
      </c>
      <c r="AV2763" s="624"/>
      <c r="AX2763" s="624">
        <v>42128</v>
      </c>
      <c r="AY2763" s="355">
        <v>1.9189999999999999E-2</v>
      </c>
      <c r="AZ2763" s="624">
        <v>42192</v>
      </c>
      <c r="BA2763" s="355">
        <v>9.1000000000000004E-3</v>
      </c>
      <c r="BB2763" s="624">
        <v>42123</v>
      </c>
      <c r="BC2763" s="355">
        <v>0.27739999999999998</v>
      </c>
      <c r="BD2763" s="624">
        <v>42123</v>
      </c>
      <c r="BE2763" s="355">
        <v>9.3429999999999999E-2</v>
      </c>
      <c r="BF2763" s="624">
        <v>42263</v>
      </c>
      <c r="BG2763" s="355">
        <v>1.5094E-2</v>
      </c>
      <c r="BH2763" s="624">
        <v>42123</v>
      </c>
      <c r="BI2763" s="355">
        <v>7.7386999999999997E-2</v>
      </c>
      <c r="BJ2763" s="624">
        <v>42122</v>
      </c>
      <c r="BK2763" s="355">
        <v>3.0636E-2</v>
      </c>
    </row>
    <row r="2764" spans="3:63" x14ac:dyDescent="0.15">
      <c r="C2764" s="624"/>
      <c r="D2764" s="355">
        <v>1.9189999999999999E-2</v>
      </c>
      <c r="AV2764" s="624"/>
      <c r="AX2764" s="624">
        <v>42129</v>
      </c>
      <c r="AY2764" s="355">
        <v>1.9789999999999999E-2</v>
      </c>
      <c r="AZ2764" s="624">
        <v>42193</v>
      </c>
      <c r="BA2764" s="355">
        <v>9.1999999999999998E-3</v>
      </c>
      <c r="BB2764" s="624">
        <v>42124</v>
      </c>
      <c r="BC2764" s="355">
        <v>0.27750000000000002</v>
      </c>
      <c r="BD2764" s="624">
        <v>42124</v>
      </c>
      <c r="BE2764" s="355">
        <v>9.282E-2</v>
      </c>
      <c r="BF2764" s="624">
        <v>42264</v>
      </c>
      <c r="BG2764" s="355">
        <v>1.5134999999999999E-2</v>
      </c>
      <c r="BH2764" s="624">
        <v>42124</v>
      </c>
      <c r="BI2764" s="355">
        <v>7.7106999999999995E-2</v>
      </c>
      <c r="BJ2764" s="624">
        <v>42123</v>
      </c>
      <c r="BK2764" s="355">
        <v>3.0454999999999999E-2</v>
      </c>
    </row>
    <row r="2765" spans="3:63" x14ac:dyDescent="0.15">
      <c r="C2765" s="624"/>
      <c r="D2765" s="355">
        <v>1.9789999999999999E-2</v>
      </c>
      <c r="AV2765" s="624"/>
      <c r="AX2765" s="624">
        <v>42130</v>
      </c>
      <c r="AY2765" s="355">
        <v>1.9730000000000001E-2</v>
      </c>
      <c r="AZ2765" s="624">
        <v>42194</v>
      </c>
      <c r="BA2765" s="355">
        <v>9.1999999999999998E-3</v>
      </c>
      <c r="BB2765" s="624">
        <v>42125</v>
      </c>
      <c r="BC2765" s="355">
        <v>0.27510000000000001</v>
      </c>
      <c r="BD2765" s="624">
        <v>42125</v>
      </c>
      <c r="BE2765" s="355">
        <v>9.2530000000000001E-2</v>
      </c>
      <c r="BF2765" s="624">
        <v>42265</v>
      </c>
      <c r="BG2765" s="355">
        <v>1.5180000000000001E-2</v>
      </c>
      <c r="BH2765" s="624">
        <v>42125</v>
      </c>
      <c r="BI2765" s="355">
        <v>7.6869999999999994E-2</v>
      </c>
      <c r="BJ2765" s="624">
        <v>42124</v>
      </c>
      <c r="BK2765" s="355">
        <v>3.0283000000000001E-2</v>
      </c>
    </row>
    <row r="2766" spans="3:63" x14ac:dyDescent="0.15">
      <c r="C2766" s="624"/>
      <c r="D2766" s="355">
        <v>1.9730000000000001E-2</v>
      </c>
      <c r="AV2766" s="624"/>
      <c r="AX2766" s="624">
        <v>42131</v>
      </c>
      <c r="AY2766" s="355">
        <v>1.9910000000000001E-2</v>
      </c>
      <c r="AZ2766" s="624">
        <v>42195</v>
      </c>
      <c r="BA2766" s="355">
        <v>9.2999999999999992E-3</v>
      </c>
      <c r="BB2766" s="624">
        <v>42128</v>
      </c>
      <c r="BC2766" s="355">
        <v>0.2767</v>
      </c>
      <c r="BD2766" s="624">
        <v>42128</v>
      </c>
      <c r="BE2766" s="355">
        <v>9.2450000000000004E-2</v>
      </c>
      <c r="BF2766" s="624">
        <v>42268</v>
      </c>
      <c r="BG2766" s="355">
        <v>1.5221E-2</v>
      </c>
      <c r="BH2766" s="624">
        <v>42128</v>
      </c>
      <c r="BI2766" s="355">
        <v>7.7172000000000004E-2</v>
      </c>
      <c r="BJ2766" s="624">
        <v>42125</v>
      </c>
      <c r="BK2766" s="355">
        <v>3.0089000000000001E-2</v>
      </c>
    </row>
    <row r="2767" spans="3:63" x14ac:dyDescent="0.15">
      <c r="C2767" s="624"/>
      <c r="D2767" s="355">
        <v>1.9910000000000001E-2</v>
      </c>
      <c r="AV2767" s="624"/>
      <c r="AX2767" s="624">
        <v>42132</v>
      </c>
      <c r="AY2767" s="355">
        <v>1.959E-2</v>
      </c>
      <c r="AZ2767" s="624">
        <v>42198</v>
      </c>
      <c r="BA2767" s="355">
        <v>9.1999999999999998E-3</v>
      </c>
      <c r="BB2767" s="624">
        <v>42129</v>
      </c>
      <c r="BC2767" s="355">
        <v>0.27760000000000001</v>
      </c>
      <c r="BD2767" s="624">
        <v>42129</v>
      </c>
      <c r="BE2767" s="355">
        <v>9.2539999999999997E-2</v>
      </c>
      <c r="BF2767" s="624">
        <v>42269</v>
      </c>
      <c r="BG2767" s="355">
        <v>1.5174999999999999E-2</v>
      </c>
      <c r="BH2767" s="624">
        <v>42129</v>
      </c>
      <c r="BI2767" s="355">
        <v>7.6770000000000005E-2</v>
      </c>
      <c r="BJ2767" s="624">
        <v>42128</v>
      </c>
      <c r="BK2767" s="355">
        <v>2.9994E-2</v>
      </c>
    </row>
    <row r="2768" spans="3:63" x14ac:dyDescent="0.15">
      <c r="C2768" s="624"/>
      <c r="D2768" s="355">
        <v>1.959E-2</v>
      </c>
      <c r="AV2768" s="624"/>
      <c r="AX2768" s="624">
        <v>42135</v>
      </c>
      <c r="AY2768" s="355">
        <v>1.95E-2</v>
      </c>
      <c r="AZ2768" s="624">
        <v>42199</v>
      </c>
      <c r="BA2768" s="355">
        <v>9.1999999999999998E-3</v>
      </c>
      <c r="BB2768" s="624">
        <v>42130</v>
      </c>
      <c r="BC2768" s="355">
        <v>0.28050000000000003</v>
      </c>
      <c r="BD2768" s="624">
        <v>42130</v>
      </c>
      <c r="BE2768" s="355">
        <v>9.2560000000000003E-2</v>
      </c>
      <c r="BF2768" s="624">
        <v>42270</v>
      </c>
      <c r="BG2768" s="355">
        <v>1.5086E-2</v>
      </c>
      <c r="BH2768" s="624">
        <v>42130</v>
      </c>
      <c r="BI2768" s="355">
        <v>7.6842999999999995E-2</v>
      </c>
      <c r="BJ2768" s="624">
        <v>42129</v>
      </c>
      <c r="BK2768" s="355">
        <v>2.9989999999999999E-2</v>
      </c>
    </row>
    <row r="2769" spans="3:63" x14ac:dyDescent="0.15">
      <c r="C2769" s="624"/>
      <c r="D2769" s="355">
        <v>1.95E-2</v>
      </c>
      <c r="AV2769" s="624"/>
      <c r="AX2769" s="624">
        <v>42136</v>
      </c>
      <c r="AY2769" s="355">
        <v>2.002E-2</v>
      </c>
      <c r="AZ2769" s="624">
        <v>42200</v>
      </c>
      <c r="BA2769" s="355">
        <v>9.1000000000000004E-3</v>
      </c>
      <c r="BB2769" s="624">
        <v>42131</v>
      </c>
      <c r="BC2769" s="355">
        <v>0.27850000000000003</v>
      </c>
      <c r="BD2769" s="624">
        <v>42131</v>
      </c>
      <c r="BE2769" s="355">
        <v>9.1370000000000007E-2</v>
      </c>
      <c r="BF2769" s="624">
        <v>42271</v>
      </c>
      <c r="BG2769" s="355">
        <v>1.5102000000000001E-2</v>
      </c>
      <c r="BH2769" s="624">
        <v>42131</v>
      </c>
      <c r="BI2769" s="355">
        <v>7.6188000000000006E-2</v>
      </c>
      <c r="BJ2769" s="624">
        <v>42130</v>
      </c>
      <c r="BK2769" s="355">
        <v>3.0062999999999999E-2</v>
      </c>
    </row>
    <row r="2770" spans="3:63" x14ac:dyDescent="0.15">
      <c r="C2770" s="624"/>
      <c r="D2770" s="355">
        <v>2.002E-2</v>
      </c>
      <c r="AV2770" s="624"/>
      <c r="AX2770" s="624">
        <v>42137</v>
      </c>
      <c r="AY2770" s="355">
        <v>2.0279999999999999E-2</v>
      </c>
      <c r="AZ2770" s="624">
        <v>42201</v>
      </c>
      <c r="BA2770" s="355">
        <v>9.1000000000000004E-3</v>
      </c>
      <c r="BB2770" s="624">
        <v>42132</v>
      </c>
      <c r="BC2770" s="355">
        <v>0.27689999999999998</v>
      </c>
      <c r="BD2770" s="624">
        <v>42132</v>
      </c>
      <c r="BE2770" s="355">
        <v>9.1920000000000002E-2</v>
      </c>
      <c r="BF2770" s="624">
        <v>42272</v>
      </c>
      <c r="BG2770" s="355">
        <v>1.5114000000000001E-2</v>
      </c>
      <c r="BH2770" s="624">
        <v>42132</v>
      </c>
      <c r="BI2770" s="355">
        <v>7.6672000000000004E-2</v>
      </c>
      <c r="BJ2770" s="624">
        <v>42131</v>
      </c>
      <c r="BK2770" s="355">
        <v>2.9838E-2</v>
      </c>
    </row>
    <row r="2771" spans="3:63" x14ac:dyDescent="0.15">
      <c r="C2771" s="624"/>
      <c r="D2771" s="355">
        <v>2.0279999999999999E-2</v>
      </c>
      <c r="AV2771" s="624"/>
      <c r="AX2771" s="624">
        <v>42138</v>
      </c>
      <c r="AY2771" s="355">
        <v>0.02</v>
      </c>
      <c r="AZ2771" s="624">
        <v>42202</v>
      </c>
      <c r="BA2771" s="355">
        <v>8.9999999999999993E-3</v>
      </c>
      <c r="BB2771" s="624">
        <v>42135</v>
      </c>
      <c r="BC2771" s="355">
        <v>0.27329999999999999</v>
      </c>
      <c r="BD2771" s="624">
        <v>42135</v>
      </c>
      <c r="BE2771" s="355">
        <v>9.1149999999999995E-2</v>
      </c>
      <c r="BF2771" s="624">
        <v>42275</v>
      </c>
      <c r="BG2771" s="355">
        <v>1.5063E-2</v>
      </c>
      <c r="BH2771" s="624">
        <v>42135</v>
      </c>
      <c r="BI2771" s="355">
        <v>7.5896000000000005E-2</v>
      </c>
      <c r="BJ2771" s="624">
        <v>42132</v>
      </c>
      <c r="BK2771" s="355">
        <v>2.9805000000000002E-2</v>
      </c>
    </row>
    <row r="2772" spans="3:63" x14ac:dyDescent="0.15">
      <c r="C2772" s="624"/>
      <c r="D2772" s="355">
        <v>0.02</v>
      </c>
      <c r="AV2772" s="624"/>
      <c r="AX2772" s="624">
        <v>42139</v>
      </c>
      <c r="AY2772" s="355">
        <v>2.0199999999999999E-2</v>
      </c>
      <c r="AZ2772" s="624">
        <v>42205</v>
      </c>
      <c r="BA2772" s="355">
        <v>8.9999999999999993E-3</v>
      </c>
      <c r="BB2772" s="624">
        <v>42136</v>
      </c>
      <c r="BC2772" s="355">
        <v>0.27339999999999998</v>
      </c>
      <c r="BD2772" s="624">
        <v>42136</v>
      </c>
      <c r="BE2772" s="355">
        <v>9.1469999999999996E-2</v>
      </c>
      <c r="BF2772" s="624">
        <v>42276</v>
      </c>
      <c r="BG2772" s="355">
        <v>1.5167E-2</v>
      </c>
      <c r="BH2772" s="624">
        <v>42136</v>
      </c>
      <c r="BI2772" s="355">
        <v>7.5994000000000006E-2</v>
      </c>
      <c r="BJ2772" s="624">
        <v>42135</v>
      </c>
      <c r="BK2772" s="355">
        <v>2.9645999999999999E-2</v>
      </c>
    </row>
    <row r="2773" spans="3:63" x14ac:dyDescent="0.15">
      <c r="C2773" s="624"/>
      <c r="D2773" s="355">
        <v>2.0199999999999999E-2</v>
      </c>
      <c r="AV2773" s="624"/>
      <c r="AX2773" s="624">
        <v>42142</v>
      </c>
      <c r="AY2773" s="355">
        <v>2.035E-2</v>
      </c>
      <c r="AZ2773" s="624">
        <v>42206</v>
      </c>
      <c r="BA2773" s="355">
        <v>9.1000000000000004E-3</v>
      </c>
      <c r="BB2773" s="624">
        <v>42137</v>
      </c>
      <c r="BC2773" s="355">
        <v>0.2772</v>
      </c>
      <c r="BD2773" s="624">
        <v>42137</v>
      </c>
      <c r="BE2773" s="355">
        <v>9.1490000000000002E-2</v>
      </c>
      <c r="BF2773" s="624">
        <v>42277</v>
      </c>
      <c r="BG2773" s="355">
        <v>1.5252999999999999E-2</v>
      </c>
      <c r="BH2773" s="624">
        <v>42137</v>
      </c>
      <c r="BI2773" s="355">
        <v>7.6300999999999994E-2</v>
      </c>
      <c r="BJ2773" s="624">
        <v>42136</v>
      </c>
      <c r="BK2773" s="355">
        <v>2.9648000000000001E-2</v>
      </c>
    </row>
    <row r="2774" spans="3:63" x14ac:dyDescent="0.15">
      <c r="C2774" s="624"/>
      <c r="D2774" s="355">
        <v>2.035E-2</v>
      </c>
      <c r="AV2774" s="624"/>
      <c r="AX2774" s="624">
        <v>42143</v>
      </c>
      <c r="AY2774" s="355">
        <v>2.018E-2</v>
      </c>
      <c r="AZ2774" s="624">
        <v>42207</v>
      </c>
      <c r="BA2774" s="355">
        <v>9.1000000000000004E-3</v>
      </c>
      <c r="BB2774" s="624">
        <v>42138</v>
      </c>
      <c r="BC2774" s="355">
        <v>0.28050000000000003</v>
      </c>
      <c r="BD2774" s="624">
        <v>42138</v>
      </c>
      <c r="BE2774" s="355">
        <v>9.1859999999999997E-2</v>
      </c>
      <c r="BF2774" s="624">
        <v>42278</v>
      </c>
      <c r="BG2774" s="355">
        <v>1.5240999999999999E-2</v>
      </c>
      <c r="BH2774" s="624">
        <v>42138</v>
      </c>
      <c r="BI2774" s="355">
        <v>7.6793E-2</v>
      </c>
      <c r="BJ2774" s="624">
        <v>42137</v>
      </c>
      <c r="BK2774" s="355">
        <v>2.9838E-2</v>
      </c>
    </row>
    <row r="2775" spans="3:63" x14ac:dyDescent="0.15">
      <c r="C2775" s="624"/>
      <c r="D2775" s="355">
        <v>2.018E-2</v>
      </c>
      <c r="AV2775" s="624"/>
      <c r="AX2775" s="624">
        <v>42144</v>
      </c>
      <c r="AY2775" s="355">
        <v>2.0109999999999999E-2</v>
      </c>
      <c r="AZ2775" s="624">
        <v>42208</v>
      </c>
      <c r="BA2775" s="355">
        <v>9.1000000000000004E-3</v>
      </c>
      <c r="BB2775" s="624">
        <v>42139</v>
      </c>
      <c r="BC2775" s="355">
        <v>0.28349999999999997</v>
      </c>
      <c r="BD2775" s="624">
        <v>42139</v>
      </c>
      <c r="BE2775" s="355">
        <v>9.2219999999999996E-2</v>
      </c>
      <c r="BF2775" s="624">
        <v>42279</v>
      </c>
      <c r="BG2775" s="355">
        <v>1.5337999999999999E-2</v>
      </c>
      <c r="BH2775" s="624">
        <v>42139</v>
      </c>
      <c r="BI2775" s="355">
        <v>7.6535000000000006E-2</v>
      </c>
      <c r="BJ2775" s="624">
        <v>42138</v>
      </c>
      <c r="BK2775" s="355">
        <v>2.9878999999999999E-2</v>
      </c>
    </row>
    <row r="2776" spans="3:63" x14ac:dyDescent="0.15">
      <c r="C2776" s="624"/>
      <c r="D2776" s="355">
        <v>2.0109999999999999E-2</v>
      </c>
      <c r="AV2776" s="624"/>
      <c r="AX2776" s="624">
        <v>42145</v>
      </c>
      <c r="AY2776" s="355">
        <v>2.001E-2</v>
      </c>
      <c r="AZ2776" s="624">
        <v>42209</v>
      </c>
      <c r="BA2776" s="355">
        <v>9.1000000000000004E-3</v>
      </c>
      <c r="BB2776" s="624">
        <v>42142</v>
      </c>
      <c r="BC2776" s="355">
        <v>0.27760000000000001</v>
      </c>
      <c r="BD2776" s="624">
        <v>42142</v>
      </c>
      <c r="BE2776" s="355">
        <v>9.171E-2</v>
      </c>
      <c r="BF2776" s="624">
        <v>42282</v>
      </c>
      <c r="BG2776" s="355">
        <v>1.5351E-2</v>
      </c>
      <c r="BH2776" s="624">
        <v>42142</v>
      </c>
      <c r="BI2776" s="355">
        <v>7.5843999999999995E-2</v>
      </c>
      <c r="BJ2776" s="624">
        <v>42139</v>
      </c>
      <c r="BK2776" s="355">
        <v>2.9863000000000001E-2</v>
      </c>
    </row>
    <row r="2777" spans="3:63" x14ac:dyDescent="0.15">
      <c r="C2777" s="624"/>
      <c r="D2777" s="355">
        <v>2.001E-2</v>
      </c>
      <c r="AV2777" s="624"/>
      <c r="AX2777" s="624">
        <v>42146</v>
      </c>
      <c r="AY2777" s="355">
        <v>0.02</v>
      </c>
      <c r="AZ2777" s="624">
        <v>42212</v>
      </c>
      <c r="BA2777" s="355">
        <v>9.1999999999999998E-3</v>
      </c>
      <c r="BB2777" s="624">
        <v>42143</v>
      </c>
      <c r="BC2777" s="355">
        <v>0.2752</v>
      </c>
      <c r="BD2777" s="624">
        <v>42143</v>
      </c>
      <c r="BE2777" s="355">
        <v>9.1289999999999996E-2</v>
      </c>
      <c r="BF2777" s="624">
        <v>42283</v>
      </c>
      <c r="BG2777" s="355">
        <v>1.5353E-2</v>
      </c>
      <c r="BH2777" s="624">
        <v>42143</v>
      </c>
      <c r="BI2777" s="355">
        <v>7.5850000000000001E-2</v>
      </c>
      <c r="BJ2777" s="624">
        <v>42142</v>
      </c>
      <c r="BK2777" s="355">
        <v>2.9936999999999998E-2</v>
      </c>
    </row>
    <row r="2778" spans="3:63" x14ac:dyDescent="0.15">
      <c r="C2778" s="624"/>
      <c r="D2778" s="355">
        <v>0.02</v>
      </c>
      <c r="AV2778" s="624"/>
      <c r="AX2778" s="624">
        <v>42149</v>
      </c>
      <c r="AY2778" s="355">
        <v>2.002E-2</v>
      </c>
      <c r="AZ2778" s="624">
        <v>42213</v>
      </c>
      <c r="BA2778" s="355">
        <v>9.1999999999999998E-3</v>
      </c>
      <c r="BB2778" s="624">
        <v>42144</v>
      </c>
      <c r="BC2778" s="355">
        <v>0.27210000000000001</v>
      </c>
      <c r="BD2778" s="624">
        <v>42144</v>
      </c>
      <c r="BE2778" s="355">
        <v>9.11E-2</v>
      </c>
      <c r="BF2778" s="624">
        <v>42284</v>
      </c>
      <c r="BG2778" s="355">
        <v>1.5407000000000001E-2</v>
      </c>
      <c r="BH2778" s="624">
        <v>42144</v>
      </c>
      <c r="BI2778" s="355">
        <v>7.6377E-2</v>
      </c>
      <c r="BJ2778" s="624">
        <v>42143</v>
      </c>
      <c r="BK2778" s="355">
        <v>2.9839000000000001E-2</v>
      </c>
    </row>
    <row r="2779" spans="3:63" x14ac:dyDescent="0.15">
      <c r="C2779" s="624"/>
      <c r="D2779" s="355">
        <v>2.002E-2</v>
      </c>
      <c r="AV2779" s="624"/>
      <c r="AX2779" s="624">
        <v>42150</v>
      </c>
      <c r="AY2779" s="355">
        <v>1.9640000000000001E-2</v>
      </c>
      <c r="AZ2779" s="624">
        <v>42214</v>
      </c>
      <c r="BA2779" s="355">
        <v>9.1000000000000004E-3</v>
      </c>
      <c r="BB2779" s="624">
        <v>42145</v>
      </c>
      <c r="BC2779" s="355">
        <v>0.2712</v>
      </c>
      <c r="BD2779" s="624">
        <v>42145</v>
      </c>
      <c r="BE2779" s="355">
        <v>9.1420000000000001E-2</v>
      </c>
      <c r="BF2779" s="624">
        <v>42285</v>
      </c>
      <c r="BG2779" s="355">
        <v>1.5428000000000001E-2</v>
      </c>
      <c r="BH2779" s="624">
        <v>42145</v>
      </c>
      <c r="BI2779" s="355">
        <v>7.6219999999999996E-2</v>
      </c>
      <c r="BJ2779" s="624">
        <v>42144</v>
      </c>
      <c r="BK2779" s="355">
        <v>2.9766999999999998E-2</v>
      </c>
    </row>
    <row r="2780" spans="3:63" x14ac:dyDescent="0.15">
      <c r="C2780" s="624"/>
      <c r="D2780" s="355">
        <v>1.9640000000000001E-2</v>
      </c>
      <c r="AV2780" s="624"/>
      <c r="AX2780" s="624">
        <v>42151</v>
      </c>
      <c r="AY2780" s="355">
        <v>1.932E-2</v>
      </c>
      <c r="AZ2780" s="624">
        <v>42215</v>
      </c>
      <c r="BA2780" s="355">
        <v>9.1000000000000004E-3</v>
      </c>
      <c r="BB2780" s="624">
        <v>42146</v>
      </c>
      <c r="BC2780" s="355">
        <v>0.26800000000000002</v>
      </c>
      <c r="BD2780" s="624">
        <v>42146</v>
      </c>
      <c r="BE2780" s="355">
        <v>9.1179999999999997E-2</v>
      </c>
      <c r="BF2780" s="624">
        <v>42286</v>
      </c>
      <c r="BG2780" s="355">
        <v>1.5436999999999999E-2</v>
      </c>
      <c r="BH2780" s="624">
        <v>42146</v>
      </c>
      <c r="BI2780" s="355">
        <v>7.6075000000000004E-2</v>
      </c>
      <c r="BJ2780" s="624">
        <v>42145</v>
      </c>
      <c r="BK2780" s="355">
        <v>2.9925E-2</v>
      </c>
    </row>
    <row r="2781" spans="3:63" x14ac:dyDescent="0.15">
      <c r="C2781" s="624"/>
      <c r="D2781" s="355">
        <v>1.932E-2</v>
      </c>
      <c r="AV2781" s="624"/>
      <c r="AX2781" s="624">
        <v>42152</v>
      </c>
      <c r="AY2781" s="355">
        <v>1.899E-2</v>
      </c>
      <c r="AZ2781" s="624">
        <v>42216</v>
      </c>
      <c r="BA2781" s="355">
        <v>9.1000000000000004E-3</v>
      </c>
      <c r="BB2781" s="624">
        <v>42149</v>
      </c>
      <c r="BC2781" s="355">
        <v>0.26740000000000003</v>
      </c>
      <c r="BD2781" s="624">
        <v>42149</v>
      </c>
      <c r="BE2781" s="355">
        <v>9.1160000000000005E-2</v>
      </c>
      <c r="BF2781" s="624">
        <v>42289</v>
      </c>
      <c r="BG2781" s="355">
        <v>1.5448999999999999E-2</v>
      </c>
      <c r="BH2781" s="624">
        <v>42149</v>
      </c>
      <c r="BI2781" s="355">
        <v>7.5827000000000006E-2</v>
      </c>
      <c r="BJ2781" s="624">
        <v>42146</v>
      </c>
      <c r="BK2781" s="355">
        <v>2.9977E-2</v>
      </c>
    </row>
    <row r="2782" spans="3:63" x14ac:dyDescent="0.15">
      <c r="C2782" s="624"/>
      <c r="D2782" s="355">
        <v>1.899E-2</v>
      </c>
      <c r="AV2782" s="624"/>
      <c r="AX2782" s="624">
        <v>42153</v>
      </c>
      <c r="AY2782" s="355">
        <v>1.9109999999999999E-2</v>
      </c>
      <c r="AZ2782" s="624">
        <v>42219</v>
      </c>
      <c r="BA2782" s="355">
        <v>9.1000000000000004E-3</v>
      </c>
      <c r="BB2782" s="624">
        <v>42150</v>
      </c>
      <c r="BC2782" s="355">
        <v>0.2621</v>
      </c>
      <c r="BD2782" s="624">
        <v>42150</v>
      </c>
      <c r="BE2782" s="355">
        <v>9.0230000000000005E-2</v>
      </c>
      <c r="BF2782" s="624">
        <v>42290</v>
      </c>
      <c r="BG2782" s="355">
        <v>1.536E-2</v>
      </c>
      <c r="BH2782" s="624">
        <v>42150</v>
      </c>
      <c r="BI2782" s="355">
        <v>7.5603000000000004E-2</v>
      </c>
      <c r="BJ2782" s="624">
        <v>42149</v>
      </c>
      <c r="BK2782" s="355">
        <v>2.9767999999999999E-2</v>
      </c>
    </row>
    <row r="2783" spans="3:63" x14ac:dyDescent="0.15">
      <c r="C2783" s="624"/>
      <c r="D2783" s="355">
        <v>1.9109999999999999E-2</v>
      </c>
      <c r="AV2783" s="624"/>
      <c r="AX2783" s="624">
        <v>42156</v>
      </c>
      <c r="AY2783" s="355">
        <v>1.8669999999999999E-2</v>
      </c>
      <c r="AZ2783" s="624">
        <v>42220</v>
      </c>
      <c r="BA2783" s="355">
        <v>9.1000000000000004E-3</v>
      </c>
      <c r="BB2783" s="624">
        <v>42151</v>
      </c>
      <c r="BC2783" s="355">
        <v>0.26419999999999999</v>
      </c>
      <c r="BD2783" s="624">
        <v>42151</v>
      </c>
      <c r="BE2783" s="355">
        <v>9.0139999999999998E-2</v>
      </c>
      <c r="BF2783" s="624">
        <v>42291</v>
      </c>
      <c r="BG2783" s="355">
        <v>1.5429999999999999E-2</v>
      </c>
      <c r="BH2783" s="624">
        <v>42151</v>
      </c>
      <c r="BI2783" s="355">
        <v>7.5867000000000004E-2</v>
      </c>
      <c r="BJ2783" s="624">
        <v>42150</v>
      </c>
      <c r="BK2783" s="355">
        <v>2.9647E-2</v>
      </c>
    </row>
    <row r="2784" spans="3:63" x14ac:dyDescent="0.15">
      <c r="C2784" s="624"/>
      <c r="D2784" s="355">
        <v>1.8669999999999999E-2</v>
      </c>
      <c r="AV2784" s="624"/>
      <c r="AX2784" s="624">
        <v>42157</v>
      </c>
      <c r="AY2784" s="355">
        <v>1.8939999999999999E-2</v>
      </c>
      <c r="AZ2784" s="624">
        <v>42221</v>
      </c>
      <c r="BA2784" s="355">
        <v>9.1000000000000004E-3</v>
      </c>
      <c r="BB2784" s="624">
        <v>42152</v>
      </c>
      <c r="BC2784" s="355">
        <v>0.26429999999999998</v>
      </c>
      <c r="BD2784" s="624">
        <v>42152</v>
      </c>
      <c r="BE2784" s="355">
        <v>9.0200000000000002E-2</v>
      </c>
      <c r="BF2784" s="624">
        <v>42292</v>
      </c>
      <c r="BG2784" s="355">
        <v>1.5436999999999999E-2</v>
      </c>
      <c r="BH2784" s="624">
        <v>42152</v>
      </c>
      <c r="BI2784" s="355">
        <v>7.5774999999999995E-2</v>
      </c>
      <c r="BJ2784" s="624">
        <v>42151</v>
      </c>
      <c r="BK2784" s="355">
        <v>2.9631000000000001E-2</v>
      </c>
    </row>
    <row r="2785" spans="3:63" x14ac:dyDescent="0.15">
      <c r="C2785" s="624"/>
      <c r="D2785" s="355">
        <v>1.8939999999999999E-2</v>
      </c>
      <c r="AV2785" s="624"/>
      <c r="AX2785" s="624">
        <v>42158</v>
      </c>
      <c r="AY2785" s="355">
        <v>1.8409999999999999E-2</v>
      </c>
      <c r="AZ2785" s="624">
        <v>42222</v>
      </c>
      <c r="BA2785" s="355">
        <v>9.1000000000000004E-3</v>
      </c>
      <c r="BB2785" s="624">
        <v>42153</v>
      </c>
      <c r="BC2785" s="355">
        <v>0.26729999999999998</v>
      </c>
      <c r="BD2785" s="624">
        <v>42153</v>
      </c>
      <c r="BE2785" s="355">
        <v>8.9749999999999996E-2</v>
      </c>
      <c r="BF2785" s="624">
        <v>42293</v>
      </c>
      <c r="BG2785" s="355">
        <v>1.5454000000000001E-2</v>
      </c>
      <c r="BH2785" s="624">
        <v>42153</v>
      </c>
      <c r="BI2785" s="355">
        <v>7.5700000000000003E-2</v>
      </c>
      <c r="BJ2785" s="624">
        <v>42152</v>
      </c>
      <c r="BK2785" s="355">
        <v>2.9607999999999999E-2</v>
      </c>
    </row>
    <row r="2786" spans="3:63" x14ac:dyDescent="0.15">
      <c r="C2786" s="624"/>
      <c r="D2786" s="355">
        <v>1.8409999999999999E-2</v>
      </c>
      <c r="AV2786" s="624"/>
      <c r="AX2786" s="624">
        <v>42159</v>
      </c>
      <c r="AY2786" s="355">
        <v>1.7739999999999999E-2</v>
      </c>
      <c r="AZ2786" s="624">
        <v>42223</v>
      </c>
      <c r="BA2786" s="355">
        <v>9.1000000000000004E-3</v>
      </c>
      <c r="BB2786" s="624">
        <v>42156</v>
      </c>
      <c r="BC2786" s="355">
        <v>0.26550000000000001</v>
      </c>
      <c r="BD2786" s="624">
        <v>42156</v>
      </c>
      <c r="BE2786" s="355">
        <v>8.9590000000000003E-2</v>
      </c>
      <c r="BF2786" s="624">
        <v>42296</v>
      </c>
      <c r="BG2786" s="355">
        <v>1.5396E-2</v>
      </c>
      <c r="BH2786" s="624">
        <v>42156</v>
      </c>
      <c r="BI2786" s="355">
        <v>7.5643000000000002E-2</v>
      </c>
      <c r="BJ2786" s="624">
        <v>42153</v>
      </c>
      <c r="BK2786" s="355">
        <v>2.9676000000000001E-2</v>
      </c>
    </row>
    <row r="2787" spans="3:63" x14ac:dyDescent="0.15">
      <c r="C2787" s="624"/>
      <c r="D2787" s="355">
        <v>1.7739999999999999E-2</v>
      </c>
      <c r="AV2787" s="624"/>
      <c r="AX2787" s="624">
        <v>42160</v>
      </c>
      <c r="AY2787" s="355">
        <v>1.7780000000000001E-2</v>
      </c>
      <c r="AZ2787" s="624">
        <v>42226</v>
      </c>
      <c r="BA2787" s="355">
        <v>9.1999999999999998E-3</v>
      </c>
      <c r="BB2787" s="624">
        <v>42157</v>
      </c>
      <c r="BC2787" s="355">
        <v>0.2707</v>
      </c>
      <c r="BD2787" s="624">
        <v>42157</v>
      </c>
      <c r="BE2787" s="355">
        <v>9.0319999999999998E-2</v>
      </c>
      <c r="BH2787" s="624">
        <v>42157</v>
      </c>
      <c r="BI2787" s="355">
        <v>7.5684000000000001E-2</v>
      </c>
      <c r="BJ2787" s="624">
        <v>42156</v>
      </c>
      <c r="BK2787" s="355">
        <v>2.9676000000000001E-2</v>
      </c>
    </row>
    <row r="2788" spans="3:63" x14ac:dyDescent="0.15">
      <c r="C2788" s="624"/>
      <c r="D2788" s="355">
        <v>1.7780000000000001E-2</v>
      </c>
      <c r="AV2788" s="624"/>
      <c r="AX2788" s="624">
        <v>42163</v>
      </c>
      <c r="AY2788" s="355">
        <v>1.7919999999999998E-2</v>
      </c>
      <c r="AZ2788" s="624">
        <v>42227</v>
      </c>
      <c r="BA2788" s="355">
        <v>9.1999999999999998E-3</v>
      </c>
      <c r="BB2788" s="624">
        <v>42158</v>
      </c>
      <c r="BC2788" s="355">
        <v>0.27089999999999997</v>
      </c>
      <c r="BD2788" s="624">
        <v>42158</v>
      </c>
      <c r="BE2788" s="355">
        <v>9.0289999999999995E-2</v>
      </c>
      <c r="BH2788" s="624">
        <v>42158</v>
      </c>
      <c r="BI2788" s="355">
        <v>7.5485999999999998E-2</v>
      </c>
      <c r="BJ2788" s="624">
        <v>42157</v>
      </c>
      <c r="BK2788" s="355">
        <v>2.9670999999999999E-2</v>
      </c>
    </row>
    <row r="2789" spans="3:63" x14ac:dyDescent="0.15">
      <c r="C2789" s="624"/>
      <c r="D2789" s="355">
        <v>1.7919999999999998E-2</v>
      </c>
      <c r="AV2789" s="624"/>
      <c r="AX2789" s="624">
        <v>42164</v>
      </c>
      <c r="AY2789" s="355">
        <v>1.804E-2</v>
      </c>
      <c r="AZ2789" s="624">
        <v>42228</v>
      </c>
      <c r="BA2789" s="355">
        <v>9.2999999999999992E-3</v>
      </c>
      <c r="BB2789" s="624">
        <v>42159</v>
      </c>
      <c r="BC2789" s="355">
        <v>0.26950000000000002</v>
      </c>
      <c r="BD2789" s="624">
        <v>42159</v>
      </c>
      <c r="BE2789" s="355">
        <v>8.9770000000000003E-2</v>
      </c>
      <c r="BH2789" s="624">
        <v>42159</v>
      </c>
      <c r="BI2789" s="355">
        <v>7.5317999999999996E-2</v>
      </c>
      <c r="BJ2789" s="624">
        <v>42158</v>
      </c>
      <c r="BK2789" s="355">
        <v>2.9725000000000001E-2</v>
      </c>
    </row>
    <row r="2790" spans="3:63" x14ac:dyDescent="0.15">
      <c r="C2790" s="624"/>
      <c r="D2790" s="355">
        <v>1.804E-2</v>
      </c>
      <c r="AV2790" s="624"/>
      <c r="AX2790" s="624">
        <v>42165</v>
      </c>
      <c r="AY2790" s="355">
        <v>1.8419999999999999E-2</v>
      </c>
      <c r="AZ2790" s="624">
        <v>42229</v>
      </c>
      <c r="BA2790" s="355">
        <v>9.2999999999999992E-3</v>
      </c>
      <c r="BB2790" s="624">
        <v>42160</v>
      </c>
      <c r="BC2790" s="355">
        <v>0.26719999999999999</v>
      </c>
      <c r="BD2790" s="624">
        <v>42160</v>
      </c>
      <c r="BE2790" s="355">
        <v>8.8940000000000005E-2</v>
      </c>
      <c r="BH2790" s="624">
        <v>42160</v>
      </c>
      <c r="BI2790" s="355">
        <v>7.4803999999999995E-2</v>
      </c>
      <c r="BJ2790" s="624">
        <v>42159</v>
      </c>
      <c r="BK2790" s="355">
        <v>2.9652000000000001E-2</v>
      </c>
    </row>
    <row r="2791" spans="3:63" x14ac:dyDescent="0.15">
      <c r="C2791" s="624"/>
      <c r="D2791" s="355">
        <v>1.8419999999999999E-2</v>
      </c>
      <c r="AV2791" s="624"/>
      <c r="AX2791" s="624">
        <v>42166</v>
      </c>
      <c r="AY2791" s="355">
        <v>1.8280000000000001E-2</v>
      </c>
      <c r="AZ2791" s="624">
        <v>42230</v>
      </c>
      <c r="BA2791" s="355">
        <v>9.2999999999999992E-3</v>
      </c>
      <c r="BB2791" s="624">
        <v>42163</v>
      </c>
      <c r="BC2791" s="355">
        <v>0.27050000000000002</v>
      </c>
      <c r="BD2791" s="624">
        <v>42163</v>
      </c>
      <c r="BE2791" s="355">
        <v>8.9410000000000003E-2</v>
      </c>
      <c r="BH2791" s="624">
        <v>42163</v>
      </c>
      <c r="BI2791" s="355">
        <v>7.4912000000000006E-2</v>
      </c>
      <c r="BJ2791" s="624">
        <v>42160</v>
      </c>
      <c r="BK2791" s="355">
        <v>2.9506999999999999E-2</v>
      </c>
    </row>
    <row r="2792" spans="3:63" x14ac:dyDescent="0.15">
      <c r="C2792" s="624"/>
      <c r="D2792" s="355">
        <v>1.8280000000000001E-2</v>
      </c>
      <c r="AV2792" s="624"/>
      <c r="AX2792" s="624">
        <v>42167</v>
      </c>
      <c r="AY2792" s="355">
        <v>1.8120000000000001E-2</v>
      </c>
      <c r="AZ2792" s="624">
        <v>42233</v>
      </c>
      <c r="BA2792" s="355">
        <v>9.1999999999999998E-3</v>
      </c>
      <c r="BB2792" s="624">
        <v>42164</v>
      </c>
      <c r="BC2792" s="355">
        <v>0.27010000000000001</v>
      </c>
      <c r="BD2792" s="624">
        <v>42164</v>
      </c>
      <c r="BE2792" s="355">
        <v>8.9160000000000003E-2</v>
      </c>
      <c r="BH2792" s="624">
        <v>42164</v>
      </c>
      <c r="BI2792" s="355">
        <v>7.4931999999999999E-2</v>
      </c>
      <c r="BJ2792" s="624">
        <v>42163</v>
      </c>
      <c r="BK2792" s="355">
        <v>2.9634000000000001E-2</v>
      </c>
    </row>
    <row r="2793" spans="3:63" x14ac:dyDescent="0.15">
      <c r="C2793" s="624"/>
      <c r="D2793" s="355">
        <v>1.8120000000000001E-2</v>
      </c>
      <c r="AV2793" s="624"/>
      <c r="AX2793" s="624">
        <v>42170</v>
      </c>
      <c r="AY2793" s="355">
        <v>1.8339999999999999E-2</v>
      </c>
      <c r="AZ2793" s="624">
        <v>42234</v>
      </c>
      <c r="BA2793" s="355">
        <v>9.1999999999999998E-3</v>
      </c>
      <c r="BB2793" s="624">
        <v>42165</v>
      </c>
      <c r="BC2793" s="355">
        <v>0.27339999999999998</v>
      </c>
      <c r="BD2793" s="624">
        <v>42165</v>
      </c>
      <c r="BE2793" s="355">
        <v>9.0020000000000003E-2</v>
      </c>
      <c r="BH2793" s="624">
        <v>42165</v>
      </c>
      <c r="BI2793" s="355">
        <v>7.5643000000000002E-2</v>
      </c>
      <c r="BJ2793" s="624">
        <v>42164</v>
      </c>
      <c r="BK2793" s="355">
        <v>2.9665E-2</v>
      </c>
    </row>
    <row r="2794" spans="3:63" x14ac:dyDescent="0.15">
      <c r="C2794" s="624"/>
      <c r="D2794" s="355">
        <v>1.8339999999999999E-2</v>
      </c>
      <c r="AV2794" s="624"/>
      <c r="AX2794" s="624">
        <v>42171</v>
      </c>
      <c r="AY2794" s="355">
        <v>1.856E-2</v>
      </c>
      <c r="AZ2794" s="624">
        <v>42235</v>
      </c>
      <c r="BA2794" s="355">
        <v>9.2999999999999992E-3</v>
      </c>
      <c r="BB2794" s="624">
        <v>42166</v>
      </c>
      <c r="BC2794" s="355">
        <v>0.27239999999999998</v>
      </c>
      <c r="BD2794" s="624">
        <v>42166</v>
      </c>
      <c r="BE2794" s="355">
        <v>8.9810000000000001E-2</v>
      </c>
      <c r="BH2794" s="624">
        <v>42166</v>
      </c>
      <c r="BI2794" s="355">
        <v>7.5289999999999996E-2</v>
      </c>
      <c r="BJ2794" s="624">
        <v>42165</v>
      </c>
      <c r="BK2794" s="355">
        <v>2.9763999999999999E-2</v>
      </c>
    </row>
    <row r="2795" spans="3:63" x14ac:dyDescent="0.15">
      <c r="C2795" s="624"/>
      <c r="D2795" s="355">
        <v>1.856E-2</v>
      </c>
      <c r="AV2795" s="624"/>
      <c r="AX2795" s="624">
        <v>42172</v>
      </c>
      <c r="AY2795" s="355">
        <v>1.864E-2</v>
      </c>
      <c r="AZ2795" s="624">
        <v>42236</v>
      </c>
      <c r="BA2795" s="355">
        <v>9.4000000000000004E-3</v>
      </c>
      <c r="BB2795" s="624">
        <v>42167</v>
      </c>
      <c r="BC2795" s="355">
        <v>0.27200000000000002</v>
      </c>
      <c r="BD2795" s="624">
        <v>42167</v>
      </c>
      <c r="BE2795" s="355">
        <v>8.9940000000000006E-2</v>
      </c>
      <c r="BH2795" s="624">
        <v>42167</v>
      </c>
      <c r="BI2795" s="355">
        <v>7.5015999999999999E-2</v>
      </c>
      <c r="BJ2795" s="624">
        <v>42166</v>
      </c>
      <c r="BK2795" s="355">
        <v>2.9658E-2</v>
      </c>
    </row>
    <row r="2796" spans="3:63" x14ac:dyDescent="0.15">
      <c r="C2796" s="624"/>
      <c r="D2796" s="355">
        <v>1.864E-2</v>
      </c>
      <c r="AV2796" s="624"/>
      <c r="AX2796" s="624">
        <v>42173</v>
      </c>
      <c r="AY2796" s="355">
        <v>1.8710000000000001E-2</v>
      </c>
      <c r="AZ2796" s="624">
        <v>42237</v>
      </c>
      <c r="BA2796" s="355">
        <v>9.4999999999999998E-3</v>
      </c>
      <c r="BB2796" s="624">
        <v>42170</v>
      </c>
      <c r="BC2796" s="355">
        <v>0.27160000000000001</v>
      </c>
      <c r="BD2796" s="624">
        <v>42170</v>
      </c>
      <c r="BE2796" s="355">
        <v>8.9539999999999995E-2</v>
      </c>
      <c r="BH2796" s="624">
        <v>42170</v>
      </c>
      <c r="BI2796" s="355">
        <v>7.5029999999999999E-2</v>
      </c>
      <c r="BJ2796" s="624">
        <v>42167</v>
      </c>
      <c r="BK2796" s="355">
        <v>2.9718000000000001E-2</v>
      </c>
    </row>
    <row r="2797" spans="3:63" x14ac:dyDescent="0.15">
      <c r="C2797" s="624"/>
      <c r="D2797" s="355">
        <v>1.8710000000000001E-2</v>
      </c>
      <c r="AV2797" s="624"/>
      <c r="AX2797" s="624">
        <v>42174</v>
      </c>
      <c r="AY2797" s="355">
        <v>1.848E-2</v>
      </c>
      <c r="AZ2797" s="624">
        <v>42240</v>
      </c>
      <c r="BA2797" s="355">
        <v>9.5999999999999992E-3</v>
      </c>
      <c r="BB2797" s="624">
        <v>42171</v>
      </c>
      <c r="BC2797" s="355">
        <v>0.27139999999999997</v>
      </c>
      <c r="BD2797" s="624">
        <v>42171</v>
      </c>
      <c r="BE2797" s="355">
        <v>8.9389999999999997E-2</v>
      </c>
      <c r="BH2797" s="624">
        <v>42171</v>
      </c>
      <c r="BI2797" s="355">
        <v>7.4940000000000007E-2</v>
      </c>
      <c r="BJ2797" s="624">
        <v>42170</v>
      </c>
      <c r="BK2797" s="355">
        <v>2.9692E-2</v>
      </c>
    </row>
    <row r="2798" spans="3:63" x14ac:dyDescent="0.15">
      <c r="C2798" s="624"/>
      <c r="D2798" s="355">
        <v>1.848E-2</v>
      </c>
      <c r="AV2798" s="624"/>
      <c r="AX2798" s="624">
        <v>42177</v>
      </c>
      <c r="AY2798" s="355">
        <v>1.8540000000000001E-2</v>
      </c>
      <c r="AZ2798" s="624">
        <v>42241</v>
      </c>
      <c r="BA2798" s="355">
        <v>9.4999999999999998E-3</v>
      </c>
      <c r="BB2798" s="624">
        <v>42172</v>
      </c>
      <c r="BC2798" s="355">
        <v>0.27289999999999998</v>
      </c>
      <c r="BD2798" s="624">
        <v>42172</v>
      </c>
      <c r="BE2798" s="355">
        <v>8.9649999999999994E-2</v>
      </c>
      <c r="BH2798" s="624">
        <v>42172</v>
      </c>
      <c r="BI2798" s="355">
        <v>7.5136999999999995E-2</v>
      </c>
      <c r="BJ2798" s="624">
        <v>42171</v>
      </c>
      <c r="BK2798" s="355">
        <v>2.9670999999999999E-2</v>
      </c>
    </row>
    <row r="2799" spans="3:63" x14ac:dyDescent="0.15">
      <c r="C2799" s="624"/>
      <c r="D2799" s="355">
        <v>1.8540000000000001E-2</v>
      </c>
      <c r="AV2799" s="624"/>
      <c r="AX2799" s="624">
        <v>42178</v>
      </c>
      <c r="AY2799" s="355">
        <v>1.8579999999999999E-2</v>
      </c>
      <c r="AZ2799" s="624">
        <v>42242</v>
      </c>
      <c r="BA2799" s="355">
        <v>9.4000000000000004E-3</v>
      </c>
      <c r="BB2799" s="624">
        <v>42173</v>
      </c>
      <c r="BC2799" s="355">
        <v>0.27229999999999999</v>
      </c>
      <c r="BD2799" s="624">
        <v>42173</v>
      </c>
      <c r="BE2799" s="355">
        <v>9.0450000000000003E-2</v>
      </c>
      <c r="BH2799" s="624">
        <v>42173</v>
      </c>
      <c r="BI2799" s="355">
        <v>7.5008000000000005E-2</v>
      </c>
      <c r="BJ2799" s="624">
        <v>42172</v>
      </c>
      <c r="BK2799" s="355">
        <v>2.9753000000000002E-2</v>
      </c>
    </row>
    <row r="2800" spans="3:63" x14ac:dyDescent="0.15">
      <c r="C2800" s="624"/>
      <c r="D2800" s="355">
        <v>1.8579999999999999E-2</v>
      </c>
      <c r="AV2800" s="624"/>
      <c r="AX2800" s="624">
        <v>42179</v>
      </c>
      <c r="AY2800" s="355">
        <v>1.8360000000000001E-2</v>
      </c>
      <c r="AZ2800" s="624">
        <v>42243</v>
      </c>
      <c r="BA2800" s="355">
        <v>9.2999999999999992E-3</v>
      </c>
      <c r="BB2800" s="624">
        <v>42174</v>
      </c>
      <c r="BC2800" s="355">
        <v>0.27160000000000001</v>
      </c>
      <c r="BD2800" s="624">
        <v>42174</v>
      </c>
      <c r="BE2800" s="355">
        <v>9.0649999999999994E-2</v>
      </c>
      <c r="BH2800" s="624">
        <v>42174</v>
      </c>
      <c r="BI2800" s="355">
        <v>7.5052999999999995E-2</v>
      </c>
      <c r="BJ2800" s="624">
        <v>42173</v>
      </c>
      <c r="BK2800" s="355">
        <v>2.9724E-2</v>
      </c>
    </row>
    <row r="2801" spans="3:63" x14ac:dyDescent="0.15">
      <c r="C2801" s="624"/>
      <c r="D2801" s="355">
        <v>1.8360000000000001E-2</v>
      </c>
      <c r="AV2801" s="624"/>
      <c r="AX2801" s="624">
        <v>42180</v>
      </c>
      <c r="AY2801" s="355">
        <v>1.8270000000000002E-2</v>
      </c>
      <c r="AZ2801" s="624">
        <v>42244</v>
      </c>
      <c r="BA2801" s="355">
        <v>9.2999999999999992E-3</v>
      </c>
      <c r="BB2801" s="624">
        <v>42177</v>
      </c>
      <c r="BC2801" s="355">
        <v>0.2722</v>
      </c>
      <c r="BD2801" s="624">
        <v>42177</v>
      </c>
      <c r="BE2801" s="355">
        <v>9.0800000000000006E-2</v>
      </c>
      <c r="BH2801" s="624">
        <v>42177</v>
      </c>
      <c r="BI2801" s="355">
        <v>7.5153999999999999E-2</v>
      </c>
      <c r="BJ2801" s="624">
        <v>42174</v>
      </c>
      <c r="BK2801" s="355">
        <v>2.9731E-2</v>
      </c>
    </row>
    <row r="2802" spans="3:63" x14ac:dyDescent="0.15">
      <c r="C2802" s="624"/>
      <c r="D2802" s="355">
        <v>1.8270000000000002E-2</v>
      </c>
      <c r="AV2802" s="624"/>
      <c r="AX2802" s="624">
        <v>42181</v>
      </c>
      <c r="AY2802" s="355">
        <v>1.8249999999999999E-2</v>
      </c>
      <c r="AZ2802" s="624">
        <v>42247</v>
      </c>
      <c r="BA2802" s="355">
        <v>9.2999999999999992E-3</v>
      </c>
      <c r="BB2802" s="624">
        <v>42178</v>
      </c>
      <c r="BC2802" s="355">
        <v>0.26829999999999998</v>
      </c>
      <c r="BD2802" s="624">
        <v>42178</v>
      </c>
      <c r="BE2802" s="355">
        <v>9.0359999999999996E-2</v>
      </c>
      <c r="BH2802" s="624">
        <v>42178</v>
      </c>
      <c r="BI2802" s="355">
        <v>7.5281000000000001E-2</v>
      </c>
      <c r="BJ2802" s="624">
        <v>42177</v>
      </c>
      <c r="BK2802" s="355">
        <v>2.9678E-2</v>
      </c>
    </row>
    <row r="2803" spans="3:63" x14ac:dyDescent="0.15">
      <c r="C2803" s="624"/>
      <c r="D2803" s="355">
        <v>1.8249999999999999E-2</v>
      </c>
      <c r="AV2803" s="624"/>
      <c r="AX2803" s="624">
        <v>42184</v>
      </c>
      <c r="AY2803" s="355">
        <v>1.796E-2</v>
      </c>
      <c r="AZ2803" s="624">
        <v>42248</v>
      </c>
      <c r="BA2803" s="355">
        <v>9.4000000000000004E-3</v>
      </c>
      <c r="BB2803" s="624">
        <v>42179</v>
      </c>
      <c r="BC2803" s="355">
        <v>0.26860000000000001</v>
      </c>
      <c r="BD2803" s="624">
        <v>42179</v>
      </c>
      <c r="BE2803" s="355">
        <v>9.0079999999999993E-2</v>
      </c>
      <c r="BH2803" s="624">
        <v>42179</v>
      </c>
      <c r="BI2803" s="355">
        <v>7.5160000000000005E-2</v>
      </c>
      <c r="BJ2803" s="624">
        <v>42178</v>
      </c>
      <c r="BK2803" s="355">
        <v>2.9616E-2</v>
      </c>
    </row>
    <row r="2804" spans="3:63" x14ac:dyDescent="0.15">
      <c r="C2804" s="624"/>
      <c r="D2804" s="355">
        <v>1.796E-2</v>
      </c>
      <c r="AV2804" s="624"/>
      <c r="AX2804" s="624">
        <v>42185</v>
      </c>
      <c r="AY2804" s="355">
        <v>1.8069999999999999E-2</v>
      </c>
      <c r="AZ2804" s="624">
        <v>42249</v>
      </c>
      <c r="BA2804" s="355">
        <v>9.2999999999999992E-3</v>
      </c>
      <c r="BB2804" s="624">
        <v>42180</v>
      </c>
      <c r="BC2804" s="355">
        <v>0.26860000000000001</v>
      </c>
      <c r="BD2804" s="624">
        <v>42180</v>
      </c>
      <c r="BE2804" s="355">
        <v>8.9929999999999996E-2</v>
      </c>
      <c r="BH2804" s="624">
        <v>42180</v>
      </c>
      <c r="BI2804" s="355">
        <v>7.5115000000000001E-2</v>
      </c>
      <c r="BJ2804" s="624">
        <v>42179</v>
      </c>
      <c r="BK2804" s="355">
        <v>2.9614000000000001E-2</v>
      </c>
    </row>
    <row r="2805" spans="3:63" x14ac:dyDescent="0.15">
      <c r="C2805" s="624"/>
      <c r="D2805" s="355">
        <v>1.8069999999999999E-2</v>
      </c>
      <c r="AV2805" s="624"/>
      <c r="AX2805" s="624">
        <v>42186</v>
      </c>
      <c r="AY2805" s="355">
        <v>1.7909999999999999E-2</v>
      </c>
      <c r="AZ2805" s="624">
        <v>42250</v>
      </c>
      <c r="BA2805" s="355">
        <v>9.1999999999999998E-3</v>
      </c>
      <c r="BB2805" s="624">
        <v>42181</v>
      </c>
      <c r="BC2805" s="355">
        <v>0.26769999999999999</v>
      </c>
      <c r="BD2805" s="624">
        <v>42181</v>
      </c>
      <c r="BE2805" s="355">
        <v>8.9050000000000004E-2</v>
      </c>
      <c r="BH2805" s="624">
        <v>42181</v>
      </c>
      <c r="BI2805" s="355">
        <v>7.4991000000000002E-2</v>
      </c>
      <c r="BJ2805" s="624">
        <v>42180</v>
      </c>
      <c r="BK2805" s="355">
        <v>2.9616E-2</v>
      </c>
    </row>
    <row r="2806" spans="3:63" x14ac:dyDescent="0.15">
      <c r="C2806" s="624"/>
      <c r="D2806" s="355">
        <v>1.7909999999999999E-2</v>
      </c>
      <c r="AV2806" s="624"/>
      <c r="AX2806" s="624">
        <v>42187</v>
      </c>
      <c r="AY2806" s="355">
        <v>1.8020000000000001E-2</v>
      </c>
      <c r="AZ2806" s="624">
        <v>42251</v>
      </c>
      <c r="BA2806" s="355">
        <v>9.2999999999999992E-3</v>
      </c>
      <c r="BB2806" s="624">
        <v>42184</v>
      </c>
      <c r="BC2806" s="355">
        <v>0.26779999999999998</v>
      </c>
      <c r="BD2806" s="624">
        <v>42184</v>
      </c>
      <c r="BE2806" s="355">
        <v>8.9270000000000002E-2</v>
      </c>
      <c r="BH2806" s="624">
        <v>42184</v>
      </c>
      <c r="BI2806" s="355">
        <v>7.4961E-2</v>
      </c>
      <c r="BJ2806" s="624">
        <v>42181</v>
      </c>
      <c r="BK2806" s="355">
        <v>2.9586999999999999E-2</v>
      </c>
    </row>
    <row r="2807" spans="3:63" x14ac:dyDescent="0.15">
      <c r="C2807" s="624"/>
      <c r="D2807" s="355">
        <v>1.8020000000000001E-2</v>
      </c>
      <c r="AV2807" s="624"/>
      <c r="AX2807" s="624">
        <v>42188</v>
      </c>
      <c r="AY2807" s="355">
        <v>1.787E-2</v>
      </c>
      <c r="AZ2807" s="624">
        <v>42254</v>
      </c>
      <c r="BA2807" s="355">
        <v>9.2999999999999992E-3</v>
      </c>
      <c r="BB2807" s="624">
        <v>42185</v>
      </c>
      <c r="BC2807" s="355">
        <v>0.26579999999999998</v>
      </c>
      <c r="BD2807" s="624">
        <v>42185</v>
      </c>
      <c r="BE2807" s="355">
        <v>8.9279999999999998E-2</v>
      </c>
      <c r="BH2807" s="624">
        <v>42185</v>
      </c>
      <c r="BI2807" s="355">
        <v>7.4900999999999995E-2</v>
      </c>
      <c r="BJ2807" s="624">
        <v>42184</v>
      </c>
      <c r="BK2807" s="355">
        <v>2.9654E-2</v>
      </c>
    </row>
    <row r="2808" spans="3:63" x14ac:dyDescent="0.15">
      <c r="C2808" s="624"/>
      <c r="D2808" s="355">
        <v>1.787E-2</v>
      </c>
      <c r="AV2808" s="624"/>
      <c r="AX2808" s="624">
        <v>42191</v>
      </c>
      <c r="AY2808" s="355">
        <v>1.7590000000000001E-2</v>
      </c>
      <c r="AZ2808" s="624">
        <v>42255</v>
      </c>
      <c r="BA2808" s="355">
        <v>9.2999999999999992E-3</v>
      </c>
      <c r="BB2808" s="624">
        <v>42186</v>
      </c>
      <c r="BC2808" s="355">
        <v>0.26390000000000002</v>
      </c>
      <c r="BD2808" s="624">
        <v>42186</v>
      </c>
      <c r="BE2808" s="355">
        <v>8.8870000000000005E-2</v>
      </c>
      <c r="BH2808" s="624">
        <v>42186</v>
      </c>
      <c r="BI2808" s="355">
        <v>7.4979000000000004E-2</v>
      </c>
      <c r="BJ2808" s="624">
        <v>42185</v>
      </c>
      <c r="BK2808" s="355">
        <v>2.9588E-2</v>
      </c>
    </row>
    <row r="2809" spans="3:63" x14ac:dyDescent="0.15">
      <c r="C2809" s="624"/>
      <c r="D2809" s="355">
        <v>1.7590000000000001E-2</v>
      </c>
      <c r="AV2809" s="624"/>
      <c r="AX2809" s="624">
        <v>42192</v>
      </c>
      <c r="AY2809" s="355">
        <v>1.7639999999999999E-2</v>
      </c>
      <c r="AZ2809" s="624">
        <v>42256</v>
      </c>
      <c r="BA2809" s="355">
        <v>9.2999999999999992E-3</v>
      </c>
      <c r="BB2809" s="624">
        <v>42187</v>
      </c>
      <c r="BC2809" s="355">
        <v>0.26440000000000002</v>
      </c>
      <c r="BD2809" s="624">
        <v>42187</v>
      </c>
      <c r="BE2809" s="355">
        <v>8.9010000000000006E-2</v>
      </c>
      <c r="BH2809" s="624">
        <v>42187</v>
      </c>
      <c r="BI2809" s="355">
        <v>7.5261999999999996E-2</v>
      </c>
      <c r="BJ2809" s="624">
        <v>42186</v>
      </c>
      <c r="BK2809" s="355">
        <v>2.9562000000000001E-2</v>
      </c>
    </row>
    <row r="2810" spans="3:63" x14ac:dyDescent="0.15">
      <c r="C2810" s="624"/>
      <c r="D2810" s="355">
        <v>1.7639999999999999E-2</v>
      </c>
      <c r="AV2810" s="624"/>
      <c r="AX2810" s="624">
        <v>42193</v>
      </c>
      <c r="AY2810" s="355">
        <v>1.7409999999999998E-2</v>
      </c>
      <c r="AZ2810" s="624">
        <v>42257</v>
      </c>
      <c r="BA2810" s="355">
        <v>9.4000000000000004E-3</v>
      </c>
      <c r="BB2810" s="624">
        <v>42188</v>
      </c>
      <c r="BC2810" s="355">
        <v>0.26500000000000001</v>
      </c>
      <c r="BD2810" s="624">
        <v>42188</v>
      </c>
      <c r="BE2810" s="355">
        <v>8.9069999999999996E-2</v>
      </c>
      <c r="BH2810" s="624">
        <v>42188</v>
      </c>
      <c r="BI2810" s="355">
        <v>7.4912000000000006E-2</v>
      </c>
      <c r="BJ2810" s="624">
        <v>42187</v>
      </c>
      <c r="BK2810" s="355">
        <v>2.9609E-2</v>
      </c>
    </row>
    <row r="2811" spans="3:63" x14ac:dyDescent="0.15">
      <c r="C2811" s="624"/>
      <c r="D2811" s="355">
        <v>1.7409999999999998E-2</v>
      </c>
      <c r="AV2811" s="624"/>
      <c r="AX2811" s="624">
        <v>42194</v>
      </c>
      <c r="AY2811" s="355">
        <v>1.7500000000000002E-2</v>
      </c>
      <c r="AZ2811" s="624">
        <v>42258</v>
      </c>
      <c r="BA2811" s="355">
        <v>9.4000000000000004E-3</v>
      </c>
      <c r="BB2811" s="624">
        <v>42191</v>
      </c>
      <c r="BC2811" s="355">
        <v>0.26300000000000001</v>
      </c>
      <c r="BD2811" s="624">
        <v>42191</v>
      </c>
      <c r="BE2811" s="355">
        <v>8.8800000000000004E-2</v>
      </c>
      <c r="BH2811" s="624">
        <v>42191</v>
      </c>
      <c r="BI2811" s="355">
        <v>7.5239E-2</v>
      </c>
      <c r="BJ2811" s="624">
        <v>42188</v>
      </c>
      <c r="BK2811" s="355">
        <v>2.9616E-2</v>
      </c>
    </row>
    <row r="2812" spans="3:63" x14ac:dyDescent="0.15">
      <c r="C2812" s="624"/>
      <c r="D2812" s="355">
        <v>1.7500000000000002E-2</v>
      </c>
      <c r="AV2812" s="624"/>
      <c r="AX2812" s="624">
        <v>42195</v>
      </c>
      <c r="AY2812" s="355">
        <v>1.7749999999999998E-2</v>
      </c>
      <c r="AZ2812" s="624">
        <v>42261</v>
      </c>
      <c r="BA2812" s="355">
        <v>9.4000000000000004E-3</v>
      </c>
      <c r="BB2812" s="624">
        <v>42192</v>
      </c>
      <c r="BC2812" s="355">
        <v>0.26169999999999999</v>
      </c>
      <c r="BD2812" s="624">
        <v>42192</v>
      </c>
      <c r="BE2812" s="355">
        <v>8.8109999999999994E-2</v>
      </c>
      <c r="BH2812" s="624">
        <v>42192</v>
      </c>
      <c r="BI2812" s="355">
        <v>7.4991000000000002E-2</v>
      </c>
      <c r="BJ2812" s="624">
        <v>42191</v>
      </c>
      <c r="BK2812" s="355">
        <v>2.9545999999999999E-2</v>
      </c>
    </row>
    <row r="2813" spans="3:63" x14ac:dyDescent="0.15">
      <c r="C2813" s="624"/>
      <c r="D2813" s="355">
        <v>1.7749999999999998E-2</v>
      </c>
      <c r="AV2813" s="624"/>
      <c r="AX2813" s="624">
        <v>42198</v>
      </c>
      <c r="AY2813" s="355">
        <v>1.7680000000000001E-2</v>
      </c>
      <c r="AZ2813" s="624">
        <v>42262</v>
      </c>
      <c r="BA2813" s="355">
        <v>9.4000000000000004E-3</v>
      </c>
      <c r="BB2813" s="624">
        <v>42193</v>
      </c>
      <c r="BC2813" s="355">
        <v>0.26140000000000002</v>
      </c>
      <c r="BD2813" s="624">
        <v>42193</v>
      </c>
      <c r="BE2813" s="355">
        <v>8.8059999999999999E-2</v>
      </c>
      <c r="BH2813" s="624">
        <v>42193</v>
      </c>
      <c r="BI2813" s="355">
        <v>7.4746999999999994E-2</v>
      </c>
      <c r="BJ2813" s="624">
        <v>42192</v>
      </c>
      <c r="BK2813" s="355">
        <v>2.9425E-2</v>
      </c>
    </row>
    <row r="2814" spans="3:63" x14ac:dyDescent="0.15">
      <c r="C2814" s="624"/>
      <c r="D2814" s="355">
        <v>1.7680000000000001E-2</v>
      </c>
      <c r="AV2814" s="624"/>
      <c r="AX2814" s="624">
        <v>42199</v>
      </c>
      <c r="AY2814" s="355">
        <v>1.7729999999999999E-2</v>
      </c>
      <c r="AZ2814" s="624">
        <v>42263</v>
      </c>
      <c r="BA2814" s="355">
        <v>9.4000000000000004E-3</v>
      </c>
      <c r="BB2814" s="624">
        <v>42194</v>
      </c>
      <c r="BC2814" s="355">
        <v>0.26179999999999998</v>
      </c>
      <c r="BD2814" s="624">
        <v>42194</v>
      </c>
      <c r="BE2814" s="355">
        <v>8.8319999999999996E-2</v>
      </c>
      <c r="BH2814" s="624">
        <v>42194</v>
      </c>
      <c r="BI2814" s="355">
        <v>7.5108999999999995E-2</v>
      </c>
      <c r="BJ2814" s="624">
        <v>42193</v>
      </c>
      <c r="BK2814" s="355">
        <v>2.9456E-2</v>
      </c>
    </row>
    <row r="2815" spans="3:63" x14ac:dyDescent="0.15">
      <c r="C2815" s="624"/>
      <c r="D2815" s="355">
        <v>1.7729999999999999E-2</v>
      </c>
      <c r="AV2815" s="624"/>
      <c r="AX2815" s="624">
        <v>42200</v>
      </c>
      <c r="AY2815" s="355">
        <v>1.7579999999999998E-2</v>
      </c>
      <c r="AZ2815" s="624">
        <v>42264</v>
      </c>
      <c r="BA2815" s="355">
        <v>9.4999999999999998E-3</v>
      </c>
      <c r="BB2815" s="624">
        <v>42195</v>
      </c>
      <c r="BC2815" s="355">
        <v>0.26679999999999998</v>
      </c>
      <c r="BD2815" s="624">
        <v>42195</v>
      </c>
      <c r="BE2815" s="355">
        <v>8.8400000000000006E-2</v>
      </c>
      <c r="BH2815" s="624">
        <v>42195</v>
      </c>
      <c r="BI2815" s="355">
        <v>7.5188000000000005E-2</v>
      </c>
      <c r="BJ2815" s="624">
        <v>42194</v>
      </c>
      <c r="BK2815" s="355">
        <v>2.9461999999999999E-2</v>
      </c>
    </row>
    <row r="2816" spans="3:63" x14ac:dyDescent="0.15">
      <c r="C2816" s="624"/>
      <c r="D2816" s="355">
        <v>1.7579999999999998E-2</v>
      </c>
      <c r="AV2816" s="624"/>
      <c r="AX2816" s="624">
        <v>42201</v>
      </c>
      <c r="AY2816" s="355">
        <v>1.7559999999999999E-2</v>
      </c>
      <c r="AZ2816" s="624">
        <v>42265</v>
      </c>
      <c r="BA2816" s="355">
        <v>9.4000000000000004E-3</v>
      </c>
      <c r="BB2816" s="624">
        <v>42198</v>
      </c>
      <c r="BC2816" s="355">
        <v>0.26590000000000003</v>
      </c>
      <c r="BD2816" s="624">
        <v>42198</v>
      </c>
      <c r="BE2816" s="355">
        <v>8.8029999999999997E-2</v>
      </c>
      <c r="BH2816" s="624">
        <v>42198</v>
      </c>
      <c r="BI2816" s="355">
        <v>7.5402999999999998E-2</v>
      </c>
      <c r="BJ2816" s="624">
        <v>42195</v>
      </c>
      <c r="BK2816" s="355">
        <v>2.9472000000000002E-2</v>
      </c>
    </row>
    <row r="2817" spans="3:63" x14ac:dyDescent="0.15">
      <c r="C2817" s="624"/>
      <c r="D2817" s="355">
        <v>1.7559999999999999E-2</v>
      </c>
      <c r="AV2817" s="624"/>
      <c r="AX2817" s="624">
        <v>42202</v>
      </c>
      <c r="AY2817" s="355">
        <v>1.755E-2</v>
      </c>
      <c r="AZ2817" s="624">
        <v>42268</v>
      </c>
      <c r="BA2817" s="355">
        <v>9.2999999999999992E-3</v>
      </c>
      <c r="BB2817" s="624">
        <v>42199</v>
      </c>
      <c r="BC2817" s="355">
        <v>0.2666</v>
      </c>
      <c r="BD2817" s="624">
        <v>42199</v>
      </c>
      <c r="BE2817" s="355">
        <v>8.7470000000000006E-2</v>
      </c>
      <c r="BH2817" s="624">
        <v>42199</v>
      </c>
      <c r="BI2817" s="355">
        <v>7.5078000000000006E-2</v>
      </c>
      <c r="BJ2817" s="624">
        <v>42198</v>
      </c>
      <c r="BK2817" s="355">
        <v>2.9384E-2</v>
      </c>
    </row>
    <row r="2818" spans="3:63" x14ac:dyDescent="0.15">
      <c r="C2818" s="624"/>
      <c r="D2818" s="355">
        <v>1.755E-2</v>
      </c>
      <c r="AV2818" s="624"/>
      <c r="AX2818" s="624">
        <v>42205</v>
      </c>
      <c r="AY2818" s="355">
        <v>1.754E-2</v>
      </c>
      <c r="AZ2818" s="624">
        <v>42269</v>
      </c>
      <c r="BA2818" s="355">
        <v>9.2999999999999992E-3</v>
      </c>
      <c r="BB2818" s="624">
        <v>42200</v>
      </c>
      <c r="BC2818" s="355">
        <v>0.26519999999999999</v>
      </c>
      <c r="BD2818" s="624">
        <v>42200</v>
      </c>
      <c r="BE2818" s="355">
        <v>8.7150000000000005E-2</v>
      </c>
      <c r="BH2818" s="624">
        <v>42200</v>
      </c>
      <c r="BI2818" s="355">
        <v>7.4907000000000001E-2</v>
      </c>
      <c r="BJ2818" s="624">
        <v>42199</v>
      </c>
      <c r="BK2818" s="355">
        <v>2.9374999999999998E-2</v>
      </c>
    </row>
    <row r="2819" spans="3:63" x14ac:dyDescent="0.15">
      <c r="C2819" s="624"/>
      <c r="D2819" s="355">
        <v>1.754E-2</v>
      </c>
      <c r="AV2819" s="624"/>
      <c r="AX2819" s="624">
        <v>42206</v>
      </c>
      <c r="AY2819" s="355">
        <v>1.755E-2</v>
      </c>
      <c r="AZ2819" s="624">
        <v>42270</v>
      </c>
      <c r="BA2819" s="355">
        <v>9.2999999999999992E-3</v>
      </c>
      <c r="BB2819" s="624">
        <v>42201</v>
      </c>
      <c r="BC2819" s="355">
        <v>0.26450000000000001</v>
      </c>
      <c r="BD2819" s="624">
        <v>42201</v>
      </c>
      <c r="BE2819" s="355">
        <v>8.72E-2</v>
      </c>
      <c r="BH2819" s="624">
        <v>42201</v>
      </c>
      <c r="BI2819" s="355">
        <v>7.4743000000000004E-2</v>
      </c>
      <c r="BJ2819" s="624">
        <v>42200</v>
      </c>
      <c r="BK2819" s="355">
        <v>2.9253000000000001E-2</v>
      </c>
    </row>
    <row r="2820" spans="3:63" x14ac:dyDescent="0.15">
      <c r="C2820" s="624"/>
      <c r="D2820" s="355">
        <v>1.755E-2</v>
      </c>
      <c r="AV2820" s="624"/>
      <c r="AX2820" s="624">
        <v>42207</v>
      </c>
      <c r="AY2820" s="355">
        <v>1.7409999999999998E-2</v>
      </c>
      <c r="AZ2820" s="624">
        <v>42271</v>
      </c>
      <c r="BA2820" s="355">
        <v>9.4000000000000004E-3</v>
      </c>
      <c r="BB2820" s="624">
        <v>42202</v>
      </c>
      <c r="BC2820" s="355">
        <v>0.26369999999999999</v>
      </c>
      <c r="BD2820" s="624">
        <v>42202</v>
      </c>
      <c r="BE2820" s="355">
        <v>8.6919999999999997E-2</v>
      </c>
      <c r="BH2820" s="624">
        <v>42202</v>
      </c>
      <c r="BI2820" s="355">
        <v>7.4880000000000002E-2</v>
      </c>
      <c r="BJ2820" s="624">
        <v>42201</v>
      </c>
      <c r="BK2820" s="355">
        <v>2.9250000000000002E-2</v>
      </c>
    </row>
    <row r="2821" spans="3:63" x14ac:dyDescent="0.15">
      <c r="C2821" s="624"/>
      <c r="D2821" s="355">
        <v>1.7409999999999998E-2</v>
      </c>
      <c r="AV2821" s="624"/>
      <c r="AX2821" s="624">
        <v>42208</v>
      </c>
      <c r="AY2821" s="355">
        <v>1.7309999999999999E-2</v>
      </c>
      <c r="AZ2821" s="624">
        <v>42272</v>
      </c>
      <c r="BA2821" s="355">
        <v>9.2999999999999992E-3</v>
      </c>
      <c r="BB2821" s="624">
        <v>42205</v>
      </c>
      <c r="BC2821" s="355">
        <v>0.26250000000000001</v>
      </c>
      <c r="BD2821" s="624">
        <v>42205</v>
      </c>
      <c r="BE2821" s="355">
        <v>8.6459999999999995E-2</v>
      </c>
      <c r="BH2821" s="624">
        <v>42205</v>
      </c>
      <c r="BI2821" s="355">
        <v>7.4459999999999998E-2</v>
      </c>
      <c r="BJ2821" s="624">
        <v>42202</v>
      </c>
      <c r="BK2821" s="355">
        <v>2.9222999999999999E-2</v>
      </c>
    </row>
    <row r="2822" spans="3:63" x14ac:dyDescent="0.15">
      <c r="C2822" s="624"/>
      <c r="D2822" s="355">
        <v>1.7309999999999999E-2</v>
      </c>
      <c r="AV2822" s="624"/>
      <c r="AX2822" s="624">
        <v>42209</v>
      </c>
      <c r="AY2822" s="355">
        <v>1.711E-2</v>
      </c>
      <c r="AZ2822" s="624">
        <v>42275</v>
      </c>
      <c r="BA2822" s="355">
        <v>9.4000000000000004E-3</v>
      </c>
      <c r="BB2822" s="624">
        <v>42206</v>
      </c>
      <c r="BC2822" s="355">
        <v>0.2646</v>
      </c>
      <c r="BD2822" s="624">
        <v>42206</v>
      </c>
      <c r="BE2822" s="355">
        <v>8.7050000000000002E-2</v>
      </c>
      <c r="BH2822" s="624">
        <v>42206</v>
      </c>
      <c r="BI2822" s="355">
        <v>7.4805999999999997E-2</v>
      </c>
      <c r="BJ2822" s="624">
        <v>42205</v>
      </c>
      <c r="BK2822" s="355">
        <v>2.9014000000000002E-2</v>
      </c>
    </row>
    <row r="2823" spans="3:63" x14ac:dyDescent="0.15">
      <c r="C2823" s="624"/>
      <c r="D2823" s="355">
        <v>1.711E-2</v>
      </c>
      <c r="AV2823" s="624"/>
      <c r="AX2823" s="624">
        <v>42212</v>
      </c>
      <c r="AY2823" s="355">
        <v>1.668E-2</v>
      </c>
      <c r="AZ2823" s="624">
        <v>42276</v>
      </c>
      <c r="BA2823" s="355">
        <v>9.4000000000000004E-3</v>
      </c>
      <c r="BB2823" s="624">
        <v>42207</v>
      </c>
      <c r="BC2823" s="355">
        <v>0.26540000000000002</v>
      </c>
      <c r="BD2823" s="624">
        <v>42207</v>
      </c>
      <c r="BE2823" s="355">
        <v>8.6430000000000007E-2</v>
      </c>
      <c r="BH2823" s="624">
        <v>42207</v>
      </c>
      <c r="BI2823" s="355">
        <v>7.4537999999999993E-2</v>
      </c>
      <c r="BJ2823" s="624">
        <v>42206</v>
      </c>
      <c r="BK2823" s="355">
        <v>2.9051E-2</v>
      </c>
    </row>
    <row r="2824" spans="3:63" x14ac:dyDescent="0.15">
      <c r="C2824" s="624"/>
      <c r="D2824" s="355">
        <v>1.668E-2</v>
      </c>
      <c r="AV2824" s="624"/>
      <c r="AX2824" s="624">
        <v>42213</v>
      </c>
      <c r="AY2824" s="355">
        <v>1.669E-2</v>
      </c>
      <c r="AZ2824" s="624">
        <v>42277</v>
      </c>
      <c r="BA2824" s="355">
        <v>9.2999999999999992E-3</v>
      </c>
      <c r="BB2824" s="624">
        <v>42208</v>
      </c>
      <c r="BC2824" s="355">
        <v>0.26650000000000001</v>
      </c>
      <c r="BD2824" s="624">
        <v>42208</v>
      </c>
      <c r="BE2824" s="355">
        <v>8.6050000000000001E-2</v>
      </c>
      <c r="BH2824" s="624">
        <v>42208</v>
      </c>
      <c r="BI2824" s="355">
        <v>7.4429999999999996E-2</v>
      </c>
      <c r="BJ2824" s="624">
        <v>42207</v>
      </c>
      <c r="BK2824" s="355">
        <v>2.8795999999999999E-2</v>
      </c>
    </row>
    <row r="2825" spans="3:63" x14ac:dyDescent="0.15">
      <c r="C2825" s="624"/>
      <c r="D2825" s="355">
        <v>1.669E-2</v>
      </c>
      <c r="AV2825" s="624"/>
      <c r="AX2825" s="624">
        <v>42214</v>
      </c>
      <c r="AY2825" s="355">
        <v>1.7049999999999999E-2</v>
      </c>
      <c r="AZ2825" s="624">
        <v>42278</v>
      </c>
      <c r="BA2825" s="355">
        <v>9.4000000000000004E-3</v>
      </c>
      <c r="BB2825" s="624">
        <v>42209</v>
      </c>
      <c r="BC2825" s="355">
        <v>0.26479999999999998</v>
      </c>
      <c r="BD2825" s="624">
        <v>42209</v>
      </c>
      <c r="BE2825" s="355">
        <v>8.5430000000000006E-2</v>
      </c>
      <c r="BH2825" s="624">
        <v>42209</v>
      </c>
      <c r="BI2825" s="355">
        <v>7.4286000000000005E-2</v>
      </c>
      <c r="BJ2825" s="624">
        <v>42208</v>
      </c>
      <c r="BK2825" s="355">
        <v>2.8733999999999999E-2</v>
      </c>
    </row>
    <row r="2826" spans="3:63" x14ac:dyDescent="0.15">
      <c r="C2826" s="624"/>
      <c r="D2826" s="355">
        <v>1.7049999999999999E-2</v>
      </c>
      <c r="AV2826" s="624"/>
      <c r="AX2826" s="624">
        <v>42215</v>
      </c>
      <c r="AY2826" s="355">
        <v>1.6719999999999999E-2</v>
      </c>
      <c r="AZ2826" s="624">
        <v>42279</v>
      </c>
      <c r="BA2826" s="355">
        <v>9.4000000000000004E-3</v>
      </c>
      <c r="BB2826" s="624">
        <v>42212</v>
      </c>
      <c r="BC2826" s="355">
        <v>0.26910000000000001</v>
      </c>
      <c r="BD2826" s="624">
        <v>42212</v>
      </c>
      <c r="BE2826" s="355">
        <v>8.5650000000000004E-2</v>
      </c>
      <c r="BH2826" s="624">
        <v>42212</v>
      </c>
      <c r="BI2826" s="355">
        <v>7.4142E-2</v>
      </c>
      <c r="BJ2826" s="624">
        <v>42209</v>
      </c>
      <c r="BK2826" s="355">
        <v>2.8655E-2</v>
      </c>
    </row>
    <row r="2827" spans="3:63" x14ac:dyDescent="0.15">
      <c r="C2827" s="624"/>
      <c r="D2827" s="355">
        <v>1.6719999999999999E-2</v>
      </c>
      <c r="AV2827" s="624"/>
      <c r="AX2827" s="624">
        <v>42216</v>
      </c>
      <c r="AY2827" s="355">
        <v>1.6199999999999999E-2</v>
      </c>
      <c r="AZ2827" s="624">
        <v>42282</v>
      </c>
      <c r="BA2827" s="355">
        <v>9.2999999999999992E-3</v>
      </c>
      <c r="BB2827" s="624">
        <v>42213</v>
      </c>
      <c r="BC2827" s="355">
        <v>0.26860000000000001</v>
      </c>
      <c r="BD2827" s="624">
        <v>42213</v>
      </c>
      <c r="BE2827" s="355">
        <v>8.6169999999999997E-2</v>
      </c>
      <c r="BH2827" s="624">
        <v>42213</v>
      </c>
      <c r="BI2827" s="355">
        <v>7.4509000000000006E-2</v>
      </c>
      <c r="BJ2827" s="624">
        <v>42212</v>
      </c>
      <c r="BK2827" s="355">
        <v>2.8684999999999999E-2</v>
      </c>
    </row>
    <row r="2828" spans="3:63" x14ac:dyDescent="0.15">
      <c r="C2828" s="624"/>
      <c r="D2828" s="355">
        <v>1.6199999999999999E-2</v>
      </c>
      <c r="AV2828" s="624"/>
      <c r="AX2828" s="624">
        <v>42219</v>
      </c>
      <c r="AY2828" s="355">
        <v>1.5740000000000001E-2</v>
      </c>
      <c r="AZ2828" s="624">
        <v>42283</v>
      </c>
      <c r="BA2828" s="355">
        <v>9.4000000000000004E-3</v>
      </c>
      <c r="BB2828" s="624">
        <v>42214</v>
      </c>
      <c r="BC2828" s="355">
        <v>0.26600000000000001</v>
      </c>
      <c r="BD2828" s="624">
        <v>42214</v>
      </c>
      <c r="BE2828" s="355">
        <v>8.6059999999999998E-2</v>
      </c>
      <c r="BH2828" s="624">
        <v>42214</v>
      </c>
      <c r="BI2828" s="355">
        <v>7.4180999999999997E-2</v>
      </c>
      <c r="BJ2828" s="624">
        <v>42213</v>
      </c>
      <c r="BK2828" s="355">
        <v>2.8698999999999999E-2</v>
      </c>
    </row>
    <row r="2829" spans="3:63" x14ac:dyDescent="0.15">
      <c r="C2829" s="624"/>
      <c r="D2829" s="355">
        <v>1.5740000000000001E-2</v>
      </c>
      <c r="AV2829" s="624"/>
      <c r="AX2829" s="624">
        <v>42220</v>
      </c>
      <c r="AY2829" s="355">
        <v>1.5869999999999999E-2</v>
      </c>
      <c r="AZ2829" s="624">
        <v>42284</v>
      </c>
      <c r="BA2829" s="355">
        <v>9.4000000000000004E-3</v>
      </c>
      <c r="BB2829" s="624">
        <v>42215</v>
      </c>
      <c r="BC2829" s="355">
        <v>0.26379999999999998</v>
      </c>
      <c r="BD2829" s="624">
        <v>42215</v>
      </c>
      <c r="BE2829" s="355">
        <v>8.5239999999999996E-2</v>
      </c>
      <c r="BH2829" s="624">
        <v>42215</v>
      </c>
      <c r="BI2829" s="355">
        <v>7.4047000000000002E-2</v>
      </c>
      <c r="BJ2829" s="624">
        <v>42214</v>
      </c>
      <c r="BK2829" s="355">
        <v>2.8594000000000001E-2</v>
      </c>
    </row>
    <row r="2830" spans="3:63" x14ac:dyDescent="0.15">
      <c r="C2830" s="624"/>
      <c r="D2830" s="355">
        <v>1.5869999999999999E-2</v>
      </c>
      <c r="AV2830" s="624"/>
      <c r="AX2830" s="624">
        <v>42221</v>
      </c>
      <c r="AY2830" s="355">
        <v>1.575E-2</v>
      </c>
      <c r="AZ2830" s="624">
        <v>42285</v>
      </c>
      <c r="BA2830" s="355">
        <v>9.4000000000000004E-3</v>
      </c>
      <c r="BB2830" s="624">
        <v>42216</v>
      </c>
      <c r="BC2830" s="355">
        <v>0.26519999999999999</v>
      </c>
      <c r="BD2830" s="624">
        <v>42216</v>
      </c>
      <c r="BE2830" s="355">
        <v>8.5699999999999998E-2</v>
      </c>
      <c r="BH2830" s="624">
        <v>42216</v>
      </c>
      <c r="BI2830" s="355">
        <v>7.4130000000000001E-2</v>
      </c>
      <c r="BJ2830" s="624">
        <v>42215</v>
      </c>
      <c r="BK2830" s="355">
        <v>2.8466000000000002E-2</v>
      </c>
    </row>
    <row r="2831" spans="3:63" x14ac:dyDescent="0.15">
      <c r="C2831" s="624"/>
      <c r="D2831" s="355">
        <v>1.575E-2</v>
      </c>
      <c r="AV2831" s="624"/>
      <c r="AX2831" s="624">
        <v>42222</v>
      </c>
      <c r="AY2831" s="355">
        <v>1.5509999999999999E-2</v>
      </c>
      <c r="AZ2831" s="624">
        <v>42286</v>
      </c>
      <c r="BA2831" s="355">
        <v>9.4999999999999998E-3</v>
      </c>
      <c r="BB2831" s="624">
        <v>42219</v>
      </c>
      <c r="BC2831" s="355">
        <v>0.26419999999999999</v>
      </c>
      <c r="BD2831" s="624">
        <v>42219</v>
      </c>
      <c r="BE2831" s="355">
        <v>8.5389999999999994E-2</v>
      </c>
      <c r="BH2831" s="624">
        <v>42219</v>
      </c>
      <c r="BI2831" s="355">
        <v>7.4208999999999997E-2</v>
      </c>
      <c r="BJ2831" s="624">
        <v>42216</v>
      </c>
      <c r="BK2831" s="355">
        <v>2.8569000000000001E-2</v>
      </c>
    </row>
    <row r="2832" spans="3:63" x14ac:dyDescent="0.15">
      <c r="C2832" s="624"/>
      <c r="D2832" s="355">
        <v>1.5509999999999999E-2</v>
      </c>
      <c r="AV2832" s="624"/>
      <c r="AX2832" s="624">
        <v>42223</v>
      </c>
      <c r="AY2832" s="355">
        <v>1.562E-2</v>
      </c>
      <c r="AZ2832" s="624">
        <v>42289</v>
      </c>
      <c r="BA2832" s="355">
        <v>9.4999999999999998E-3</v>
      </c>
      <c r="BB2832" s="624">
        <v>42220</v>
      </c>
      <c r="BC2832" s="355">
        <v>0.26019999999999999</v>
      </c>
      <c r="BD2832" s="624">
        <v>42220</v>
      </c>
      <c r="BE2832" s="355">
        <v>8.5519999999999999E-2</v>
      </c>
      <c r="BH2832" s="624">
        <v>42220</v>
      </c>
      <c r="BI2832" s="355">
        <v>7.4054999999999996E-2</v>
      </c>
      <c r="BJ2832" s="624">
        <v>42219</v>
      </c>
      <c r="BK2832" s="355">
        <v>2.8511000000000002E-2</v>
      </c>
    </row>
    <row r="2833" spans="3:63" x14ac:dyDescent="0.15">
      <c r="C2833" s="624"/>
      <c r="D2833" s="355">
        <v>1.562E-2</v>
      </c>
      <c r="AV2833" s="624"/>
      <c r="AX2833" s="624">
        <v>42226</v>
      </c>
      <c r="AY2833" s="355">
        <v>1.5879999999999998E-2</v>
      </c>
      <c r="AZ2833" s="624">
        <v>42290</v>
      </c>
      <c r="BA2833" s="355">
        <v>9.4999999999999998E-3</v>
      </c>
      <c r="BB2833" s="624">
        <v>42221</v>
      </c>
      <c r="BC2833" s="355">
        <v>0.26119999999999999</v>
      </c>
      <c r="BD2833" s="624">
        <v>42221</v>
      </c>
      <c r="BE2833" s="355">
        <v>8.5190000000000002E-2</v>
      </c>
      <c r="BH2833" s="624">
        <v>42221</v>
      </c>
      <c r="BI2833" s="355">
        <v>7.3948E-2</v>
      </c>
      <c r="BJ2833" s="624">
        <v>42220</v>
      </c>
      <c r="BK2833" s="355">
        <v>2.8483999999999999E-2</v>
      </c>
    </row>
    <row r="2834" spans="3:63" x14ac:dyDescent="0.15">
      <c r="C2834" s="624"/>
      <c r="D2834" s="355">
        <v>1.5879999999999998E-2</v>
      </c>
      <c r="AV2834" s="624"/>
      <c r="AX2834" s="624">
        <v>42227</v>
      </c>
      <c r="AY2834" s="355">
        <v>1.5559999999999999E-2</v>
      </c>
      <c r="AZ2834" s="624">
        <v>42291</v>
      </c>
      <c r="BA2834" s="355">
        <v>9.5999999999999992E-3</v>
      </c>
      <c r="BB2834" s="624">
        <v>42222</v>
      </c>
      <c r="BC2834" s="355">
        <v>0.26079999999999998</v>
      </c>
      <c r="BD2834" s="624">
        <v>42222</v>
      </c>
      <c r="BE2834" s="355">
        <v>8.591E-2</v>
      </c>
      <c r="BH2834" s="624">
        <v>42222</v>
      </c>
      <c r="BI2834" s="355">
        <v>7.4052999999999994E-2</v>
      </c>
      <c r="BJ2834" s="624">
        <v>42221</v>
      </c>
      <c r="BK2834" s="355">
        <v>2.8412E-2</v>
      </c>
    </row>
    <row r="2835" spans="3:63" x14ac:dyDescent="0.15">
      <c r="C2835" s="624"/>
      <c r="D2835" s="355">
        <v>1.5559999999999999E-2</v>
      </c>
      <c r="AV2835" s="624"/>
      <c r="AX2835" s="624">
        <v>42228</v>
      </c>
      <c r="AY2835" s="355">
        <v>1.5570000000000001E-2</v>
      </c>
      <c r="AZ2835" s="624">
        <v>42292</v>
      </c>
      <c r="BA2835" s="355">
        <v>9.4999999999999998E-3</v>
      </c>
      <c r="BB2835" s="624">
        <v>42223</v>
      </c>
      <c r="BC2835" s="355">
        <v>0.2621</v>
      </c>
      <c r="BD2835" s="624">
        <v>42223</v>
      </c>
      <c r="BE2835" s="355">
        <v>8.5860000000000006E-2</v>
      </c>
      <c r="BH2835" s="624">
        <v>42223</v>
      </c>
      <c r="BI2835" s="355">
        <v>7.3942999999999995E-2</v>
      </c>
      <c r="BJ2835" s="624">
        <v>42222</v>
      </c>
      <c r="BK2835" s="355">
        <v>2.8489E-2</v>
      </c>
    </row>
    <row r="2836" spans="3:63" x14ac:dyDescent="0.15">
      <c r="C2836" s="624"/>
      <c r="D2836" s="355">
        <v>1.5570000000000001E-2</v>
      </c>
      <c r="AV2836" s="624"/>
      <c r="AX2836" s="624">
        <v>42229</v>
      </c>
      <c r="AY2836" s="355">
        <v>1.546E-2</v>
      </c>
      <c r="AZ2836" s="624">
        <v>42293</v>
      </c>
      <c r="BA2836" s="355">
        <v>9.4999999999999998E-3</v>
      </c>
      <c r="BB2836" s="624">
        <v>42226</v>
      </c>
      <c r="BC2836" s="355">
        <v>0.26240000000000002</v>
      </c>
      <c r="BD2836" s="624">
        <v>42226</v>
      </c>
      <c r="BE2836" s="355">
        <v>8.6269999999999999E-2</v>
      </c>
      <c r="BH2836" s="624">
        <v>42226</v>
      </c>
      <c r="BI2836" s="355">
        <v>7.3940000000000006E-2</v>
      </c>
      <c r="BJ2836" s="624">
        <v>42223</v>
      </c>
      <c r="BK2836" s="355">
        <v>2.8466000000000002E-2</v>
      </c>
    </row>
    <row r="2837" spans="3:63" x14ac:dyDescent="0.15">
      <c r="C2837" s="624"/>
      <c r="D2837" s="355">
        <v>1.546E-2</v>
      </c>
      <c r="AV2837" s="624"/>
      <c r="AX2837" s="624">
        <v>42230</v>
      </c>
      <c r="AY2837" s="355">
        <v>1.541E-2</v>
      </c>
      <c r="AZ2837" s="624">
        <v>42296</v>
      </c>
      <c r="BA2837" s="355">
        <v>9.4000000000000004E-3</v>
      </c>
      <c r="BB2837" s="624">
        <v>42227</v>
      </c>
      <c r="BC2837" s="355">
        <v>0.26329999999999998</v>
      </c>
      <c r="BD2837" s="624">
        <v>42227</v>
      </c>
      <c r="BE2837" s="355">
        <v>8.48E-2</v>
      </c>
      <c r="BH2837" s="624">
        <v>42227</v>
      </c>
      <c r="BI2837" s="355">
        <v>7.2875999999999996E-2</v>
      </c>
      <c r="BJ2837" s="624">
        <v>42226</v>
      </c>
      <c r="BK2837" s="355">
        <v>2.8504999999999999E-2</v>
      </c>
    </row>
    <row r="2838" spans="3:63" x14ac:dyDescent="0.15">
      <c r="C2838" s="624"/>
      <c r="D2838" s="355">
        <v>1.541E-2</v>
      </c>
      <c r="AV2838" s="624"/>
      <c r="AX2838" s="624">
        <v>42233</v>
      </c>
      <c r="AY2838" s="355">
        <v>1.529E-2</v>
      </c>
      <c r="BB2838" s="624">
        <v>42228</v>
      </c>
      <c r="BC2838" s="355">
        <v>0.2666</v>
      </c>
      <c r="BD2838" s="624">
        <v>42228</v>
      </c>
      <c r="BE2838" s="355">
        <v>8.5209999999999994E-2</v>
      </c>
      <c r="BH2838" s="624">
        <v>42228</v>
      </c>
      <c r="BI2838" s="355">
        <v>7.1920999999999999E-2</v>
      </c>
      <c r="BJ2838" s="624">
        <v>42227</v>
      </c>
      <c r="BK2838" s="355">
        <v>2.8296000000000002E-2</v>
      </c>
    </row>
    <row r="2839" spans="3:63" x14ac:dyDescent="0.15">
      <c r="C2839" s="624"/>
      <c r="D2839" s="355">
        <v>1.529E-2</v>
      </c>
      <c r="AV2839" s="624"/>
      <c r="AX2839" s="624">
        <v>42234</v>
      </c>
      <c r="AY2839" s="355">
        <v>1.5180000000000001E-2</v>
      </c>
      <c r="BB2839" s="624">
        <v>42229</v>
      </c>
      <c r="BC2839" s="355">
        <v>0.26679999999999998</v>
      </c>
      <c r="BD2839" s="624">
        <v>42229</v>
      </c>
      <c r="BE2839" s="355">
        <v>8.4849999999999995E-2</v>
      </c>
      <c r="BH2839" s="624">
        <v>42229</v>
      </c>
      <c r="BI2839" s="355">
        <v>7.2569999999999996E-2</v>
      </c>
      <c r="BJ2839" s="624">
        <v>42228</v>
      </c>
      <c r="BK2839" s="355">
        <v>2.8367E-2</v>
      </c>
    </row>
    <row r="2840" spans="3:63" x14ac:dyDescent="0.15">
      <c r="C2840" s="624"/>
      <c r="D2840" s="355">
        <v>1.5180000000000001E-2</v>
      </c>
      <c r="AV2840" s="624"/>
      <c r="AX2840" s="624">
        <v>42235</v>
      </c>
      <c r="AY2840" s="355">
        <v>1.502E-2</v>
      </c>
      <c r="BB2840" s="624">
        <v>42230</v>
      </c>
      <c r="BC2840" s="355">
        <v>0.26569999999999999</v>
      </c>
      <c r="BD2840" s="624">
        <v>42230</v>
      </c>
      <c r="BE2840" s="355">
        <v>8.4809999999999997E-2</v>
      </c>
      <c r="BH2840" s="624">
        <v>42230</v>
      </c>
      <c r="BI2840" s="355">
        <v>7.2442000000000006E-2</v>
      </c>
      <c r="BJ2840" s="624">
        <v>42229</v>
      </c>
      <c r="BK2840" s="355">
        <v>2.8443E-2</v>
      </c>
    </row>
    <row r="2841" spans="3:63" x14ac:dyDescent="0.15">
      <c r="C2841" s="624"/>
      <c r="D2841" s="355">
        <v>1.502E-2</v>
      </c>
      <c r="AV2841" s="624"/>
      <c r="AX2841" s="624">
        <v>42236</v>
      </c>
      <c r="AY2841" s="355">
        <v>1.47E-2</v>
      </c>
      <c r="BB2841" s="624">
        <v>42233</v>
      </c>
      <c r="BC2841" s="355">
        <v>0.26590000000000003</v>
      </c>
      <c r="BD2841" s="624">
        <v>42233</v>
      </c>
      <c r="BE2841" s="355">
        <v>8.4510000000000002E-2</v>
      </c>
      <c r="BH2841" s="624">
        <v>42233</v>
      </c>
      <c r="BI2841" s="355">
        <v>7.2174000000000002E-2</v>
      </c>
      <c r="BJ2841" s="624">
        <v>42230</v>
      </c>
      <c r="BK2841" s="355">
        <v>2.8362999999999999E-2</v>
      </c>
    </row>
    <row r="2842" spans="3:63" x14ac:dyDescent="0.15">
      <c r="C2842" s="624"/>
      <c r="D2842" s="355">
        <v>1.47E-2</v>
      </c>
      <c r="AV2842" s="624"/>
      <c r="AX2842" s="624">
        <v>42237</v>
      </c>
      <c r="AY2842" s="355">
        <v>1.448E-2</v>
      </c>
      <c r="BB2842" s="624">
        <v>42234</v>
      </c>
      <c r="BC2842" s="355">
        <v>0.26479999999999998</v>
      </c>
      <c r="BD2842" s="624">
        <v>42234</v>
      </c>
      <c r="BE2842" s="355">
        <v>8.4309999999999996E-2</v>
      </c>
      <c r="BH2842" s="624">
        <v>42234</v>
      </c>
      <c r="BI2842" s="355">
        <v>7.2350999999999999E-2</v>
      </c>
      <c r="BJ2842" s="624">
        <v>42233</v>
      </c>
      <c r="BK2842" s="355">
        <v>2.8135E-2</v>
      </c>
    </row>
    <row r="2843" spans="3:63" x14ac:dyDescent="0.15">
      <c r="C2843" s="624"/>
      <c r="D2843" s="355">
        <v>1.448E-2</v>
      </c>
      <c r="AV2843" s="624"/>
      <c r="AX2843" s="624">
        <v>42240</v>
      </c>
      <c r="AY2843" s="355">
        <v>1.4109999999999999E-2</v>
      </c>
      <c r="BB2843" s="624">
        <v>42235</v>
      </c>
      <c r="BC2843" s="355">
        <v>0.26629999999999998</v>
      </c>
      <c r="BD2843" s="624">
        <v>42235</v>
      </c>
      <c r="BE2843" s="355">
        <v>8.4449999999999997E-2</v>
      </c>
      <c r="BH2843" s="624">
        <v>42235</v>
      </c>
      <c r="BI2843" s="355">
        <v>7.2482000000000005E-2</v>
      </c>
      <c r="BJ2843" s="624">
        <v>42234</v>
      </c>
      <c r="BK2843" s="355">
        <v>2.8132000000000001E-2</v>
      </c>
    </row>
    <row r="2844" spans="3:63" x14ac:dyDescent="0.15">
      <c r="C2844" s="624"/>
      <c r="D2844" s="355">
        <v>1.4109999999999999E-2</v>
      </c>
      <c r="AV2844" s="624"/>
      <c r="AX2844" s="624">
        <v>42241</v>
      </c>
      <c r="AY2844" s="355">
        <v>1.448E-2</v>
      </c>
      <c r="BB2844" s="624">
        <v>42236</v>
      </c>
      <c r="BC2844" s="355">
        <v>0.26829999999999998</v>
      </c>
      <c r="BD2844" s="624">
        <v>42236</v>
      </c>
      <c r="BE2844" s="355">
        <v>8.4390000000000007E-2</v>
      </c>
      <c r="BH2844" s="624">
        <v>42236</v>
      </c>
      <c r="BI2844" s="355">
        <v>7.2021000000000002E-2</v>
      </c>
      <c r="BJ2844" s="624">
        <v>42235</v>
      </c>
      <c r="BK2844" s="355">
        <v>2.8138E-2</v>
      </c>
    </row>
    <row r="2845" spans="3:63" x14ac:dyDescent="0.15">
      <c r="C2845" s="624"/>
      <c r="D2845" s="355">
        <v>1.448E-2</v>
      </c>
      <c r="AV2845" s="624"/>
      <c r="AX2845" s="624">
        <v>42242</v>
      </c>
      <c r="AY2845" s="355">
        <v>1.451E-2</v>
      </c>
      <c r="BB2845" s="624">
        <v>42237</v>
      </c>
      <c r="BC2845" s="355">
        <v>0.26919999999999999</v>
      </c>
      <c r="BD2845" s="624">
        <v>42237</v>
      </c>
      <c r="BE2845" s="355">
        <v>8.3589999999999998E-2</v>
      </c>
      <c r="BH2845" s="624">
        <v>42237</v>
      </c>
      <c r="BI2845" s="355">
        <v>7.1322999999999998E-2</v>
      </c>
      <c r="BJ2845" s="624">
        <v>42236</v>
      </c>
      <c r="BK2845" s="355">
        <v>2.8097E-2</v>
      </c>
    </row>
    <row r="2846" spans="3:63" x14ac:dyDescent="0.15">
      <c r="C2846" s="624"/>
      <c r="D2846" s="355">
        <v>1.451E-2</v>
      </c>
      <c r="AV2846" s="624"/>
      <c r="AX2846" s="624">
        <v>42243</v>
      </c>
      <c r="AY2846" s="355">
        <v>1.512E-2</v>
      </c>
      <c r="BB2846" s="624">
        <v>42240</v>
      </c>
      <c r="BC2846" s="355">
        <v>0.27279999999999999</v>
      </c>
      <c r="BD2846" s="624">
        <v>42240</v>
      </c>
      <c r="BE2846" s="355">
        <v>8.3970000000000003E-2</v>
      </c>
      <c r="BH2846" s="624">
        <v>42240</v>
      </c>
      <c r="BI2846" s="355">
        <v>7.0800000000000002E-2</v>
      </c>
      <c r="BJ2846" s="624">
        <v>42237</v>
      </c>
      <c r="BK2846" s="355">
        <v>2.8080999999999998E-2</v>
      </c>
    </row>
    <row r="2847" spans="3:63" x14ac:dyDescent="0.15">
      <c r="C2847" s="624"/>
      <c r="D2847" s="355">
        <v>1.512E-2</v>
      </c>
      <c r="AV2847" s="624"/>
      <c r="AX2847" s="624">
        <v>42244</v>
      </c>
      <c r="AY2847" s="355">
        <v>1.528E-2</v>
      </c>
      <c r="BB2847" s="624">
        <v>42241</v>
      </c>
      <c r="BC2847" s="355">
        <v>0.2707</v>
      </c>
      <c r="BD2847" s="624">
        <v>42241</v>
      </c>
      <c r="BE2847" s="355">
        <v>8.3970000000000003E-2</v>
      </c>
      <c r="BH2847" s="624">
        <v>42241</v>
      </c>
      <c r="BI2847" s="355">
        <v>7.0921999999999999E-2</v>
      </c>
      <c r="BJ2847" s="624">
        <v>42240</v>
      </c>
      <c r="BK2847" s="355">
        <v>2.8072E-2</v>
      </c>
    </row>
    <row r="2848" spans="3:63" x14ac:dyDescent="0.15">
      <c r="C2848" s="624"/>
      <c r="D2848" s="355">
        <v>1.528E-2</v>
      </c>
      <c r="AV2848" s="624"/>
      <c r="AX2848" s="624">
        <v>42247</v>
      </c>
      <c r="AY2848" s="355">
        <v>1.559E-2</v>
      </c>
      <c r="BB2848" s="624">
        <v>42242</v>
      </c>
      <c r="BC2848" s="355">
        <v>0.26729999999999998</v>
      </c>
      <c r="BD2848" s="624">
        <v>42242</v>
      </c>
      <c r="BE2848" s="355">
        <v>8.4519999999999998E-2</v>
      </c>
      <c r="BH2848" s="624">
        <v>42242</v>
      </c>
      <c r="BI2848" s="355">
        <v>7.1276000000000006E-2</v>
      </c>
      <c r="BJ2848" s="624">
        <v>42241</v>
      </c>
      <c r="BK2848" s="355">
        <v>2.8108000000000001E-2</v>
      </c>
    </row>
    <row r="2849" spans="3:63" x14ac:dyDescent="0.15">
      <c r="C2849" s="624"/>
      <c r="D2849" s="355">
        <v>1.559E-2</v>
      </c>
      <c r="AV2849" s="624"/>
      <c r="AX2849" s="624">
        <v>42248</v>
      </c>
      <c r="AY2849" s="355">
        <v>1.498E-2</v>
      </c>
      <c r="BB2849" s="624">
        <v>42243</v>
      </c>
      <c r="BC2849" s="355">
        <v>0.26569999999999999</v>
      </c>
      <c r="BD2849" s="624">
        <v>42243</v>
      </c>
      <c r="BE2849" s="355">
        <v>8.5169999999999996E-2</v>
      </c>
      <c r="BH2849" s="624">
        <v>42243</v>
      </c>
      <c r="BI2849" s="355">
        <v>7.1402999999999994E-2</v>
      </c>
      <c r="BJ2849" s="624">
        <v>42242</v>
      </c>
      <c r="BK2849" s="355">
        <v>2.8011999999999999E-2</v>
      </c>
    </row>
    <row r="2850" spans="3:63" x14ac:dyDescent="0.15">
      <c r="C2850" s="624"/>
      <c r="D2850" s="355">
        <v>1.498E-2</v>
      </c>
      <c r="AV2850" s="624"/>
      <c r="AX2850" s="624">
        <v>42249</v>
      </c>
      <c r="AY2850" s="355">
        <v>1.4919999999999999E-2</v>
      </c>
      <c r="BB2850" s="624">
        <v>42244</v>
      </c>
      <c r="BC2850" s="355">
        <v>0.26540000000000002</v>
      </c>
      <c r="BD2850" s="624">
        <v>42244</v>
      </c>
      <c r="BE2850" s="355">
        <v>8.4769999999999998E-2</v>
      </c>
      <c r="BH2850" s="624">
        <v>42244</v>
      </c>
      <c r="BI2850" s="355">
        <v>7.1370000000000003E-2</v>
      </c>
      <c r="BJ2850" s="624">
        <v>42243</v>
      </c>
      <c r="BK2850" s="355">
        <v>2.8042999999999998E-2</v>
      </c>
    </row>
    <row r="2851" spans="3:63" x14ac:dyDescent="0.15">
      <c r="C2851" s="624"/>
      <c r="D2851" s="355">
        <v>1.4919999999999999E-2</v>
      </c>
      <c r="AV2851" s="624"/>
      <c r="AX2851" s="624">
        <v>42250</v>
      </c>
      <c r="AY2851" s="355">
        <v>1.503E-2</v>
      </c>
      <c r="BB2851" s="624">
        <v>42247</v>
      </c>
      <c r="BC2851" s="355">
        <v>0.26490000000000002</v>
      </c>
      <c r="BD2851" s="624">
        <v>42247</v>
      </c>
      <c r="BE2851" s="355">
        <v>8.4519999999999998E-2</v>
      </c>
      <c r="BH2851" s="624">
        <v>42247</v>
      </c>
      <c r="BI2851" s="355">
        <v>7.0948999999999998E-2</v>
      </c>
      <c r="BJ2851" s="624">
        <v>42244</v>
      </c>
      <c r="BK2851" s="355">
        <v>2.7896000000000001E-2</v>
      </c>
    </row>
    <row r="2852" spans="3:63" x14ac:dyDescent="0.15">
      <c r="C2852" s="624"/>
      <c r="D2852" s="355">
        <v>1.503E-2</v>
      </c>
      <c r="AV2852" s="624"/>
      <c r="AX2852" s="624">
        <v>42251</v>
      </c>
      <c r="AY2852" s="355">
        <v>1.46E-2</v>
      </c>
      <c r="BB2852" s="624">
        <v>42248</v>
      </c>
      <c r="BC2852" s="355">
        <v>0.2661</v>
      </c>
      <c r="BD2852" s="624">
        <v>42248</v>
      </c>
      <c r="BE2852" s="355">
        <v>8.4739999999999996E-2</v>
      </c>
      <c r="BH2852" s="624">
        <v>42248</v>
      </c>
      <c r="BI2852" s="355">
        <v>7.0866999999999999E-2</v>
      </c>
      <c r="BJ2852" s="624">
        <v>42247</v>
      </c>
      <c r="BK2852" s="355">
        <v>2.7906E-2</v>
      </c>
    </row>
    <row r="2853" spans="3:63" x14ac:dyDescent="0.15">
      <c r="C2853" s="624"/>
      <c r="D2853" s="355">
        <v>1.46E-2</v>
      </c>
      <c r="AV2853" s="624"/>
      <c r="AX2853" s="624">
        <v>42254</v>
      </c>
      <c r="AY2853" s="355">
        <v>1.447E-2</v>
      </c>
      <c r="BB2853" s="624">
        <v>42249</v>
      </c>
      <c r="BC2853" s="355">
        <v>0.26490000000000002</v>
      </c>
      <c r="BD2853" s="624">
        <v>42249</v>
      </c>
      <c r="BE2853" s="355">
        <v>8.4449999999999997E-2</v>
      </c>
      <c r="BH2853" s="624">
        <v>42249</v>
      </c>
      <c r="BI2853" s="355">
        <v>7.0680999999999994E-2</v>
      </c>
      <c r="BJ2853" s="624">
        <v>42248</v>
      </c>
      <c r="BK2853" s="355">
        <v>2.7992E-2</v>
      </c>
    </row>
    <row r="2854" spans="3:63" x14ac:dyDescent="0.15">
      <c r="C2854" s="624"/>
      <c r="D2854" s="355">
        <v>1.447E-2</v>
      </c>
      <c r="AX2854" s="624">
        <v>42255</v>
      </c>
      <c r="AY2854" s="355">
        <v>1.47E-2</v>
      </c>
      <c r="BB2854" s="624">
        <v>42250</v>
      </c>
      <c r="BC2854" s="355">
        <v>0.26390000000000002</v>
      </c>
      <c r="BD2854" s="624">
        <v>42250</v>
      </c>
      <c r="BE2854" s="355">
        <v>8.3960000000000007E-2</v>
      </c>
      <c r="BH2854" s="624">
        <v>42250</v>
      </c>
      <c r="BI2854" s="355">
        <v>7.0669999999999997E-2</v>
      </c>
      <c r="BJ2854" s="624">
        <v>42249</v>
      </c>
      <c r="BK2854" s="355">
        <v>2.7965E-2</v>
      </c>
    </row>
    <row r="2855" spans="3:63" x14ac:dyDescent="0.15">
      <c r="C2855" s="624"/>
      <c r="D2855" s="355">
        <v>1.47E-2</v>
      </c>
      <c r="AX2855" s="624">
        <v>42256</v>
      </c>
      <c r="AY2855" s="355">
        <v>1.461E-2</v>
      </c>
      <c r="BB2855" s="624">
        <v>42251</v>
      </c>
      <c r="BC2855" s="355">
        <v>0.26350000000000001</v>
      </c>
      <c r="BD2855" s="624">
        <v>42251</v>
      </c>
      <c r="BE2855" s="355">
        <v>8.3239999999999995E-2</v>
      </c>
      <c r="BH2855" s="624">
        <v>42251</v>
      </c>
      <c r="BI2855" s="355">
        <v>6.9874000000000006E-2</v>
      </c>
      <c r="BJ2855" s="624">
        <v>42250</v>
      </c>
      <c r="BK2855" s="355">
        <v>2.7879999999999999E-2</v>
      </c>
    </row>
    <row r="2856" spans="3:63" x14ac:dyDescent="0.15">
      <c r="C2856" s="624"/>
      <c r="D2856" s="355">
        <v>1.461E-2</v>
      </c>
      <c r="AX2856" s="624">
        <v>42257</v>
      </c>
      <c r="AY2856" s="355">
        <v>1.4760000000000001E-2</v>
      </c>
      <c r="BB2856" s="624">
        <v>42254</v>
      </c>
      <c r="BC2856" s="355">
        <v>0.26369999999999999</v>
      </c>
      <c r="BD2856" s="624">
        <v>42254</v>
      </c>
      <c r="BE2856" s="355">
        <v>8.3099999999999993E-2</v>
      </c>
      <c r="BH2856" s="624">
        <v>42254</v>
      </c>
      <c r="BI2856" s="355">
        <v>6.9807999999999995E-2</v>
      </c>
      <c r="BJ2856" s="624">
        <v>42251</v>
      </c>
      <c r="BK2856" s="355">
        <v>2.7786999999999999E-2</v>
      </c>
    </row>
    <row r="2857" spans="3:63" x14ac:dyDescent="0.15">
      <c r="C2857" s="624"/>
      <c r="D2857" s="355">
        <v>1.4760000000000001E-2</v>
      </c>
      <c r="AX2857" s="624">
        <v>42258</v>
      </c>
      <c r="AY2857" s="355">
        <v>1.4749999999999999E-2</v>
      </c>
      <c r="BB2857" s="624">
        <v>42255</v>
      </c>
      <c r="BC2857" s="355">
        <v>0.26500000000000001</v>
      </c>
      <c r="BD2857" s="624">
        <v>42255</v>
      </c>
      <c r="BE2857" s="355">
        <v>8.3680000000000004E-2</v>
      </c>
      <c r="BH2857" s="624">
        <v>42255</v>
      </c>
      <c r="BI2857" s="355">
        <v>7.0426000000000002E-2</v>
      </c>
      <c r="BJ2857" s="624">
        <v>42254</v>
      </c>
      <c r="BK2857" s="355">
        <v>2.7684E-2</v>
      </c>
    </row>
    <row r="2858" spans="3:63" x14ac:dyDescent="0.15">
      <c r="C2858" s="624"/>
      <c r="D2858" s="355">
        <v>1.4749999999999999E-2</v>
      </c>
      <c r="AX2858" s="624">
        <v>42261</v>
      </c>
      <c r="AY2858" s="355">
        <v>1.477E-2</v>
      </c>
      <c r="BB2858" s="624">
        <v>42256</v>
      </c>
      <c r="BC2858" s="355">
        <v>0.26590000000000003</v>
      </c>
      <c r="BD2858" s="624">
        <v>42256</v>
      </c>
      <c r="BE2858" s="355">
        <v>8.3930000000000005E-2</v>
      </c>
      <c r="BH2858" s="624">
        <v>42256</v>
      </c>
      <c r="BI2858" s="355">
        <v>7.0119000000000001E-2</v>
      </c>
      <c r="BJ2858" s="624">
        <v>42255</v>
      </c>
      <c r="BK2858" s="355">
        <v>2.7725E-2</v>
      </c>
    </row>
    <row r="2859" spans="3:63" x14ac:dyDescent="0.15">
      <c r="C2859" s="624"/>
      <c r="D2859" s="355">
        <v>1.477E-2</v>
      </c>
      <c r="AX2859" s="624">
        <v>42262</v>
      </c>
      <c r="AY2859" s="355">
        <v>1.4970000000000001E-2</v>
      </c>
      <c r="BB2859" s="624">
        <v>42257</v>
      </c>
      <c r="BC2859" s="355">
        <v>0.26779999999999998</v>
      </c>
      <c r="BD2859" s="624">
        <v>42257</v>
      </c>
      <c r="BE2859" s="355">
        <v>8.4570000000000006E-2</v>
      </c>
      <c r="BH2859" s="624">
        <v>42257</v>
      </c>
      <c r="BI2859" s="355">
        <v>7.0077E-2</v>
      </c>
      <c r="BJ2859" s="624">
        <v>42256</v>
      </c>
      <c r="BK2859" s="355">
        <v>2.7588999999999999E-2</v>
      </c>
    </row>
    <row r="2860" spans="3:63" x14ac:dyDescent="0.15">
      <c r="C2860" s="624"/>
      <c r="D2860" s="355">
        <v>1.4970000000000001E-2</v>
      </c>
      <c r="AX2860" s="624">
        <v>42263</v>
      </c>
      <c r="AY2860" s="355">
        <v>1.5270000000000001E-2</v>
      </c>
      <c r="BB2860" s="624">
        <v>42258</v>
      </c>
      <c r="BC2860" s="355">
        <v>0.26939999999999997</v>
      </c>
      <c r="BD2860" s="624">
        <v>42258</v>
      </c>
      <c r="BE2860" s="355">
        <v>8.455E-2</v>
      </c>
      <c r="BH2860" s="624">
        <v>42258</v>
      </c>
      <c r="BI2860" s="355">
        <v>6.9882E-2</v>
      </c>
      <c r="BJ2860" s="624">
        <v>42257</v>
      </c>
      <c r="BK2860" s="355">
        <v>2.7734000000000002E-2</v>
      </c>
    </row>
    <row r="2861" spans="3:63" x14ac:dyDescent="0.15">
      <c r="C2861" s="624"/>
      <c r="D2861" s="355">
        <v>1.5270000000000001E-2</v>
      </c>
      <c r="AX2861" s="624">
        <v>42264</v>
      </c>
      <c r="AY2861" s="355">
        <v>1.528E-2</v>
      </c>
      <c r="BB2861" s="624">
        <v>42261</v>
      </c>
      <c r="BC2861" s="355">
        <v>0.26889999999999997</v>
      </c>
      <c r="BD2861" s="624">
        <v>42261</v>
      </c>
      <c r="BE2861" s="355">
        <v>8.4540000000000004E-2</v>
      </c>
      <c r="BH2861" s="624">
        <v>42261</v>
      </c>
      <c r="BI2861" s="355">
        <v>6.9788000000000003E-2</v>
      </c>
      <c r="BJ2861" s="624">
        <v>42258</v>
      </c>
      <c r="BK2861" s="355">
        <v>2.7751000000000001E-2</v>
      </c>
    </row>
    <row r="2862" spans="3:63" x14ac:dyDescent="0.15">
      <c r="C2862" s="624"/>
      <c r="D2862" s="355">
        <v>1.528E-2</v>
      </c>
      <c r="AX2862" s="624">
        <v>42265</v>
      </c>
      <c r="AY2862" s="355">
        <v>1.504E-2</v>
      </c>
      <c r="BB2862" s="624">
        <v>42262</v>
      </c>
      <c r="BC2862" s="355">
        <v>0.26819999999999999</v>
      </c>
      <c r="BD2862" s="624">
        <v>42262</v>
      </c>
      <c r="BE2862" s="355">
        <v>8.4809999999999997E-2</v>
      </c>
      <c r="BH2862" s="624">
        <v>42262</v>
      </c>
      <c r="BI2862" s="355">
        <v>6.9432999999999995E-2</v>
      </c>
      <c r="BJ2862" s="624">
        <v>42261</v>
      </c>
      <c r="BK2862" s="355">
        <v>2.7758999999999999E-2</v>
      </c>
    </row>
    <row r="2863" spans="3:63" x14ac:dyDescent="0.15">
      <c r="C2863" s="624"/>
      <c r="D2863" s="355">
        <v>1.504E-2</v>
      </c>
      <c r="AX2863" s="624">
        <v>42268</v>
      </c>
      <c r="AY2863" s="355">
        <v>1.508E-2</v>
      </c>
      <c r="BB2863" s="624">
        <v>42263</v>
      </c>
      <c r="BC2863" s="355">
        <v>0.26840000000000003</v>
      </c>
      <c r="BD2863" s="624">
        <v>42263</v>
      </c>
      <c r="BE2863" s="355">
        <v>8.548E-2</v>
      </c>
      <c r="BH2863" s="624">
        <v>42263</v>
      </c>
      <c r="BI2863" s="355">
        <v>6.9492999999999999E-2</v>
      </c>
      <c r="BJ2863" s="624">
        <v>42262</v>
      </c>
      <c r="BK2863" s="355">
        <v>2.7837000000000001E-2</v>
      </c>
    </row>
    <row r="2864" spans="3:63" x14ac:dyDescent="0.15">
      <c r="C2864" s="624"/>
      <c r="D2864" s="355">
        <v>1.508E-2</v>
      </c>
      <c r="AX2864" s="624">
        <v>42269</v>
      </c>
      <c r="AY2864" s="355">
        <v>1.515E-2</v>
      </c>
      <c r="BB2864" s="624">
        <v>42264</v>
      </c>
      <c r="BC2864" s="355">
        <v>0.27179999999999999</v>
      </c>
      <c r="BD2864" s="624">
        <v>42264</v>
      </c>
      <c r="BE2864" s="355">
        <v>8.5669999999999996E-2</v>
      </c>
      <c r="BH2864" s="624">
        <v>42264</v>
      </c>
      <c r="BI2864" s="355">
        <v>6.9513000000000005E-2</v>
      </c>
      <c r="BJ2864" s="624">
        <v>42263</v>
      </c>
      <c r="BK2864" s="355">
        <v>2.7882000000000001E-2</v>
      </c>
    </row>
    <row r="2865" spans="3:63" x14ac:dyDescent="0.15">
      <c r="C2865" s="624"/>
      <c r="D2865" s="355">
        <v>1.515E-2</v>
      </c>
      <c r="AX2865" s="624">
        <v>42270</v>
      </c>
      <c r="AY2865" s="355">
        <v>1.508E-2</v>
      </c>
      <c r="BB2865" s="624">
        <v>42265</v>
      </c>
      <c r="BC2865" s="355">
        <v>0.26889999999999997</v>
      </c>
      <c r="BD2865" s="624">
        <v>42265</v>
      </c>
      <c r="BE2865" s="355">
        <v>8.5290000000000005E-2</v>
      </c>
      <c r="BH2865" s="624">
        <v>42265</v>
      </c>
      <c r="BI2865" s="355">
        <v>6.9457000000000005E-2</v>
      </c>
      <c r="BJ2865" s="624">
        <v>42264</v>
      </c>
      <c r="BK2865" s="355">
        <v>2.7897999999999999E-2</v>
      </c>
    </row>
    <row r="2866" spans="3:63" x14ac:dyDescent="0.15">
      <c r="C2866" s="624"/>
      <c r="D2866" s="355">
        <v>1.508E-2</v>
      </c>
      <c r="AX2866" s="624">
        <v>42271</v>
      </c>
      <c r="AY2866" s="355">
        <v>1.5129999999999999E-2</v>
      </c>
      <c r="BB2866" s="624">
        <v>42268</v>
      </c>
      <c r="BC2866" s="355">
        <v>0.26729999999999998</v>
      </c>
      <c r="BD2866" s="624">
        <v>42268</v>
      </c>
      <c r="BE2866" s="355">
        <v>8.4860000000000005E-2</v>
      </c>
      <c r="BH2866" s="624">
        <v>42268</v>
      </c>
      <c r="BI2866" s="355">
        <v>6.9042999999999993E-2</v>
      </c>
      <c r="BJ2866" s="624">
        <v>42265</v>
      </c>
      <c r="BK2866" s="355">
        <v>2.8042999999999998E-2</v>
      </c>
    </row>
    <row r="2867" spans="3:63" x14ac:dyDescent="0.15">
      <c r="C2867" s="624"/>
      <c r="D2867" s="355">
        <v>1.5129999999999999E-2</v>
      </c>
      <c r="AX2867" s="624">
        <v>42272</v>
      </c>
      <c r="AY2867" s="355">
        <v>1.5270000000000001E-2</v>
      </c>
      <c r="BB2867" s="624">
        <v>42269</v>
      </c>
      <c r="BC2867" s="355">
        <v>0.26450000000000001</v>
      </c>
      <c r="BD2867" s="624">
        <v>42269</v>
      </c>
      <c r="BE2867" s="355">
        <v>8.4360000000000004E-2</v>
      </c>
      <c r="BH2867" s="624">
        <v>42269</v>
      </c>
      <c r="BI2867" s="355">
        <v>6.8210000000000007E-2</v>
      </c>
      <c r="BJ2867" s="624">
        <v>42268</v>
      </c>
      <c r="BK2867" s="355">
        <v>2.7925999999999999E-2</v>
      </c>
    </row>
    <row r="2868" spans="3:63" x14ac:dyDescent="0.15">
      <c r="C2868" s="624"/>
      <c r="D2868" s="355">
        <v>1.5270000000000001E-2</v>
      </c>
      <c r="AX2868" s="624">
        <v>42275</v>
      </c>
      <c r="AY2868" s="355">
        <v>1.5049999999999999E-2</v>
      </c>
      <c r="BB2868" s="624">
        <v>42270</v>
      </c>
      <c r="BC2868" s="355">
        <v>0.26490000000000002</v>
      </c>
      <c r="BD2868" s="624">
        <v>42270</v>
      </c>
      <c r="BE2868" s="355">
        <v>8.3690000000000001E-2</v>
      </c>
      <c r="BH2868" s="624">
        <v>42270</v>
      </c>
      <c r="BI2868" s="355">
        <v>6.812E-2</v>
      </c>
      <c r="BJ2868" s="624">
        <v>42269</v>
      </c>
      <c r="BK2868" s="355">
        <v>2.7727999999999999E-2</v>
      </c>
    </row>
    <row r="2869" spans="3:63" x14ac:dyDescent="0.15">
      <c r="C2869" s="624"/>
      <c r="D2869" s="355">
        <v>1.5049999999999999E-2</v>
      </c>
      <c r="AX2869" s="624">
        <v>42276</v>
      </c>
      <c r="AY2869" s="355">
        <v>1.52E-2</v>
      </c>
      <c r="BB2869" s="624">
        <v>42271</v>
      </c>
      <c r="BC2869" s="355">
        <v>0.2661</v>
      </c>
      <c r="BD2869" s="624">
        <v>42271</v>
      </c>
      <c r="BE2869" s="355">
        <v>8.3979999999999999E-2</v>
      </c>
      <c r="BH2869" s="624">
        <v>42271</v>
      </c>
      <c r="BI2869" s="355">
        <v>6.7866999999999997E-2</v>
      </c>
      <c r="BJ2869" s="624">
        <v>42270</v>
      </c>
      <c r="BK2869" s="355">
        <v>2.7573E-2</v>
      </c>
    </row>
    <row r="2870" spans="3:63" x14ac:dyDescent="0.15">
      <c r="C2870" s="624"/>
      <c r="D2870" s="355">
        <v>1.52E-2</v>
      </c>
      <c r="AX2870" s="624">
        <v>42277</v>
      </c>
      <c r="AY2870" s="355">
        <v>1.529E-2</v>
      </c>
      <c r="BB2870" s="624">
        <v>42272</v>
      </c>
      <c r="BC2870" s="355">
        <v>0.26500000000000001</v>
      </c>
      <c r="BD2870" s="624">
        <v>42272</v>
      </c>
      <c r="BE2870" s="355">
        <v>8.3830000000000002E-2</v>
      </c>
      <c r="BH2870" s="624">
        <v>42272</v>
      </c>
      <c r="BI2870" s="355">
        <v>6.8288000000000001E-2</v>
      </c>
      <c r="BJ2870" s="624">
        <v>42271</v>
      </c>
      <c r="BK2870" s="355">
        <v>2.7569E-2</v>
      </c>
    </row>
    <row r="2871" spans="3:63" x14ac:dyDescent="0.15">
      <c r="C2871" s="624"/>
      <c r="D2871" s="355">
        <v>1.529E-2</v>
      </c>
      <c r="AX2871" s="624">
        <v>42278</v>
      </c>
      <c r="AY2871" s="355">
        <v>1.5219999999999999E-2</v>
      </c>
      <c r="BB2871" s="624">
        <v>42275</v>
      </c>
      <c r="BC2871" s="355">
        <v>0.26500000000000001</v>
      </c>
      <c r="BD2871" s="624">
        <v>42275</v>
      </c>
      <c r="BE2871" s="355">
        <v>8.3610000000000004E-2</v>
      </c>
      <c r="BH2871" s="624">
        <v>42275</v>
      </c>
      <c r="BI2871" s="355">
        <v>6.7835999999999994E-2</v>
      </c>
      <c r="BJ2871" s="624">
        <v>42272</v>
      </c>
      <c r="BK2871" s="355">
        <v>2.7636999999999998E-2</v>
      </c>
    </row>
    <row r="2872" spans="3:63" x14ac:dyDescent="0.15">
      <c r="C2872" s="624"/>
      <c r="D2872" s="355">
        <v>1.5219999999999999E-2</v>
      </c>
      <c r="AX2872" s="624">
        <v>42279</v>
      </c>
      <c r="AY2872" s="355">
        <v>1.5129999999999999E-2</v>
      </c>
      <c r="BB2872" s="624">
        <v>42276</v>
      </c>
      <c r="BC2872" s="355">
        <v>0.2656</v>
      </c>
      <c r="BD2872" s="624">
        <v>42276</v>
      </c>
      <c r="BE2872" s="355">
        <v>8.3610000000000004E-2</v>
      </c>
      <c r="BH2872" s="624">
        <v>42276</v>
      </c>
      <c r="BI2872" s="355">
        <v>6.812E-2</v>
      </c>
      <c r="BJ2872" s="624">
        <v>42275</v>
      </c>
      <c r="BK2872" s="355">
        <v>2.7466999999999998E-2</v>
      </c>
    </row>
    <row r="2873" spans="3:63" x14ac:dyDescent="0.15">
      <c r="C2873" s="624"/>
      <c r="D2873" s="355">
        <v>1.5129999999999999E-2</v>
      </c>
      <c r="AX2873" s="624">
        <v>42282</v>
      </c>
      <c r="AY2873" s="355">
        <v>1.546E-2</v>
      </c>
      <c r="BB2873" s="624">
        <v>42277</v>
      </c>
      <c r="BC2873" s="355">
        <v>0.26319999999999999</v>
      </c>
      <c r="BD2873" s="624">
        <v>42277</v>
      </c>
      <c r="BE2873" s="355">
        <v>8.4370000000000001E-2</v>
      </c>
      <c r="BH2873" s="624">
        <v>42277</v>
      </c>
      <c r="BI2873" s="355">
        <v>6.8481E-2</v>
      </c>
      <c r="BJ2873" s="624">
        <v>42276</v>
      </c>
      <c r="BK2873" s="355">
        <v>2.7449999999999999E-2</v>
      </c>
    </row>
    <row r="2874" spans="3:63" x14ac:dyDescent="0.15">
      <c r="C2874" s="624"/>
      <c r="D2874" s="355">
        <v>1.546E-2</v>
      </c>
      <c r="AX2874" s="624">
        <v>42283</v>
      </c>
      <c r="AY2874" s="355">
        <v>1.576E-2</v>
      </c>
      <c r="BB2874" s="624">
        <v>42278</v>
      </c>
      <c r="BC2874" s="355">
        <v>0.26340000000000002</v>
      </c>
      <c r="BD2874" s="624">
        <v>42278</v>
      </c>
      <c r="BE2874" s="355">
        <v>8.4830000000000003E-2</v>
      </c>
      <c r="BH2874" s="624">
        <v>42278</v>
      </c>
      <c r="BI2874" s="355">
        <v>6.7863999999999994E-2</v>
      </c>
      <c r="BJ2874" s="624">
        <v>42277</v>
      </c>
      <c r="BK2874" s="355">
        <v>2.7491000000000002E-2</v>
      </c>
    </row>
    <row r="2875" spans="3:63" x14ac:dyDescent="0.15">
      <c r="C2875" s="624"/>
      <c r="D2875" s="355">
        <v>1.576E-2</v>
      </c>
      <c r="AX2875" s="624">
        <v>42284</v>
      </c>
      <c r="AY2875" s="355">
        <v>1.5970000000000002E-2</v>
      </c>
      <c r="BB2875" s="624">
        <v>42279</v>
      </c>
      <c r="BC2875" s="355">
        <v>0.26400000000000001</v>
      </c>
      <c r="BD2875" s="624">
        <v>42279</v>
      </c>
      <c r="BE2875" s="355">
        <v>8.5239999999999996E-2</v>
      </c>
      <c r="BH2875" s="624">
        <v>42279</v>
      </c>
      <c r="BI2875" s="355">
        <v>6.8307000000000007E-2</v>
      </c>
      <c r="BJ2875" s="624">
        <v>42278</v>
      </c>
      <c r="BK2875" s="355">
        <v>2.7394000000000002E-2</v>
      </c>
    </row>
    <row r="2876" spans="3:63" x14ac:dyDescent="0.15">
      <c r="C2876" s="624"/>
      <c r="D2876" s="355">
        <v>1.5970000000000002E-2</v>
      </c>
      <c r="AX2876" s="624">
        <v>42285</v>
      </c>
      <c r="AY2876" s="355">
        <v>1.6279999999999999E-2</v>
      </c>
      <c r="BB2876" s="624">
        <v>42282</v>
      </c>
      <c r="BC2876" s="355">
        <v>0.26369999999999999</v>
      </c>
      <c r="BD2876" s="624">
        <v>42282</v>
      </c>
      <c r="BE2876" s="355">
        <v>8.6080000000000004E-2</v>
      </c>
      <c r="BH2876" s="624">
        <v>42282</v>
      </c>
      <c r="BI2876" s="355">
        <v>6.9179000000000004E-2</v>
      </c>
      <c r="BJ2876" s="624">
        <v>42279</v>
      </c>
      <c r="BK2876" s="355">
        <v>2.7465E-2</v>
      </c>
    </row>
    <row r="2877" spans="3:63" x14ac:dyDescent="0.15">
      <c r="C2877" s="624"/>
      <c r="D2877" s="355">
        <v>1.6279999999999999E-2</v>
      </c>
      <c r="AX2877" s="624">
        <v>42286</v>
      </c>
      <c r="AY2877" s="355">
        <v>1.618E-2</v>
      </c>
      <c r="BB2877" s="624">
        <v>42283</v>
      </c>
      <c r="BC2877" s="355">
        <v>0.26590000000000003</v>
      </c>
      <c r="BD2877" s="624">
        <v>42283</v>
      </c>
      <c r="BE2877" s="355">
        <v>8.6099999999999996E-2</v>
      </c>
      <c r="BH2877" s="624">
        <v>42283</v>
      </c>
      <c r="BI2877" s="355">
        <v>7.0571999999999996E-2</v>
      </c>
      <c r="BJ2877" s="624">
        <v>42282</v>
      </c>
      <c r="BK2877" s="355">
        <v>2.7556000000000001E-2</v>
      </c>
    </row>
    <row r="2878" spans="3:63" x14ac:dyDescent="0.15">
      <c r="C2878" s="624"/>
      <c r="D2878" s="355">
        <v>1.618E-2</v>
      </c>
      <c r="AX2878" s="624">
        <v>42289</v>
      </c>
      <c r="AY2878" s="355">
        <v>1.6060000000000001E-2</v>
      </c>
      <c r="BB2878" s="624">
        <v>42284</v>
      </c>
      <c r="BC2878" s="355">
        <v>0.26529999999999998</v>
      </c>
      <c r="BD2878" s="624">
        <v>42284</v>
      </c>
      <c r="BE2878" s="355">
        <v>8.6300000000000002E-2</v>
      </c>
      <c r="BH2878" s="624">
        <v>42284</v>
      </c>
      <c r="BI2878" s="355">
        <v>7.1831000000000006E-2</v>
      </c>
      <c r="BJ2878" s="624">
        <v>42283</v>
      </c>
      <c r="BK2878" s="355">
        <v>2.7595999999999999E-2</v>
      </c>
    </row>
    <row r="2879" spans="3:63" x14ac:dyDescent="0.15">
      <c r="C2879" s="624"/>
      <c r="D2879" s="355">
        <v>1.6060000000000001E-2</v>
      </c>
      <c r="AX2879" s="624">
        <v>42290</v>
      </c>
      <c r="AY2879" s="355">
        <v>1.5859999999999999E-2</v>
      </c>
      <c r="BB2879" s="624">
        <v>42285</v>
      </c>
      <c r="BC2879" s="355">
        <v>0.26700000000000002</v>
      </c>
      <c r="BD2879" s="624">
        <v>42285</v>
      </c>
      <c r="BE2879" s="355">
        <v>8.6739999999999998E-2</v>
      </c>
      <c r="BH2879" s="624">
        <v>42285</v>
      </c>
      <c r="BI2879" s="355">
        <v>7.3856000000000005E-2</v>
      </c>
      <c r="BJ2879" s="624">
        <v>42284</v>
      </c>
      <c r="BK2879" s="355">
        <v>2.7855999999999999E-2</v>
      </c>
    </row>
    <row r="2880" spans="3:63" x14ac:dyDescent="0.15">
      <c r="C2880" s="624"/>
      <c r="D2880" s="355">
        <v>1.5859999999999999E-2</v>
      </c>
      <c r="AX2880" s="624">
        <v>42291</v>
      </c>
      <c r="AY2880" s="355">
        <v>1.5970000000000002E-2</v>
      </c>
      <c r="BB2880" s="624">
        <v>42286</v>
      </c>
      <c r="BC2880" s="355">
        <v>0.26900000000000002</v>
      </c>
      <c r="BD2880" s="624">
        <v>42286</v>
      </c>
      <c r="BE2880" s="355">
        <v>8.7099999999999997E-2</v>
      </c>
      <c r="BH2880" s="624">
        <v>42286</v>
      </c>
      <c r="BI2880" s="355">
        <v>7.4311000000000002E-2</v>
      </c>
      <c r="BJ2880" s="624">
        <v>42285</v>
      </c>
      <c r="BK2880" s="355">
        <v>2.7949999999999999E-2</v>
      </c>
    </row>
    <row r="2881" spans="3:63" x14ac:dyDescent="0.15">
      <c r="C2881" s="624"/>
      <c r="D2881" s="355">
        <v>1.5970000000000002E-2</v>
      </c>
      <c r="AX2881" s="624">
        <v>42292</v>
      </c>
      <c r="AY2881" s="355">
        <v>1.6279999999999999E-2</v>
      </c>
      <c r="BB2881" s="624">
        <v>42289</v>
      </c>
      <c r="BC2881" s="355">
        <v>0.26879999999999998</v>
      </c>
      <c r="BD2881" s="624">
        <v>42289</v>
      </c>
      <c r="BE2881" s="355">
        <v>8.7400000000000005E-2</v>
      </c>
      <c r="BH2881" s="624">
        <v>42289</v>
      </c>
      <c r="BI2881" s="355">
        <v>7.3982000000000006E-2</v>
      </c>
      <c r="BJ2881" s="624">
        <v>42286</v>
      </c>
      <c r="BK2881" s="355">
        <v>2.8149E-2</v>
      </c>
    </row>
    <row r="2882" spans="3:63" x14ac:dyDescent="0.15">
      <c r="C2882" s="624"/>
      <c r="D2882" s="355">
        <v>1.6279999999999999E-2</v>
      </c>
      <c r="AX2882" s="624">
        <v>42293</v>
      </c>
      <c r="AY2882" s="355">
        <v>1.6320000000000001E-2</v>
      </c>
      <c r="BB2882" s="624">
        <v>42290</v>
      </c>
      <c r="BC2882" s="355">
        <v>0.26889999999999997</v>
      </c>
      <c r="BD2882" s="624">
        <v>42290</v>
      </c>
      <c r="BE2882" s="355">
        <v>8.6940000000000003E-2</v>
      </c>
      <c r="BH2882" s="624">
        <v>42290</v>
      </c>
      <c r="BI2882" s="355">
        <v>7.3260000000000006E-2</v>
      </c>
      <c r="BJ2882" s="624">
        <v>42289</v>
      </c>
      <c r="BK2882" s="355">
        <v>2.8278999999999999E-2</v>
      </c>
    </row>
    <row r="2883" spans="3:63" x14ac:dyDescent="0.15">
      <c r="C2883" s="624"/>
      <c r="D2883" s="355">
        <v>1.6320000000000001E-2</v>
      </c>
      <c r="AX2883" s="624">
        <v>42296</v>
      </c>
      <c r="AY2883" s="355">
        <v>1.6039999999999999E-2</v>
      </c>
      <c r="BB2883" s="624">
        <v>42291</v>
      </c>
      <c r="BC2883" s="355">
        <v>0.2712</v>
      </c>
      <c r="BD2883" s="624">
        <v>42291</v>
      </c>
      <c r="BE2883" s="355">
        <v>8.7940000000000004E-2</v>
      </c>
      <c r="BH2883" s="624">
        <v>42291</v>
      </c>
      <c r="BI2883" s="355">
        <v>7.4299000000000004E-2</v>
      </c>
      <c r="BJ2883" s="624">
        <v>42290</v>
      </c>
      <c r="BK2883" s="355">
        <v>2.8045E-2</v>
      </c>
    </row>
    <row r="2884" spans="3:63" x14ac:dyDescent="0.15">
      <c r="C2884" s="624"/>
      <c r="D2884" s="355">
        <v>1.6049999999999998E-2</v>
      </c>
      <c r="BB2884" s="624">
        <v>42292</v>
      </c>
      <c r="BC2884" s="355">
        <v>0.26889999999999997</v>
      </c>
      <c r="BD2884" s="624">
        <v>42292</v>
      </c>
      <c r="BE2884" s="355">
        <v>8.9039999999999994E-2</v>
      </c>
      <c r="BH2884" s="624">
        <v>42292</v>
      </c>
      <c r="BI2884" s="355">
        <v>7.4066999999999994E-2</v>
      </c>
      <c r="BJ2884" s="624">
        <v>42291</v>
      </c>
      <c r="BK2884" s="355">
        <v>2.8273E-2</v>
      </c>
    </row>
    <row r="2885" spans="3:63" x14ac:dyDescent="0.15">
      <c r="BB2885" s="624">
        <v>42293</v>
      </c>
      <c r="BC2885" s="355">
        <v>0.26790000000000003</v>
      </c>
      <c r="BD2885" s="624">
        <v>42293</v>
      </c>
      <c r="BE2885" s="355">
        <v>8.8450000000000001E-2</v>
      </c>
      <c r="BH2885" s="624">
        <v>42293</v>
      </c>
      <c r="BI2885" s="355">
        <v>7.4056999999999998E-2</v>
      </c>
      <c r="BJ2885" s="624">
        <v>42292</v>
      </c>
      <c r="BK2885" s="355">
        <v>2.8424000000000001E-2</v>
      </c>
    </row>
    <row r="2886" spans="3:63" x14ac:dyDescent="0.15">
      <c r="BB2886" s="624">
        <v>42296</v>
      </c>
      <c r="BC2886" s="355">
        <v>0.26669999999999999</v>
      </c>
      <c r="BD2886" s="624">
        <v>42296</v>
      </c>
      <c r="BE2886" s="355">
        <v>8.8239999999999999E-2</v>
      </c>
      <c r="BH2886" s="624">
        <v>42296</v>
      </c>
      <c r="BI2886" s="355">
        <v>7.2648000000000004E-2</v>
      </c>
      <c r="BJ2886" s="624">
        <v>42293</v>
      </c>
      <c r="BK2886" s="355">
        <v>2.8361000000000001E-2</v>
      </c>
    </row>
    <row r="2887" spans="3:63" x14ac:dyDescent="0.15">
      <c r="BJ2887" s="624">
        <v>42296</v>
      </c>
      <c r="BK2887" s="355">
        <v>2.8173E-2</v>
      </c>
    </row>
  </sheetData>
  <mergeCells count="1">
    <mergeCell ref="C7:C8"/>
  </mergeCells>
  <conditionalFormatting sqref="A7:A8 C7 B8 AZ47 AU60:AU63 AZ60 BE60 BE47 D8:CD8 BK45:CD46 BE63 BK61:CD62 AZ63 BJ64 BJ63:CD63 BJ47:CD47 BJ60:CD60">
    <cfRule type="expression" dxfId="289" priority="290" stopIfTrue="1">
      <formula>ISERROR(A7)</formula>
    </cfRule>
  </conditionalFormatting>
  <conditionalFormatting sqref="AZ10">
    <cfRule type="expression" dxfId="288" priority="289" stopIfTrue="1">
      <formula>ISERROR(AZ10)</formula>
    </cfRule>
  </conditionalFormatting>
  <conditionalFormatting sqref="AW10:AX10">
    <cfRule type="expression" dxfId="287" priority="288" stopIfTrue="1">
      <formula>ISERROR(AW10)</formula>
    </cfRule>
  </conditionalFormatting>
  <conditionalFormatting sqref="BK58:CD59">
    <cfRule type="expression" dxfId="286" priority="212" stopIfTrue="1">
      <formula>ISERROR(BK58)</formula>
    </cfRule>
  </conditionalFormatting>
  <conditionalFormatting sqref="AV10">
    <cfRule type="expression" dxfId="285" priority="287" stopIfTrue="1">
      <formula>ISERROR(AV10)</formula>
    </cfRule>
  </conditionalFormatting>
  <conditionalFormatting sqref="AY10">
    <cfRule type="expression" dxfId="284" priority="286" stopIfTrue="1">
      <formula>ISERROR(AY10)</formula>
    </cfRule>
  </conditionalFormatting>
  <conditionalFormatting sqref="AU10:AU15">
    <cfRule type="expression" dxfId="283" priority="285" stopIfTrue="1">
      <formula>ISERROR(AU10)</formula>
    </cfRule>
  </conditionalFormatting>
  <conditionalFormatting sqref="AZ11">
    <cfRule type="expression" dxfId="282" priority="284" stopIfTrue="1">
      <formula>ISERROR(AZ11)</formula>
    </cfRule>
  </conditionalFormatting>
  <conditionalFormatting sqref="BB10:BC10">
    <cfRule type="expression" dxfId="281" priority="211" stopIfTrue="1">
      <formula>ISERROR(BB10)</formula>
    </cfRule>
  </conditionalFormatting>
  <conditionalFormatting sqref="BA10">
    <cfRule type="expression" dxfId="280" priority="210" stopIfTrue="1">
      <formula>ISERROR(BA10)</formula>
    </cfRule>
  </conditionalFormatting>
  <conditionalFormatting sqref="AU30:AU31">
    <cfRule type="expression" dxfId="279" priority="282" stopIfTrue="1">
      <formula>ISERROR(AU30)</formula>
    </cfRule>
  </conditionalFormatting>
  <conditionalFormatting sqref="AZ40 BF40:BI40">
    <cfRule type="expression" dxfId="278" priority="274" stopIfTrue="1">
      <formula>ISERROR(AZ40)</formula>
    </cfRule>
  </conditionalFormatting>
  <conditionalFormatting sqref="AZ12 BF12:BI12 AZ14:AZ15 BF15:BI15">
    <cfRule type="expression" dxfId="277" priority="283" stopIfTrue="1">
      <formula>ISERROR(AZ12)</formula>
    </cfRule>
  </conditionalFormatting>
  <conditionalFormatting sqref="AW13:AX13">
    <cfRule type="expression" dxfId="276" priority="206" stopIfTrue="1">
      <formula>ISERROR(AW13)</formula>
    </cfRule>
  </conditionalFormatting>
  <conditionalFormatting sqref="AZ31">
    <cfRule type="expression" dxfId="275" priority="281" stopIfTrue="1">
      <formula>ISERROR(AZ31)</formula>
    </cfRule>
  </conditionalFormatting>
  <conditionalFormatting sqref="AV13">
    <cfRule type="expression" dxfId="274" priority="205" stopIfTrue="1">
      <formula>ISERROR(AV13)</formula>
    </cfRule>
  </conditionalFormatting>
  <conditionalFormatting sqref="AY13">
    <cfRule type="expression" dxfId="273" priority="204" stopIfTrue="1">
      <formula>ISERROR(AY13)</formula>
    </cfRule>
  </conditionalFormatting>
  <conditionalFormatting sqref="BB13:BC13">
    <cfRule type="expression" dxfId="272" priority="203" stopIfTrue="1">
      <formula>ISERROR(BB13)</formula>
    </cfRule>
  </conditionalFormatting>
  <conditionalFormatting sqref="BD10">
    <cfRule type="expression" dxfId="271" priority="209" stopIfTrue="1">
      <formula>ISERROR(BD10)</formula>
    </cfRule>
  </conditionalFormatting>
  <conditionalFormatting sqref="BE10">
    <cfRule type="expression" dxfId="270" priority="208" stopIfTrue="1">
      <formula>ISERROR(BE10)</formula>
    </cfRule>
  </conditionalFormatting>
  <conditionalFormatting sqref="BE13">
    <cfRule type="expression" dxfId="269" priority="199" stopIfTrue="1">
      <formula>ISERROR(BE13)</formula>
    </cfRule>
  </conditionalFormatting>
  <conditionalFormatting sqref="BB16:BC16">
    <cfRule type="expression" dxfId="268" priority="192" stopIfTrue="1">
      <formula>ISERROR(BB16)</formula>
    </cfRule>
  </conditionalFormatting>
  <conditionalFormatting sqref="AZ37 AZ34">
    <cfRule type="expression" dxfId="267" priority="280" stopIfTrue="1">
      <formula>ISERROR(AZ34)</formula>
    </cfRule>
  </conditionalFormatting>
  <conditionalFormatting sqref="BJ13">
    <cfRule type="expression" dxfId="266" priority="197" stopIfTrue="1">
      <formula>ISERROR(BJ13)</formula>
    </cfRule>
  </conditionalFormatting>
  <conditionalFormatting sqref="AZ13">
    <cfRule type="expression" dxfId="265" priority="200" stopIfTrue="1">
      <formula>ISERROR(AZ13)</formula>
    </cfRule>
  </conditionalFormatting>
  <conditionalFormatting sqref="AW16:AX16">
    <cfRule type="expression" dxfId="264" priority="195" stopIfTrue="1">
      <formula>ISERROR(AW16)</formula>
    </cfRule>
  </conditionalFormatting>
  <conditionalFormatting sqref="AV16">
    <cfRule type="expression" dxfId="263" priority="194" stopIfTrue="1">
      <formula>ISERROR(AV16)</formula>
    </cfRule>
  </conditionalFormatting>
  <conditionalFormatting sqref="BD16">
    <cfRule type="expression" dxfId="262" priority="190" stopIfTrue="1">
      <formula>ISERROR(BD16)</formula>
    </cfRule>
  </conditionalFormatting>
  <conditionalFormatting sqref="AY16">
    <cfRule type="expression" dxfId="261" priority="193" stopIfTrue="1">
      <formula>ISERROR(AY16)</formula>
    </cfRule>
  </conditionalFormatting>
  <conditionalFormatting sqref="AZ17">
    <cfRule type="expression" dxfId="260" priority="279" stopIfTrue="1">
      <formula>ISERROR(AZ17)</formula>
    </cfRule>
  </conditionalFormatting>
  <conditionalFormatting sqref="BJ16">
    <cfRule type="expression" dxfId="259" priority="187" stopIfTrue="1">
      <formula>ISERROR(BJ16)</formula>
    </cfRule>
  </conditionalFormatting>
  <conditionalFormatting sqref="AZ38">
    <cfRule type="expression" dxfId="258" priority="277" stopIfTrue="1">
      <formula>ISERROR(AZ38)</formula>
    </cfRule>
  </conditionalFormatting>
  <conditionalFormatting sqref="AV19">
    <cfRule type="expression" dxfId="257" priority="186" stopIfTrue="1">
      <formula>ISERROR(AV19)</formula>
    </cfRule>
  </conditionalFormatting>
  <conditionalFormatting sqref="BE31">
    <cfRule type="expression" dxfId="256" priority="270" stopIfTrue="1">
      <formula>ISERROR(BE31)</formula>
    </cfRule>
  </conditionalFormatting>
  <conditionalFormatting sqref="BE37 BE34">
    <cfRule type="expression" dxfId="255" priority="269" stopIfTrue="1">
      <formula>ISERROR(BE34)</formula>
    </cfRule>
  </conditionalFormatting>
  <conditionalFormatting sqref="AX19">
    <cfRule type="expression" dxfId="254" priority="183" stopIfTrue="1">
      <formula>ISERROR(AX19)</formula>
    </cfRule>
  </conditionalFormatting>
  <conditionalFormatting sqref="BF18:BI18 AZ18">
    <cfRule type="expression" dxfId="253" priority="278" stopIfTrue="1">
      <formula>ISERROR(AZ18)</formula>
    </cfRule>
  </conditionalFormatting>
  <conditionalFormatting sqref="BD19">
    <cfRule type="expression" dxfId="252" priority="178" stopIfTrue="1">
      <formula>ISERROR(BD19)</formula>
    </cfRule>
  </conditionalFormatting>
  <conditionalFormatting sqref="AZ20:AZ21 BF21:BI21 AZ23">
    <cfRule type="expression" dxfId="251" priority="276" stopIfTrue="1">
      <formula>ISERROR(AZ20)</formula>
    </cfRule>
  </conditionalFormatting>
  <conditionalFormatting sqref="AZ39 BF39:BI39">
    <cfRule type="expression" dxfId="250" priority="275" stopIfTrue="1">
      <formula>ISERROR(AZ39)</formula>
    </cfRule>
  </conditionalFormatting>
  <conditionalFormatting sqref="AV22">
    <cfRule type="expression" dxfId="249" priority="185" stopIfTrue="1">
      <formula>ISERROR(AV22)</formula>
    </cfRule>
  </conditionalFormatting>
  <conditionalFormatting sqref="BD13">
    <cfRule type="expression" dxfId="248" priority="201" stopIfTrue="1">
      <formula>ISERROR(BD13)</formula>
    </cfRule>
  </conditionalFormatting>
  <conditionalFormatting sqref="AW19">
    <cfRule type="expression" dxfId="247" priority="184" stopIfTrue="1">
      <formula>ISERROR(AW19)</formula>
    </cfRule>
  </conditionalFormatting>
  <conditionalFormatting sqref="AZ50">
    <cfRule type="expression" dxfId="246" priority="273" stopIfTrue="1">
      <formula>ISERROR(AZ50)</formula>
    </cfRule>
  </conditionalFormatting>
  <conditionalFormatting sqref="BK16:CD16">
    <cfRule type="expression" dxfId="245" priority="256" stopIfTrue="1">
      <formula>ISERROR(BK16)</formula>
    </cfRule>
  </conditionalFormatting>
  <conditionalFormatting sqref="BK10:CD10">
    <cfRule type="expression" dxfId="244" priority="262" stopIfTrue="1">
      <formula>ISERROR(BK10)</formula>
    </cfRule>
  </conditionalFormatting>
  <conditionalFormatting sqref="AY19">
    <cfRule type="expression" dxfId="243" priority="182" stopIfTrue="1">
      <formula>ISERROR(AY19)</formula>
    </cfRule>
  </conditionalFormatting>
  <conditionalFormatting sqref="BA19">
    <cfRule type="expression" dxfId="242" priority="181" stopIfTrue="1">
      <formula>ISERROR(BA19)</formula>
    </cfRule>
  </conditionalFormatting>
  <conditionalFormatting sqref="BB19">
    <cfRule type="expression" dxfId="241" priority="180" stopIfTrue="1">
      <formula>ISERROR(BB19)</formula>
    </cfRule>
  </conditionalFormatting>
  <conditionalFormatting sqref="BC19">
    <cfRule type="expression" dxfId="240" priority="179" stopIfTrue="1">
      <formula>ISERROR(BC19)</formula>
    </cfRule>
  </conditionalFormatting>
  <conditionalFormatting sqref="BK11:CD11">
    <cfRule type="expression" dxfId="239" priority="261" stopIfTrue="1">
      <formula>ISERROR(BK11)</formula>
    </cfRule>
  </conditionalFormatting>
  <conditionalFormatting sqref="BJ12:CD12 BJ15:CD15 BK13:CD14">
    <cfRule type="expression" dxfId="238" priority="260" stopIfTrue="1">
      <formula>ISERROR(BJ12)</formula>
    </cfRule>
  </conditionalFormatting>
  <conditionalFormatting sqref="BK29:CD29">
    <cfRule type="expression" dxfId="237" priority="259" stopIfTrue="1">
      <formula>ISERROR(BK29)</formula>
    </cfRule>
  </conditionalFormatting>
  <conditionalFormatting sqref="BK30:CD30">
    <cfRule type="expression" dxfId="236" priority="258" stopIfTrue="1">
      <formula>ISERROR(BK30)</formula>
    </cfRule>
  </conditionalFormatting>
  <conditionalFormatting sqref="BJ31:CD31">
    <cfRule type="expression" dxfId="235" priority="257" stopIfTrue="1">
      <formula>ISERROR(BJ31)</formula>
    </cfRule>
  </conditionalFormatting>
  <conditionalFormatting sqref="BJ37:CD37 BK35:CD36 BJ34:CD34 BK32:CD33">
    <cfRule type="expression" dxfId="234" priority="255" stopIfTrue="1">
      <formula>ISERROR(BJ32)</formula>
    </cfRule>
  </conditionalFormatting>
  <conditionalFormatting sqref="BE19">
    <cfRule type="expression" dxfId="233" priority="177" stopIfTrue="1">
      <formula>ISERROR(BE19)</formula>
    </cfRule>
  </conditionalFormatting>
  <conditionalFormatting sqref="AZ19">
    <cfRule type="expression" dxfId="232" priority="176" stopIfTrue="1">
      <formula>ISERROR(AZ19)</formula>
    </cfRule>
  </conditionalFormatting>
  <conditionalFormatting sqref="BE11">
    <cfRule type="expression" dxfId="231" priority="272" stopIfTrue="1">
      <formula>ISERROR(BE11)</formula>
    </cfRule>
  </conditionalFormatting>
  <conditionalFormatting sqref="BJ19">
    <cfRule type="expression" dxfId="230" priority="175" stopIfTrue="1">
      <formula>ISERROR(BJ19)</formula>
    </cfRule>
  </conditionalFormatting>
  <conditionalFormatting sqref="BE12 BE15">
    <cfRule type="expression" dxfId="229" priority="271" stopIfTrue="1">
      <formula>ISERROR(BE12)</formula>
    </cfRule>
  </conditionalFormatting>
  <conditionalFormatting sqref="CD21:CD23">
    <cfRule type="expression" dxfId="228" priority="242" stopIfTrue="1">
      <formula>ISERROR(CD21)</formula>
    </cfRule>
  </conditionalFormatting>
  <conditionalFormatting sqref="BE40">
    <cfRule type="expression" dxfId="227" priority="264" stopIfTrue="1">
      <formula>ISERROR(BE40)</formula>
    </cfRule>
  </conditionalFormatting>
  <conditionalFormatting sqref="BE20">
    <cfRule type="expression" dxfId="226" priority="174" stopIfTrue="1">
      <formula>ISERROR(BE20)</formula>
    </cfRule>
  </conditionalFormatting>
  <conditionalFormatting sqref="BE18">
    <cfRule type="expression" dxfId="225" priority="268" stopIfTrue="1">
      <formula>ISERROR(BE18)</formula>
    </cfRule>
  </conditionalFormatting>
  <conditionalFormatting sqref="BE38">
    <cfRule type="expression" dxfId="224" priority="267" stopIfTrue="1">
      <formula>ISERROR(BE38)</formula>
    </cfRule>
  </conditionalFormatting>
  <conditionalFormatting sqref="BE21">
    <cfRule type="expression" dxfId="223" priority="266" stopIfTrue="1">
      <formula>ISERROR(BE21)</formula>
    </cfRule>
  </conditionalFormatting>
  <conditionalFormatting sqref="BE39">
    <cfRule type="expression" dxfId="222" priority="265" stopIfTrue="1">
      <formula>ISERROR(BE39)</formula>
    </cfRule>
  </conditionalFormatting>
  <conditionalFormatting sqref="BE50">
    <cfRule type="expression" dxfId="221" priority="263" stopIfTrue="1">
      <formula>ISERROR(BE50)</formula>
    </cfRule>
  </conditionalFormatting>
  <conditionalFormatting sqref="BK17:CD17">
    <cfRule type="expression" dxfId="220" priority="254" stopIfTrue="1">
      <formula>ISERROR(BK17)</formula>
    </cfRule>
  </conditionalFormatting>
  <conditionalFormatting sqref="BJ18:CD18">
    <cfRule type="expression" dxfId="219" priority="253" stopIfTrue="1">
      <formula>ISERROR(BJ18)</formula>
    </cfRule>
  </conditionalFormatting>
  <conditionalFormatting sqref="BJ40:CD40">
    <cfRule type="expression" dxfId="218" priority="248" stopIfTrue="1">
      <formula>ISERROR(BJ40)</formula>
    </cfRule>
  </conditionalFormatting>
  <conditionalFormatting sqref="BK38:CD38">
    <cfRule type="expression" dxfId="217" priority="252" stopIfTrue="1">
      <formula>ISERROR(BK38)</formula>
    </cfRule>
  </conditionalFormatting>
  <conditionalFormatting sqref="BK19:CD19">
    <cfRule type="expression" dxfId="216" priority="251" stopIfTrue="1">
      <formula>ISERROR(BK19)</formula>
    </cfRule>
  </conditionalFormatting>
  <conditionalFormatting sqref="BK20:CD20 BK21:BN23 BP21:BS23 BU21:BX23 BZ21:CC23">
    <cfRule type="expression" dxfId="215" priority="250" stopIfTrue="1">
      <formula>ISERROR(BK20)</formula>
    </cfRule>
  </conditionalFormatting>
  <conditionalFormatting sqref="BJ39:CD39">
    <cfRule type="expression" dxfId="214" priority="249" stopIfTrue="1">
      <formula>ISERROR(BJ39)</formula>
    </cfRule>
  </conditionalFormatting>
  <conditionalFormatting sqref="BJ50:CD50">
    <cfRule type="expression" dxfId="213" priority="247" stopIfTrue="1">
      <formula>ISERROR(BJ50)</formula>
    </cfRule>
  </conditionalFormatting>
  <conditionalFormatting sqref="BJ21">
    <cfRule type="expression" dxfId="212" priority="246" stopIfTrue="1">
      <formula>ISERROR(BJ21)</formula>
    </cfRule>
  </conditionalFormatting>
  <conditionalFormatting sqref="BO21:BO23">
    <cfRule type="expression" dxfId="211" priority="245" stopIfTrue="1">
      <formula>ISERROR(BO21)</formula>
    </cfRule>
  </conditionalFormatting>
  <conditionalFormatting sqref="BT21:BT23">
    <cfRule type="expression" dxfId="210" priority="244" stopIfTrue="1">
      <formula>ISERROR(BT21)</formula>
    </cfRule>
  </conditionalFormatting>
  <conditionalFormatting sqref="BY21:BY23">
    <cfRule type="expression" dxfId="209" priority="243" stopIfTrue="1">
      <formula>ISERROR(BY21)</formula>
    </cfRule>
  </conditionalFormatting>
  <conditionalFormatting sqref="B2:B5">
    <cfRule type="expression" dxfId="208" priority="241" stopIfTrue="1">
      <formula>ISERROR(B2)</formula>
    </cfRule>
  </conditionalFormatting>
  <conditionalFormatting sqref="BE7 B7 D7:AZ7 BJ7:CD7">
    <cfRule type="expression" dxfId="207" priority="240" stopIfTrue="1">
      <formula>ISERROR(B7)</formula>
    </cfRule>
  </conditionalFormatting>
  <conditionalFormatting sqref="BA7:BD7">
    <cfRule type="expression" dxfId="206" priority="239" stopIfTrue="1">
      <formula>ISERROR(BA7)</formula>
    </cfRule>
  </conditionalFormatting>
  <conditionalFormatting sqref="BE49">
    <cfRule type="expression" dxfId="205" priority="232" stopIfTrue="1">
      <formula>ISERROR(BE49)</formula>
    </cfRule>
  </conditionalFormatting>
  <conditionalFormatting sqref="BK42:CD42">
    <cfRule type="expression" dxfId="204" priority="231" stopIfTrue="1">
      <formula>ISERROR(BK42)</formula>
    </cfRule>
  </conditionalFormatting>
  <conditionalFormatting sqref="BK43:CD43">
    <cfRule type="expression" dxfId="203" priority="230" stopIfTrue="1">
      <formula>ISERROR(BK43)</formula>
    </cfRule>
  </conditionalFormatting>
  <conditionalFormatting sqref="BJ44:CD44">
    <cfRule type="expression" dxfId="202" priority="229" stopIfTrue="1">
      <formula>ISERROR(BJ44)</formula>
    </cfRule>
  </conditionalFormatting>
  <conditionalFormatting sqref="BJ49:CD49">
    <cfRule type="expression" dxfId="201" priority="227" stopIfTrue="1">
      <formula>ISERROR(BJ49)</formula>
    </cfRule>
  </conditionalFormatting>
  <conditionalFormatting sqref="BJ48:CD48">
    <cfRule type="expression" dxfId="200" priority="228" stopIfTrue="1">
      <formula>ISERROR(BJ48)</formula>
    </cfRule>
  </conditionalFormatting>
  <conditionalFormatting sqref="AZ44">
    <cfRule type="expression" dxfId="199" priority="237" stopIfTrue="1">
      <formula>ISERROR(AZ44)</formula>
    </cfRule>
  </conditionalFormatting>
  <conditionalFormatting sqref="AU43:AU44">
    <cfRule type="expression" dxfId="198" priority="238" stopIfTrue="1">
      <formula>ISERROR(AU43)</formula>
    </cfRule>
  </conditionalFormatting>
  <conditionalFormatting sqref="AZ48">
    <cfRule type="expression" dxfId="197" priority="236" stopIfTrue="1">
      <formula>ISERROR(AZ48)</formula>
    </cfRule>
  </conditionalFormatting>
  <conditionalFormatting sqref="BE44">
    <cfRule type="expression" dxfId="196" priority="234" stopIfTrue="1">
      <formula>ISERROR(BE44)</formula>
    </cfRule>
  </conditionalFormatting>
  <conditionalFormatting sqref="AZ49">
    <cfRule type="expression" dxfId="195" priority="235" stopIfTrue="1">
      <formula>ISERROR(AZ49)</formula>
    </cfRule>
  </conditionalFormatting>
  <conditionalFormatting sqref="BE48">
    <cfRule type="expression" dxfId="194" priority="233" stopIfTrue="1">
      <formula>ISERROR(BE48)</formula>
    </cfRule>
  </conditionalFormatting>
  <conditionalFormatting sqref="AZ66 BE66 BK64:CD65 BJ66:CD66">
    <cfRule type="expression" dxfId="193" priority="226" stopIfTrue="1">
      <formula>ISERROR(AZ64)</formula>
    </cfRule>
  </conditionalFormatting>
  <conditionalFormatting sqref="BJ61">
    <cfRule type="expression" dxfId="192" priority="138" stopIfTrue="1">
      <formula>ISERROR(BJ61)</formula>
    </cfRule>
  </conditionalFormatting>
  <conditionalFormatting sqref="BE68">
    <cfRule type="expression" dxfId="191" priority="219" stopIfTrue="1">
      <formula>ISERROR(BE68)</formula>
    </cfRule>
  </conditionalFormatting>
  <conditionalFormatting sqref="BK52:CD52">
    <cfRule type="expression" dxfId="190" priority="218" stopIfTrue="1">
      <formula>ISERROR(BK52)</formula>
    </cfRule>
  </conditionalFormatting>
  <conditionalFormatting sqref="BK53:CD53">
    <cfRule type="expression" dxfId="189" priority="217" stopIfTrue="1">
      <formula>ISERROR(BK53)</formula>
    </cfRule>
  </conditionalFormatting>
  <conditionalFormatting sqref="BJ54:CD54 BJ57:CD57 BK55:CD56">
    <cfRule type="expression" dxfId="188" priority="216" stopIfTrue="1">
      <formula>ISERROR(BJ54)</formula>
    </cfRule>
  </conditionalFormatting>
  <conditionalFormatting sqref="BJ68:CD68">
    <cfRule type="expression" dxfId="187" priority="214" stopIfTrue="1">
      <formula>ISERROR(BJ68)</formula>
    </cfRule>
  </conditionalFormatting>
  <conditionalFormatting sqref="BK67:CD67">
    <cfRule type="expression" dxfId="186" priority="215" stopIfTrue="1">
      <formula>ISERROR(BK67)</formula>
    </cfRule>
  </conditionalFormatting>
  <conditionalFormatting sqref="AZ54 AZ57">
    <cfRule type="expression" dxfId="185" priority="224" stopIfTrue="1">
      <formula>ISERROR(AZ54)</formula>
    </cfRule>
  </conditionalFormatting>
  <conditionalFormatting sqref="AU53:AU57">
    <cfRule type="expression" dxfId="184" priority="225" stopIfTrue="1">
      <formula>ISERROR(AU53)</formula>
    </cfRule>
  </conditionalFormatting>
  <conditionalFormatting sqref="AZ67">
    <cfRule type="expression" dxfId="183" priority="223" stopIfTrue="1">
      <formula>ISERROR(AZ67)</formula>
    </cfRule>
  </conditionalFormatting>
  <conditionalFormatting sqref="AZ68 BF68:BI68">
    <cfRule type="expression" dxfId="182" priority="222" stopIfTrue="1">
      <formula>ISERROR(AZ68)</formula>
    </cfRule>
  </conditionalFormatting>
  <conditionalFormatting sqref="BE23">
    <cfRule type="expression" dxfId="181" priority="163" stopIfTrue="1">
      <formula>ISERROR(BE23)</formula>
    </cfRule>
  </conditionalFormatting>
  <conditionalFormatting sqref="AW22">
    <cfRule type="expression" dxfId="180" priority="173" stopIfTrue="1">
      <formula>ISERROR(AW22)</formula>
    </cfRule>
  </conditionalFormatting>
  <conditionalFormatting sqref="BE54 BE57">
    <cfRule type="expression" dxfId="179" priority="221" stopIfTrue="1">
      <formula>ISERROR(BE54)</formula>
    </cfRule>
  </conditionalFormatting>
  <conditionalFormatting sqref="BE67">
    <cfRule type="expression" dxfId="178" priority="220" stopIfTrue="1">
      <formula>ISERROR(BE67)</formula>
    </cfRule>
  </conditionalFormatting>
  <conditionalFormatting sqref="BD52">
    <cfRule type="expression" dxfId="177" priority="131" stopIfTrue="1">
      <formula>ISERROR(BD52)</formula>
    </cfRule>
  </conditionalFormatting>
  <conditionalFormatting sqref="AU58:AU59">
    <cfRule type="expression" dxfId="176" priority="213" stopIfTrue="1">
      <formula>ISERROR(AU58)</formula>
    </cfRule>
  </conditionalFormatting>
  <conditionalFormatting sqref="BC52">
    <cfRule type="expression" dxfId="175" priority="132" stopIfTrue="1">
      <formula>ISERROR(BC52)</formula>
    </cfRule>
  </conditionalFormatting>
  <conditionalFormatting sqref="BJ10">
    <cfRule type="expression" dxfId="174" priority="207" stopIfTrue="1">
      <formula>ISERROR(BJ10)</formula>
    </cfRule>
  </conditionalFormatting>
  <conditionalFormatting sqref="BE53">
    <cfRule type="expression" dxfId="173" priority="127" stopIfTrue="1">
      <formula>ISERROR(BE53)</formula>
    </cfRule>
  </conditionalFormatting>
  <conditionalFormatting sqref="BJ53">
    <cfRule type="expression" dxfId="172" priority="126" stopIfTrue="1">
      <formula>ISERROR(BJ53)</formula>
    </cfRule>
  </conditionalFormatting>
  <conditionalFormatting sqref="BJ52">
    <cfRule type="expression" dxfId="171" priority="130" stopIfTrue="1">
      <formula>ISERROR(BJ52)</formula>
    </cfRule>
  </conditionalFormatting>
  <conditionalFormatting sqref="AZ52">
    <cfRule type="expression" dxfId="170" priority="128" stopIfTrue="1">
      <formula>ISERROR(AZ52)</formula>
    </cfRule>
  </conditionalFormatting>
  <conditionalFormatting sqref="BA13">
    <cfRule type="expression" dxfId="169" priority="202" stopIfTrue="1">
      <formula>ISERROR(BA13)</formula>
    </cfRule>
  </conditionalFormatting>
  <conditionalFormatting sqref="BE14">
    <cfRule type="expression" dxfId="168" priority="198" stopIfTrue="1">
      <formula>ISERROR(BE14)</formula>
    </cfRule>
  </conditionalFormatting>
  <conditionalFormatting sqref="BE52">
    <cfRule type="expression" dxfId="167" priority="129" stopIfTrue="1">
      <formula>ISERROR(BE52)</formula>
    </cfRule>
  </conditionalFormatting>
  <conditionalFormatting sqref="BE17">
    <cfRule type="expression" dxfId="166" priority="196" stopIfTrue="1">
      <formula>ISERROR(BE17)</formula>
    </cfRule>
  </conditionalFormatting>
  <conditionalFormatting sqref="BA16">
    <cfRule type="expression" dxfId="165" priority="191" stopIfTrue="1">
      <formula>ISERROR(BA16)</formula>
    </cfRule>
  </conditionalFormatting>
  <conditionalFormatting sqref="AZ16">
    <cfRule type="expression" dxfId="164" priority="189" stopIfTrue="1">
      <formula>ISERROR(AZ16)</formula>
    </cfRule>
  </conditionalFormatting>
  <conditionalFormatting sqref="BE16">
    <cfRule type="expression" dxfId="163" priority="188" stopIfTrue="1">
      <formula>ISERROR(BE16)</formula>
    </cfRule>
  </conditionalFormatting>
  <conditionalFormatting sqref="BJ22">
    <cfRule type="expression" dxfId="162" priority="164" stopIfTrue="1">
      <formula>ISERROR(BJ22)</formula>
    </cfRule>
  </conditionalFormatting>
  <conditionalFormatting sqref="AX22">
    <cfRule type="expression" dxfId="161" priority="172" stopIfTrue="1">
      <formula>ISERROR(AX22)</formula>
    </cfRule>
  </conditionalFormatting>
  <conditionalFormatting sqref="AY22">
    <cfRule type="expression" dxfId="160" priority="171" stopIfTrue="1">
      <formula>ISERROR(AY22)</formula>
    </cfRule>
  </conditionalFormatting>
  <conditionalFormatting sqref="BA22">
    <cfRule type="expression" dxfId="159" priority="170" stopIfTrue="1">
      <formula>ISERROR(BA22)</formula>
    </cfRule>
  </conditionalFormatting>
  <conditionalFormatting sqref="BB22">
    <cfRule type="expression" dxfId="158" priority="169" stopIfTrue="1">
      <formula>ISERROR(BB22)</formula>
    </cfRule>
  </conditionalFormatting>
  <conditionalFormatting sqref="BC22">
    <cfRule type="expression" dxfId="157" priority="168" stopIfTrue="1">
      <formula>ISERROR(BC22)</formula>
    </cfRule>
  </conditionalFormatting>
  <conditionalFormatting sqref="BD22">
    <cfRule type="expression" dxfId="156" priority="167" stopIfTrue="1">
      <formula>ISERROR(BD22)</formula>
    </cfRule>
  </conditionalFormatting>
  <conditionalFormatting sqref="AZ22">
    <cfRule type="expression" dxfId="155" priority="166" stopIfTrue="1">
      <formula>ISERROR(AZ22)</formula>
    </cfRule>
  </conditionalFormatting>
  <conditionalFormatting sqref="BE22">
    <cfRule type="expression" dxfId="154" priority="165" stopIfTrue="1">
      <formula>ISERROR(BE22)</formula>
    </cfRule>
  </conditionalFormatting>
  <conditionalFormatting sqref="AZ43">
    <cfRule type="expression" dxfId="153" priority="162" stopIfTrue="1">
      <formula>ISERROR(AZ43)</formula>
    </cfRule>
  </conditionalFormatting>
  <conditionalFormatting sqref="AV42">
    <cfRule type="expression" dxfId="152" priority="161" stopIfTrue="1">
      <formula>ISERROR(AV42)</formula>
    </cfRule>
  </conditionalFormatting>
  <conditionalFormatting sqref="AZ46">
    <cfRule type="expression" dxfId="151" priority="160" stopIfTrue="1">
      <formula>ISERROR(AZ46)</formula>
    </cfRule>
  </conditionalFormatting>
  <conditionalFormatting sqref="AV45">
    <cfRule type="expression" dxfId="150" priority="159" stopIfTrue="1">
      <formula>ISERROR(AV45)</formula>
    </cfRule>
  </conditionalFormatting>
  <conditionalFormatting sqref="BD42">
    <cfRule type="expression" dxfId="149" priority="158" stopIfTrue="1">
      <formula>ISERROR(BD42)</formula>
    </cfRule>
  </conditionalFormatting>
  <conditionalFormatting sqref="AZ42">
    <cfRule type="expression" dxfId="148" priority="157" stopIfTrue="1">
      <formula>ISERROR(AZ42)</formula>
    </cfRule>
  </conditionalFormatting>
  <conditionalFormatting sqref="BE42">
    <cfRule type="expression" dxfId="147" priority="156" stopIfTrue="1">
      <formula>ISERROR(BE42)</formula>
    </cfRule>
  </conditionalFormatting>
  <conditionalFormatting sqref="BJ42">
    <cfRule type="expression" dxfId="146" priority="155" stopIfTrue="1">
      <formula>ISERROR(BJ42)</formula>
    </cfRule>
  </conditionalFormatting>
  <conditionalFormatting sqref="BB45">
    <cfRule type="expression" dxfId="145" priority="148" stopIfTrue="1">
      <formula>ISERROR(BB45)</formula>
    </cfRule>
  </conditionalFormatting>
  <conditionalFormatting sqref="BE43">
    <cfRule type="expression" dxfId="144" priority="154" stopIfTrue="1">
      <formula>ISERROR(BE43)</formula>
    </cfRule>
  </conditionalFormatting>
  <conditionalFormatting sqref="BJ43">
    <cfRule type="expression" dxfId="143" priority="153" stopIfTrue="1">
      <formula>ISERROR(BJ43)</formula>
    </cfRule>
  </conditionalFormatting>
  <conditionalFormatting sqref="AW45">
    <cfRule type="expression" dxfId="142" priority="152" stopIfTrue="1">
      <formula>ISERROR(AW45)</formula>
    </cfRule>
  </conditionalFormatting>
  <conditionalFormatting sqref="AX45">
    <cfRule type="expression" dxfId="141" priority="151" stopIfTrue="1">
      <formula>ISERROR(AX45)</formula>
    </cfRule>
  </conditionalFormatting>
  <conditionalFormatting sqref="AY45">
    <cfRule type="expression" dxfId="140" priority="150" stopIfTrue="1">
      <formula>ISERROR(AY45)</formula>
    </cfRule>
  </conditionalFormatting>
  <conditionalFormatting sqref="BA45">
    <cfRule type="expression" dxfId="139" priority="149" stopIfTrue="1">
      <formula>ISERROR(BA45)</formula>
    </cfRule>
  </conditionalFormatting>
  <conditionalFormatting sqref="BC45">
    <cfRule type="expression" dxfId="138" priority="147" stopIfTrue="1">
      <formula>ISERROR(BC45)</formula>
    </cfRule>
  </conditionalFormatting>
  <conditionalFormatting sqref="AZ45">
    <cfRule type="expression" dxfId="137" priority="146" stopIfTrue="1">
      <formula>ISERROR(AZ45)</formula>
    </cfRule>
  </conditionalFormatting>
  <conditionalFormatting sqref="BE45">
    <cfRule type="expression" dxfId="136" priority="145" stopIfTrue="1">
      <formula>ISERROR(BE45)</formula>
    </cfRule>
  </conditionalFormatting>
  <conditionalFormatting sqref="BD45">
    <cfRule type="expression" dxfId="135" priority="144" stopIfTrue="1">
      <formula>ISERROR(BD45)</formula>
    </cfRule>
  </conditionalFormatting>
  <conditionalFormatting sqref="BJ45">
    <cfRule type="expression" dxfId="134" priority="143" stopIfTrue="1">
      <formula>ISERROR(BJ45)</formula>
    </cfRule>
  </conditionalFormatting>
  <conditionalFormatting sqref="BE46">
    <cfRule type="expression" dxfId="133" priority="142" stopIfTrue="1">
      <formula>ISERROR(BE46)</formula>
    </cfRule>
  </conditionalFormatting>
  <conditionalFormatting sqref="BJ46">
    <cfRule type="expression" dxfId="132" priority="141" stopIfTrue="1">
      <formula>ISERROR(BJ46)</formula>
    </cfRule>
  </conditionalFormatting>
  <conditionalFormatting sqref="AZ53">
    <cfRule type="expression" dxfId="131" priority="140" stopIfTrue="1">
      <formula>ISERROR(AZ53)</formula>
    </cfRule>
  </conditionalFormatting>
  <conditionalFormatting sqref="AV52">
    <cfRule type="expression" dxfId="130" priority="139" stopIfTrue="1">
      <formula>ISERROR(AV52)</formula>
    </cfRule>
  </conditionalFormatting>
  <conditionalFormatting sqref="AW52">
    <cfRule type="expression" dxfId="129" priority="137" stopIfTrue="1">
      <formula>ISERROR(AW52)</formula>
    </cfRule>
  </conditionalFormatting>
  <conditionalFormatting sqref="AX52">
    <cfRule type="expression" dxfId="128" priority="136" stopIfTrue="1">
      <formula>ISERROR(AX52)</formula>
    </cfRule>
  </conditionalFormatting>
  <conditionalFormatting sqref="AY52">
    <cfRule type="expression" dxfId="127" priority="135" stopIfTrue="1">
      <formula>ISERROR(AY52)</formula>
    </cfRule>
  </conditionalFormatting>
  <conditionalFormatting sqref="BA52">
    <cfRule type="expression" dxfId="126" priority="134" stopIfTrue="1">
      <formula>ISERROR(BA52)</formula>
    </cfRule>
  </conditionalFormatting>
  <conditionalFormatting sqref="BB52">
    <cfRule type="expression" dxfId="125" priority="133" stopIfTrue="1">
      <formula>ISERROR(BB52)</formula>
    </cfRule>
  </conditionalFormatting>
  <conditionalFormatting sqref="AZ30">
    <cfRule type="expression" dxfId="124" priority="125" stopIfTrue="1">
      <formula>ISERROR(AZ30)</formula>
    </cfRule>
  </conditionalFormatting>
  <conditionalFormatting sqref="AV29">
    <cfRule type="expression" dxfId="123" priority="124" stopIfTrue="1">
      <formula>ISERROR(AV29)</formula>
    </cfRule>
  </conditionalFormatting>
  <conditionalFormatting sqref="AZ56">
    <cfRule type="expression" dxfId="122" priority="123" stopIfTrue="1">
      <formula>ISERROR(AZ56)</formula>
    </cfRule>
  </conditionalFormatting>
  <conditionalFormatting sqref="AZ59">
    <cfRule type="expression" dxfId="121" priority="122" stopIfTrue="1">
      <formula>ISERROR(AZ59)</formula>
    </cfRule>
  </conditionalFormatting>
  <conditionalFormatting sqref="AV58">
    <cfRule type="expression" dxfId="120" priority="121" stopIfTrue="1">
      <formula>ISERROR(AV58)</formula>
    </cfRule>
  </conditionalFormatting>
  <conditionalFormatting sqref="AZ62">
    <cfRule type="expression" dxfId="119" priority="120" stopIfTrue="1">
      <formula>ISERROR(AZ62)</formula>
    </cfRule>
  </conditionalFormatting>
  <conditionalFormatting sqref="AZ65">
    <cfRule type="expression" dxfId="118" priority="119" stopIfTrue="1">
      <formula>ISERROR(AZ65)</formula>
    </cfRule>
  </conditionalFormatting>
  <conditionalFormatting sqref="AW29">
    <cfRule type="expression" dxfId="117" priority="118" stopIfTrue="1">
      <formula>ISERROR(AW29)</formula>
    </cfRule>
  </conditionalFormatting>
  <conditionalFormatting sqref="AX29">
    <cfRule type="expression" dxfId="116" priority="117" stopIfTrue="1">
      <formula>ISERROR(AX29)</formula>
    </cfRule>
  </conditionalFormatting>
  <conditionalFormatting sqref="AZ29">
    <cfRule type="expression" dxfId="115" priority="116" stopIfTrue="1">
      <formula>ISERROR(AZ29)</formula>
    </cfRule>
  </conditionalFormatting>
  <conditionalFormatting sqref="BE29">
    <cfRule type="expression" dxfId="114" priority="115" stopIfTrue="1">
      <formula>ISERROR(BE29)</formula>
    </cfRule>
  </conditionalFormatting>
  <conditionalFormatting sqref="BE30">
    <cfRule type="expression" dxfId="113" priority="114" stopIfTrue="1">
      <formula>ISERROR(BE30)</formula>
    </cfRule>
  </conditionalFormatting>
  <conditionalFormatting sqref="AY29">
    <cfRule type="expression" dxfId="112" priority="113" stopIfTrue="1">
      <formula>ISERROR(AY29)</formula>
    </cfRule>
  </conditionalFormatting>
  <conditionalFormatting sqref="BA29">
    <cfRule type="expression" dxfId="111" priority="112" stopIfTrue="1">
      <formula>ISERROR(BA29)</formula>
    </cfRule>
  </conditionalFormatting>
  <conditionalFormatting sqref="BB29">
    <cfRule type="expression" dxfId="110" priority="111" stopIfTrue="1">
      <formula>ISERROR(BB29)</formula>
    </cfRule>
  </conditionalFormatting>
  <conditionalFormatting sqref="BC29">
    <cfRule type="expression" dxfId="109" priority="110" stopIfTrue="1">
      <formula>ISERROR(BC29)</formula>
    </cfRule>
  </conditionalFormatting>
  <conditionalFormatting sqref="BD29">
    <cfRule type="expression" dxfId="108" priority="109" stopIfTrue="1">
      <formula>ISERROR(BD29)</formula>
    </cfRule>
  </conditionalFormatting>
  <conditionalFormatting sqref="BE35">
    <cfRule type="expression" dxfId="107" priority="101" stopIfTrue="1">
      <formula>ISERROR(BE35)</formula>
    </cfRule>
  </conditionalFormatting>
  <conditionalFormatting sqref="BJ29">
    <cfRule type="expression" dxfId="106" priority="108" stopIfTrue="1">
      <formula>ISERROR(BJ29)</formula>
    </cfRule>
  </conditionalFormatting>
  <conditionalFormatting sqref="BJ30">
    <cfRule type="expression" dxfId="105" priority="107" stopIfTrue="1">
      <formula>ISERROR(BJ30)</formula>
    </cfRule>
  </conditionalFormatting>
  <conditionalFormatting sqref="BA35">
    <cfRule type="expression" dxfId="104" priority="98" stopIfTrue="1">
      <formula>ISERROR(BA35)</formula>
    </cfRule>
  </conditionalFormatting>
  <conditionalFormatting sqref="BB35">
    <cfRule type="expression" dxfId="103" priority="97" stopIfTrue="1">
      <formula>ISERROR(BB35)</formula>
    </cfRule>
  </conditionalFormatting>
  <conditionalFormatting sqref="AZ36">
    <cfRule type="expression" dxfId="102" priority="106" stopIfTrue="1">
      <formula>ISERROR(AZ36)</formula>
    </cfRule>
  </conditionalFormatting>
  <conditionalFormatting sqref="AV35">
    <cfRule type="expression" dxfId="101" priority="105" stopIfTrue="1">
      <formula>ISERROR(AV35)</formula>
    </cfRule>
  </conditionalFormatting>
  <conditionalFormatting sqref="AW35">
    <cfRule type="expression" dxfId="100" priority="104" stopIfTrue="1">
      <formula>ISERROR(AW35)</formula>
    </cfRule>
  </conditionalFormatting>
  <conditionalFormatting sqref="AX35">
    <cfRule type="expression" dxfId="99" priority="103" stopIfTrue="1">
      <formula>ISERROR(AX35)</formula>
    </cfRule>
  </conditionalFormatting>
  <conditionalFormatting sqref="AZ35">
    <cfRule type="expression" dxfId="98" priority="102" stopIfTrue="1">
      <formula>ISERROR(AZ35)</formula>
    </cfRule>
  </conditionalFormatting>
  <conditionalFormatting sqref="BE36">
    <cfRule type="expression" dxfId="97" priority="100" stopIfTrue="1">
      <formula>ISERROR(BE36)</formula>
    </cfRule>
  </conditionalFormatting>
  <conditionalFormatting sqref="AY35">
    <cfRule type="expression" dxfId="96" priority="99" stopIfTrue="1">
      <formula>ISERROR(AY35)</formula>
    </cfRule>
  </conditionalFormatting>
  <conditionalFormatting sqref="BC35">
    <cfRule type="expression" dxfId="95" priority="96" stopIfTrue="1">
      <formula>ISERROR(BC35)</formula>
    </cfRule>
  </conditionalFormatting>
  <conditionalFormatting sqref="BD35">
    <cfRule type="expression" dxfId="94" priority="95" stopIfTrue="1">
      <formula>ISERROR(BD35)</formula>
    </cfRule>
  </conditionalFormatting>
  <conditionalFormatting sqref="BE32">
    <cfRule type="expression" dxfId="93" priority="87" stopIfTrue="1">
      <formula>ISERROR(BE32)</formula>
    </cfRule>
  </conditionalFormatting>
  <conditionalFormatting sqref="BJ35">
    <cfRule type="expression" dxfId="92" priority="94" stopIfTrue="1">
      <formula>ISERROR(BJ35)</formula>
    </cfRule>
  </conditionalFormatting>
  <conditionalFormatting sqref="BJ36">
    <cfRule type="expression" dxfId="91" priority="93" stopIfTrue="1">
      <formula>ISERROR(BJ36)</formula>
    </cfRule>
  </conditionalFormatting>
  <conditionalFormatting sqref="BA32">
    <cfRule type="expression" dxfId="90" priority="84" stopIfTrue="1">
      <formula>ISERROR(BA32)</formula>
    </cfRule>
  </conditionalFormatting>
  <conditionalFormatting sqref="BB32">
    <cfRule type="expression" dxfId="89" priority="83" stopIfTrue="1">
      <formula>ISERROR(BB32)</formula>
    </cfRule>
  </conditionalFormatting>
  <conditionalFormatting sqref="AZ33">
    <cfRule type="expression" dxfId="88" priority="92" stopIfTrue="1">
      <formula>ISERROR(AZ33)</formula>
    </cfRule>
  </conditionalFormatting>
  <conditionalFormatting sqref="AV32">
    <cfRule type="expression" dxfId="87" priority="91" stopIfTrue="1">
      <formula>ISERROR(AV32)</formula>
    </cfRule>
  </conditionalFormatting>
  <conditionalFormatting sqref="AW32">
    <cfRule type="expression" dxfId="86" priority="90" stopIfTrue="1">
      <formula>ISERROR(AW32)</formula>
    </cfRule>
  </conditionalFormatting>
  <conditionalFormatting sqref="AX32">
    <cfRule type="expression" dxfId="85" priority="89" stopIfTrue="1">
      <formula>ISERROR(AX32)</formula>
    </cfRule>
  </conditionalFormatting>
  <conditionalFormatting sqref="AZ32">
    <cfRule type="expression" dxfId="84" priority="88" stopIfTrue="1">
      <formula>ISERROR(AZ32)</formula>
    </cfRule>
  </conditionalFormatting>
  <conditionalFormatting sqref="BE33">
    <cfRule type="expression" dxfId="83" priority="86" stopIfTrue="1">
      <formula>ISERROR(BE33)</formula>
    </cfRule>
  </conditionalFormatting>
  <conditionalFormatting sqref="AY32">
    <cfRule type="expression" dxfId="82" priority="85" stopIfTrue="1">
      <formula>ISERROR(AY32)</formula>
    </cfRule>
  </conditionalFormatting>
  <conditionalFormatting sqref="BC32">
    <cfRule type="expression" dxfId="81" priority="82" stopIfTrue="1">
      <formula>ISERROR(BC32)</formula>
    </cfRule>
  </conditionalFormatting>
  <conditionalFormatting sqref="BD32">
    <cfRule type="expression" dxfId="80" priority="81" stopIfTrue="1">
      <formula>ISERROR(BD32)</formula>
    </cfRule>
  </conditionalFormatting>
  <conditionalFormatting sqref="AY42">
    <cfRule type="expression" dxfId="79" priority="76" stopIfTrue="1">
      <formula>ISERROR(AY42)</formula>
    </cfRule>
  </conditionalFormatting>
  <conditionalFormatting sqref="BJ32">
    <cfRule type="expression" dxfId="78" priority="80" stopIfTrue="1">
      <formula>ISERROR(BJ32)</formula>
    </cfRule>
  </conditionalFormatting>
  <conditionalFormatting sqref="BJ33">
    <cfRule type="expression" dxfId="77" priority="79" stopIfTrue="1">
      <formula>ISERROR(BJ33)</formula>
    </cfRule>
  </conditionalFormatting>
  <conditionalFormatting sqref="AW42">
    <cfRule type="expression" dxfId="76" priority="78" stopIfTrue="1">
      <formula>ISERROR(AW42)</formula>
    </cfRule>
  </conditionalFormatting>
  <conditionalFormatting sqref="AX42">
    <cfRule type="expression" dxfId="75" priority="77" stopIfTrue="1">
      <formula>ISERROR(AX42)</formula>
    </cfRule>
  </conditionalFormatting>
  <conditionalFormatting sqref="BA42">
    <cfRule type="expression" dxfId="74" priority="75" stopIfTrue="1">
      <formula>ISERROR(BA42)</formula>
    </cfRule>
  </conditionalFormatting>
  <conditionalFormatting sqref="BB42">
    <cfRule type="expression" dxfId="73" priority="74" stopIfTrue="1">
      <formula>ISERROR(BB42)</formula>
    </cfRule>
  </conditionalFormatting>
  <conditionalFormatting sqref="BC42">
    <cfRule type="expression" dxfId="72" priority="73" stopIfTrue="1">
      <formula>ISERROR(BC42)</formula>
    </cfRule>
  </conditionalFormatting>
  <conditionalFormatting sqref="BJ38">
    <cfRule type="expression" dxfId="71" priority="72" stopIfTrue="1">
      <formula>ISERROR(BJ38)</formula>
    </cfRule>
  </conditionalFormatting>
  <conditionalFormatting sqref="AV55">
    <cfRule type="expression" dxfId="70" priority="71" stopIfTrue="1">
      <formula>ISERROR(AV55)</formula>
    </cfRule>
  </conditionalFormatting>
  <conditionalFormatting sqref="AW55">
    <cfRule type="expression" dxfId="69" priority="70" stopIfTrue="1">
      <formula>ISERROR(AW55)</formula>
    </cfRule>
  </conditionalFormatting>
  <conditionalFormatting sqref="AX55">
    <cfRule type="expression" dxfId="68" priority="69" stopIfTrue="1">
      <formula>ISERROR(AX55)</formula>
    </cfRule>
  </conditionalFormatting>
  <conditionalFormatting sqref="AZ55">
    <cfRule type="expression" dxfId="67" priority="68" stopIfTrue="1">
      <formula>ISERROR(AZ55)</formula>
    </cfRule>
  </conditionalFormatting>
  <conditionalFormatting sqref="AY55">
    <cfRule type="expression" dxfId="66" priority="67" stopIfTrue="1">
      <formula>ISERROR(AY55)</formula>
    </cfRule>
  </conditionalFormatting>
  <conditionalFormatting sqref="BA55">
    <cfRule type="expression" dxfId="65" priority="66" stopIfTrue="1">
      <formula>ISERROR(BA55)</formula>
    </cfRule>
  </conditionalFormatting>
  <conditionalFormatting sqref="BB55">
    <cfRule type="expression" dxfId="64" priority="65" stopIfTrue="1">
      <formula>ISERROR(BB55)</formula>
    </cfRule>
  </conditionalFormatting>
  <conditionalFormatting sqref="BC55">
    <cfRule type="expression" dxfId="63" priority="64" stopIfTrue="1">
      <formula>ISERROR(BC55)</formula>
    </cfRule>
  </conditionalFormatting>
  <conditionalFormatting sqref="BD55">
    <cfRule type="expression" dxfId="62" priority="63" stopIfTrue="1">
      <formula>ISERROR(BD55)</formula>
    </cfRule>
  </conditionalFormatting>
  <conditionalFormatting sqref="BJ55">
    <cfRule type="expression" dxfId="61" priority="62" stopIfTrue="1">
      <formula>ISERROR(BJ55)</formula>
    </cfRule>
  </conditionalFormatting>
  <conditionalFormatting sqref="BE61">
    <cfRule type="expression" dxfId="60" priority="55" stopIfTrue="1">
      <formula>ISERROR(BE61)</formula>
    </cfRule>
  </conditionalFormatting>
  <conditionalFormatting sqref="BE56">
    <cfRule type="expression" dxfId="59" priority="61" stopIfTrue="1">
      <formula>ISERROR(BE56)</formula>
    </cfRule>
  </conditionalFormatting>
  <conditionalFormatting sqref="BJ56">
    <cfRule type="expression" dxfId="58" priority="60" stopIfTrue="1">
      <formula>ISERROR(BJ56)</formula>
    </cfRule>
  </conditionalFormatting>
  <conditionalFormatting sqref="AV61">
    <cfRule type="expression" dxfId="57" priority="59" stopIfTrue="1">
      <formula>ISERROR(AV61)</formula>
    </cfRule>
  </conditionalFormatting>
  <conditionalFormatting sqref="AW61">
    <cfRule type="expression" dxfId="56" priority="58" stopIfTrue="1">
      <formula>ISERROR(AW61)</formula>
    </cfRule>
  </conditionalFormatting>
  <conditionalFormatting sqref="AX61">
    <cfRule type="expression" dxfId="55" priority="57" stopIfTrue="1">
      <formula>ISERROR(AX61)</formula>
    </cfRule>
  </conditionalFormatting>
  <conditionalFormatting sqref="AZ61">
    <cfRule type="expression" dxfId="54" priority="56" stopIfTrue="1">
      <formula>ISERROR(AZ61)</formula>
    </cfRule>
  </conditionalFormatting>
  <conditionalFormatting sqref="AY61">
    <cfRule type="expression" dxfId="53" priority="54" stopIfTrue="1">
      <formula>ISERROR(AY61)</formula>
    </cfRule>
  </conditionalFormatting>
  <conditionalFormatting sqref="BA61">
    <cfRule type="expression" dxfId="52" priority="53" stopIfTrue="1">
      <formula>ISERROR(BA61)</formula>
    </cfRule>
  </conditionalFormatting>
  <conditionalFormatting sqref="BB61">
    <cfRule type="expression" dxfId="51" priority="52" stopIfTrue="1">
      <formula>ISERROR(BB61)</formula>
    </cfRule>
  </conditionalFormatting>
  <conditionalFormatting sqref="BC61">
    <cfRule type="expression" dxfId="50" priority="51" stopIfTrue="1">
      <formula>ISERROR(BC61)</formula>
    </cfRule>
  </conditionalFormatting>
  <conditionalFormatting sqref="BD61">
    <cfRule type="expression" dxfId="49" priority="50" stopIfTrue="1">
      <formula>ISERROR(BD61)</formula>
    </cfRule>
  </conditionalFormatting>
  <conditionalFormatting sqref="AV64">
    <cfRule type="expression" dxfId="48" priority="49" stopIfTrue="1">
      <formula>ISERROR(AV64)</formula>
    </cfRule>
  </conditionalFormatting>
  <conditionalFormatting sqref="AW64">
    <cfRule type="expression" dxfId="47" priority="48" stopIfTrue="1">
      <formula>ISERROR(AW64)</formula>
    </cfRule>
  </conditionalFormatting>
  <conditionalFormatting sqref="AX64">
    <cfRule type="expression" dxfId="46" priority="47" stopIfTrue="1">
      <formula>ISERROR(AX64)</formula>
    </cfRule>
  </conditionalFormatting>
  <conditionalFormatting sqref="AZ64">
    <cfRule type="expression" dxfId="45" priority="46" stopIfTrue="1">
      <formula>ISERROR(AZ64)</formula>
    </cfRule>
  </conditionalFormatting>
  <conditionalFormatting sqref="BE64">
    <cfRule type="expression" dxfId="44" priority="45" stopIfTrue="1">
      <formula>ISERROR(BE64)</formula>
    </cfRule>
  </conditionalFormatting>
  <conditionalFormatting sqref="AY64">
    <cfRule type="expression" dxfId="43" priority="44" stopIfTrue="1">
      <formula>ISERROR(AY64)</formula>
    </cfRule>
  </conditionalFormatting>
  <conditionalFormatting sqref="BA64">
    <cfRule type="expression" dxfId="42" priority="43" stopIfTrue="1">
      <formula>ISERROR(BA64)</formula>
    </cfRule>
  </conditionalFormatting>
  <conditionalFormatting sqref="BB64">
    <cfRule type="expression" dxfId="41" priority="42" stopIfTrue="1">
      <formula>ISERROR(BB64)</formula>
    </cfRule>
  </conditionalFormatting>
  <conditionalFormatting sqref="BC64">
    <cfRule type="expression" dxfId="40" priority="41" stopIfTrue="1">
      <formula>ISERROR(BC64)</formula>
    </cfRule>
  </conditionalFormatting>
  <conditionalFormatting sqref="BD64">
    <cfRule type="expression" dxfId="39" priority="40" stopIfTrue="1">
      <formula>ISERROR(BD64)</formula>
    </cfRule>
  </conditionalFormatting>
  <conditionalFormatting sqref="AX58">
    <cfRule type="expression" dxfId="38" priority="34" stopIfTrue="1">
      <formula>ISERROR(AX58)</formula>
    </cfRule>
  </conditionalFormatting>
  <conditionalFormatting sqref="BE62">
    <cfRule type="expression" dxfId="37" priority="39" stopIfTrue="1">
      <formula>ISERROR(BE62)</formula>
    </cfRule>
  </conditionalFormatting>
  <conditionalFormatting sqref="BJ62">
    <cfRule type="expression" dxfId="36" priority="38" stopIfTrue="1">
      <formula>ISERROR(BJ62)</formula>
    </cfRule>
  </conditionalFormatting>
  <conditionalFormatting sqref="BB58">
    <cfRule type="expression" dxfId="35" priority="31" stopIfTrue="1">
      <formula>ISERROR(BB58)</formula>
    </cfRule>
  </conditionalFormatting>
  <conditionalFormatting sqref="BE65">
    <cfRule type="expression" dxfId="34" priority="37" stopIfTrue="1">
      <formula>ISERROR(BE65)</formula>
    </cfRule>
  </conditionalFormatting>
  <conditionalFormatting sqref="BJ65">
    <cfRule type="expression" dxfId="33" priority="36" stopIfTrue="1">
      <formula>ISERROR(BJ65)</formula>
    </cfRule>
  </conditionalFormatting>
  <conditionalFormatting sqref="AW58">
    <cfRule type="expression" dxfId="32" priority="35" stopIfTrue="1">
      <formula>ISERROR(AW58)</formula>
    </cfRule>
  </conditionalFormatting>
  <conditionalFormatting sqref="AY58">
    <cfRule type="expression" dxfId="31" priority="33" stopIfTrue="1">
      <formula>ISERROR(AY58)</formula>
    </cfRule>
  </conditionalFormatting>
  <conditionalFormatting sqref="BA58">
    <cfRule type="expression" dxfId="30" priority="32" stopIfTrue="1">
      <formula>ISERROR(BA58)</formula>
    </cfRule>
  </conditionalFormatting>
  <conditionalFormatting sqref="BC58">
    <cfRule type="expression" dxfId="29" priority="30" stopIfTrue="1">
      <formula>ISERROR(BC58)</formula>
    </cfRule>
  </conditionalFormatting>
  <conditionalFormatting sqref="BD58">
    <cfRule type="expression" dxfId="28" priority="29" stopIfTrue="1">
      <formula>ISERROR(BD58)</formula>
    </cfRule>
  </conditionalFormatting>
  <conditionalFormatting sqref="BJ58">
    <cfRule type="expression" dxfId="27" priority="28" stopIfTrue="1">
      <formula>ISERROR(BJ58)</formula>
    </cfRule>
  </conditionalFormatting>
  <conditionalFormatting sqref="AZ58">
    <cfRule type="expression" dxfId="26" priority="27" stopIfTrue="1">
      <formula>ISERROR(AZ58)</formula>
    </cfRule>
  </conditionalFormatting>
  <conditionalFormatting sqref="BE55">
    <cfRule type="expression" dxfId="25" priority="26" stopIfTrue="1">
      <formula>ISERROR(BE55)</formula>
    </cfRule>
  </conditionalFormatting>
  <conditionalFormatting sqref="BE58">
    <cfRule type="expression" dxfId="24" priority="25" stopIfTrue="1">
      <formula>ISERROR(BE58)</formula>
    </cfRule>
  </conditionalFormatting>
  <conditionalFormatting sqref="BF19:BI19">
    <cfRule type="expression" dxfId="23" priority="18" stopIfTrue="1">
      <formula>ISERROR(BF19)</formula>
    </cfRule>
  </conditionalFormatting>
  <conditionalFormatting sqref="BE59">
    <cfRule type="expression" dxfId="22" priority="24" stopIfTrue="1">
      <formula>ISERROR(BE59)</formula>
    </cfRule>
  </conditionalFormatting>
  <conditionalFormatting sqref="BJ59">
    <cfRule type="expression" dxfId="21" priority="23" stopIfTrue="1">
      <formula>ISERROR(BJ59)</formula>
    </cfRule>
  </conditionalFormatting>
  <conditionalFormatting sqref="BJ67">
    <cfRule type="expression" dxfId="20" priority="22" stopIfTrue="1">
      <formula>ISERROR(BJ67)</formula>
    </cfRule>
  </conditionalFormatting>
  <conditionalFormatting sqref="BF10:BI10">
    <cfRule type="expression" dxfId="19" priority="21" stopIfTrue="1">
      <formula>ISERROR(BF10)</formula>
    </cfRule>
  </conditionalFormatting>
  <conditionalFormatting sqref="BF13:BI13">
    <cfRule type="expression" dxfId="18" priority="20" stopIfTrue="1">
      <formula>ISERROR(BF13)</formula>
    </cfRule>
  </conditionalFormatting>
  <conditionalFormatting sqref="BF16:BI16">
    <cfRule type="expression" dxfId="17" priority="19" stopIfTrue="1">
      <formula>ISERROR(BF16)</formula>
    </cfRule>
  </conditionalFormatting>
  <conditionalFormatting sqref="BF22:BI22">
    <cfRule type="expression" dxfId="16" priority="17" stopIfTrue="1">
      <formula>ISERROR(BF22)</formula>
    </cfRule>
  </conditionalFormatting>
  <conditionalFormatting sqref="BJ11">
    <cfRule type="expression" dxfId="15" priority="16" stopIfTrue="1">
      <formula>ISERROR(BJ11)</formula>
    </cfRule>
  </conditionalFormatting>
  <conditionalFormatting sqref="BJ14">
    <cfRule type="expression" dxfId="14" priority="15" stopIfTrue="1">
      <formula>ISERROR(BJ14)</formula>
    </cfRule>
  </conditionalFormatting>
  <conditionalFormatting sqref="BJ17">
    <cfRule type="expression" dxfId="13" priority="14" stopIfTrue="1">
      <formula>ISERROR(BJ17)</formula>
    </cfRule>
  </conditionalFormatting>
  <conditionalFormatting sqref="BJ20">
    <cfRule type="expression" dxfId="12" priority="13" stopIfTrue="1">
      <formula>ISERROR(BJ20)</formula>
    </cfRule>
  </conditionalFormatting>
  <conditionalFormatting sqref="BJ23">
    <cfRule type="expression" dxfId="11" priority="12" stopIfTrue="1">
      <formula>ISERROR(BJ23)</formula>
    </cfRule>
  </conditionalFormatting>
  <conditionalFormatting sqref="BF7:BI7">
    <cfRule type="expression" dxfId="10" priority="11" stopIfTrue="1">
      <formula>ISERROR(BF7)</formula>
    </cfRule>
  </conditionalFormatting>
  <conditionalFormatting sqref="BF29:BI29">
    <cfRule type="expression" dxfId="9" priority="10" stopIfTrue="1">
      <formula>ISERROR(BF29)</formula>
    </cfRule>
  </conditionalFormatting>
  <conditionalFormatting sqref="BF35:BI35">
    <cfRule type="expression" dxfId="8" priority="9" stopIfTrue="1">
      <formula>ISERROR(BF35)</formula>
    </cfRule>
  </conditionalFormatting>
  <conditionalFormatting sqref="BF32:BI32">
    <cfRule type="expression" dxfId="7" priority="8" stopIfTrue="1">
      <formula>ISERROR(BF32)</formula>
    </cfRule>
  </conditionalFormatting>
  <conditionalFormatting sqref="BF52:BI52">
    <cfRule type="expression" dxfId="6" priority="5" stopIfTrue="1">
      <formula>ISERROR(BF52)</formula>
    </cfRule>
  </conditionalFormatting>
  <conditionalFormatting sqref="BF42:BI42">
    <cfRule type="expression" dxfId="5" priority="7" stopIfTrue="1">
      <formula>ISERROR(BF42)</formula>
    </cfRule>
  </conditionalFormatting>
  <conditionalFormatting sqref="BF45:BI45">
    <cfRule type="expression" dxfId="4" priority="6" stopIfTrue="1">
      <formula>ISERROR(BF45)</formula>
    </cfRule>
  </conditionalFormatting>
  <conditionalFormatting sqref="BF55:BI55">
    <cfRule type="expression" dxfId="3" priority="4" stopIfTrue="1">
      <formula>ISERROR(BF55)</formula>
    </cfRule>
  </conditionalFormatting>
  <conditionalFormatting sqref="BF61:BI61">
    <cfRule type="expression" dxfId="2" priority="3" stopIfTrue="1">
      <formula>ISERROR(BF61)</formula>
    </cfRule>
  </conditionalFormatting>
  <conditionalFormatting sqref="BF64:BI64">
    <cfRule type="expression" dxfId="1" priority="2" stopIfTrue="1">
      <formula>ISERROR(BF64)</formula>
    </cfRule>
  </conditionalFormatting>
  <conditionalFormatting sqref="BF58:BI58">
    <cfRule type="expression" dxfId="0" priority="1" stopIfTrue="1">
      <formula>ISERROR(BF58)</formula>
    </cfRule>
  </conditionalFormatting>
  <dataValidations disablePrompts="1" count="1">
    <dataValidation type="custom" allowBlank="1" showInputMessage="1" showErrorMessage="1" sqref="R7:U8 AG7:AJ8 AB7:AE8 AL7:AO8 AQ7:AT8 AV7:AY8 W7:Z8 BF8:BI8 BP8:BS8 BU8:BX8 BZ8:CC8 BK8:BN8 BA7:BD8">
      <formula1>-1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Sales</vt:lpstr>
      <vt:lpstr>IS</vt:lpstr>
      <vt:lpstr>SOTP</vt:lpstr>
      <vt:lpstr>WSO Cover Page</vt:lpstr>
      <vt:lpstr>DCF</vt:lpstr>
      <vt:lpstr>Key Products</vt:lpstr>
      <vt:lpstr>BS &amp; CF</vt:lpstr>
      <vt:lpstr>FX</vt:lpstr>
    </vt:vector>
  </TitlesOfParts>
  <Company>JPMorgan Chase &amp; Co.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Lin, Wendy L</dc:creator>
  <cp:lastModifiedBy>Microsoft Office User</cp:lastModifiedBy>
  <dcterms:created xsi:type="dcterms:W3CDTF">2016-03-16T01:29:24Z</dcterms:created>
  <dcterms:modified xsi:type="dcterms:W3CDTF">2018-10-22T05:58:29Z</dcterms:modified>
</cp:coreProperties>
</file>