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daner\Desktop\"/>
    </mc:Choice>
  </mc:AlternateContent>
  <xr:revisionPtr revIDLastSave="0" documentId="8_{1A18A23B-293D-4C74-B61D-0A8D7CD8B849}" xr6:coauthVersionLast="45" xr6:coauthVersionMax="45" xr10:uidLastSave="{00000000-0000-0000-0000-000000000000}"/>
  <bookViews>
    <workbookView xWindow="-120" yWindow="-16320" windowWidth="29040" windowHeight="15840" firstSheet="3" activeTab="3" xr2:uid="{25F899BC-3120-4864-B136-53CE26E8B861}"/>
  </bookViews>
  <sheets>
    <sheet name="Settlement Statement" sheetId="8" state="hidden" r:id="rId1"/>
    <sheet name="Loan Terms" sheetId="11" state="hidden" r:id="rId2"/>
    <sheet name="Cash Flows" sheetId="3" state="hidden" r:id="rId3"/>
    <sheet name="Waterfall" sheetId="2" r:id="rId4"/>
    <sheet name="Waterfall Summary" sheetId="10" state="hidden" r:id="rId5"/>
    <sheet name="Closing Costs" sheetId="4" state="hidden" r:id="rId6"/>
    <sheet name="Construction Budget"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Dumpster">0</definedName>
    <definedName name="_1_0_S" hidden="1">'[1]1999 BUDGET'!#REF!</definedName>
    <definedName name="_2_0_S" hidden="1">'[1]1999 BUDGET'!#REF!</definedName>
    <definedName name="_3_0_0_F" hidden="1">'[1]1999 BUDGET'!#REF!</definedName>
    <definedName name="_4_0_0_F" hidden="1">'[1]1999 BUDGET'!#REF!</definedName>
    <definedName name="_5_0_0_S" hidden="1">'[2]1999 BUDGET'!#REF!</definedName>
    <definedName name="_6_0_0_S" hidden="1">'[2]1999 BUDGET'!#REF!</definedName>
    <definedName name="_a1" localSheetId="0" hidden="1">{"Assump",#N/A,TRUE,"Proforma";"first",#N/A,TRUE,"Proforma";"second",#N/A,TRUE,"Proforma";"lease1",#N/A,TRUE,"Proforma";"lease2",#N/A,TRUE,"Proforma"}</definedName>
    <definedName name="_a1" hidden="1">{"Assump",#N/A,TRUE,"Proforma";"first",#N/A,TRUE,"Proforma";"second",#N/A,TRUE,"Proforma";"lease1",#N/A,TRUE,"Proforma";"lease2",#N/A,TRUE,"Proforma"}</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able2_In1" hidden="1">#REF!</definedName>
    <definedName name="_Table2_In2" hidden="1">#REF!</definedName>
    <definedName name="_Table2_Out" hidden="1">[3]HOTComps!#REF!</definedName>
    <definedName name="a1a1" localSheetId="0" hidden="1">{"Assump",#N/A,TRUE,"Proforma";"first",#N/A,TRUE,"Proforma";"second",#N/A,TRUE,"Proforma";"lease1",#N/A,TRUE,"Proforma";"lease2",#N/A,TRUE,"Proforma"}</definedName>
    <definedName name="a1a1" hidden="1">{"Assump",#N/A,TRUE,"Proforma";"first",#N/A,TRUE,"Proforma";"second",#N/A,TRUE,"Proforma";"lease1",#N/A,TRUE,"Proforma";"lease2",#N/A,TRUE,"Proforma"}</definedName>
    <definedName name="aa" localSheetId="0" hidden="1">{"AnnualRentRoll",#N/A,FALSE,"RentRoll"}</definedName>
    <definedName name="aa" hidden="1">{"AnnualRentRoll",#N/A,FALSE,"RentRoll"}</definedName>
    <definedName name="aaa" localSheetId="0" hidden="1">{"AnnualRentRoll",#N/A,FALSE,"RentRoll"}</definedName>
    <definedName name="aaa" hidden="1">{"AnnualRentRoll",#N/A,FALSE,"RentRoll"}</definedName>
    <definedName name="aaaaa" localSheetId="0" hidden="1">{"Assump",#N/A,TRUE,"Proforma";"first",#N/A,TRUE,"Proforma";"second",#N/A,TRUE,"Proforma";"lease1",#N/A,TRUE,"Proforma";"lease2",#N/A,TRUE,"Proforma"}</definedName>
    <definedName name="aaaaa" hidden="1">{"Assump",#N/A,TRUE,"Proforma";"first",#N/A,TRUE,"Proforma";"second",#N/A,TRUE,"Proforma";"lease1",#N/A,TRUE,"Proforma";"lease2",#N/A,TRUE,"Proforma"}</definedName>
    <definedName name="aaaaaaa" localSheetId="0" hidden="1">{"Outflow 1",#N/A,FALSE,"Outflows-Inflows";"Outflow 2",#N/A,FALSE,"Outflows-Inflows";"Inflow 1",#N/A,FALSE,"Outflows-Inflows";"Inflow 2",#N/A,FALSE,"Outflows-Inflows"}</definedName>
    <definedName name="aaaaaaa" hidden="1">{"Outflow 1",#N/A,FALSE,"Outflows-Inflows";"Outflow 2",#N/A,FALSE,"Outflows-Inflows";"Inflow 1",#N/A,FALSE,"Outflows-Inflows";"Inflow 2",#N/A,FALSE,"Outflows-Inflows"}</definedName>
    <definedName name="aasdfa" localSheetId="0" hidden="1">{"rtn",#N/A,FALSE,"RTN";"tables",#N/A,FALSE,"RTN";"cf",#N/A,FALSE,"CF";"stats",#N/A,FALSE,"Stats";"prop",#N/A,FALSE,"Prop"}</definedName>
    <definedName name="aasdfa" hidden="1">{"rtn",#N/A,FALSE,"RTN";"tables",#N/A,FALSE,"RTN";"cf",#N/A,FALSE,"CF";"stats",#N/A,FALSE,"Stats";"prop",#N/A,FALSE,"Prop"}</definedName>
    <definedName name="ADV">#REF!</definedName>
    <definedName name="all" localSheetId="0" hidden="1">{#N/A,#N/A,FALSE,"CF Consolidated 2";#N/A,#N/A,FALSE,"Retail Assump";#N/A,#N/A,FALSE,"CF Retail";#N/A,#N/A,FALSE,"Garage Assumpt 1";#N/A,#N/A,FALSE,"Garage Op Proj";#N/A,#N/A,FALSE,"Hist I&amp;E";#N/A,#N/A,FALSE,"Rent Roll";#N/A,#N/A,FALSE,"RE Taxes";#N/A,#N/A,FALSE,"CAM - BH";#N/A,#N/A,FALSE,"Comm.Condo CAM"}</definedName>
    <definedName name="all" hidden="1">{#N/A,#N/A,FALSE,"CF Consolidated 2";#N/A,#N/A,FALSE,"Retail Assump";#N/A,#N/A,FALSE,"CF Retail";#N/A,#N/A,FALSE,"Garage Assumpt 1";#N/A,#N/A,FALSE,"Garage Op Proj";#N/A,#N/A,FALSE,"Hist I&amp;E";#N/A,#N/A,FALSE,"Rent Roll";#N/A,#N/A,FALSE,"RE Taxes";#N/A,#N/A,FALSE,"CAM - BH";#N/A,#N/A,FALSE,"Comm.Condo CAM"}</definedName>
    <definedName name="AllinRate">#REF!</definedName>
    <definedName name="anscount" hidden="1">1</definedName>
    <definedName name="Aok" localSheetId="0" hidden="1">{"Outflow 1",#N/A,FALSE,"Outflows-Inflows";"Outflow 2",#N/A,FALSE,"Outflows-Inflows";"Inflow 1",#N/A,FALSE,"Outflows-Inflows";"Inflow 2",#N/A,FALSE,"Outflows-Inflows"}</definedName>
    <definedName name="Aok" hidden="1">{"Outflow 1",#N/A,FALSE,"Outflows-Inflows";"Outflow 2",#N/A,FALSE,"Outflows-Inflows";"Inflow 1",#N/A,FALSE,"Outflows-Inflows";"Inflow 2",#N/A,FALSE,"Outflows-Inflows"}</definedName>
    <definedName name="AppOccUnit">#REF!</definedName>
    <definedName name="as" localSheetId="0" hidden="1">{"Outflow 1",#N/A,FALSE,"Outflows-Inflows";"Outflow 2",#N/A,FALSE,"Outflows-Inflows";"Inflow 1",#N/A,FALSE,"Outflows-Inflows";"Inflow 2",#N/A,FALSE,"Outflows-Inflows"}</definedName>
    <definedName name="as" hidden="1">{"Outflow 1",#N/A,FALSE,"Outflows-Inflows";"Outflow 2",#N/A,FALSE,"Outflows-Inflows";"Inflow 1",#N/A,FALSE,"Outflows-Inflows";"Inflow 2",#N/A,FALSE,"Outflows-Inflows"}</definedName>
    <definedName name="asdfas" localSheetId="0" hidden="1">{"print 1.6",#N/A,FALSE,"Sheet1";"print 2.6",#N/A,FALSE,"Sheet1";"print 3.6",#N/A,FALSE,"Sheet1";"print 4.6",#N/A,FALSE,"Sheet1";"print 5.6",#N/A,FALSE,"Sheet1";"print 6.6",#N/A,FALSE,"Sheet1"}</definedName>
    <definedName name="asdfas" hidden="1">{"print 1.6",#N/A,FALSE,"Sheet1";"print 2.6",#N/A,FALSE,"Sheet1";"print 3.6",#N/A,FALSE,"Sheet1";"print 4.6",#N/A,FALSE,"Sheet1";"print 5.6",#N/A,FALSE,"Sheet1";"print 6.6",#N/A,FALSE,"Sheet1"}</definedName>
    <definedName name="asdfasaa" localSheetId="0"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localSheetId="0" hidden="1">{"rtn",#N/A,FALSE,"RTN";"tables",#N/A,FALSE,"RTN";"cf",#N/A,FALSE,"CF";"stats",#N/A,FALSE,"Stats";"prop",#N/A,FALSE,"Prop"}</definedName>
    <definedName name="asdfasdf" hidden="1">{"rtn",#N/A,FALSE,"RTN";"tables",#N/A,FALSE,"RTN";"cf",#N/A,FALSE,"CF";"stats",#N/A,FALSE,"Stats";"prop",#N/A,FALSE,"Prop"}</definedName>
    <definedName name="asdfg" localSheetId="0" hidden="1">{"rtn",#N/A,FALSE,"RTN";"tables",#N/A,FALSE,"RTN";"cf",#N/A,FALSE,"CF";"stats",#N/A,FALSE,"Stats";"prop",#N/A,FALSE,"Prop"}</definedName>
    <definedName name="asdfg" hidden="1">{"rtn",#N/A,FALSE,"RTN";"tables",#N/A,FALSE,"RTN";"cf",#N/A,FALSE,"CF";"stats",#N/A,FALSE,"Stats";"prop",#N/A,FALSE,"Prop"}</definedName>
    <definedName name="ass" localSheetId="0" hidden="1">{"print 1.6",#N/A,FALSE,"Sheet1";"print 2.6",#N/A,FALSE,"Sheet1";"print 3.6",#N/A,FALSE,"Sheet1";"print 4.6",#N/A,FALSE,"Sheet1";"print 5.6",#N/A,FALSE,"Sheet1";"print 6.6",#N/A,FALSE,"Sheet1"}</definedName>
    <definedName name="ass" hidden="1">{"print 1.6",#N/A,FALSE,"Sheet1";"print 2.6",#N/A,FALSE,"Sheet1";"print 3.6",#N/A,FALSE,"Sheet1";"print 4.6",#N/A,FALSE,"Sheet1";"print 5.6",#N/A,FALSE,"Sheet1";"print 6.6",#N/A,FALSE,"Sheet1"}</definedName>
    <definedName name="asss" localSheetId="0" hidden="1">{"rtn",#N/A,FALSE,"RTN";"tables",#N/A,FALSE,"RTN";"cf",#N/A,FALSE,"CF";"stats",#N/A,FALSE,"Stats";"prop",#N/A,FALSE,"Prop"}</definedName>
    <definedName name="asss" hidden="1">{"rtn",#N/A,FALSE,"RTN";"tables",#N/A,FALSE,"RTN";"cf",#N/A,FALSE,"CF";"stats",#N/A,FALSE,"Stats";"prop",#N/A,FALSE,"Prop"}</definedName>
    <definedName name="b" localSheetId="0" hidden="1">{#N/A,#N/A,FALSE,"ExitStratigy"}</definedName>
    <definedName name="b" hidden="1">{#N/A,#N/A,FALSE,"ExitStratigy"}</definedName>
    <definedName name="BadDebt">#REF!</definedName>
    <definedName name="BadLink" hidden="1">#REF!</definedName>
    <definedName name="bb" localSheetId="0" hidden="1">{#N/A,#N/A,FALSE,"ExitStratigy"}</definedName>
    <definedName name="bb" hidden="1">{#N/A,#N/A,FALSE,"ExitStratigy"}</definedName>
    <definedName name="bbb" localSheetId="0" hidden="1">{#N/A,#N/A,FALSE,"ExitStratigy"}</definedName>
    <definedName name="bbb" hidden="1">{#N/A,#N/A,FALSE,"ExitStratigy"}</definedName>
    <definedName name="Beg_Bal">#REF!</definedName>
    <definedName name="CapEx_Total">'[4]Closing - RE Tax - Cap Ex'!$O$25</definedName>
    <definedName name="cc" localSheetId="0" hidden="1">{#N/A,#N/A,FALSE,"LoanAssumptions"}</definedName>
    <definedName name="cc" hidden="1">{#N/A,#N/A,FALSE,"LoanAssumptions"}</definedName>
    <definedName name="ccc" localSheetId="0" hidden="1">{#N/A,#N/A,FALSE,"LoanAssumptions"}</definedName>
    <definedName name="ccc" hidden="1">{#N/A,#N/A,FALSE,"LoanAssumptions"}</definedName>
    <definedName name="CFAD">#REF!</definedName>
    <definedName name="Concessions">#REF!</definedName>
    <definedName name="Consttype">[5]Dbase!$B$9</definedName>
    <definedName name="d" localSheetId="0" hidden="1">{#N/A,#N/A,FALSE,"LoanAssumptions"}</definedName>
    <definedName name="d" hidden="1">{#N/A,#N/A,FALSE,"LoanAssumptions"}</definedName>
    <definedName name="data" localSheetId="0" hidden="1">{"data",#N/A,FALSE,"INPUT"}</definedName>
    <definedName name="data" hidden="1">{"data",#N/A,FALSE,"INPUT"}</definedName>
    <definedName name="dd" localSheetId="0" hidden="1">{"MonthlyRentRoll",#N/A,FALSE,"RentRoll"}</definedName>
    <definedName name="dd" hidden="1">{"MonthlyRentRoll",#N/A,FALSE,"RentRoll"}</definedName>
    <definedName name="ddd" localSheetId="0" hidden="1">{"MonthlyRentRoll",#N/A,FALSE,"RentRoll"}</definedName>
    <definedName name="ddd" hidden="1">{"MonthlyRentRoll",#N/A,FALSE,"RentRoll"}</definedName>
    <definedName name="Debt_Calc1_Draw" hidden="1">[6]DebtSupport!$C$29</definedName>
    <definedName name="Debt_Calc1_End" hidden="1">[6]DebtSupport!$C$33</definedName>
    <definedName name="Debt_Calc1_IO" hidden="1">[6]DebtSupport!$C$30</definedName>
    <definedName name="Debt_Calc1_IsRefied" hidden="1">[6]DebtSupport!$C$34</definedName>
    <definedName name="Debt_Calc1_Maturity" hidden="1">[6]DebtSupport!$C$28</definedName>
    <definedName name="Debt_Calc1_Start" hidden="1">[6]DebtSupport!$C$26</definedName>
    <definedName name="Debt_Calc1_Term" hidden="1">[6]DebtSupport!$C$27</definedName>
    <definedName name="Debt_Calc1_Year" hidden="1">[6]DebtSupport!$C$39</definedName>
    <definedName name="Debt_Calc2_Draw" hidden="1">[6]DebtSupport!$D$29</definedName>
    <definedName name="Debt_Calc2_End" hidden="1">[6]DebtSupport!$D$33</definedName>
    <definedName name="Debt_Calc2_IO" hidden="1">[6]DebtSupport!$D$30</definedName>
    <definedName name="Debt_Calc2_IsRefied" hidden="1">[6]DebtSupport!$D$34</definedName>
    <definedName name="Debt_Calc2_Maturity" hidden="1">[6]DebtSupport!$D$28</definedName>
    <definedName name="Debt_Calc2_Start" hidden="1">[6]DebtSupport!$D$26</definedName>
    <definedName name="Debt_Calc2_Term" hidden="1">[6]DebtSupport!$D$27</definedName>
    <definedName name="Debt_Calc2_Year" hidden="1">[6]DebtSupport!$D$39</definedName>
    <definedName name="Debt_Calc3_Draw" hidden="1">[6]DebtSupport!$E$29</definedName>
    <definedName name="Debt_Calc3_End" hidden="1">[6]DebtSupport!$E$33</definedName>
    <definedName name="Debt_Calc3_IO" hidden="1">[6]DebtSupport!$E$30</definedName>
    <definedName name="Debt_Calc3_Maturity" hidden="1">[6]DebtSupport!$E$28</definedName>
    <definedName name="Debt_Calc3_Refi1" hidden="1">[6]DebtSupport!$E$36</definedName>
    <definedName name="Debt_Calc3_Refi2" hidden="1">[6]DebtSupport!$E$37</definedName>
    <definedName name="Debt_Calc3_Start" hidden="1">[6]DebtSupport!$E$26</definedName>
    <definedName name="Debt_Calc3_Term" hidden="1">[6]DebtSupport!$E$27</definedName>
    <definedName name="Debt_Calc3_Year" hidden="1">[6]DebtSupport!$E$39</definedName>
    <definedName name="Debt_CalcType4" hidden="1">[7]DebtValidation!$C$5</definedName>
    <definedName name="Debt_CalcType5" hidden="1">[7]DebtValidation!$C$6</definedName>
    <definedName name="Debt_FundType1" hidden="1">[6]DebtValidation!$E$2</definedName>
    <definedName name="Debt_FundType2" hidden="1">[6]DebtValidation!$E$3</definedName>
    <definedName name="Debt_FundType3" hidden="1">[6]DebtValidation!$E$4</definedName>
    <definedName name="DEBT_InitialBalance" hidden="1">#REF!</definedName>
    <definedName name="Debt_InitialBOPBalance" hidden="1">#REF!</definedName>
    <definedName name="DEBT_InitialCapital" hidden="1">#REF!</definedName>
    <definedName name="DEBT_InitialFunding" hidden="1">#REF!</definedName>
    <definedName name="DEBT_InitialInterest" hidden="1">#REF!</definedName>
    <definedName name="Debt_InitialLoanFee" hidden="1">#REF!</definedName>
    <definedName name="DEBT_InitialMaturity" hidden="1">#REF!</definedName>
    <definedName name="Debt_InitialPrepaymentFee" hidden="1">#REF!</definedName>
    <definedName name="DEBT_InitialPrincipal" hidden="1">#REF!</definedName>
    <definedName name="DEBT_InitialRefi" hidden="1">#REF!</definedName>
    <definedName name="Debt_InitialSeniorBalance" hidden="1">#REF!</definedName>
    <definedName name="Debt_InitialSeniorBOPBalance" hidden="1">#REF!</definedName>
    <definedName name="Debt_InitialSeniorInterest" hidden="1">#REF!</definedName>
    <definedName name="Debt_InitialSeniorPrincipal" hidden="1">#REF!</definedName>
    <definedName name="Debt_LoanType1" hidden="1">[6]DebtValidation!$A$2</definedName>
    <definedName name="Debt_LoanType2" hidden="1">[6]DebtValidation!$A$3</definedName>
    <definedName name="Debt_LoanType4" hidden="1">[6]DebtValidation!$A$5</definedName>
    <definedName name="DEBT_PaymentType1" hidden="1">[6]DebtValidation!$D$2</definedName>
    <definedName name="DEBT_PaymentType5" hidden="1">[6]DebtValidation!$D$3</definedName>
    <definedName name="Debt_PurchaseRange" hidden="1">0</definedName>
    <definedName name="Debt_Show1_AmortHC" hidden="1">[7]DebtSupport!$C$12</definedName>
    <definedName name="Debt_Show1_Amount" hidden="1">[6]DebtSupport!$C$6</definedName>
    <definedName name="Debt_Show1_CapEx" hidden="1">[6]DebtSupport!$C$3</definedName>
    <definedName name="Debt_Show1_FundMethod" hidden="1">[6]DebtSupport!$C$4</definedName>
    <definedName name="Debt_Show1_FundPercent" hidden="1">[6]DebtSupport!$C$7</definedName>
    <definedName name="Debt_Show1_Loan" hidden="1">[6]DebtSupport!$C$2</definedName>
    <definedName name="Debt_Show1_Rate" hidden="1">[6]DebtSupport!$C$9</definedName>
    <definedName name="Debt_Show2_AmortHC" hidden="1">[7]DebtSupport!$D$12</definedName>
    <definedName name="Debt_Show2_Amount" hidden="1">[6]DebtSupport!$D$6</definedName>
    <definedName name="Debt_Show2_CapEx" hidden="1">[6]DebtSupport!$D$3</definedName>
    <definedName name="Debt_Show2_FundMethod" hidden="1">[6]DebtSupport!$D$4</definedName>
    <definedName name="Debt_Show2_FundPercent" hidden="1">[6]DebtSupport!$D$7</definedName>
    <definedName name="Debt_Show2_Loan" hidden="1">[6]DebtSupport!$D$2</definedName>
    <definedName name="Debt_Show2_Rate" hidden="1">[6]DebtSupport!$D$9</definedName>
    <definedName name="Debt_Show3_AmortHC" hidden="1">[7]DebtSupport!$E$12</definedName>
    <definedName name="Debt_Show3_Amount" hidden="1">[6]DebtSupport!$E$6</definedName>
    <definedName name="Debt_Show3_CapEx" hidden="1">[6]DebtSupport!$E$3</definedName>
    <definedName name="Debt_Show3_FundMethod" hidden="1">[6]DebtSupport!$E$4</definedName>
    <definedName name="Debt_Show3_FundPercent" hidden="1">[6]DebtSupport!$E$7</definedName>
    <definedName name="Debt_Show3_Loan" hidden="1">[6]DebtSupport!$E$2</definedName>
    <definedName name="Debt_Show3_Rate" hidden="1">[6]DebtSupport!$E$9</definedName>
    <definedName name="Debt_Show3_Refi" hidden="1">[6]DebtSupport!$E$12</definedName>
    <definedName name="Debt_Show3_Refi1" hidden="1">[6]DebtSupport!$E$13</definedName>
    <definedName name="Debt_Show3_Refi2" hidden="1">[6]DebtSupport!$E$14</definedName>
    <definedName name="Debt_Yes" hidden="1">[6]DebtValidation!$K$2</definedName>
    <definedName name="Discount_Rate">#REF!</definedName>
    <definedName name="ee" localSheetId="0" hidden="1">{#N/A,#N/A,FALSE,"OperatingAssumptions"}</definedName>
    <definedName name="ee" hidden="1">{#N/A,#N/A,FALSE,"OperatingAssumptions"}</definedName>
    <definedName name="eee" localSheetId="0" hidden="1">{#N/A,#N/A,FALSE,"OperatingAssumptions"}</definedName>
    <definedName name="eee" hidden="1">{#N/A,#N/A,FALSE,"OperatingAssumptions"}</definedName>
    <definedName name="EffectiveIncome">#REF!</definedName>
    <definedName name="End_Bal">#REF!</definedName>
    <definedName name="Exit_Expense">[8]Growth!#REF!</definedName>
    <definedName name="Extra_Pay">#REF!</definedName>
    <definedName name="F" localSheetId="0" hidden="1">{#N/A,#N/A,FALSE,"Assumptions";#N/A,#N/A,FALSE,"Impact Assumptions";#N/A,#N/A,FALSE,"10-Yr - detail";#N/A,#N/A,FALSE,"1,5,10 yr comp";#N/A,#N/A,FALSE,"Lse-Exp.";#N/A,#N/A,FALSE,"Rent Roll";#N/A,#N/A,FALSE,"Historical (2)";#N/A,#N/A,FALSE,"RET's";#N/A,#N/A,FALSE,"Lease Rollover"}</definedName>
    <definedName name="F" hidden="1">{#N/A,#N/A,FALSE,"Assumptions";#N/A,#N/A,FALSE,"Impact Assumptions";#N/A,#N/A,FALSE,"10-Yr - detail";#N/A,#N/A,FALSE,"1,5,10 yr comp";#N/A,#N/A,FALSE,"Lse-Exp.";#N/A,#N/A,FALSE,"Rent Roll";#N/A,#N/A,FALSE,"Historical (2)";#N/A,#N/A,FALSE,"RET's";#N/A,#N/A,FALSE,"Lease Rollover"}</definedName>
    <definedName name="ff" localSheetId="0" hidden="1">{#N/A,#N/A,TRUE,"Summary";"AnnualRentRoll",#N/A,TRUE,"RentRoll";#N/A,#N/A,TRUE,"ExitStratigy";#N/A,#N/A,TRUE,"OperatingAssumptions"}</definedName>
    <definedName name="ff" hidden="1">{#N/A,#N/A,TRUE,"Summary";"AnnualRentRoll",#N/A,TRUE,"RentRoll";#N/A,#N/A,TRUE,"ExitStratigy";#N/A,#N/A,TRUE,"OperatingAssumptions"}</definedName>
    <definedName name="fff" localSheetId="0" hidden="1">{#N/A,#N/A,TRUE,"Summary";"AnnualRentRoll",#N/A,TRUE,"RentRoll";#N/A,#N/A,TRUE,"ExitStratigy";#N/A,#N/A,TRUE,"OperatingAssumptions"}</definedName>
    <definedName name="fff" hidden="1">{#N/A,#N/A,TRUE,"Summary";"AnnualRentRoll",#N/A,TRUE,"RentRoll";#N/A,#N/A,TRUE,"ExitStratigy";#N/A,#N/A,TRUE,"OperatingAssumptions"}</definedName>
    <definedName name="Franchise_Tax">'[4]Year-1 Proforma'!$J$34</definedName>
    <definedName name="fuckface" localSheetId="0"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ll_Print">#REF!</definedName>
    <definedName name="FullUnitsSC">[8]CAPEX!#REF!</definedName>
    <definedName name="GA">#REF!</definedName>
    <definedName name="gfd" localSheetId="0" hidden="1">{#N/A,#N/A,FALSE,"Cashflow Analysis";#N/A,#N/A,FALSE,"Sensitivity Analysis";#N/A,#N/A,FALSE,"PV";#N/A,#N/A,FALSE,"Pro Forma"}</definedName>
    <definedName name="gfd" hidden="1">{#N/A,#N/A,FALSE,"Cashflow Analysis";#N/A,#N/A,FALSE,"Sensitivity Analysis";#N/A,#N/A,FALSE,"PV";#N/A,#N/A,FALSE,"Pro Forma"}</definedName>
    <definedName name="gg" localSheetId="0" hidden="1">{#N/A,#N/A,FALSE,"PropertyInfo"}</definedName>
    <definedName name="gg" hidden="1">{#N/A,#N/A,FALSE,"PropertyInfo"}</definedName>
    <definedName name="ggg" localSheetId="0" hidden="1">{#N/A,#N/A,FALSE,"PropertyInfo"}</definedName>
    <definedName name="ggg" hidden="1">{#N/A,#N/A,FALSE,"PropertyInfo"}</definedName>
    <definedName name="GPR">#REF!</definedName>
    <definedName name="GrossRent">#REF!</definedName>
    <definedName name="GrossRevenue">#REF!</definedName>
    <definedName name="GroundRent">#REF!</definedName>
    <definedName name="h" localSheetId="0" hidden="1">{#N/A,#N/A,FALSE,"PropertyInfo"}</definedName>
    <definedName name="h" hidden="1">{#N/A,#N/A,FALSE,"PropertyInfo"}</definedName>
    <definedName name="H1OccUnit">#REF!</definedName>
    <definedName name="H2OccUnit">#REF!</definedName>
    <definedName name="H3OccUnit">#REF!</definedName>
    <definedName name="H4OccUnit">#REF!</definedName>
    <definedName name="Header_Row">ROW(#REF!)</definedName>
    <definedName name="hh" localSheetId="0" hidden="1">{#N/A,#N/A,FALSE,"Summary"}</definedName>
    <definedName name="hh" hidden="1">{#N/A,#N/A,FALSE,"Summary"}</definedName>
    <definedName name="hhh" localSheetId="0" hidden="1">{#N/A,#N/A,FALSE,"Summary"}</definedName>
    <definedName name="hhh" hidden="1">{#N/A,#N/A,FALSE,"Summary"}</definedName>
    <definedName name="huh" localSheetId="0" hidden="1">{#N/A,#N/A,FALSE,"Assumptions";#N/A,#N/A,FALSE,"Impact Assumptions";#N/A,#N/A,FALSE,"10-Yr - detail";#N/A,#N/A,FALSE,"1,5,10 yr comp";#N/A,#N/A,FALSE,"Lse-Exp.";#N/A,#N/A,FALSE,"Rent Roll";#N/A,#N/A,FALSE,"Historical (2)";#N/A,#N/A,FALSE,"RET's";#N/A,#N/A,FALSE,"Lease Rollover"}</definedName>
    <definedName name="huh" hidden="1">{#N/A,#N/A,FALSE,"Assumptions";#N/A,#N/A,FALSE,"Impact Assumptions";#N/A,#N/A,FALSE,"10-Yr - detail";#N/A,#N/A,FALSE,"1,5,10 yr comp";#N/A,#N/A,FALSE,"Lse-Exp.";#N/A,#N/A,FALSE,"Rent Roll";#N/A,#N/A,FALSE,"Historical (2)";#N/A,#N/A,FALSE,"RET's";#N/A,#N/A,FALSE,"Lease Rollover"}</definedName>
    <definedName name="INS">#REF!</definedName>
    <definedName name="Int">#REF!</definedName>
    <definedName name="Interest_Rate">#REF!</definedName>
    <definedName name="k" localSheetId="0" hidden="1">{#N/A,#N/A,FALSE,"Assumptions";#N/A,#N/A,FALSE,"Consol CF";#N/A,#N/A,FALSE,"matx B4 DS";#N/A,#N/A,FALSE,"Hacienda CF";#N/A,#N/A,FALSE,"matx B4 DS Hac";#N/A,#N/A,FALSE,"Chabot CF";#N/A,#N/A,FALSE,"matx B4 DS Chabot";#N/A,#N/A,FALSE,"Diablo CF";#N/A,#N/A,FALSE,"matx B4 DS Diablo"}</definedName>
    <definedName name="k" hidden="1">{#N/A,#N/A,FALSE,"Assumptions";#N/A,#N/A,FALSE,"Consol CF";#N/A,#N/A,FALSE,"matx B4 DS";#N/A,#N/A,FALSE,"Hacienda CF";#N/A,#N/A,FALSE,"matx B4 DS Hac";#N/A,#N/A,FALSE,"Chabot CF";#N/A,#N/A,FALSE,"matx B4 DS Chabot";#N/A,#N/A,FALSE,"Diablo CF";#N/A,#N/A,FALSE,"matx B4 DS Diablo"}</definedName>
    <definedName name="l" localSheetId="0" hidden="1">{#N/A,#N/A,FALSE,"Matrix";#N/A,#N/A,FALSE,"Cash Flow";#N/A,#N/A,FALSE,"10 Year Cost Analysis"}</definedName>
    <definedName name="l" hidden="1">{#N/A,#N/A,FALSE,"Matrix";#N/A,#N/A,FALSE,"Cash Flow";#N/A,#N/A,FALSE,"10 Year Cost Analysis"}</definedName>
    <definedName name="laj" localSheetId="0" hidden="1">{"Outflow 1",#N/A,FALSE,"Outflows-Inflows";"Outflow 2",#N/A,FALSE,"Outflows-Inflows";"Inflow 1",#N/A,FALSE,"Outflows-Inflows";"Inflow 2",#N/A,FALSE,"Outflows-Inflows"}</definedName>
    <definedName name="laj" hidden="1">{"Outflow 1",#N/A,FALSE,"Outflows-Inflows";"Outflow 2",#N/A,FALSE,"Outflows-Inflows";"Inflow 1",#N/A,FALSE,"Outflows-Inflows";"Inflow 2",#N/A,FALSE,"Outflows-Inflows"}</definedName>
    <definedName name="Last_Row" localSheetId="0">IF('Settlement Statement'!Values_Entered,Header_Row+'Settlement Statement'!Number_of_Payments,Header_Row)</definedName>
    <definedName name="Last_Row">IF(Values_Entered,Header_Row+Number_of_Payments,Header_Row)</definedName>
    <definedName name="LC">#REF!</definedName>
    <definedName name="Loan">#REF!</definedName>
    <definedName name="Loan_Amount">#REF!</definedName>
    <definedName name="Loan_Start">#REF!</definedName>
    <definedName name="Loan_Years">#REF!</definedName>
    <definedName name="LoanPSF">#REF!</definedName>
    <definedName name="m" localSheetId="0" hidden="1">{#N/A,#N/A,FALSE,"matx B4 DS";#N/A,#N/A,FALSE,"matx B4 DS Hac";#N/A,#N/A,FALSE,"matx B4 DS Chabot";#N/A,#N/A,FALSE,"matx B4 DS Diablo"}</definedName>
    <definedName name="m">{#N/A,#N/A,FALSE,"matx B4 DS";#N/A,#N/A,FALSE,"matx B4 DS Hac";#N/A,#N/A,FALSE,"matx B4 DS Chabot";#N/A,#N/A,FALSE,"matx B4 DS Diablo"}</definedName>
    <definedName name="ManagementFee">#REF!</definedName>
    <definedName name="ManPercent">#REF!</definedName>
    <definedName name="MgmtFee">'[4]Year-1 Proforma'!$J$33</definedName>
    <definedName name="Min_DSCR">[8]Dash!$C$73</definedName>
    <definedName name="Monthly_LIBOR" hidden="1">#REF!</definedName>
    <definedName name="Monthly_LIBOR_ROW" hidden="1">#REF!</definedName>
    <definedName name="MortgagePMT">#REF!</definedName>
    <definedName name="NCF">#REF!</definedName>
    <definedName name="NCF_6">#REF!</definedName>
    <definedName name="Net_Rentable_SF">[8]Dash!$C$10</definedName>
    <definedName name="new" localSheetId="0" hidden="1">{#N/A,#N/A,FALSE,"CF Consolidated 2";#N/A,#N/A,FALSE,"Retail Assump";#N/A,#N/A,FALSE,"CF Retail";#N/A,#N/A,FALSE,"Garage Assumpt 1";#N/A,#N/A,FALSE,"Garage Op Proj";#N/A,#N/A,FALSE,"Hist I&amp;E";#N/A,#N/A,FALSE,"Rent Roll";#N/A,#N/A,FALSE,"RE Taxes";#N/A,#N/A,FALSE,"CAM - BH";#N/A,#N/A,FALSE,"Comm.Condo CAM"}</definedName>
    <definedName name="new" hidden="1">{#N/A,#N/A,FALSE,"CF Consolidated 2";#N/A,#N/A,FALSE,"Retail Assump";#N/A,#N/A,FALSE,"CF Retail";#N/A,#N/A,FALSE,"Garage Assumpt 1";#N/A,#N/A,FALSE,"Garage Op Proj";#N/A,#N/A,FALSE,"Hist I&amp;E";#N/A,#N/A,FALSE,"Rent Roll";#N/A,#N/A,FALSE,"RE Taxes";#N/A,#N/A,FALSE,"CAM - BH";#N/A,#N/A,FALSE,"Comm.Condo CAM"}</definedName>
    <definedName name="NOI">#REF!</definedName>
    <definedName name="NOUNIT">#REF!</definedName>
    <definedName name="Num_Pmt_Per_Year">#REF!</definedName>
    <definedName name="Num_Units">[8]Dash!$C$9</definedName>
    <definedName name="Number_of_Payments" localSheetId="0">MATCH(0.01,End_Bal,-1)+1</definedName>
    <definedName name="Number_of_Payments">MATCH(0.01,End_Bal,-1)+1</definedName>
    <definedName name="OtherExp">#REF!</definedName>
    <definedName name="OtherIncome">#REF!</definedName>
    <definedName name="p" localSheetId="0" hidden="1">{#N/A,#N/A,FALSE,"Lse-ex";#N/A,#N/A,FALSE,"Rollover";#N/A,#N/A,FALSE,"Hist Sales";#N/A,#N/A,FALSE,"97 Occup Cst";#N/A,#N/A,FALSE,"Breakpoint";#N/A,#N/A,FALSE,"Rentroll";#N/A,#N/A,FALSE,"Hst I&amp;E";#N/A,#N/A,FALSE,"Owners";#N/A,#N/A,FALSE,"PROPS96";#N/A,#N/A,FALSE,"Props on mkt";#N/A,#N/A,FALSE,"Portfolios on mkt"}</definedName>
    <definedName name="p" hidden="1">{#N/A,#N/A,FALSE,"Lse-ex";#N/A,#N/A,FALSE,"Rollover";#N/A,#N/A,FALSE,"Hist Sales";#N/A,#N/A,FALSE,"97 Occup Cst";#N/A,#N/A,FALSE,"Breakpoint";#N/A,#N/A,FALSE,"Rentroll";#N/A,#N/A,FALSE,"Hst I&amp;E";#N/A,#N/A,FALSE,"Owners";#N/A,#N/A,FALSE,"PROPS96";#N/A,#N/A,FALSE,"Props on mkt";#N/A,#N/A,FALSE,"Portfolios on mkt"}</definedName>
    <definedName name="Param_BuildDate" hidden="1">#REF!</definedName>
    <definedName name="Param_BuildID" hidden="1">#REF!</definedName>
    <definedName name="Param_CashFlows" hidden="1">#REF!</definedName>
    <definedName name="Param_cBuildingID" hidden="1">#REF!</definedName>
    <definedName name="Param_Complete" hidden="1">#REF!</definedName>
    <definedName name="Param_Consolidated" hidden="1">#REF!</definedName>
    <definedName name="Param_CumRent" hidden="1">#REF!</definedName>
    <definedName name="Param_CurrentDate" hidden="1">#REF!</definedName>
    <definedName name="Param_Database" hidden="1">#REF!</definedName>
    <definedName name="Param_DLLVersion" hidden="1">#REF!</definedName>
    <definedName name="Param_DRCredit" hidden="1">#REF!</definedName>
    <definedName name="Param_DRNonCredit" hidden="1">#REF!</definedName>
    <definedName name="Param_ExcludeTenants" hidden="1">#REF!</definedName>
    <definedName name="Param_IncludeCPI" hidden="1">#REF!</definedName>
    <definedName name="Param_IncludePercentRent" hidden="1">#REF!</definedName>
    <definedName name="Param_IncludePW" hidden="1">#REF!</definedName>
    <definedName name="Param_Inclusion" hidden="1">#REF!</definedName>
    <definedName name="Param_LastDate" hidden="1">#REF!</definedName>
    <definedName name="Param_Markets" hidden="1">#REF!</definedName>
    <definedName name="Param_Properties" hidden="1">#REF!</definedName>
    <definedName name="Param_PVAbatement" hidden="1">#REF!</definedName>
    <definedName name="Param_RecDate" hidden="1">#REF!</definedName>
    <definedName name="Param_RentDate" hidden="1">#REF!</definedName>
    <definedName name="Param_RLAToolsVersion" hidden="1">#REF!</definedName>
    <definedName name="Param_SLAbatement" hidden="1">#REF!</definedName>
    <definedName name="Param_Start" hidden="1">#REF!</definedName>
    <definedName name="Param_Tenants" hidden="1">#REF!</definedName>
    <definedName name="Param_Term" hidden="1">#REF!</definedName>
    <definedName name="Param_UWDate" hidden="1">#REF!</definedName>
    <definedName name="Param_VacMarket" hidden="1">#REF!</definedName>
    <definedName name="Param_VacRenew" hidden="1">#REF!</definedName>
    <definedName name="Param_VacVacate" hidden="1">#REF!</definedName>
    <definedName name="Param_Version" hidden="1">#REF!</definedName>
    <definedName name="Parking">#REF!</definedName>
    <definedName name="PartialUnitsSC">[8]CAPEX!#REF!</definedName>
    <definedName name="Pay_Date">#REF!</definedName>
    <definedName name="Pay_Num">#REF!</definedName>
    <definedName name="Payment_Date" localSheetId="0">DATE(YEAR(Loan_Start),MONTH(Loan_Start)+Payment_Number,DAY(Loan_Start))</definedName>
    <definedName name="Payment_Date">DATE(YEAR(Loan_Start),MONTH(Loan_Start)+Payment_Number,DAY(Loan_Start))</definedName>
    <definedName name="Payments" localSheetId="0">MATCH(0.01,End_Bal,-1)+1</definedName>
    <definedName name="Payments">MATCH(0.01,End_Bal,-1)+1</definedName>
    <definedName name="PB">#REF!</definedName>
    <definedName name="PercentRent">#REF!</definedName>
    <definedName name="PercentVacancy">#REF!</definedName>
    <definedName name="PP">[9]Summary!$E$30</definedName>
    <definedName name="Princ">#REF!</definedName>
    <definedName name="_xlnm.Print_Area" localSheetId="6">'Construction Budget'!$A$1:$F$167</definedName>
    <definedName name="Print_Area_Reset" localSheetId="0">OFFSET(Full_Print,0,0,'Settlement Statement'!Last_Row)</definedName>
    <definedName name="Print_Area_Reset">OFFSET(Full_Print,0,0,Last_Row)</definedName>
    <definedName name="_xlnm.Print_Titles" localSheetId="6">'Construction Budget'!$1:$9</definedName>
    <definedName name="R_TASKLOG_Range" hidden="1">#REF!</definedName>
    <definedName name="Recoveries">#REF!</definedName>
    <definedName name="Refi_Date">[10]Dashboard!$C$54</definedName>
    <definedName name="RenoUnits">'[11]General Info'!$D$11</definedName>
    <definedName name="report" localSheetId="0" hidden="1">{#N/A,#N/A,FALSE,"Summary";#N/A,#N/A,FALSE,"Assumptions";#N/A,#N/A,FALSE,"Cash Flow";#N/A,#N/A,FALSE,"Residual Calculation";#N/A,#N/A,FALSE,"Pricing Matrix";#N/A,#N/A,FALSE,"Pricing Matrix II";#N/A,#N/A,FALSE,"Expiration Schedule"}</definedName>
    <definedName name="report" hidden="1">{#N/A,#N/A,FALSE,"Summary";#N/A,#N/A,FALSE,"Assumptions";#N/A,#N/A,FALSE,"Cash Flow";#N/A,#N/A,FALSE,"Residual Calculation";#N/A,#N/A,FALSE,"Pricing Matrix";#N/A,#N/A,FALSE,"Pricing Matrix II";#N/A,#N/A,FALSE,"Expiration Schedule"}</definedName>
    <definedName name="report1" localSheetId="0" hidden="1">{#N/A,#N/A,FALSE,"Summary";#N/A,#N/A,FALSE,"Assumptions";#N/A,#N/A,FALSE,"Cash Flow";#N/A,#N/A,FALSE,"Residual Calculation";#N/A,#N/A,FALSE,"Pricing Matrix";#N/A,#N/A,FALSE,"Pricing Matrix II";#N/A,#N/A,FALSE,"Expiration Schedule"}</definedName>
    <definedName name="report1" hidden="1">{#N/A,#N/A,FALSE,"Summary";#N/A,#N/A,FALSE,"Assumptions";#N/A,#N/A,FALSE,"Cash Flow";#N/A,#N/A,FALSE,"Residual Calculation";#N/A,#N/A,FALSE,"Pricing Matrix";#N/A,#N/A,FALSE,"Pricing Matrix II";#N/A,#N/A,FALSE,"Expiration Schedule"}</definedName>
    <definedName name="report5" localSheetId="0" hidden="1">{#N/A,#N/A,FALSE,"Summary";#N/A,#N/A,FALSE,"Assumptions";#N/A,#N/A,FALSE,"Cash Flow";#N/A,#N/A,FALSE,"Residual Calculation";#N/A,#N/A,FALSE,"Pricing Matrix";#N/A,#N/A,FALSE,"Pricing Matrix II";#N/A,#N/A,FALSE,"Expiration Schedule"}</definedName>
    <definedName name="report5" hidden="1">{#N/A,#N/A,FALSE,"Summary";#N/A,#N/A,FALSE,"Assumptions";#N/A,#N/A,FALSE,"Cash Flow";#N/A,#N/A,FALSE,"Residual Calculation";#N/A,#N/A,FALSE,"Pricing Matrix";#N/A,#N/A,FALSE,"Pricing Matrix II";#N/A,#N/A,FALSE,"Expiration Schedule"}</definedName>
    <definedName name="RLAINPUT_DebtLoan1CapEx" hidden="1">#REF!</definedName>
    <definedName name="RLAINPUT_DebtLoan1FixedPIPayment" hidden="1">#REF!</definedName>
    <definedName name="RLAINPUT_DebtLoan1Funding" hidden="1">#REF!,#REF!,#REF!</definedName>
    <definedName name="RLAINPUT_DebtLoan1Gen1" hidden="1">#REF!</definedName>
    <definedName name="RLAINPUT_DebtLoan1Gen2" hidden="1">#REF!</definedName>
    <definedName name="RLAINPUT_DebtLoan1Payment" hidden="1">#REF!</definedName>
    <definedName name="RLAINPUT_DebtLoan2CapEx" hidden="1">#REF!</definedName>
    <definedName name="RLAINPUT_DebtLoan2FixedPIPayment" hidden="1">#REF!</definedName>
    <definedName name="RLAINPUT_DebtLoan2Funding" hidden="1">#REF!,#REF!,#REF!</definedName>
    <definedName name="RLAINPUT_DebtLoan2Gen1" hidden="1">#REF!</definedName>
    <definedName name="RLAINPUT_DebtLoan2Gen2" hidden="1">#REF!</definedName>
    <definedName name="RLAINPUT_DebtLoan2Payment" hidden="1">#REF!</definedName>
    <definedName name="RLAINPUT_DebtLoan3CapEx" hidden="1">#REF!</definedName>
    <definedName name="RLAINPUT_DebtLoan3FixedPIPayment" hidden="1">#REF!</definedName>
    <definedName name="RLAINPUT_DebtLoan3Funding" hidden="1">#REF!,#REF!,#REF!</definedName>
    <definedName name="RLAINPUT_DebtLoan3Gen1" hidden="1">#REF!</definedName>
    <definedName name="RLAINPUT_DebtLoan3Gen2" hidden="1">#REF!</definedName>
    <definedName name="RLAINPUT_DebtLoan3Payment" hidden="1">#REF!</definedName>
    <definedName name="RLAINPUT_DebtRateIndex" hidden="1">#REF!</definedName>
    <definedName name="RLAINPUT_EquityCatchUp1" hidden="1">#REF!,#REF!</definedName>
    <definedName name="RLAINPUT_EquityCatchUp2" hidden="1">#REF!,#REF!</definedName>
    <definedName name="RLAINPUT_EquityCatchUp3" hidden="1">#REF!,#REF!</definedName>
    <definedName name="RLAINPUT_EquityInputs" hidden="1">#REF!,#REF!,#REF!</definedName>
    <definedName name="RLAINPUT_EquityPartnerNames" hidden="1">#REF!,#REF!</definedName>
    <definedName name="RLAINPUT_EquityPercent" hidden="1">#REF!</definedName>
    <definedName name="RLAINPUT_EquityRemainder" hidden="1">#REF!,#REF!</definedName>
    <definedName name="RLAINPUT_EquityTier1" hidden="1">#REF!,#REF!</definedName>
    <definedName name="RLAINPUT_EquityTier2" hidden="1">#REF!,#REF!,#REF!</definedName>
    <definedName name="RLAINPUT_EquityTier3" hidden="1">#REF!,#REF!,#REF!</definedName>
    <definedName name="RLAINPUT_ExecSumYears" hidden="1">#REF!</definedName>
    <definedName name="RLAINPUT_InPlaceRecovery" hidden="1">#REF!</definedName>
    <definedName name="RLAINPUT_InputDisp" hidden="1">#REF!</definedName>
    <definedName name="RLAINPUT_Inputs" hidden="1">#REF!</definedName>
    <definedName name="RLAINPUT_Loan3Refi" hidden="1">#REF!,#REF!,#REF!</definedName>
    <definedName name="RM">#REF!</definedName>
    <definedName name="RR">#REF!</definedName>
    <definedName name="RUBS_YR1">[10]Dashboard!$G$44</definedName>
    <definedName name="RUBS_YR2">[10]Dashboard!$I$44</definedName>
    <definedName name="RUBS_YR3">[8]Growth!$G$23</definedName>
    <definedName name="RUBS_YR4">[10]Dashboard!$M$44</definedName>
    <definedName name="RUBS_YR5">[10]Dashboard!$O$44</definedName>
    <definedName name="RUBS_YR6">[10]Dashboard!$Q$44</definedName>
    <definedName name="saa" localSheetId="0" hidden="1">{"rtn",#N/A,FALSE,"RTN";"tables",#N/A,FALSE,"RTN";"cf",#N/A,FALSE,"CF";"stats",#N/A,FALSE,"Stats";"prop",#N/A,FALSE,"Prop"}</definedName>
    <definedName name="saa" hidden="1">{"rtn",#N/A,FALSE,"RTN";"tables",#N/A,FALSE,"RTN";"cf",#N/A,FALSE,"CF";"stats",#N/A,FALSE,"Stats";"prop",#N/A,FALSE,"Prop"}</definedName>
    <definedName name="sas" localSheetId="0" hidden="1">{"Outflow 1",#N/A,FALSE,"Outflows-Inflows";"Outflow 2",#N/A,FALSE,"Outflows-Inflows";"Inflow 1",#N/A,FALSE,"Outflows-Inflows";"Inflow 2",#N/A,FALSE,"Outflows-Inflows"}</definedName>
    <definedName name="sas" hidden="1">{"Outflow 1",#N/A,FALSE,"Outflows-Inflows";"Outflow 2",#N/A,FALSE,"Outflows-Inflows";"Inflow 1",#N/A,FALSE,"Outflows-Inflows";"Inflow 2",#N/A,FALSE,"Outflows-Inflows"}</definedName>
    <definedName name="Sched_Pay">#REF!</definedName>
    <definedName name="Scheduled_Extra_Payments">#REF!</definedName>
    <definedName name="Scheduled_Interest_Rate">#REF!</definedName>
    <definedName name="Scheduled_Monthly_Payment">#REF!</definedName>
    <definedName name="sdfass" localSheetId="0" hidden="1">{"Outflow 1",#N/A,FALSE,"Outflows-Inflows";"Outflow 2",#N/A,FALSE,"Outflows-Inflows";"Inflow 1",#N/A,FALSE,"Outflows-Inflows";"Inflow 2",#N/A,FALSE,"Outflows-Inflows"}</definedName>
    <definedName name="sdfass" hidden="1">{"Outflow 1",#N/A,FALSE,"Outflows-Inflows";"Outflow 2",#N/A,FALSE,"Outflows-Inflows";"Inflow 1",#N/A,FALSE,"Outflows-Inflows";"Inflow 2",#N/A,FALSE,"Outflows-Inflows"}</definedName>
    <definedName name="sf">#REF!</definedName>
    <definedName name="Spread">#REF!</definedName>
    <definedName name="SQFT">#REF!</definedName>
    <definedName name="SSO" localSheetId="0"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UMMARY_AcquisitionDate" hidden="1">#REF!</definedName>
    <definedName name="SUMMARY_AsOfDate" hidden="1">#REF!</definedName>
    <definedName name="SUMMARY_AssetName" hidden="1">#REF!</definedName>
    <definedName name="SUMMARY_AssetType" hidden="1">#REF!</definedName>
    <definedName name="SUMMARY_ExitDate" hidden="1">#REF!</definedName>
    <definedName name="SUMMARY_Funds" hidden="1">#REF!</definedName>
    <definedName name="SUMMARY_ModelDescription" hidden="1">#REF!</definedName>
    <definedName name="SUMMARY_SalesPrice" hidden="1">#REF!</definedName>
    <definedName name="SUMMARY_SalesPricePSF" hidden="1">#REF!</definedName>
    <definedName name="SWAP">#REF!</definedName>
    <definedName name="T12_RUBS">'[4]Year-1 Proforma'!$E$15</definedName>
    <definedName name="TAX">#REF!</definedName>
    <definedName name="Tax_Estimate">'[4]Closing - RE Tax - Cap Ex'!$J$1</definedName>
    <definedName name="TC">[9]Summary!$E$36</definedName>
    <definedName name="TI">#REF!</definedName>
    <definedName name="Total_Interest">#REF!</definedName>
    <definedName name="Total_Pay">#REF!</definedName>
    <definedName name="Total_Payment" localSheetId="0">Scheduled_Payment+Extra_Payment</definedName>
    <definedName name="Total_Payment">Scheduled_Payment+Extra_Payment</definedName>
    <definedName name="TotalExpenses">#REF!</definedName>
    <definedName name="TotalRevenue">#REF!</definedName>
    <definedName name="trial" localSheetId="0" hidden="1">{"Outflow 1",#N/A,FALSE,"Outflows-Inflows";"Outflow 2",#N/A,FALSE,"Outflows-Inflows";"Inflow 1",#N/A,FALSE,"Outflows-Inflows";"Inflow 2",#N/A,FALSE,"Outflows-Inflows"}</definedName>
    <definedName name="trial" hidden="1">{"Outflow 1",#N/A,FALSE,"Outflows-Inflows";"Outflow 2",#N/A,FALSE,"Outflows-Inflows";"Inflow 1",#N/A,FALSE,"Outflows-Inflows";"Inflow 2",#N/A,FALSE,"Outflows-Inflows"}</definedName>
    <definedName name="UnitCount">'[11]General Info'!$D$10</definedName>
    <definedName name="UNITS">[9]Summary!$D$19</definedName>
    <definedName name="UST">#REF!</definedName>
    <definedName name="Utilities">#REF!</definedName>
    <definedName name="UWOccUnit">#REF!</definedName>
    <definedName name="Vacancy">#REF!</definedName>
    <definedName name="value1" localSheetId="0" hidden="1">{#N/A,#N/A,FALSE,"Cashflow Analysis";#N/A,#N/A,FALSE,"Sensitivity Analysis";#N/A,#N/A,FALSE,"PV";#N/A,#N/A,FALSE,"Pro Forma"}</definedName>
    <definedName name="value1" hidden="1">{#N/A,#N/A,FALSE,"Cashflow Analysis";#N/A,#N/A,FALSE,"Sensitivity Analysis";#N/A,#N/A,FALSE,"PV";#N/A,#N/A,FALSE,"Pro Forma"}</definedName>
    <definedName name="Values_Entered" localSheetId="0">IF(Loan_Amount*Interest_Rate*Loan_Years*Loan_Start&gt;0,1,0)</definedName>
    <definedName name="Values_Entered">IF(Loan_Amount*Interest_Rate*Loan_Years*Loan_Start&gt;0,1,0)</definedName>
    <definedName name="vBroker_vs_v1" hidden="1">'[1]1999 BUDGET'!#REF!</definedName>
    <definedName name="vj" localSheetId="0"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wrn.275PricingBook." localSheetId="0"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0"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36._.Month._.Financial._.Recap." localSheetId="0" hidden="1">{#N/A,#N/A,FALSE,"Recap"}</definedName>
    <definedName name="wrn.36._.Month._.Financial._.Recap." hidden="1">{#N/A,#N/A,FALSE,"Recap"}</definedName>
    <definedName name="wrn.36._.Month._.Pro._.Forma." localSheetId="0" hidden="1">{#N/A,#N/A,FALSE,"36MoProForma";#N/A,#N/A,FALSE,"Recap"}</definedName>
    <definedName name="wrn.36._.Month._.Pro._.Forma." hidden="1">{#N/A,#N/A,FALSE,"36MoProForma";#N/A,#N/A,FALSE,"Recap"}</definedName>
    <definedName name="wrn.Acq._.Model." localSheetId="0" hidden="1">{"RTN",#N/A,FALSE,"RTN";"Inc Stmt",#N/A,FALSE,"Inc Stmt";"Stats",#N/A,FALSE,"Stats";"Rnds",#N/A,FALSE,"Rnds";"Capx",#N/A,FALSE,"CapX";"Dues",#N/A,FALSE,"Dues";"Hist",#N/A,FALSE,"Hist";"Rev1",#N/A,FALSE,"Rev";"Rev2",#N/A,FALSE,"Rev";"Exp",#N/A,FALSE,"Exp";"Rounds",#N/A,FALSE,"Rounds";"Cap Imp",#N/A,FALSE,"Cap Imp"}</definedName>
    <definedName name="wrn.Acq._.Model." hidden="1">{"RTN",#N/A,FALSE,"RTN";"Inc Stmt",#N/A,FALSE,"Inc Stmt";"Stats",#N/A,FALSE,"Stats";"Rnds",#N/A,FALSE,"Rnds";"Capx",#N/A,FALSE,"CapX";"Dues",#N/A,FALSE,"Dues";"Hist",#N/A,FALSE,"Hist";"Rev1",#N/A,FALSE,"Rev";"Rev2",#N/A,FALSE,"Rev";"Exp",#N/A,FALSE,"Exp";"Rounds",#N/A,FALSE,"Rounds";"Cap Imp",#N/A,FALSE,"Cap Imp"}</definedName>
    <definedName name="wrn.Acquisition._.Model." localSheetId="0" hidden="1">{"Return",#N/A,FALSE,"RTN";"Inc Stmt",#N/A,FALSE,"Inc Stmt";"Stats",#N/A,FALSE,"Stats";"Rnds",#N/A,FALSE,"Rnds";"Dues",#N/A,FALSE,"Dues";"Capx",#N/A,FALSE,"CapX";"History",#N/A,FALSE,"Hist";"Rev",#N/A,FALSE,"Rev";"Expenses",#N/A,FALSE,"Exp";"Rounds",#N/A,FALSE,"Rounds";"Capex",#N/A,FALSE,"Capex"}</definedName>
    <definedName name="wrn.Acquisition._.Model." hidden="1">{"Return",#N/A,FALSE,"RTN";"Inc Stmt",#N/A,FALSE,"Inc Stmt";"Stats",#N/A,FALSE,"Stats";"Rnds",#N/A,FALSE,"Rnds";"Dues",#N/A,FALSE,"Dues";"Capx",#N/A,FALSE,"CapX";"History",#N/A,FALSE,"Hist";"Rev",#N/A,FALSE,"Rev";"Expenses",#N/A,FALSE,"Exp";"Rounds",#N/A,FALSE,"Rounds";"Capex",#N/A,FALSE,"Capex"}</definedName>
    <definedName name="wrn.All._.Schedules." localSheetId="0"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nnualRentRoll." localSheetId="0" hidden="1">{"AnnualRentRoll",#N/A,FALSE,"RentRoll"}</definedName>
    <definedName name="wrn.AnnualRentRoll." hidden="1">{"AnnualRentRoll",#N/A,FALSE,"RentRoll"}</definedName>
    <definedName name="wrn.Assumption._.Recap._.Sheet." localSheetId="0" hidden="1">{#N/A,#N/A,FALSE,"AssumpRecap"}</definedName>
    <definedName name="wrn.Assumption._.Recap._.Sheet." hidden="1">{#N/A,#N/A,FALSE,"AssumpRecap"}</definedName>
    <definedName name="wrn.BATON._.ROUGE._.1996._.CAP._.EX." localSheetId="0" hidden="1">{#N/A,#N/A,FALSE,"BATCAPX";#N/A,#N/A,FALSE,"GR&amp;CORR TOTALS";#N/A,#N/A,FALSE,"LUX  KING FF&amp;E";#N/A,#N/A,FALSE,"LUX KING GC";#N/A,#N/A,FALSE,"TYP DBL FF&amp;E ";#N/A,#N/A,FALSE,"TYP DBL GC ";#N/A,#N/A,FALSE,"PETITE W-SOFA FF&amp;E";#N/A,#N/A,FALSE,"PETITE W-SOFA GC";#N/A,#N/A,FALSE,"TYP KING FF&amp;E";#N/A,#N/A,FALSE,"TYP KING GC";#N/A,#N/A,FALSE,"EXEC KING FF&amp;E";#N/A,#N/A,FALSE,"EXEC KING GC";#N/A,#N/A,FALSE,"TOWNHS PARLOR FF&amp;E";#N/A,#N/A,FALSE,"TOWNHS PARLOR GC";#N/A,#N/A,FALSE,"LUX K PAR FF&amp;E ";#N/A,#N/A,FALSE,"LUX K PAR GC ";#N/A,#N/A,FALSE,"PRES SUITE FF&amp;E";#N/A,#N/A,FALSE,"PRES SUITE GC";#N/A,#N/A,FALSE,"CONC LOUNGE FF&amp;E";#N/A,#N/A,FALSE,"CONC LOUNGE GC";#N/A,#N/A,FALSE,"ADA GR  FF&amp;E ";#N/A,#N/A,FALSE,"ADA GR GC ";#N/A,#N/A,FALSE,"GUEST COR FF&amp;E ";#N/A,#N/A,FALSE,"GUEST  CORR GC";#N/A,#N/A,FALSE,"2ND FLR BANQ FF&amp;E L";#N/A,#N/A,FALSE,"2ND FLR BANQ GC L";#N/A,#N/A,FALSE,"2ND FLR BANQ FF&amp;E S";#N/A,#N/A,FALSE,"2ND FLR BANQ GC S"}</definedName>
    <definedName name="wrn.BATON._.ROUGE._.1996._.CAP._.EX." hidden="1">{#N/A,#N/A,FALSE,"BATCAPX";#N/A,#N/A,FALSE,"GR&amp;CORR TOTALS";#N/A,#N/A,FALSE,"LUX  KING FF&amp;E";#N/A,#N/A,FALSE,"LUX KING GC";#N/A,#N/A,FALSE,"TYP DBL FF&amp;E ";#N/A,#N/A,FALSE,"TYP DBL GC ";#N/A,#N/A,FALSE,"PETITE W-SOFA FF&amp;E";#N/A,#N/A,FALSE,"PETITE W-SOFA GC";#N/A,#N/A,FALSE,"TYP KING FF&amp;E";#N/A,#N/A,FALSE,"TYP KING GC";#N/A,#N/A,FALSE,"EXEC KING FF&amp;E";#N/A,#N/A,FALSE,"EXEC KING GC";#N/A,#N/A,FALSE,"TOWNHS PARLOR FF&amp;E";#N/A,#N/A,FALSE,"TOWNHS PARLOR GC";#N/A,#N/A,FALSE,"LUX K PAR FF&amp;E ";#N/A,#N/A,FALSE,"LUX K PAR GC ";#N/A,#N/A,FALSE,"PRES SUITE FF&amp;E";#N/A,#N/A,FALSE,"PRES SUITE GC";#N/A,#N/A,FALSE,"CONC LOUNGE FF&amp;E";#N/A,#N/A,FALSE,"CONC LOUNGE GC";#N/A,#N/A,FALSE,"ADA GR  FF&amp;E ";#N/A,#N/A,FALSE,"ADA GR GC ";#N/A,#N/A,FALSE,"GUEST COR FF&amp;E ";#N/A,#N/A,FALSE,"GUEST  CORR GC";#N/A,#N/A,FALSE,"2ND FLR BANQ FF&amp;E L";#N/A,#N/A,FALSE,"2ND FLR BANQ GC L";#N/A,#N/A,FALSE,"2ND FLR BANQ FF&amp;E S";#N/A,#N/A,FALSE,"2ND FLR BANQ GC S"}</definedName>
    <definedName name="wrn.BlackWhite." localSheetId="0" hidden="1">{#N/A,#N/A,FALSE,"NNN sum";#N/A,#N/A,FALSE,"10-yr Opt. A Sum";#N/A,#N/A,FALSE,"10-yr Opt A Other Costs";#N/A,#N/A,FALSE,"Purchase Sum";#N/A,#N/A,FALSE,"Purchase Other Costs"}</definedName>
    <definedName name="wrn.BlackWhite." hidden="1">{#N/A,#N/A,FALSE,"NNN sum";#N/A,#N/A,FALSE,"10-yr Opt. A Sum";#N/A,#N/A,FALSE,"10-yr Opt A Other Costs";#N/A,#N/A,FALSE,"Purchase Sum";#N/A,#N/A,FALSE,"Purchase Other Costs"}</definedName>
    <definedName name="wrn.BlackWhite5" localSheetId="0" hidden="1">{#N/A,#N/A,FALSE,"NNN sum";#N/A,#N/A,FALSE,"10-yr Opt. A Sum";#N/A,#N/A,FALSE,"10-yr Opt A Other Costs";#N/A,#N/A,FALSE,"Purchase Sum";#N/A,#N/A,FALSE,"Purchase Other Costs"}</definedName>
    <definedName name="wrn.BlackWhite5" hidden="1">{#N/A,#N/A,FALSE,"NNN sum";#N/A,#N/A,FALSE,"10-yr Opt. A Sum";#N/A,#N/A,FALSE,"10-yr Opt A Other Costs";#N/A,#N/A,FALSE,"Purchase Sum";#N/A,#N/A,FALSE,"Purchase Other Costs"}</definedName>
    <definedName name="wrn.Bonds." localSheetId="0" hidden="1">{#N/A,#N/A,FALSE,"Bonds - Consol";#N/A,#N/A,FALSE,"Bonds - Lakes";#N/A,#N/A,FALSE,"Bonds - Chabot";#N/A,#N/A,FALSE,"Bonds - Diablo"}</definedName>
    <definedName name="wrn.Bonds." hidden="1">{#N/A,#N/A,FALSE,"Bonds - Consol";#N/A,#N/A,FALSE,"Bonds - Lakes";#N/A,#N/A,FALSE,"Bonds - Chabot";#N/A,#N/A,FALSE,"Bonds - Diablo"}</definedName>
    <definedName name="wrn.Capx." localSheetId="0" hidden="1">{"Capx/exp",#N/A,FALSE,"CapX"}</definedName>
    <definedName name="wrn.Capx." hidden="1">{"Capx/exp",#N/A,FALSE,"CapX"}</definedName>
    <definedName name="wrn.Cash._.Flow._.and._.Matrix." localSheetId="0" hidden="1">{#N/A,#N/A,FALSE,"Matrix";#N/A,#N/A,FALSE,"Cash Flow";#N/A,#N/A,FALSE,"10 Year Cost Analysis"}</definedName>
    <definedName name="wrn.Cash._.Flow._.and._.Matrix." hidden="1">{#N/A,#N/A,FALSE,"Matrix";#N/A,#N/A,FALSE,"Cash Flow";#N/A,#N/A,FALSE,"10 Year Cost Analysis"}</definedName>
    <definedName name="wrn.CASH._.FLOWS._.ONLY." localSheetId="0"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omplete._.Package." localSheetId="0" hidden="1">{"Summary Including DHC",#N/A,TRUE,"SUMMARY";"Financial Assumptions",#N/A,TRUE,"Financial Assumptions";"Sources &amp; Uses",#N/A,TRUE,"Financial Assumptions";"History &amp; Projection",#N/A,TRUE,"History - Proforma"}</definedName>
    <definedName name="wrn.Complete._.Package." hidden="1">{"Summary Including DHC",#N/A,TRUE,"SUMMARY";"Financial Assumptions",#N/A,TRUE,"Financial Assumptions";"Sources &amp; Uses",#N/A,TRUE,"Financial Assumptions";"History &amp; Projection",#N/A,TRUE,"History - Proforma"}</definedName>
    <definedName name="wrn.Complete._.Review." localSheetId="0" hidden="1">{#N/A,#N/A,FALSE,"Occ and Rate";#N/A,#N/A,FALSE,"PF Input";#N/A,#N/A,FALSE,"Capital Input";#N/A,#N/A,FALSE,"Proforma Five Yr";#N/A,#N/A,FALSE,"Calculations";#N/A,#N/A,FALSE,"Transaction Summary-DTW"}</definedName>
    <definedName name="wrn.Complete._.Review." hidden="1">{#N/A,#N/A,FALSE,"Occ and Rate";#N/A,#N/A,FALSE,"PF Input";#N/A,#N/A,FALSE,"Capital Input";#N/A,#N/A,FALSE,"Proforma Five Yr";#N/A,#N/A,FALSE,"Calculations";#N/A,#N/A,FALSE,"Transaction Summary-DTW"}</definedName>
    <definedName name="wrn.data." localSheetId="0" hidden="1">{"data",#N/A,FALSE,"INPUT"}</definedName>
    <definedName name="wrn.data." hidden="1">{"data",#N/A,FALSE,"INPUT"}</definedName>
    <definedName name="wrn.data5" localSheetId="0" hidden="1">{"data",#N/A,FALSE,"INPUT"}</definedName>
    <definedName name="wrn.data5" hidden="1">{"data",#N/A,FALSE,"INPUT"}</definedName>
    <definedName name="wrn.DEDUCT_INTEREST." localSheetId="0" hidden="1">{"DEDUCTIBLE INT RECAP",#N/A,FALSE,"Recap"}</definedName>
    <definedName name="wrn.DEDUCT_INTEREST." hidden="1">{"DEDUCTIBLE INT RECAP",#N/A,FALSE,"Recap"}</definedName>
    <definedName name="wrn.Detailed._.Partnership._.Returns._.Leveraged." localSheetId="0" hidden="1">{"Return Analysis - Leveraged",#N/A,FALSE,"Return Analysis - Leveraged"}</definedName>
    <definedName name="wrn.Detailed._.Partnership._.Returns._.Leveraged." hidden="1">{"Return Analysis - Leveraged",#N/A,FALSE,"Return Analysis - Leveraged"}</definedName>
    <definedName name="wrn.Detailed._.Unit._.Mix._.Sheet." localSheetId="0" hidden="1">{#N/A,#N/A,FALSE,"Unit Mix"}</definedName>
    <definedName name="wrn.Detailed._.Unit._.Mix._.Sheet." hidden="1">{#N/A,#N/A,FALSE,"Unit Mix"}</definedName>
    <definedName name="wrn.development._.budget._.detail." localSheetId="0" hidden="1">{"Detail Development Cost Summary",#N/A,FALSE,"Cost Sum"}</definedName>
    <definedName name="wrn.development._.budget._.detail." hidden="1">{"Detail Development Cost Summary",#N/A,FALSE,"Cost Sum"}</definedName>
    <definedName name="wrn.Exhibits." localSheetId="0" hidden="1">{#N/A,#N/A,FALSE,"Historical";#N/A,#N/A,FALSE,"Adjusted";#N/A,#N/A,FALSE,"CAM Alloc.";#N/A,#N/A,FALSE,"Projected CAM"}</definedName>
    <definedName name="wrn.Exhibits." hidden="1">{#N/A,#N/A,FALSE,"Historical";#N/A,#N/A,FALSE,"Adjusted";#N/A,#N/A,FALSE,"CAM Alloc.";#N/A,#N/A,FALSE,"Projected CAM"}</definedName>
    <definedName name="wrn.ExitAndSalesAssumptions." localSheetId="0" hidden="1">{#N/A,#N/A,FALSE,"ExitStratigy"}</definedName>
    <definedName name="wrn.ExitAndSalesAssumptions." hidden="1">{#N/A,#N/A,FALSE,"ExitStratigy"}</definedName>
    <definedName name="wrn.FINANCE._.PACKAGE._.ALL._.PAGES." localSheetId="0" hidden="1">{#N/A,#N/A,FALSE,"Deal Structure";#N/A,#N/A,FALSE,"AssumpRecap";"Dev Cost Sum and Yield",#N/A,FALSE,"Cost Sum";"Equity, LTV and loan calc",#N/A,FALSE,"Cost Sum";#N/A,#N/A,FALSE,"SalesWaterfall";"Detail Development Cost Summary",#N/A,FALSE,"Cost Sum";#N/A,#N/A,FALSE,"Unit Mix";#N/A,#N/A,FALSE,"Oper Exp";"Recap",#N/A,FALSE,"Recap";#N/A,#N/A,FALSE,"36MoProForma"}</definedName>
    <definedName name="wrn.FINANCE._.PACKAGE._.ALL._.PAGES." hidden="1">{#N/A,#N/A,FALSE,"Deal Structure";#N/A,#N/A,FALSE,"AssumpRecap";"Dev Cost Sum and Yield",#N/A,FALSE,"Cost Sum";"Equity, LTV and loan calc",#N/A,FALSE,"Cost Sum";#N/A,#N/A,FALSE,"SalesWaterfall";"Detail Development Cost Summary",#N/A,FALSE,"Cost Sum";#N/A,#N/A,FALSE,"Unit Mix";#N/A,#N/A,FALSE,"Oper Exp";"Recap",#N/A,FALSE,"Recap";#N/A,#N/A,FALSE,"36MoProForma"}</definedName>
    <definedName name="wrn.Garage." localSheetId="0" hidden="1">{#N/A,#N/A,FALSE,"Garage Assumpt 1";#N/A,#N/A,FALSE,"Garage Op Proj";#N/A,#N/A,FALSE,"Hist I&amp;E";#N/A,#N/A,FALSE,"Garage Lease"}</definedName>
    <definedName name="wrn.Garage." hidden="1">{#N/A,#N/A,FALSE,"Garage Assumpt 1";#N/A,#N/A,FALSE,"Garage Op Proj";#N/A,#N/A,FALSE,"Hist I&amp;E";#N/A,#N/A,FALSE,"Garage Lease"}</definedName>
    <definedName name="wrn.GSA._.PRINT." localSheetId="0" hidden="1">{#N/A,#N/A,FALSE,"DEV COSTS";#N/A,#N/A,FALSE,"10-YR C. F."}</definedName>
    <definedName name="wrn.GSA._.PRINT." hidden="1">{#N/A,#N/A,FALSE,"DEV COSTS";#N/A,#N/A,FALSE,"10-YR C. F."}</definedName>
    <definedName name="wrn.gsa._PRINT5" localSheetId="0" hidden="1">{#N/A,#N/A,FALSE,"DEV COSTS";#N/A,#N/A,FALSE,"10-YR C. F."}</definedName>
    <definedName name="wrn.gsa._PRINT5" hidden="1">{#N/A,#N/A,FALSE,"DEV COSTS";#N/A,#N/A,FALSE,"10-YR C. F."}</definedName>
    <definedName name="wrn.Hist._.InE." localSheetId="0"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0"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y._.Proforma." localSheetId="0" hidden="1">{"History &amp; Projection",#N/A,FALSE,"History - Proforma"}</definedName>
    <definedName name="wrn.History._.Proforma." hidden="1">{"History &amp; Projection",#N/A,FALSE,"History - Proforma"}</definedName>
    <definedName name="wrn.Income._.Statements." localSheetId="0"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put._.page." localSheetId="0" hidden="1">{"Input page",#N/A,FALSE,"Inputs"}</definedName>
    <definedName name="wrn.Input._.page." hidden="1">{"Input page",#N/A,FALSE,"Inputs"}</definedName>
    <definedName name="wrn.Investment._.Review." localSheetId="0" hidden="1">{#N/A,#N/A,FALSE,"Proforma Five Yr";#N/A,#N/A,FALSE,"Capital Input";#N/A,#N/A,FALSE,"Calculations";#N/A,#N/A,FALSE,"Transaction Summary-DTW"}</definedName>
    <definedName name="wrn.Investment._.Review." hidden="1">{#N/A,#N/A,FALSE,"Proforma Five Yr";#N/A,#N/A,FALSE,"Capital Input";#N/A,#N/A,FALSE,"Calculations";#N/A,#N/A,FALSE,"Transaction Summary-DTW"}</definedName>
    <definedName name="wrn.LoanInformation." localSheetId="0" hidden="1">{#N/A,#N/A,FALSE,"LoanAssumptions"}</definedName>
    <definedName name="wrn.LoanInformation." hidden="1">{#N/A,#N/A,FALSE,"LoanAssumptions"}</definedName>
    <definedName name="wrn.MATRICES._.and._.CFs." localSheetId="0"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0"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odel." localSheetId="0" hidden="1">{"Investor",#N/A,FALSE,"Model";"Property",#N/A,FALSE,"Model";"Incentive Taxes",#N/A,FALSE,"Model"}</definedName>
    <definedName name="wrn.Model." hidden="1">{"Investor",#N/A,FALSE,"Model";"Property",#N/A,FALSE,"Model";"Incentive Taxes",#N/A,FALSE,"Model"}</definedName>
    <definedName name="wrn.MODEL5" localSheetId="0" hidden="1">{"IS",#N/A,FALSE,"Income Statement";"ISR",#N/A,FALSE,"Income Statement Ratios";"BS",#N/A,FALSE,"Balance Sheet";"BSR",#N/A,FALSE,"Balance Sheet Ratios";"CF",#N/A,FALSE,"Cash Flow";"SALES",#N/A,FALSE,"Sales Analysis";"RR",#N/A,FALSE,"Recent Results"}</definedName>
    <definedName name="wrn.MODEL5" hidden="1">{"IS",#N/A,FALSE,"Income Statement";"ISR",#N/A,FALSE,"Income Statement Ratios";"BS",#N/A,FALSE,"Balance Sheet";"BSR",#N/A,FALSE,"Balance Sheet Ratios";"CF",#N/A,FALSE,"Cash Flow";"SALES",#N/A,FALSE,"Sales Analysis";"RR",#N/A,FALSE,"Recent Results"}</definedName>
    <definedName name="wrn.MonthlyRentRoll." localSheetId="0" hidden="1">{"MonthlyRentRoll",#N/A,FALSE,"RentRoll"}</definedName>
    <definedName name="wrn.MonthlyRentRoll." hidden="1">{"MonthlyRentRoll",#N/A,FALSE,"RentRoll"}</definedName>
    <definedName name="wrn.Operating._.Expenses._.Sheets." localSheetId="0" hidden="1">{#N/A,#N/A,FALSE,"Oper Exp"}</definedName>
    <definedName name="wrn.Operating._.Expenses._.Sheets." hidden="1">{#N/A,#N/A,FALSE,"Oper Exp"}</definedName>
    <definedName name="wrn.OperatingAssumtions." localSheetId="0" hidden="1">{#N/A,#N/A,FALSE,"OperatingAssumptions"}</definedName>
    <definedName name="wrn.OperatingAssumtions." hidden="1">{#N/A,#N/A,FALSE,"OperatingAssumptions"}</definedName>
    <definedName name="wrn.Operations._.Review." localSheetId="0" hidden="1">{#N/A,#N/A,FALSE,"Proforma Five Yr";#N/A,#N/A,FALSE,"Occ and Rate";#N/A,#N/A,FALSE,"PF Input";#N/A,#N/A,FALSE,"Hotcomps"}</definedName>
    <definedName name="wrn.Operations._.Review." hidden="1">{#N/A,#N/A,FALSE,"Proforma Five Yr";#N/A,#N/A,FALSE,"Occ and Rate";#N/A,#N/A,FALSE,"PF Input";#N/A,#N/A,FALSE,"Hotcomps"}</definedName>
    <definedName name="wrn.Phase._.I." localSheetId="0" hidden="1">{#N/A,#N/A,FALSE,"Transaction Summary-DTW";#N/A,#N/A,FALSE,"Proforma Five Yr";#N/A,#N/A,FALSE,"Occ and Rate"}</definedName>
    <definedName name="wrn.Phase._.I." hidden="1">{#N/A,#N/A,FALSE,"Transaction Summary-DTW";#N/A,#N/A,FALSE,"Proforma Five Yr";#N/A,#N/A,FALSE,"Occ and Rate"}</definedName>
    <definedName name="wrn.Presentation." localSheetId="0"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0" hidden="1">{#N/A,#N/A,TRUE,"Cover";#N/A,#N/A,TRUE,"Stack";#N/A,#N/A,TRUE,"Cost S";#N/A,#N/A,TRUE,"Financing";#N/A,#N/A,TRUE," CF";#N/A,#N/A,TRUE,"CF Mnthly";#N/A,#N/A,TRUE,"CF assum";#N/A,#N/A,TRUE,"Unit Sales";#N/A,#N/A,TRUE,"REV";#N/A,#N/A,TRUE,"Bdgt Backup"}</definedName>
    <definedName name="wrn.Print." hidden="1">{#N/A,#N/A,TRUE,"Cover";#N/A,#N/A,TRUE,"Stack";#N/A,#N/A,TRUE,"Cost S";#N/A,#N/A,TRUE,"Financing";#N/A,#N/A,TRUE," CF";#N/A,#N/A,TRUE,"CF Mnthly";#N/A,#N/A,TRUE,"CF assum";#N/A,#N/A,TRUE,"Unit Sales";#N/A,#N/A,TRUE,"REV";#N/A,#N/A,TRUE,"Bdgt Backup"}</definedName>
    <definedName name="wrn.Print._.4." localSheetId="0" hidden="1">{"Outflow 1",#N/A,FALSE,"Outflows-Inflows";"Outflow 2",#N/A,FALSE,"Outflows-Inflows";"Inflow 1",#N/A,FALSE,"Outflows-Inflows";"Inflow 2",#N/A,FALSE,"Outflows-Inflows"}</definedName>
    <definedName name="wrn.Print._.4." hidden="1">{"Outflow 1",#N/A,FALSE,"Outflows-Inflows";"Outflow 2",#N/A,FALSE,"Outflows-Inflows";"Inflow 1",#N/A,FALSE,"Outflows-Inflows";"Inflow 2",#N/A,FALSE,"Outflows-Inflows"}</definedName>
    <definedName name="wrn.Print._.6." localSheetId="0" hidden="1">{"print 1.6",#N/A,FALSE,"Sheet1";"print 2.6",#N/A,FALSE,"Sheet1";"print 3.6",#N/A,FALSE,"Sheet1";"print 4.6",#N/A,FALSE,"Sheet1";"print 5.6",#N/A,FALSE,"Sheet1";"print 6.6",#N/A,FALSE,"Sheet1"}</definedName>
    <definedName name="wrn.Print._.6." hidden="1">{"print 1.6",#N/A,FALSE,"Sheet1";"print 2.6",#N/A,FALSE,"Sheet1";"print 3.6",#N/A,FALSE,"Sheet1";"print 4.6",#N/A,FALSE,"Sheet1";"print 5.6",#N/A,FALSE,"Sheet1";"print 6.6",#N/A,FALSE,"Sheet1"}</definedName>
    <definedName name="wrn.print2." localSheetId="0" hidden="1">{"Assump",#N/A,TRUE,"Proforma";"first",#N/A,TRUE,"Proforma";"second",#N/A,TRUE,"Proforma";"lease1",#N/A,TRUE,"Proforma";"lease2",#N/A,TRUE,"Proforma"}</definedName>
    <definedName name="wrn.print2." hidden="1">{"Assump",#N/A,TRUE,"Proforma";"first",#N/A,TRUE,"Proforma";"second",#N/A,TRUE,"Proforma";"lease1",#N/A,TRUE,"Proforma";"lease2",#N/A,TRUE,"Proforma"}</definedName>
    <definedName name="wrn.print5" localSheetId="0" hidden="1">{"Assump",#N/A,TRUE,"Proforma";"first",#N/A,TRUE,"Proforma";"second",#N/A,TRUE,"Proforma";"lease1",#N/A,TRUE,"Proforma";"lease2",#N/A,TRUE,"Proforma"}</definedName>
    <definedName name="wrn.print5" hidden="1">{"Assump",#N/A,TRUE,"Proforma";"first",#N/A,TRUE,"Proforma";"second",#N/A,TRUE,"Proforma";"lease1",#N/A,TRUE,"Proforma";"lease2",#N/A,TRUE,"Proforma"}</definedName>
    <definedName name="wrn.Proforma." localSheetId="0" hidden="1">{"Proforma - Dollars",#N/A,FALSE,"Proforma"}</definedName>
    <definedName name="wrn.Proforma." hidden="1">{"Proforma - Dollars",#N/A,FALSE,"Proforma"}</definedName>
    <definedName name="wrn.Proforma._.Review." localSheetId="0" hidden="1">{#N/A,#N/A,FALSE,"Occ and Rate";#N/A,#N/A,FALSE,"PF Input";#N/A,#N/A,FALSE,"Proforma Five Yr";#N/A,#N/A,FALSE,"Hotcomps"}</definedName>
    <definedName name="wrn.Proforma._.Review." hidden="1">{#N/A,#N/A,FALSE,"Occ and Rate";#N/A,#N/A,FALSE,"PF Input";#N/A,#N/A,FALSE,"Proforma Five Yr";#N/A,#N/A,FALSE,"Hotcomps"}</definedName>
    <definedName name="wrn.PropertyInformation." localSheetId="0" hidden="1">{#N/A,#N/A,FALSE,"PropertyInfo"}</definedName>
    <definedName name="wrn.PropertyInformation." hidden="1">{#N/A,#N/A,FALSE,"PropertyInfo"}</definedName>
    <definedName name="wrn.recap_at_sale." localSheetId="0" hidden="1">{"Recap at sale",#N/A,FALSE,"Recap"}</definedName>
    <definedName name="wrn.recap_at_sale." hidden="1">{"Recap at sale",#N/A,FALSE,"Recap"}</definedName>
    <definedName name="wrn.Report." localSheetId="0" hidden="1">{#N/A,#N/A,FALSE,"Summary";#N/A,#N/A,FALSE,"Assumptions";#N/A,#N/A,FALSE,"Cash Flow";#N/A,#N/A,FALSE,"Residual Calculation";#N/A,#N/A,FALSE,"Pricing Matrix";#N/A,#N/A,FALSE,"Pricing Matrix II";#N/A,#N/A,FALSE,"Expiration Schedule"}</definedName>
    <definedName name="wrn.Report." hidden="1">{#N/A,#N/A,FALSE,"Summary";#N/A,#N/A,FALSE,"Assumptions";#N/A,#N/A,FALSE,"Cash Flow";#N/A,#N/A,FALSE,"Residual Calculation";#N/A,#N/A,FALSE,"Pricing Matrix";#N/A,#N/A,FALSE,"Pricing Matrix II";#N/A,#N/A,FALSE,"Expiration Schedule"}</definedName>
    <definedName name="wrn.Report1." localSheetId="0" hidden="1">{#N/A,#N/A,FALSE,"Summary";#N/A,#N/A,FALSE,"Assumptions";#N/A,#N/A,FALSE,"Cash Flow";#N/A,#N/A,FALSE,"Residual Calculation";#N/A,#N/A,FALSE,"Pricing Matrix";#N/A,#N/A,FALSE,"Pricing Matrix II";#N/A,#N/A,FALSE,"Expiration Schedule"}</definedName>
    <definedName name="wrn.Report1." hidden="1">{#N/A,#N/A,FALSE,"Summary";#N/A,#N/A,FALSE,"Assumptions";#N/A,#N/A,FALSE,"Cash Flow";#N/A,#N/A,FALSE,"Residual Calculation";#N/A,#N/A,FALSE,"Pricing Matrix";#N/A,#N/A,FALSE,"Pricing Matrix II";#N/A,#N/A,FALSE,"Expiration Schedule"}</definedName>
    <definedName name="wrn.Report5" localSheetId="0" hidden="1">{#N/A,#N/A,FALSE,"Summary";#N/A,#N/A,FALSE,"Assumptions";#N/A,#N/A,FALSE,"Cash Flow";#N/A,#N/A,FALSE,"Residual Calculation";#N/A,#N/A,FALSE,"Pricing Matrix";#N/A,#N/A,FALSE,"Pricing Matrix II";#N/A,#N/A,FALSE,"Expiration Schedule"}</definedName>
    <definedName name="wrn.Report5" hidden="1">{#N/A,#N/A,FALSE,"Summary";#N/A,#N/A,FALSE,"Assumptions";#N/A,#N/A,FALSE,"Cash Flow";#N/A,#N/A,FALSE,"Residual Calculation";#N/A,#N/A,FALSE,"Pricing Matrix";#N/A,#N/A,FALSE,"Pricing Matrix II";#N/A,#N/A,FALSE,"Expiration Schedule"}</definedName>
    <definedName name="wrn.Sale._.Computation._.Sheets." localSheetId="0" hidden="1">{#N/A,#N/A,FALSE,"SalesWaterfall"}</definedName>
    <definedName name="wrn.Sale._.Computation._.Sheets." hidden="1">{#N/A,#N/A,FALSE,"SalesWaterfall"}</definedName>
    <definedName name="wrn.Schedules." localSheetId="0"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_.Print." localSheetId="0" hidden="1">{#N/A,#N/A,FALSE,"Cover";#N/A,#N/A,FALSE,"Stack";#N/A,#N/A,FALSE,"Cost S";#N/A,#N/A,FALSE," CF";#N/A,#N/A,FALSE,"Investor"}</definedName>
    <definedName name="wrn.Short._.Print." hidden="1">{#N/A,#N/A,FALSE,"Cover";#N/A,#N/A,FALSE,"Stack";#N/A,#N/A,FALSE,"Cost S";#N/A,#N/A,FALSE," CF";#N/A,#N/A,FALSE,"Investor"}</definedName>
    <definedName name="wrn.Summary." localSheetId="0" hidden="1">{#N/A,#N/A,FALSE,"Summary"}</definedName>
    <definedName name="wrn.Summary." hidden="1">{#N/A,#N/A,FALSE,"Summary"}</definedName>
    <definedName name="wrn.Summary._.Excluding._.DHC." localSheetId="0" hidden="1">{"Summary Excluding DHC",#N/A,FALSE,"SUMMARY"}</definedName>
    <definedName name="wrn.Summary._.Excluding._.DHC." hidden="1">{"Summary Excluding DHC",#N/A,FALSE,"SUMMARY"}</definedName>
    <definedName name="wrn.Summary._.Including._.DHC." localSheetId="0" hidden="1">{"Summary Including DHC",#N/A,FALSE,"SUMMARY"}</definedName>
    <definedName name="wrn.Summary._.Including._.DHC." hidden="1">{"Summary Including DHC",#N/A,FALSE,"SUMMARY"}</definedName>
    <definedName name="wrn.Total." localSheetId="0" hidden="1">{#N/A,#N/A,FALSE,"Exec Sum";#N/A,#N/A,FALSE,"Rent Rate Comp";#N/A,#N/A,FALSE,"Rate, NPV Comp";#N/A,#N/A,FALSE,"Opt A NNN";#N/A,#N/A,FALSE,"15-yr Opt. A Sum";#N/A,#N/A,FALSE,"15-yr Opt A Other Costs";#N/A,#N/A,FALSE,"10-yr Opt. A Sum";#N/A,#N/A,FALSE,"10-yr Opt A Other Costs";#N/A,#N/A,FALSE,"NPV Calc"}</definedName>
    <definedName name="wrn.Total." hidden="1">{#N/A,#N/A,FALSE,"Exec Sum";#N/A,#N/A,FALSE,"Rent Rate Comp";#N/A,#N/A,FALSE,"Rate, NPV Comp";#N/A,#N/A,FALSE,"Opt A NNN";#N/A,#N/A,FALSE,"15-yr Opt. A Sum";#N/A,#N/A,FALSE,"15-yr Opt A Other Costs";#N/A,#N/A,FALSE,"10-yr Opt. A Sum";#N/A,#N/A,FALSE,"10-yr Opt A Other Costs";#N/A,#N/A,FALSE,"NPV Calc"}</definedName>
    <definedName name="wrn.TOTAL._.SHEETS." localSheetId="0" hidden="1">{#N/A,#N/A,FALSE,"DEV COSTS";#N/A,#N/A,FALSE,"10-YR C. F."}</definedName>
    <definedName name="wrn.TOTAL._.SHEETS." hidden="1">{#N/A,#N/A,FALSE,"DEV COSTS";#N/A,#N/A,FALSE,"10-YR C. F."}</definedName>
    <definedName name="wrn.TOTAL._.SHEETS5" localSheetId="0" hidden="1">{#N/A,#N/A,FALSE,"DEV COSTS";#N/A,#N/A,FALSE,"10-YR C. F."}</definedName>
    <definedName name="wrn.TOTAL._.SHEETS5" hidden="1">{#N/A,#N/A,FALSE,"DEV COSTS";#N/A,#N/A,FALSE,"10-YR C. F."}</definedName>
    <definedName name="wrn.Total5" localSheetId="0" hidden="1">{#N/A,#N/A,FALSE,"Exec Sum";#N/A,#N/A,FALSE,"Rent Rate Comp";#N/A,#N/A,FALSE,"Rate, NPV Comp";#N/A,#N/A,FALSE,"Opt A NNN";#N/A,#N/A,FALSE,"15-yr Opt. A Sum";#N/A,#N/A,FALSE,"15-yr Opt A Other Costs";#N/A,#N/A,FALSE,"10-yr Opt. A Sum";#N/A,#N/A,FALSE,"10-yr Opt A Other Costs";#N/A,#N/A,FALSE,"NPV Calc"}</definedName>
    <definedName name="wrn.Total5" hidden="1">{#N/A,#N/A,FALSE,"Exec Sum";#N/A,#N/A,FALSE,"Rent Rate Comp";#N/A,#N/A,FALSE,"Rate, NPV Comp";#N/A,#N/A,FALSE,"Opt A NNN";#N/A,#N/A,FALSE,"15-yr Opt. A Sum";#N/A,#N/A,FALSE,"15-yr Opt A Other Costs";#N/A,#N/A,FALSE,"10-yr Opt. A Sum";#N/A,#N/A,FALSE,"10-yr Opt A Other Costs";#N/A,#N/A,FALSE,"NPV Calc"}</definedName>
    <definedName name="wrn.Tycon._.Model." localSheetId="0" hidden="1">{"rtn",#N/A,FALSE,"RTN";"tables",#N/A,FALSE,"RTN";"cf",#N/A,FALSE,"CF";"stats",#N/A,FALSE,"Stats";"prop",#N/A,FALSE,"Prop"}</definedName>
    <definedName name="wrn.Tycon._.Model." hidden="1">{"rtn",#N/A,FALSE,"RTN";"tables",#N/A,FALSE,"RTN";"cf",#N/A,FALSE,"CF";"stats",#N/A,FALSE,"Stats";"prop",#N/A,FALSE,"Prop"}</definedName>
    <definedName name="wrn.Value." localSheetId="0" hidden="1">{#N/A,#N/A,FALSE,"Cashflow Analysis";#N/A,#N/A,FALSE,"Sensitivity Analysis";#N/A,#N/A,FALSE,"PV";#N/A,#N/A,FALSE,"Pro Forma"}</definedName>
    <definedName name="wrn.Value." hidden="1">{#N/A,#N/A,FALSE,"Cashflow Analysis";#N/A,#N/A,FALSE,"Sensitivity Analysis";#N/A,#N/A,FALSE,"PV";#N/A,#N/A,FALSE,"Pro Forma"}</definedName>
    <definedName name="x" localSheetId="0" hidden="1">{#N/A,#N/A,FALSE,"Cashflow Analysis";#N/A,#N/A,FALSE,"Sensitivity Analysis";#N/A,#N/A,FALSE,"PV";#N/A,#N/A,FALSE,"Pro Forma"}</definedName>
    <definedName name="x" hidden="1">{#N/A,#N/A,FALSE,"Cashflow Analysis";#N/A,#N/A,FALSE,"Sensitivity Analysis";#N/A,#N/A,FALSE,"PV";#N/A,#N/A,FALSE,"Pro Forma"}</definedName>
    <definedName name="Year1_Turns">[8]Growth!$E$28</definedName>
    <definedName name="Year2_Turns">[8]Growth!$F$28</definedName>
    <definedName name="Year3_Turns">[8]Growth!$G$28</definedName>
    <definedName name="Year4_Turns">[8]Growth!$H$28</definedName>
    <definedName name="Year5_Turns">[8]Growth!$I$28</definedName>
    <definedName name="zzz" localSheetId="0" hidden="1">{"Outflow 1",#N/A,FALSE,"Outflows-Inflows";"Outflow 2",#N/A,FALSE,"Outflows-Inflows";"Inflow 1",#N/A,FALSE,"Outflows-Inflows";"Inflow 2",#N/A,FALSE,"Outflows-Inflows"}</definedName>
    <definedName name="zzz" hidden="1">{"Outflow 1",#N/A,FALSE,"Outflows-Inflows";"Outflow 2",#N/A,FALSE,"Outflows-Inflows";"Inflow 1",#N/A,FALSE,"Outflows-Inflows";"Inflow 2",#N/A,FALSE,"Outflows-Inflows"}</definedName>
    <definedName name="zzzz" localSheetId="0" hidden="1">{"AnnualRentRoll",#N/A,FALSE,"RentRoll"}</definedName>
    <definedName name="zzzz" hidden="1">{"AnnualRentRoll",#N/A,FALSE,"RentRoll"}</definedName>
    <definedName name="zzzzzz" localSheetId="0" hidden="1">{"AnnualRentRoll",#N/A,FALSE,"RentRoll"}</definedName>
    <definedName name="zzzzzz" hidden="1">{"AnnualRentRoll",#N/A,FALSE,"RentRoll"}</definedName>
  </definedNames>
  <calcPr calcId="191029" iterate="1"/>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2" l="1"/>
  <c r="F21" i="2" s="1"/>
  <c r="F15" i="2"/>
  <c r="D30" i="8" l="1"/>
  <c r="D31" i="8"/>
  <c r="D32" i="8"/>
  <c r="C38" i="8" l="1"/>
  <c r="D36" i="8"/>
  <c r="D34" i="8"/>
  <c r="D35" i="8"/>
  <c r="D19" i="8"/>
  <c r="C18" i="8"/>
  <c r="F17" i="2"/>
  <c r="F11" i="2"/>
  <c r="M5" i="3"/>
  <c r="M1" i="3"/>
  <c r="M3" i="3" s="1"/>
  <c r="C82" i="8"/>
  <c r="D82" i="8"/>
  <c r="D83" i="8" l="1"/>
  <c r="D20" i="8"/>
  <c r="D29" i="8" l="1"/>
  <c r="D168" i="6"/>
  <c r="D161" i="6"/>
  <c r="E160" i="6"/>
  <c r="E161" i="6" s="1"/>
  <c r="E157" i="6"/>
  <c r="D156" i="6"/>
  <c r="D158" i="6" s="1"/>
  <c r="E155" i="6"/>
  <c r="E158" i="6" s="1"/>
  <c r="E152" i="6"/>
  <c r="E151" i="6"/>
  <c r="E153" i="6" s="1"/>
  <c r="D150" i="6"/>
  <c r="D153" i="6" s="1"/>
  <c r="D147" i="6"/>
  <c r="D146" i="6"/>
  <c r="D145" i="6"/>
  <c r="D144" i="6"/>
  <c r="E143" i="6"/>
  <c r="E148" i="6" s="1"/>
  <c r="D142" i="6"/>
  <c r="D141" i="6"/>
  <c r="D140" i="6"/>
  <c r="E138" i="6"/>
  <c r="D137" i="6"/>
  <c r="D138" i="6" s="1"/>
  <c r="D134" i="6"/>
  <c r="D135" i="6" s="1"/>
  <c r="E133" i="6"/>
  <c r="E132" i="6"/>
  <c r="E135" i="6" s="1"/>
  <c r="D124" i="6"/>
  <c r="E123" i="6"/>
  <c r="E124" i="6" s="1"/>
  <c r="D121" i="6"/>
  <c r="E120" i="6"/>
  <c r="E119" i="6"/>
  <c r="E118" i="6"/>
  <c r="D116" i="6"/>
  <c r="E115" i="6"/>
  <c r="E114" i="6"/>
  <c r="E113" i="6"/>
  <c r="E110" i="6"/>
  <c r="E109" i="6"/>
  <c r="D108" i="6"/>
  <c r="E108" i="6" s="1"/>
  <c r="E107" i="6"/>
  <c r="E106" i="6"/>
  <c r="E103" i="6"/>
  <c r="E102" i="6"/>
  <c r="E101" i="6"/>
  <c r="E100" i="6"/>
  <c r="D100" i="6"/>
  <c r="D104" i="6" s="1"/>
  <c r="D98" i="6"/>
  <c r="E97" i="6"/>
  <c r="E96" i="6"/>
  <c r="E95" i="6"/>
  <c r="D93" i="6"/>
  <c r="E92" i="6"/>
  <c r="E93" i="6" s="1"/>
  <c r="D90" i="6"/>
  <c r="E89" i="6"/>
  <c r="E90" i="6" s="1"/>
  <c r="D87" i="6"/>
  <c r="E86" i="6"/>
  <c r="E85" i="6"/>
  <c r="E84" i="6"/>
  <c r="D82" i="6"/>
  <c r="E81" i="6"/>
  <c r="E80" i="6"/>
  <c r="D78" i="6"/>
  <c r="E77" i="6"/>
  <c r="E76" i="6"/>
  <c r="D74" i="6"/>
  <c r="E73" i="6"/>
  <c r="E72" i="6"/>
  <c r="E71" i="6"/>
  <c r="D69" i="6"/>
  <c r="E68" i="6"/>
  <c r="E67" i="6"/>
  <c r="E69" i="6" s="1"/>
  <c r="D65" i="6"/>
  <c r="E64" i="6"/>
  <c r="E63" i="6"/>
  <c r="D61" i="6"/>
  <c r="E60" i="6"/>
  <c r="E59" i="6"/>
  <c r="E58" i="6"/>
  <c r="E57" i="6"/>
  <c r="E56" i="6"/>
  <c r="E55" i="6"/>
  <c r="E54" i="6"/>
  <c r="D52" i="6"/>
  <c r="E51" i="6"/>
  <c r="E50" i="6"/>
  <c r="D48" i="6"/>
  <c r="E47" i="6"/>
  <c r="E46" i="6"/>
  <c r="E45" i="6"/>
  <c r="E44" i="6"/>
  <c r="E43" i="6"/>
  <c r="E42" i="6"/>
  <c r="D40" i="6"/>
  <c r="E39" i="6"/>
  <c r="E40" i="6" s="1"/>
  <c r="D37" i="6"/>
  <c r="E36" i="6"/>
  <c r="E35" i="6"/>
  <c r="E34" i="6"/>
  <c r="E33" i="6"/>
  <c r="E30" i="6"/>
  <c r="E29" i="6"/>
  <c r="E28" i="6"/>
  <c r="E27" i="6"/>
  <c r="E26" i="6"/>
  <c r="D25" i="6"/>
  <c r="D31" i="6" s="1"/>
  <c r="D23" i="6"/>
  <c r="E22" i="6"/>
  <c r="E21" i="6"/>
  <c r="E20" i="6"/>
  <c r="E19" i="6"/>
  <c r="E18" i="6"/>
  <c r="D16" i="6"/>
  <c r="E15" i="6"/>
  <c r="E14" i="6"/>
  <c r="E13" i="6"/>
  <c r="E16" i="6" l="1"/>
  <c r="E78" i="6"/>
  <c r="E23" i="6"/>
  <c r="E52" i="6"/>
  <c r="E82" i="6"/>
  <c r="E104" i="6"/>
  <c r="E116" i="6"/>
  <c r="E98" i="6"/>
  <c r="E87" i="6"/>
  <c r="E65" i="6"/>
  <c r="D39" i="8"/>
  <c r="C40" i="8" s="1"/>
  <c r="C42" i="8" s="1"/>
  <c r="C86" i="8" s="1"/>
  <c r="M4" i="3" s="1"/>
  <c r="D148" i="6"/>
  <c r="E48" i="6"/>
  <c r="E37" i="6"/>
  <c r="E61" i="6"/>
  <c r="E74" i="6"/>
  <c r="E121" i="6"/>
  <c r="E111" i="6"/>
  <c r="D126" i="6"/>
  <c r="D163" i="6"/>
  <c r="E25" i="6"/>
  <c r="E31" i="6" s="1"/>
  <c r="D111" i="6"/>
  <c r="D127" i="6" l="1"/>
  <c r="D128" i="6" s="1"/>
  <c r="E126" i="6"/>
  <c r="E127" i="6" s="1"/>
  <c r="E128" i="6" s="1"/>
  <c r="D164" i="6"/>
  <c r="D165" i="6" s="1"/>
  <c r="E163" i="6"/>
  <c r="E164" i="6" s="1"/>
  <c r="E165" i="6" s="1"/>
  <c r="E168" i="6" l="1"/>
  <c r="E166" i="6"/>
  <c r="D166" i="6"/>
  <c r="D169" i="6" s="1"/>
  <c r="G7" i="4" l="1"/>
  <c r="G6" i="4"/>
  <c r="G5" i="4"/>
  <c r="C18" i="4"/>
  <c r="C10" i="4"/>
  <c r="C79" i="2"/>
  <c r="C78" i="2"/>
  <c r="F55" i="2"/>
  <c r="C32" i="2"/>
  <c r="C46" i="2" s="1"/>
  <c r="F33" i="2"/>
  <c r="C19" i="2"/>
  <c r="F20" i="2"/>
  <c r="F62" i="2"/>
  <c r="F69" i="2"/>
  <c r="F22" i="2" l="1"/>
  <c r="F35" i="2"/>
  <c r="F34" i="2" l="1"/>
  <c r="G8" i="2" l="1"/>
  <c r="L1" i="3"/>
  <c r="L3" i="3" s="1"/>
  <c r="K1" i="3"/>
  <c r="K3" i="3" s="1"/>
  <c r="J1" i="3"/>
  <c r="J3" i="3" s="1"/>
  <c r="I1" i="3"/>
  <c r="I3" i="3" s="1"/>
  <c r="H1" i="3"/>
  <c r="H3" i="3" s="1"/>
  <c r="G1" i="3"/>
  <c r="G3" i="3" s="1"/>
  <c r="F1" i="3"/>
  <c r="F3" i="3" s="1"/>
  <c r="E1" i="3"/>
  <c r="E3" i="3" s="1"/>
  <c r="D1" i="3"/>
  <c r="D3" i="3" s="1"/>
  <c r="C1" i="3"/>
  <c r="O5" i="2"/>
  <c r="O6" i="2" s="1"/>
  <c r="M5" i="2"/>
  <c r="M6" i="2" s="1"/>
  <c r="BG17" i="2" l="1"/>
  <c r="AY17" i="2"/>
  <c r="AQ17" i="2"/>
  <c r="AI17" i="2"/>
  <c r="AA17" i="2"/>
  <c r="S17" i="2"/>
  <c r="K17" i="2"/>
  <c r="BI11" i="2"/>
  <c r="BA11" i="2"/>
  <c r="AS11" i="2"/>
  <c r="AK11" i="2"/>
  <c r="AC11" i="2"/>
  <c r="U11" i="2"/>
  <c r="M11" i="2"/>
  <c r="BF17" i="2"/>
  <c r="AX17" i="2"/>
  <c r="AP17" i="2"/>
  <c r="AH17" i="2"/>
  <c r="Z17" i="2"/>
  <c r="R17" i="2"/>
  <c r="J17" i="2"/>
  <c r="BH11" i="2"/>
  <c r="AZ11" i="2"/>
  <c r="AR11" i="2"/>
  <c r="AJ11" i="2"/>
  <c r="AB11" i="2"/>
  <c r="T11" i="2"/>
  <c r="L11" i="2"/>
  <c r="AJ17" i="2"/>
  <c r="AL11" i="2"/>
  <c r="BE17" i="2"/>
  <c r="AW17" i="2"/>
  <c r="AO17" i="2"/>
  <c r="AG17" i="2"/>
  <c r="Y17" i="2"/>
  <c r="Q17" i="2"/>
  <c r="I17" i="2"/>
  <c r="BG11" i="2"/>
  <c r="AY11" i="2"/>
  <c r="AQ11" i="2"/>
  <c r="AI11" i="2"/>
  <c r="AA11" i="2"/>
  <c r="S11" i="2"/>
  <c r="K11" i="2"/>
  <c r="AR17" i="2"/>
  <c r="AT11" i="2"/>
  <c r="BD17" i="2"/>
  <c r="AV17" i="2"/>
  <c r="AN17" i="2"/>
  <c r="AF17" i="2"/>
  <c r="X17" i="2"/>
  <c r="P17" i="2"/>
  <c r="H17" i="2"/>
  <c r="BF11" i="2"/>
  <c r="AX11" i="2"/>
  <c r="AP11" i="2"/>
  <c r="AH11" i="2"/>
  <c r="Z11" i="2"/>
  <c r="R11" i="2"/>
  <c r="J11" i="2"/>
  <c r="AZ17" i="2"/>
  <c r="AB17" i="2"/>
  <c r="BB11" i="2"/>
  <c r="N11" i="2"/>
  <c r="BK17" i="2"/>
  <c r="BC17" i="2"/>
  <c r="AU17" i="2"/>
  <c r="AM17" i="2"/>
  <c r="AE17" i="2"/>
  <c r="W17" i="2"/>
  <c r="O17" i="2"/>
  <c r="G17" i="2"/>
  <c r="BE11" i="2"/>
  <c r="AW11" i="2"/>
  <c r="AO11" i="2"/>
  <c r="AG11" i="2"/>
  <c r="Y11" i="2"/>
  <c r="Q11" i="2"/>
  <c r="I11" i="2"/>
  <c r="BH17" i="2"/>
  <c r="L17" i="2"/>
  <c r="V11" i="2"/>
  <c r="BJ17" i="2"/>
  <c r="BB17" i="2"/>
  <c r="AT17" i="2"/>
  <c r="AL17" i="2"/>
  <c r="AD17" i="2"/>
  <c r="V17" i="2"/>
  <c r="N17" i="2"/>
  <c r="BD11" i="2"/>
  <c r="AV11" i="2"/>
  <c r="AN11" i="2"/>
  <c r="AF11" i="2"/>
  <c r="X11" i="2"/>
  <c r="P11" i="2"/>
  <c r="H11" i="2"/>
  <c r="T17" i="2"/>
  <c r="AD11" i="2"/>
  <c r="BI17" i="2"/>
  <c r="BA17" i="2"/>
  <c r="AS17" i="2"/>
  <c r="AK17" i="2"/>
  <c r="AC17" i="2"/>
  <c r="U17" i="2"/>
  <c r="M17" i="2"/>
  <c r="BK11" i="2"/>
  <c r="BC11" i="2"/>
  <c r="AU11" i="2"/>
  <c r="AM11" i="2"/>
  <c r="AE11" i="2"/>
  <c r="W11" i="2"/>
  <c r="O11" i="2"/>
  <c r="G11" i="2"/>
  <c r="BJ11" i="2"/>
  <c r="C3" i="3"/>
  <c r="G10" i="2"/>
  <c r="G53" i="2"/>
  <c r="H8" i="2"/>
  <c r="H10" i="2" s="1"/>
  <c r="V55" i="2" l="1"/>
  <c r="AV55" i="2"/>
  <c r="AX55" i="2"/>
  <c r="AC55" i="2"/>
  <c r="AD55" i="2"/>
  <c r="O55" i="2"/>
  <c r="BD55" i="2"/>
  <c r="BE55" i="2"/>
  <c r="BF55" i="2"/>
  <c r="K55" i="2"/>
  <c r="G55" i="2"/>
  <c r="D17" i="2"/>
  <c r="D6" i="2" s="1"/>
  <c r="AK55" i="2"/>
  <c r="AL55" i="2"/>
  <c r="W55" i="2"/>
  <c r="AB55" i="2"/>
  <c r="S55" i="2"/>
  <c r="AT55" i="2"/>
  <c r="AE55" i="2"/>
  <c r="AZ55" i="2"/>
  <c r="H55" i="2"/>
  <c r="AR55" i="2"/>
  <c r="I55" i="2"/>
  <c r="AJ55" i="2"/>
  <c r="J55" i="2"/>
  <c r="AA55" i="2"/>
  <c r="U55" i="2"/>
  <c r="AS55" i="2"/>
  <c r="BA55" i="2"/>
  <c r="BB55" i="2"/>
  <c r="AM55" i="2"/>
  <c r="P55" i="2"/>
  <c r="Q55" i="2"/>
  <c r="R55" i="2"/>
  <c r="AI55" i="2"/>
  <c r="BI55" i="2"/>
  <c r="BJ55" i="2"/>
  <c r="AU55" i="2"/>
  <c r="X55" i="2"/>
  <c r="Y55" i="2"/>
  <c r="Z55" i="2"/>
  <c r="AQ55" i="2"/>
  <c r="AW55" i="2"/>
  <c r="BC55" i="2"/>
  <c r="AF55" i="2"/>
  <c r="AG55" i="2"/>
  <c r="AH55" i="2"/>
  <c r="AY55" i="2"/>
  <c r="BH55" i="2"/>
  <c r="M55" i="2"/>
  <c r="T55" i="2"/>
  <c r="N55" i="2"/>
  <c r="L55" i="2"/>
  <c r="BK55" i="2"/>
  <c r="AN55" i="2"/>
  <c r="AO55" i="2"/>
  <c r="AP55" i="2"/>
  <c r="BG55" i="2"/>
  <c r="BK56" i="2"/>
  <c r="BK12" i="2"/>
  <c r="G56" i="2"/>
  <c r="G12" i="2"/>
  <c r="H56" i="2"/>
  <c r="H12" i="2"/>
  <c r="F12" i="2"/>
  <c r="F56" i="2"/>
  <c r="I8" i="2"/>
  <c r="I56" i="2" s="1"/>
  <c r="H53" i="2"/>
  <c r="G57" i="2" l="1"/>
  <c r="I57" i="2"/>
  <c r="BK57" i="2"/>
  <c r="H57" i="2"/>
  <c r="C55" i="2"/>
  <c r="I12" i="2"/>
  <c r="I29" i="2" s="1"/>
  <c r="G29" i="2"/>
  <c r="G23" i="2"/>
  <c r="F23" i="2"/>
  <c r="F29" i="2"/>
  <c r="H23" i="2"/>
  <c r="H29" i="2"/>
  <c r="F57" i="2"/>
  <c r="J8" i="2"/>
  <c r="I53" i="2"/>
  <c r="I10" i="2"/>
  <c r="I23" i="2" l="1"/>
  <c r="I36" i="2" s="1"/>
  <c r="J12" i="2"/>
  <c r="J56" i="2"/>
  <c r="G36" i="2"/>
  <c r="G37" i="2"/>
  <c r="F24" i="2"/>
  <c r="G20" i="2" s="1"/>
  <c r="F78" i="2"/>
  <c r="F36" i="2"/>
  <c r="F26" i="2"/>
  <c r="I37" i="2"/>
  <c r="H37" i="2"/>
  <c r="H36" i="2"/>
  <c r="F37" i="2"/>
  <c r="K8" i="2"/>
  <c r="J53" i="2"/>
  <c r="J10" i="2"/>
  <c r="G40" i="2" l="1"/>
  <c r="K56" i="2"/>
  <c r="K57" i="2" s="1"/>
  <c r="K12" i="2"/>
  <c r="J57" i="2"/>
  <c r="J29" i="2"/>
  <c r="J23" i="2"/>
  <c r="F38" i="2"/>
  <c r="G33" i="2" s="1"/>
  <c r="G35" i="2" s="1"/>
  <c r="F79" i="2"/>
  <c r="H40" i="2"/>
  <c r="I40" i="2"/>
  <c r="G22" i="2"/>
  <c r="F40" i="2"/>
  <c r="L8" i="2"/>
  <c r="K53" i="2"/>
  <c r="K10" i="2"/>
  <c r="K23" i="2" l="1"/>
  <c r="K29" i="2"/>
  <c r="K37" i="2" s="1"/>
  <c r="J36" i="2"/>
  <c r="J37" i="2"/>
  <c r="L12" i="2"/>
  <c r="L56" i="2"/>
  <c r="L57" i="2" s="1"/>
  <c r="M8" i="2"/>
  <c r="L53" i="2"/>
  <c r="L10" i="2"/>
  <c r="M12" i="2" l="1"/>
  <c r="M56" i="2"/>
  <c r="J40" i="2"/>
  <c r="K40" i="2"/>
  <c r="K36" i="2"/>
  <c r="L29" i="2"/>
  <c r="L23" i="2"/>
  <c r="N8" i="2"/>
  <c r="M53" i="2"/>
  <c r="M10" i="2"/>
  <c r="N12" i="2" l="1"/>
  <c r="N56" i="2"/>
  <c r="N57" i="2" s="1"/>
  <c r="L36" i="2"/>
  <c r="L37" i="2"/>
  <c r="M57" i="2"/>
  <c r="M29" i="2"/>
  <c r="M23" i="2"/>
  <c r="O8" i="2"/>
  <c r="N53" i="2"/>
  <c r="N10" i="2"/>
  <c r="M36" i="2" l="1"/>
  <c r="N29" i="2"/>
  <c r="N37" i="2" s="1"/>
  <c r="N23" i="2"/>
  <c r="M37" i="2"/>
  <c r="O56" i="2"/>
  <c r="O12" i="2"/>
  <c r="L40" i="2"/>
  <c r="P8" i="2"/>
  <c r="O53" i="2"/>
  <c r="O10" i="2"/>
  <c r="M40" i="2" l="1"/>
  <c r="N36" i="2"/>
  <c r="N40" i="2"/>
  <c r="P12" i="2"/>
  <c r="P56" i="2"/>
  <c r="P57" i="2" s="1"/>
  <c r="O29" i="2"/>
  <c r="O23" i="2"/>
  <c r="O57" i="2"/>
  <c r="Q8" i="2"/>
  <c r="P53" i="2"/>
  <c r="P10" i="2"/>
  <c r="O36" i="2" l="1"/>
  <c r="P23" i="2"/>
  <c r="P29" i="2"/>
  <c r="Q56" i="2"/>
  <c r="Q57" i="2" s="1"/>
  <c r="Q12" i="2"/>
  <c r="O37" i="2"/>
  <c r="R8" i="2"/>
  <c r="Q53" i="2"/>
  <c r="Q10" i="2"/>
  <c r="P37" i="2" l="1"/>
  <c r="P36" i="2"/>
  <c r="O40" i="2"/>
  <c r="R12" i="2"/>
  <c r="R56" i="2"/>
  <c r="R57" i="2" s="1"/>
  <c r="Q29" i="2"/>
  <c r="Q37" i="2" s="1"/>
  <c r="Q23" i="2"/>
  <c r="S8" i="2"/>
  <c r="R53" i="2"/>
  <c r="R10" i="2"/>
  <c r="Q36" i="2" l="1"/>
  <c r="Q40" i="2"/>
  <c r="R29" i="2"/>
  <c r="R23" i="2"/>
  <c r="P40" i="2"/>
  <c r="S12" i="2"/>
  <c r="S56" i="2"/>
  <c r="S57" i="2" s="1"/>
  <c r="T8" i="2"/>
  <c r="S53" i="2"/>
  <c r="S10" i="2"/>
  <c r="S23" i="2" l="1"/>
  <c r="S29" i="2"/>
  <c r="R37" i="2"/>
  <c r="R36" i="2"/>
  <c r="T56" i="2"/>
  <c r="T57" i="2" s="1"/>
  <c r="T12" i="2"/>
  <c r="U8" i="2"/>
  <c r="T53" i="2"/>
  <c r="T10" i="2"/>
  <c r="T29" i="2" l="1"/>
  <c r="T23" i="2"/>
  <c r="R40" i="2"/>
  <c r="S37" i="2"/>
  <c r="U56" i="2"/>
  <c r="U57" i="2" s="1"/>
  <c r="U12" i="2"/>
  <c r="S36" i="2"/>
  <c r="V8" i="2"/>
  <c r="U53" i="2"/>
  <c r="U10" i="2"/>
  <c r="S40" i="2" l="1"/>
  <c r="V56" i="2"/>
  <c r="V57" i="2" s="1"/>
  <c r="V12" i="2"/>
  <c r="T36" i="2"/>
  <c r="U29" i="2"/>
  <c r="U37" i="2" s="1"/>
  <c r="U23" i="2"/>
  <c r="T37" i="2"/>
  <c r="W8" i="2"/>
  <c r="V53" i="2"/>
  <c r="V10" i="2"/>
  <c r="W56" i="2" l="1"/>
  <c r="W57" i="2" s="1"/>
  <c r="W12" i="2"/>
  <c r="U40" i="2"/>
  <c r="T40" i="2"/>
  <c r="U36" i="2"/>
  <c r="V23" i="2"/>
  <c r="V29" i="2"/>
  <c r="X8" i="2"/>
  <c r="W53" i="2"/>
  <c r="W10" i="2"/>
  <c r="W29" i="2" l="1"/>
  <c r="W23" i="2"/>
  <c r="V36" i="2"/>
  <c r="V37" i="2"/>
  <c r="X12" i="2"/>
  <c r="X56" i="2"/>
  <c r="X57" i="2" s="1"/>
  <c r="Y8" i="2"/>
  <c r="X53" i="2"/>
  <c r="X10" i="2"/>
  <c r="Y56" i="2" l="1"/>
  <c r="Y57" i="2" s="1"/>
  <c r="Y12" i="2"/>
  <c r="W36" i="2"/>
  <c r="V40" i="2"/>
  <c r="W37" i="2"/>
  <c r="X23" i="2"/>
  <c r="X29" i="2"/>
  <c r="Z8" i="2"/>
  <c r="Y53" i="2"/>
  <c r="Y10" i="2"/>
  <c r="W40" i="2" l="1"/>
  <c r="X37" i="2"/>
  <c r="X36" i="2"/>
  <c r="Y29" i="2"/>
  <c r="Y23" i="2"/>
  <c r="Z56" i="2"/>
  <c r="Z57" i="2" s="1"/>
  <c r="Z12" i="2"/>
  <c r="AA8" i="2"/>
  <c r="Z53" i="2"/>
  <c r="Z10" i="2"/>
  <c r="Y37" i="2" l="1"/>
  <c r="Z29" i="2"/>
  <c r="Z37" i="2" s="1"/>
  <c r="Z23" i="2"/>
  <c r="X40" i="2"/>
  <c r="AA56" i="2"/>
  <c r="AA57" i="2" s="1"/>
  <c r="AA12" i="2"/>
  <c r="Y36" i="2"/>
  <c r="AB8" i="2"/>
  <c r="AA53" i="2"/>
  <c r="AA10" i="2"/>
  <c r="Z36" i="2" l="1"/>
  <c r="AB12" i="2"/>
  <c r="AB56" i="2"/>
  <c r="AB57" i="2" s="1"/>
  <c r="Z40" i="2"/>
  <c r="AA23" i="2"/>
  <c r="AA29" i="2"/>
  <c r="AA37" i="2" s="1"/>
  <c r="Y40" i="2"/>
  <c r="AC8" i="2"/>
  <c r="AB53" i="2"/>
  <c r="AB10" i="2"/>
  <c r="AA40" i="2" l="1"/>
  <c r="AB29" i="2"/>
  <c r="AB23" i="2"/>
  <c r="AA36" i="2"/>
  <c r="AC12" i="2"/>
  <c r="AC56" i="2"/>
  <c r="AC57" i="2" s="1"/>
  <c r="AD8" i="2"/>
  <c r="AC53" i="2"/>
  <c r="AC10" i="2"/>
  <c r="AB36" i="2" l="1"/>
  <c r="AB37" i="2"/>
  <c r="AD56" i="2"/>
  <c r="AD57" i="2" s="1"/>
  <c r="AD12" i="2"/>
  <c r="AC29" i="2"/>
  <c r="AC23" i="2"/>
  <c r="AE8" i="2"/>
  <c r="AD53" i="2"/>
  <c r="AD10" i="2"/>
  <c r="AB40" i="2" l="1"/>
  <c r="AC36" i="2"/>
  <c r="AE56" i="2"/>
  <c r="AE57" i="2" s="1"/>
  <c r="AE12" i="2"/>
  <c r="AC37" i="2"/>
  <c r="AF8" i="2"/>
  <c r="AE53" i="2"/>
  <c r="AE10" i="2"/>
  <c r="AC40" i="2" l="1"/>
  <c r="AE29" i="2"/>
  <c r="AE37" i="2" s="1"/>
  <c r="AE23" i="2"/>
  <c r="AF56" i="2"/>
  <c r="AF57" i="2" s="1"/>
  <c r="AF12" i="2"/>
  <c r="AG8" i="2"/>
  <c r="AF53" i="2"/>
  <c r="AF10" i="2"/>
  <c r="AF29" i="2" l="1"/>
  <c r="AF23" i="2"/>
  <c r="AG12" i="2"/>
  <c r="AG56" i="2"/>
  <c r="AG57" i="2" s="1"/>
  <c r="AE40" i="2"/>
  <c r="AE36" i="2"/>
  <c r="AH8" i="2"/>
  <c r="AG53" i="2"/>
  <c r="AG10" i="2"/>
  <c r="AH56" i="2" l="1"/>
  <c r="AH57" i="2" s="1"/>
  <c r="AH12" i="2"/>
  <c r="AG29" i="2"/>
  <c r="AG37" i="2" s="1"/>
  <c r="AG23" i="2"/>
  <c r="AF36" i="2"/>
  <c r="AF37" i="2"/>
  <c r="AI8" i="2"/>
  <c r="AH53" i="2"/>
  <c r="AH10" i="2"/>
  <c r="AI12" i="2" l="1"/>
  <c r="AI56" i="2"/>
  <c r="AI57" i="2" s="1"/>
  <c r="AG36" i="2"/>
  <c r="AF40" i="2"/>
  <c r="AG40" i="2"/>
  <c r="AH29" i="2"/>
  <c r="AH23" i="2"/>
  <c r="AJ8" i="2"/>
  <c r="AI53" i="2"/>
  <c r="AI10" i="2"/>
  <c r="AJ56" i="2" l="1"/>
  <c r="AJ57" i="2" s="1"/>
  <c r="AJ12" i="2"/>
  <c r="AH36" i="2"/>
  <c r="AH37" i="2"/>
  <c r="AK8" i="2"/>
  <c r="AJ53" i="2"/>
  <c r="AJ10" i="2"/>
  <c r="AH40" i="2" l="1"/>
  <c r="AK12" i="2"/>
  <c r="AK56" i="2"/>
  <c r="AK57" i="2" s="1"/>
  <c r="AJ29" i="2"/>
  <c r="AJ37" i="2" s="1"/>
  <c r="AJ23" i="2"/>
  <c r="AL8" i="2"/>
  <c r="AK53" i="2"/>
  <c r="AK10" i="2"/>
  <c r="AJ36" i="2" l="1"/>
  <c r="AJ40" i="2"/>
  <c r="AL12" i="2"/>
  <c r="AL56" i="2"/>
  <c r="AL57" i="2" s="1"/>
  <c r="AM8" i="2"/>
  <c r="AL53" i="2"/>
  <c r="AL10" i="2"/>
  <c r="AL29" i="2" l="1"/>
  <c r="AL23" i="2"/>
  <c r="AM56" i="2"/>
  <c r="AM57" i="2" s="1"/>
  <c r="AM12" i="2"/>
  <c r="AN8" i="2"/>
  <c r="AM53" i="2"/>
  <c r="AM10" i="2"/>
  <c r="AL36" i="2" l="1"/>
  <c r="AL37" i="2"/>
  <c r="AN56" i="2"/>
  <c r="AN57" i="2" s="1"/>
  <c r="AN12" i="2"/>
  <c r="AM29" i="2"/>
  <c r="AM37" i="2" s="1"/>
  <c r="AM23" i="2"/>
  <c r="AO8" i="2"/>
  <c r="AN53" i="2"/>
  <c r="AN10" i="2"/>
  <c r="AL40" i="2" l="1"/>
  <c r="AM36" i="2"/>
  <c r="AO56" i="2"/>
  <c r="AO57" i="2" s="1"/>
  <c r="AO12" i="2"/>
  <c r="AM40" i="2"/>
  <c r="AP8" i="2"/>
  <c r="AO53" i="2"/>
  <c r="AO10" i="2"/>
  <c r="AO29" i="2" l="1"/>
  <c r="AO23" i="2"/>
  <c r="AP12" i="2"/>
  <c r="AP56" i="2"/>
  <c r="AP57" i="2" s="1"/>
  <c r="AQ8" i="2"/>
  <c r="AP53" i="2"/>
  <c r="AP10" i="2"/>
  <c r="AO37" i="2" l="1"/>
  <c r="AQ56" i="2"/>
  <c r="AQ57" i="2" s="1"/>
  <c r="AQ12" i="2"/>
  <c r="AP29" i="2"/>
  <c r="AP23" i="2"/>
  <c r="AO36" i="2"/>
  <c r="AR8" i="2"/>
  <c r="AQ53" i="2"/>
  <c r="AQ10" i="2"/>
  <c r="AP37" i="2" l="1"/>
  <c r="AR56" i="2"/>
  <c r="AR57" i="2" s="1"/>
  <c r="AR12" i="2"/>
  <c r="AQ23" i="2"/>
  <c r="AQ29" i="2"/>
  <c r="AQ37" i="2" s="1"/>
  <c r="AO40" i="2"/>
  <c r="AP36" i="2"/>
  <c r="AS8" i="2"/>
  <c r="AR53" i="2"/>
  <c r="AR10" i="2"/>
  <c r="AQ36" i="2" l="1"/>
  <c r="AS56" i="2"/>
  <c r="AS57" i="2" s="1"/>
  <c r="AS12" i="2"/>
  <c r="AQ40" i="2"/>
  <c r="AP40" i="2"/>
  <c r="AT8" i="2"/>
  <c r="AS53" i="2"/>
  <c r="AS10" i="2"/>
  <c r="AS29" i="2" l="1"/>
  <c r="AS23" i="2"/>
  <c r="AT56" i="2"/>
  <c r="AT57" i="2" s="1"/>
  <c r="AT12" i="2"/>
  <c r="AU8" i="2"/>
  <c r="AT53" i="2"/>
  <c r="AT10" i="2"/>
  <c r="AS36" i="2" l="1"/>
  <c r="AU56" i="2"/>
  <c r="AU57" i="2" s="1"/>
  <c r="AU12" i="2"/>
  <c r="AS37" i="2"/>
  <c r="AT29" i="2"/>
  <c r="AT23" i="2"/>
  <c r="AV8" i="2"/>
  <c r="AU53" i="2"/>
  <c r="AU10" i="2"/>
  <c r="AV56" i="2" l="1"/>
  <c r="AV57" i="2" s="1"/>
  <c r="AV12" i="2"/>
  <c r="AT37" i="2"/>
  <c r="AT36" i="2"/>
  <c r="AS40" i="2"/>
  <c r="AW8" i="2"/>
  <c r="AV53" i="2"/>
  <c r="AV10" i="2"/>
  <c r="AW56" i="2" l="1"/>
  <c r="AW57" i="2" s="1"/>
  <c r="AW12" i="2"/>
  <c r="AT40" i="2"/>
  <c r="AV29" i="2"/>
  <c r="AV23" i="2"/>
  <c r="AX8" i="2"/>
  <c r="AW53" i="2"/>
  <c r="AW10" i="2"/>
  <c r="AW23" i="2" l="1"/>
  <c r="AW29" i="2"/>
  <c r="AV36" i="2"/>
  <c r="AX56" i="2"/>
  <c r="AX57" i="2" s="1"/>
  <c r="AX12" i="2"/>
  <c r="AV37" i="2"/>
  <c r="AY8" i="2"/>
  <c r="AX53" i="2"/>
  <c r="AX10" i="2"/>
  <c r="AV40" i="2" l="1"/>
  <c r="AW37" i="2"/>
  <c r="AY56" i="2"/>
  <c r="AY57" i="2" s="1"/>
  <c r="AY12" i="2"/>
  <c r="AW36" i="2"/>
  <c r="AX29" i="2"/>
  <c r="AX23" i="2"/>
  <c r="AZ8" i="2"/>
  <c r="AY53" i="2"/>
  <c r="AY10" i="2"/>
  <c r="AX36" i="2" l="1"/>
  <c r="AZ56" i="2"/>
  <c r="AZ57" i="2" s="1"/>
  <c r="AZ12" i="2"/>
  <c r="AW40" i="2"/>
  <c r="AY29" i="2"/>
  <c r="AY23" i="2"/>
  <c r="AX37" i="2"/>
  <c r="BA8" i="2"/>
  <c r="AZ53" i="2"/>
  <c r="AZ10" i="2"/>
  <c r="AZ29" i="2" l="1"/>
  <c r="AZ23" i="2"/>
  <c r="AX40" i="2"/>
  <c r="BA12" i="2"/>
  <c r="BA56" i="2"/>
  <c r="BA57" i="2" s="1"/>
  <c r="AY36" i="2"/>
  <c r="AY37" i="2"/>
  <c r="BB8" i="2"/>
  <c r="BA53" i="2"/>
  <c r="BA10" i="2"/>
  <c r="BA29" i="2" l="1"/>
  <c r="BA23" i="2"/>
  <c r="AY40" i="2"/>
  <c r="BB56" i="2"/>
  <c r="BB57" i="2" s="1"/>
  <c r="BB12" i="2"/>
  <c r="AZ36" i="2"/>
  <c r="AZ37" i="2"/>
  <c r="BC8" i="2"/>
  <c r="BB53" i="2"/>
  <c r="BB10" i="2"/>
  <c r="BC56" i="2" l="1"/>
  <c r="BC57" i="2" s="1"/>
  <c r="BC12" i="2"/>
  <c r="BB29" i="2"/>
  <c r="BB23" i="2"/>
  <c r="BA36" i="2"/>
  <c r="BA37" i="2"/>
  <c r="AZ40" i="2"/>
  <c r="BD8" i="2"/>
  <c r="BC53" i="2"/>
  <c r="BC10" i="2"/>
  <c r="BD12" i="2" l="1"/>
  <c r="BD56" i="2"/>
  <c r="BD57" i="2" s="1"/>
  <c r="BB36" i="2"/>
  <c r="BA40" i="2"/>
  <c r="BB37" i="2"/>
  <c r="BC29" i="2"/>
  <c r="BC37" i="2" s="1"/>
  <c r="BC23" i="2"/>
  <c r="BE8" i="2"/>
  <c r="BD53" i="2"/>
  <c r="BD10" i="2"/>
  <c r="BE56" i="2" l="1"/>
  <c r="BE57" i="2" s="1"/>
  <c r="BE12" i="2"/>
  <c r="BC36" i="2"/>
  <c r="BB40" i="2"/>
  <c r="BC40" i="2"/>
  <c r="BD29" i="2"/>
  <c r="BD23" i="2"/>
  <c r="BF8" i="2"/>
  <c r="BE53" i="2"/>
  <c r="BE10" i="2"/>
  <c r="BD36" i="2" l="1"/>
  <c r="BD37" i="2"/>
  <c r="BF56" i="2"/>
  <c r="BF57" i="2" s="1"/>
  <c r="BF12" i="2"/>
  <c r="BE23" i="2"/>
  <c r="BE29" i="2"/>
  <c r="BG8" i="2"/>
  <c r="BF53" i="2"/>
  <c r="BF10" i="2"/>
  <c r="BD40" i="2" l="1"/>
  <c r="BE37" i="2"/>
  <c r="BE36" i="2"/>
  <c r="BG56" i="2"/>
  <c r="BG57" i="2" s="1"/>
  <c r="BG12" i="2"/>
  <c r="BF29" i="2"/>
  <c r="BF37" i="2" s="1"/>
  <c r="BF23" i="2"/>
  <c r="BH8" i="2"/>
  <c r="BG53" i="2"/>
  <c r="BG10" i="2"/>
  <c r="BF36" i="2" l="1"/>
  <c r="BF40" i="2"/>
  <c r="BE40" i="2"/>
  <c r="BG29" i="2"/>
  <c r="BG23" i="2"/>
  <c r="BH12" i="2"/>
  <c r="BH56" i="2"/>
  <c r="BH57" i="2" s="1"/>
  <c r="BI8" i="2"/>
  <c r="BH53" i="2"/>
  <c r="BH10" i="2"/>
  <c r="BG36" i="2" l="1"/>
  <c r="BI56" i="2"/>
  <c r="BI57" i="2" s="1"/>
  <c r="BI12" i="2"/>
  <c r="BG37" i="2"/>
  <c r="BH29" i="2"/>
  <c r="BH23" i="2"/>
  <c r="BJ8" i="2"/>
  <c r="BI53" i="2"/>
  <c r="BI10" i="2"/>
  <c r="BG40" i="2" l="1"/>
  <c r="BI29" i="2"/>
  <c r="BI37" i="2" s="1"/>
  <c r="BI23" i="2"/>
  <c r="BH37" i="2"/>
  <c r="BH36" i="2"/>
  <c r="BJ56" i="2"/>
  <c r="BJ12" i="2"/>
  <c r="BK8" i="2"/>
  <c r="BJ53" i="2"/>
  <c r="BJ10" i="2"/>
  <c r="BI36" i="2" l="1"/>
  <c r="BI40" i="2"/>
  <c r="BJ57" i="2"/>
  <c r="C56" i="2"/>
  <c r="BJ23" i="2"/>
  <c r="BJ29" i="2"/>
  <c r="D12" i="2"/>
  <c r="BH40" i="2"/>
  <c r="BK10" i="2"/>
  <c r="BK53" i="2"/>
  <c r="BJ36" i="2" l="1"/>
  <c r="BJ37" i="2"/>
  <c r="C57" i="2"/>
  <c r="C58" i="2"/>
  <c r="C4" i="10" s="1"/>
  <c r="BJ40" i="2" l="1"/>
  <c r="C59" i="2"/>
  <c r="C9" i="10" s="1"/>
  <c r="K5" i="2" l="1"/>
  <c r="K6" i="2" s="1"/>
  <c r="C26" i="2"/>
  <c r="C27" i="2"/>
  <c r="C42" i="2"/>
  <c r="C41" i="2" s="1"/>
  <c r="C48" i="2"/>
  <c r="C49" i="2"/>
  <c r="C47" i="2" s="1"/>
  <c r="I27" i="2" l="1"/>
  <c r="AW27" i="2"/>
  <c r="AO27" i="2"/>
  <c r="AG27" i="2"/>
  <c r="AJ27" i="2"/>
  <c r="AB27" i="2"/>
  <c r="T27" i="2"/>
  <c r="Q27" i="2"/>
  <c r="BH27" i="2"/>
  <c r="L27" i="2"/>
  <c r="C40" i="2"/>
  <c r="L41" i="2" s="1"/>
  <c r="AZ27" i="2"/>
  <c r="BE42" i="2"/>
  <c r="AQ42" i="2"/>
  <c r="K42" i="2"/>
  <c r="BC41" i="2"/>
  <c r="AM41" i="2"/>
  <c r="AB41" i="2"/>
  <c r="AJ41" i="2"/>
  <c r="AZ41" i="2"/>
  <c r="BH41" i="2"/>
  <c r="H42" i="2"/>
  <c r="P42" i="2"/>
  <c r="X42" i="2"/>
  <c r="AF42" i="2"/>
  <c r="AV42" i="2"/>
  <c r="BD42" i="2"/>
  <c r="M41" i="2"/>
  <c r="U41" i="2"/>
  <c r="AC41" i="2"/>
  <c r="AS41" i="2"/>
  <c r="BA41" i="2"/>
  <c r="BI41" i="2"/>
  <c r="I42" i="2"/>
  <c r="Q42" i="2"/>
  <c r="Y42" i="2"/>
  <c r="AG42" i="2"/>
  <c r="AO42" i="2"/>
  <c r="AW42" i="2"/>
  <c r="F41" i="2"/>
  <c r="N41" i="2"/>
  <c r="V41" i="2"/>
  <c r="AL41" i="2"/>
  <c r="AT41" i="2"/>
  <c r="BB41" i="2"/>
  <c r="BJ41" i="2"/>
  <c r="J42" i="2"/>
  <c r="R42" i="2"/>
  <c r="Z42" i="2"/>
  <c r="AH42" i="2"/>
  <c r="AP42" i="2"/>
  <c r="AX42" i="2"/>
  <c r="BF42" i="2"/>
  <c r="H41" i="2"/>
  <c r="P41" i="2"/>
  <c r="P44" i="2" s="1"/>
  <c r="X41" i="2"/>
  <c r="X44" i="2" s="1"/>
  <c r="I41" i="2"/>
  <c r="Q41" i="2"/>
  <c r="Y41" i="2"/>
  <c r="AG41" i="2"/>
  <c r="AO41" i="2"/>
  <c r="AW41" i="2"/>
  <c r="BE41" i="2"/>
  <c r="BE44" i="2" s="1"/>
  <c r="M42" i="2"/>
  <c r="U42" i="2"/>
  <c r="AC42" i="2"/>
  <c r="AS42" i="2"/>
  <c r="BA42" i="2"/>
  <c r="BI42" i="2"/>
  <c r="M27" i="2"/>
  <c r="U27" i="2"/>
  <c r="AC27" i="2"/>
  <c r="AS27" i="2"/>
  <c r="BA27" i="2"/>
  <c r="BI27" i="2"/>
  <c r="F27" i="2"/>
  <c r="N27" i="2"/>
  <c r="V27" i="2"/>
  <c r="AL27" i="2"/>
  <c r="AT27" i="2"/>
  <c r="BB27" i="2"/>
  <c r="BJ27" i="2"/>
  <c r="G27" i="2"/>
  <c r="O27" i="2"/>
  <c r="W27" i="2"/>
  <c r="AE27" i="2"/>
  <c r="AM27" i="2"/>
  <c r="BC27" i="2"/>
  <c r="H27" i="2"/>
  <c r="P27" i="2"/>
  <c r="X27" i="2"/>
  <c r="AF27" i="2"/>
  <c r="AV27" i="2"/>
  <c r="BD27" i="2"/>
  <c r="J27" i="2"/>
  <c r="R27" i="2"/>
  <c r="Z27" i="2"/>
  <c r="AH27" i="2"/>
  <c r="AP27" i="2"/>
  <c r="AX27" i="2"/>
  <c r="BF27" i="2"/>
  <c r="K27" i="2"/>
  <c r="S27" i="2"/>
  <c r="AA27" i="2"/>
  <c r="AQ27" i="2"/>
  <c r="AY27" i="2"/>
  <c r="BG27" i="2"/>
  <c r="BB42" i="2"/>
  <c r="AL42" i="2"/>
  <c r="V42" i="2"/>
  <c r="F42" i="2"/>
  <c r="AX41" i="2"/>
  <c r="AH41" i="2"/>
  <c r="O41" i="2"/>
  <c r="AZ42" i="2"/>
  <c r="AJ42" i="2"/>
  <c r="T42" i="2"/>
  <c r="AV41" i="2"/>
  <c r="AF41" i="2"/>
  <c r="AF44" i="2" s="1"/>
  <c r="K41" i="2"/>
  <c r="BE27" i="2"/>
  <c r="Y27" i="2"/>
  <c r="T41" i="2" l="1"/>
  <c r="AV44" i="2"/>
  <c r="AH44" i="2"/>
  <c r="AH47" i="2" s="1"/>
  <c r="AH63" i="2" s="1"/>
  <c r="H44" i="2"/>
  <c r="AW44" i="2"/>
  <c r="AW47" i="2" s="1"/>
  <c r="AW63" i="2" s="1"/>
  <c r="AA42" i="2"/>
  <c r="M44" i="2"/>
  <c r="AL44" i="2"/>
  <c r="AL47" i="2" s="1"/>
  <c r="AL63" i="2" s="1"/>
  <c r="BI44" i="2"/>
  <c r="BI47" i="2" s="1"/>
  <c r="BI63" i="2" s="1"/>
  <c r="S41" i="2"/>
  <c r="AP41" i="2"/>
  <c r="AP44" i="2" s="1"/>
  <c r="L42" i="2"/>
  <c r="L44" i="2" s="1"/>
  <c r="AT42" i="2"/>
  <c r="AT44" i="2" s="1"/>
  <c r="AM42" i="2"/>
  <c r="G41" i="2"/>
  <c r="AQ41" i="2"/>
  <c r="AQ44" i="2" s="1"/>
  <c r="N42" i="2"/>
  <c r="N44" i="2" s="1"/>
  <c r="N49" i="2" s="1"/>
  <c r="N71" i="2" s="1"/>
  <c r="AY42" i="2"/>
  <c r="J41" i="2"/>
  <c r="AY41" i="2"/>
  <c r="O42" i="2"/>
  <c r="O44" i="2" s="1"/>
  <c r="BC42" i="2"/>
  <c r="BC44" i="2" s="1"/>
  <c r="R41" i="2"/>
  <c r="BD41" i="2"/>
  <c r="BD44" i="2" s="1"/>
  <c r="S42" i="2"/>
  <c r="BG42" i="2"/>
  <c r="G42" i="2"/>
  <c r="W41" i="2"/>
  <c r="BF41" i="2"/>
  <c r="BF44" i="2" s="1"/>
  <c r="W42" i="2"/>
  <c r="BH42" i="2"/>
  <c r="AE41" i="2"/>
  <c r="AE44" i="2" s="1"/>
  <c r="Z41" i="2"/>
  <c r="Z44" i="2" s="1"/>
  <c r="BG41" i="2"/>
  <c r="BG44" i="2" s="1"/>
  <c r="AB42" i="2"/>
  <c r="AB44" i="2" s="1"/>
  <c r="BJ42" i="2"/>
  <c r="BJ44" i="2" s="1"/>
  <c r="AA41" i="2"/>
  <c r="AA44" i="2" s="1"/>
  <c r="AE42" i="2"/>
  <c r="AM44" i="2"/>
  <c r="AM48" i="2" s="1"/>
  <c r="AM70" i="2" s="1"/>
  <c r="AX44" i="2"/>
  <c r="Q44" i="2"/>
  <c r="V44" i="2"/>
  <c r="AG44" i="2"/>
  <c r="I44" i="2"/>
  <c r="T44" i="2"/>
  <c r="AH48" i="2"/>
  <c r="AH70" i="2" s="1"/>
  <c r="X48" i="2"/>
  <c r="X70" i="2" s="1"/>
  <c r="X49" i="2"/>
  <c r="X71" i="2" s="1"/>
  <c r="X47" i="2"/>
  <c r="X63" i="2" s="1"/>
  <c r="F44" i="2"/>
  <c r="BA44" i="2"/>
  <c r="AZ44" i="2"/>
  <c r="Y44" i="2"/>
  <c r="BE48" i="2"/>
  <c r="BE70" i="2" s="1"/>
  <c r="BE49" i="2"/>
  <c r="BE71" i="2" s="1"/>
  <c r="BE47" i="2"/>
  <c r="BE63" i="2" s="1"/>
  <c r="P48" i="2"/>
  <c r="P70" i="2" s="1"/>
  <c r="P49" i="2"/>
  <c r="P71" i="2" s="1"/>
  <c r="P47" i="2"/>
  <c r="P63" i="2" s="1"/>
  <c r="AS44" i="2"/>
  <c r="R44" i="2"/>
  <c r="M47" i="2"/>
  <c r="M63" i="2" s="1"/>
  <c r="M49" i="2"/>
  <c r="M71" i="2" s="1"/>
  <c r="M48" i="2"/>
  <c r="M70" i="2" s="1"/>
  <c r="AW48" i="2"/>
  <c r="AW70" i="2" s="1"/>
  <c r="H48" i="2"/>
  <c r="H70" i="2" s="1"/>
  <c r="H47" i="2"/>
  <c r="H63" i="2" s="1"/>
  <c r="H49" i="2"/>
  <c r="H71" i="2" s="1"/>
  <c r="AC44" i="2"/>
  <c r="AM49" i="2"/>
  <c r="AM71" i="2" s="1"/>
  <c r="AM47" i="2"/>
  <c r="AM63" i="2" s="1"/>
  <c r="AV48" i="2"/>
  <c r="AV70" i="2" s="1"/>
  <c r="AV49" i="2"/>
  <c r="AV71" i="2" s="1"/>
  <c r="AV47" i="2"/>
  <c r="AV63" i="2" s="1"/>
  <c r="AJ44" i="2"/>
  <c r="K44" i="2"/>
  <c r="AF48" i="2"/>
  <c r="AF70" i="2" s="1"/>
  <c r="AF47" i="2"/>
  <c r="AF63" i="2" s="1"/>
  <c r="AF49" i="2"/>
  <c r="AF71" i="2" s="1"/>
  <c r="AO44" i="2"/>
  <c r="BB44" i="2"/>
  <c r="U44" i="2"/>
  <c r="BH44" i="2"/>
  <c r="J44" i="2"/>
  <c r="AL49" i="2" l="1"/>
  <c r="AL71" i="2" s="1"/>
  <c r="AL48" i="2"/>
  <c r="AL70" i="2" s="1"/>
  <c r="BC48" i="2"/>
  <c r="BC70" i="2" s="1"/>
  <c r="BC49" i="2"/>
  <c r="BC71" i="2" s="1"/>
  <c r="AH49" i="2"/>
  <c r="AH71" i="2" s="1"/>
  <c r="AW49" i="2"/>
  <c r="AW71" i="2" s="1"/>
  <c r="BC47" i="2"/>
  <c r="BC63" i="2" s="1"/>
  <c r="W44" i="2"/>
  <c r="W49" i="2" s="1"/>
  <c r="W71" i="2" s="1"/>
  <c r="S44" i="2"/>
  <c r="S47" i="2" s="1"/>
  <c r="S63" i="2" s="1"/>
  <c r="BI48" i="2"/>
  <c r="BI70" i="2" s="1"/>
  <c r="BI49" i="2"/>
  <c r="BI71" i="2" s="1"/>
  <c r="BF47" i="2"/>
  <c r="BF63" i="2" s="1"/>
  <c r="BF49" i="2"/>
  <c r="BF71" i="2" s="1"/>
  <c r="BF48" i="2"/>
  <c r="AT49" i="2"/>
  <c r="AT71" i="2" s="1"/>
  <c r="AT48" i="2"/>
  <c r="AT70" i="2" s="1"/>
  <c r="AT47" i="2"/>
  <c r="AT63" i="2" s="1"/>
  <c r="BJ49" i="2"/>
  <c r="BJ71" i="2" s="1"/>
  <c r="BJ47" i="2"/>
  <c r="BJ63" i="2" s="1"/>
  <c r="BJ48" i="2"/>
  <c r="BJ70" i="2" s="1"/>
  <c r="O48" i="2"/>
  <c r="O70" i="2" s="1"/>
  <c r="O47" i="2"/>
  <c r="O63" i="2" s="1"/>
  <c r="O49" i="2"/>
  <c r="O71" i="2" s="1"/>
  <c r="N47" i="2"/>
  <c r="N63" i="2" s="1"/>
  <c r="N48" i="2"/>
  <c r="N70" i="2" s="1"/>
  <c r="BG48" i="2"/>
  <c r="BG47" i="2"/>
  <c r="BG63" i="2" s="1"/>
  <c r="BG49" i="2"/>
  <c r="BG71" i="2" s="1"/>
  <c r="AY44" i="2"/>
  <c r="S48" i="2"/>
  <c r="S70" i="2" s="1"/>
  <c r="H51" i="2"/>
  <c r="AE49" i="2"/>
  <c r="AE71" i="2" s="1"/>
  <c r="AE47" i="2"/>
  <c r="AE63" i="2" s="1"/>
  <c r="AE48" i="2"/>
  <c r="G44" i="2"/>
  <c r="BG70" i="2"/>
  <c r="AH51" i="2"/>
  <c r="Q48" i="2"/>
  <c r="Q70" i="2" s="1"/>
  <c r="Q49" i="2"/>
  <c r="Q71" i="2" s="1"/>
  <c r="Q47" i="2"/>
  <c r="Q63" i="2" s="1"/>
  <c r="J47" i="2"/>
  <c r="J63" i="2" s="1"/>
  <c r="J49" i="2"/>
  <c r="J71" i="2" s="1"/>
  <c r="J48" i="2"/>
  <c r="J70" i="2" s="1"/>
  <c r="BE51" i="2"/>
  <c r="Y48" i="2"/>
  <c r="Y70" i="2" s="1"/>
  <c r="Y49" i="2"/>
  <c r="Y71" i="2" s="1"/>
  <c r="Y47" i="2"/>
  <c r="Y63" i="2" s="1"/>
  <c r="T47" i="2"/>
  <c r="T63" i="2" s="1"/>
  <c r="T49" i="2"/>
  <c r="T71" i="2" s="1"/>
  <c r="T48" i="2"/>
  <c r="T70" i="2" s="1"/>
  <c r="AB47" i="2"/>
  <c r="AB63" i="2" s="1"/>
  <c r="AB49" i="2"/>
  <c r="AB71" i="2" s="1"/>
  <c r="AB48" i="2"/>
  <c r="AB70" i="2" s="1"/>
  <c r="AS47" i="2"/>
  <c r="AS63" i="2" s="1"/>
  <c r="AS49" i="2"/>
  <c r="AS71" i="2" s="1"/>
  <c r="AS48" i="2"/>
  <c r="AS70" i="2" s="1"/>
  <c r="Z47" i="2"/>
  <c r="Z63" i="2" s="1"/>
  <c r="Z49" i="2"/>
  <c r="Z71" i="2" s="1"/>
  <c r="Z48" i="2"/>
  <c r="Z70" i="2" s="1"/>
  <c r="AG48" i="2"/>
  <c r="AG70" i="2" s="1"/>
  <c r="AG47" i="2"/>
  <c r="AG63" i="2" s="1"/>
  <c r="AG49" i="2"/>
  <c r="AG71" i="2" s="1"/>
  <c r="U47" i="2"/>
  <c r="U63" i="2" s="1"/>
  <c r="U49" i="2"/>
  <c r="U71" i="2" s="1"/>
  <c r="U48" i="2"/>
  <c r="U70" i="2" s="1"/>
  <c r="AV51" i="2"/>
  <c r="AW51" i="2"/>
  <c r="BD48" i="2"/>
  <c r="BD70" i="2" s="1"/>
  <c r="BD47" i="2"/>
  <c r="BD63" i="2" s="1"/>
  <c r="BD49" i="2"/>
  <c r="BD71" i="2" s="1"/>
  <c r="AZ47" i="2"/>
  <c r="AZ63" i="2" s="1"/>
  <c r="AZ49" i="2"/>
  <c r="AZ71" i="2" s="1"/>
  <c r="AZ48" i="2"/>
  <c r="AZ70" i="2" s="1"/>
  <c r="F48" i="2"/>
  <c r="F47" i="2"/>
  <c r="F49" i="2"/>
  <c r="K47" i="2"/>
  <c r="K63" i="2" s="1"/>
  <c r="K49" i="2"/>
  <c r="K71" i="2" s="1"/>
  <c r="K48" i="2"/>
  <c r="K70" i="2" s="1"/>
  <c r="BC51" i="2"/>
  <c r="AO48" i="2"/>
  <c r="AO70" i="2" s="1"/>
  <c r="AO49" i="2"/>
  <c r="AO71" i="2" s="1"/>
  <c r="AO47" i="2"/>
  <c r="AO63" i="2" s="1"/>
  <c r="AJ47" i="2"/>
  <c r="AJ63" i="2" s="1"/>
  <c r="AJ49" i="2"/>
  <c r="AJ71" i="2" s="1"/>
  <c r="AJ48" i="2"/>
  <c r="AJ70" i="2" s="1"/>
  <c r="AM51" i="2"/>
  <c r="AP47" i="2"/>
  <c r="AP63" i="2" s="1"/>
  <c r="AP49" i="2"/>
  <c r="AP71" i="2" s="1"/>
  <c r="AP48" i="2"/>
  <c r="AP70" i="2" s="1"/>
  <c r="L47" i="2"/>
  <c r="L63" i="2" s="1"/>
  <c r="L49" i="2"/>
  <c r="L71" i="2" s="1"/>
  <c r="L48" i="2"/>
  <c r="L70" i="2" s="1"/>
  <c r="V48" i="2"/>
  <c r="V70" i="2" s="1"/>
  <c r="V47" i="2"/>
  <c r="V63" i="2" s="1"/>
  <c r="V49" i="2"/>
  <c r="V71" i="2" s="1"/>
  <c r="AA47" i="2"/>
  <c r="AA63" i="2" s="1"/>
  <c r="AA49" i="2"/>
  <c r="AA71" i="2" s="1"/>
  <c r="AA48" i="2"/>
  <c r="AA70" i="2" s="1"/>
  <c r="AL51" i="2"/>
  <c r="R47" i="2"/>
  <c r="R63" i="2" s="1"/>
  <c r="R49" i="2"/>
  <c r="R71" i="2" s="1"/>
  <c r="R48" i="2"/>
  <c r="R70" i="2" s="1"/>
  <c r="P51" i="2"/>
  <c r="X51" i="2"/>
  <c r="I48" i="2"/>
  <c r="I70" i="2" s="1"/>
  <c r="I47" i="2"/>
  <c r="I63" i="2" s="1"/>
  <c r="I49" i="2"/>
  <c r="I71" i="2" s="1"/>
  <c r="AQ47" i="2"/>
  <c r="AQ63" i="2" s="1"/>
  <c r="AQ49" i="2"/>
  <c r="AQ71" i="2" s="1"/>
  <c r="AQ48" i="2"/>
  <c r="AQ70" i="2" s="1"/>
  <c r="BB48" i="2"/>
  <c r="BB70" i="2" s="1"/>
  <c r="BB47" i="2"/>
  <c r="BB63" i="2" s="1"/>
  <c r="BB49" i="2"/>
  <c r="BB71" i="2" s="1"/>
  <c r="BH47" i="2"/>
  <c r="BH63" i="2" s="1"/>
  <c r="BH49" i="2"/>
  <c r="BH71" i="2" s="1"/>
  <c r="BH48" i="2"/>
  <c r="BH70" i="2" s="1"/>
  <c r="AF51" i="2"/>
  <c r="AC47" i="2"/>
  <c r="AC63" i="2" s="1"/>
  <c r="AC49" i="2"/>
  <c r="AC71" i="2" s="1"/>
  <c r="AC48" i="2"/>
  <c r="AC70" i="2" s="1"/>
  <c r="M51" i="2"/>
  <c r="BA47" i="2"/>
  <c r="BA63" i="2" s="1"/>
  <c r="BA49" i="2"/>
  <c r="BA71" i="2" s="1"/>
  <c r="BA48" i="2"/>
  <c r="BA70" i="2" s="1"/>
  <c r="AX47" i="2"/>
  <c r="AX63" i="2" s="1"/>
  <c r="AX49" i="2"/>
  <c r="AX71" i="2" s="1"/>
  <c r="AX48" i="2"/>
  <c r="AX70" i="2" s="1"/>
  <c r="W48" i="2" l="1"/>
  <c r="W70" i="2" s="1"/>
  <c r="S49" i="2"/>
  <c r="S71" i="2" s="1"/>
  <c r="W47" i="2"/>
  <c r="BF51" i="2"/>
  <c r="AT51" i="2"/>
  <c r="BF70" i="2"/>
  <c r="BI51" i="2"/>
  <c r="N51" i="2"/>
  <c r="BG51" i="2"/>
  <c r="AA51" i="2"/>
  <c r="O51" i="2"/>
  <c r="S51" i="2"/>
  <c r="U51" i="2"/>
  <c r="BJ51" i="2"/>
  <c r="AE51" i="2"/>
  <c r="AE70" i="2"/>
  <c r="G49" i="2"/>
  <c r="G71" i="2" s="1"/>
  <c r="G47" i="2"/>
  <c r="G63" i="2" s="1"/>
  <c r="G48" i="2"/>
  <c r="AY47" i="2"/>
  <c r="AY63" i="2" s="1"/>
  <c r="AY49" i="2"/>
  <c r="AY71" i="2" s="1"/>
  <c r="AY48" i="2"/>
  <c r="F70" i="2"/>
  <c r="T51" i="2"/>
  <c r="AC51" i="2"/>
  <c r="BA51" i="2"/>
  <c r="BB51" i="2"/>
  <c r="AP51" i="2"/>
  <c r="K51" i="2"/>
  <c r="Z51" i="2"/>
  <c r="BD51" i="2"/>
  <c r="AB51" i="2"/>
  <c r="Q51" i="2"/>
  <c r="L51" i="2"/>
  <c r="F51" i="2"/>
  <c r="AZ51" i="2"/>
  <c r="AX51" i="2"/>
  <c r="BH51" i="2"/>
  <c r="AJ51" i="2"/>
  <c r="AO51" i="2"/>
  <c r="F71" i="2"/>
  <c r="AS51" i="2"/>
  <c r="Y51" i="2"/>
  <c r="J51" i="2"/>
  <c r="R51" i="2"/>
  <c r="AQ51" i="2"/>
  <c r="I51" i="2"/>
  <c r="V51" i="2"/>
  <c r="F63" i="2"/>
  <c r="AG51" i="2"/>
  <c r="W63" i="2" l="1"/>
  <c r="W51" i="2"/>
  <c r="AY51" i="2"/>
  <c r="AY70" i="2"/>
  <c r="G51" i="2"/>
  <c r="G70" i="2"/>
  <c r="F72" i="2"/>
  <c r="F64" i="2"/>
  <c r="F76" i="2" l="1"/>
  <c r="D4" i="2"/>
  <c r="I4" i="2" s="1"/>
  <c r="J4" i="2"/>
  <c r="C5" i="2"/>
  <c r="C6" i="2" s="1"/>
  <c r="J5" i="2"/>
  <c r="G15" i="2"/>
  <c r="G69" i="2" s="1"/>
  <c r="G72" i="2" s="1"/>
  <c r="H15" i="2"/>
  <c r="I15" i="2"/>
  <c r="I69" i="2" s="1"/>
  <c r="I72" i="2" s="1"/>
  <c r="J15" i="2"/>
  <c r="K15" i="2"/>
  <c r="L15" i="2"/>
  <c r="M15" i="2"/>
  <c r="N15" i="2"/>
  <c r="O15" i="2"/>
  <c r="O69" i="2" s="1"/>
  <c r="O72" i="2" s="1"/>
  <c r="P15" i="2"/>
  <c r="Q15" i="2"/>
  <c r="Q69" i="2" s="1"/>
  <c r="Q72" i="2" s="1"/>
  <c r="R15" i="2"/>
  <c r="S15" i="2"/>
  <c r="T15" i="2"/>
  <c r="U15" i="2"/>
  <c r="V15" i="2"/>
  <c r="W15" i="2"/>
  <c r="W69" i="2" s="1"/>
  <c r="W72" i="2" s="1"/>
  <c r="X15" i="2"/>
  <c r="Y15" i="2"/>
  <c r="Y69" i="2" s="1"/>
  <c r="Y72" i="2" s="1"/>
  <c r="Z15" i="2"/>
  <c r="AA15" i="2"/>
  <c r="AB15" i="2"/>
  <c r="AC15" i="2"/>
  <c r="AD15" i="2"/>
  <c r="AE15" i="2"/>
  <c r="AE69" i="2" s="1"/>
  <c r="AE72" i="2" s="1"/>
  <c r="AF15" i="2"/>
  <c r="AG15" i="2"/>
  <c r="AH15" i="2"/>
  <c r="AI15" i="2"/>
  <c r="AJ15" i="2"/>
  <c r="AK15" i="2"/>
  <c r="AL15" i="2"/>
  <c r="AM15" i="2"/>
  <c r="AM69" i="2" s="1"/>
  <c r="AM72" i="2" s="1"/>
  <c r="AN15" i="2"/>
  <c r="AO15" i="2"/>
  <c r="AO69" i="2" s="1"/>
  <c r="AO72" i="2" s="1"/>
  <c r="AP15" i="2"/>
  <c r="AQ15" i="2"/>
  <c r="AR15" i="2"/>
  <c r="AS15" i="2"/>
  <c r="AT15" i="2"/>
  <c r="AU15" i="2"/>
  <c r="AU69" i="2" s="1"/>
  <c r="AV15" i="2"/>
  <c r="AW15" i="2"/>
  <c r="AW69" i="2" s="1"/>
  <c r="AW72" i="2" s="1"/>
  <c r="AX15" i="2"/>
  <c r="AY15" i="2"/>
  <c r="AZ15" i="2"/>
  <c r="BA15" i="2"/>
  <c r="BB15" i="2"/>
  <c r="BC15" i="2"/>
  <c r="BC69" i="2" s="1"/>
  <c r="BC72" i="2" s="1"/>
  <c r="BD15" i="2"/>
  <c r="BE15" i="2"/>
  <c r="BE69" i="2" s="1"/>
  <c r="BE72" i="2" s="1"/>
  <c r="BF15" i="2"/>
  <c r="BG15" i="2"/>
  <c r="BH15" i="2"/>
  <c r="BI15" i="2"/>
  <c r="BJ15" i="2"/>
  <c r="BK15" i="2"/>
  <c r="BK69" i="2" s="1"/>
  <c r="G16" i="2"/>
  <c r="G21" i="2" s="1"/>
  <c r="H16" i="2"/>
  <c r="H62" i="2" s="1"/>
  <c r="H64" i="2" s="1"/>
  <c r="J16" i="2"/>
  <c r="K16" i="2"/>
  <c r="L16" i="2"/>
  <c r="M16" i="2"/>
  <c r="M62" i="2" s="1"/>
  <c r="M64" i="2" s="1"/>
  <c r="N16" i="2"/>
  <c r="N62" i="2" s="1"/>
  <c r="O16" i="2"/>
  <c r="O21" i="2" s="1"/>
  <c r="P16" i="2"/>
  <c r="P21" i="2" s="1"/>
  <c r="Q16" i="2"/>
  <c r="R16" i="2"/>
  <c r="R21" i="2" s="1"/>
  <c r="S16" i="2"/>
  <c r="T16" i="2"/>
  <c r="U16" i="2"/>
  <c r="U21" i="2" s="1"/>
  <c r="V16" i="2"/>
  <c r="V62" i="2" s="1"/>
  <c r="V64" i="2" s="1"/>
  <c r="W16" i="2"/>
  <c r="W21" i="2" s="1"/>
  <c r="X16" i="2"/>
  <c r="X21" i="2" s="1"/>
  <c r="X26" i="2" s="1"/>
  <c r="Y16" i="2"/>
  <c r="Z16" i="2"/>
  <c r="AA16" i="2"/>
  <c r="AA21" i="2" s="1"/>
  <c r="AB16" i="2"/>
  <c r="AC16" i="2"/>
  <c r="AC21" i="2" s="1"/>
  <c r="AD16" i="2"/>
  <c r="AD21" i="2" s="1"/>
  <c r="AD34" i="2" s="1"/>
  <c r="AE16" i="2"/>
  <c r="AE21" i="2" s="1"/>
  <c r="AF16" i="2"/>
  <c r="AF62" i="2" s="1"/>
  <c r="AF64" i="2" s="1"/>
  <c r="AG16" i="2"/>
  <c r="AH16" i="2"/>
  <c r="AH21" i="2" s="1"/>
  <c r="AI16" i="2"/>
  <c r="AJ16" i="2"/>
  <c r="AJ21" i="2" s="1"/>
  <c r="AK16" i="2"/>
  <c r="AK21" i="2" s="1"/>
  <c r="AK34" i="2" s="1"/>
  <c r="AL16" i="2"/>
  <c r="AL62" i="2" s="1"/>
  <c r="AL64" i="2" s="1"/>
  <c r="AM16" i="2"/>
  <c r="AM21" i="2" s="1"/>
  <c r="AN16" i="2"/>
  <c r="AN21" i="2" s="1"/>
  <c r="AN34" i="2" s="1"/>
  <c r="AO16" i="2"/>
  <c r="AP16" i="2"/>
  <c r="AQ16" i="2"/>
  <c r="AR16" i="2"/>
  <c r="AS16" i="2"/>
  <c r="AS21" i="2" s="1"/>
  <c r="AT16" i="2"/>
  <c r="AT62" i="2" s="1"/>
  <c r="AT64" i="2" s="1"/>
  <c r="AU16" i="2"/>
  <c r="AU21" i="2" s="1"/>
  <c r="AV16" i="2"/>
  <c r="AV21" i="2" s="1"/>
  <c r="AW16" i="2"/>
  <c r="AX16" i="2"/>
  <c r="AX21" i="2" s="1"/>
  <c r="AX26" i="2" s="1"/>
  <c r="AY16" i="2"/>
  <c r="AZ16" i="2"/>
  <c r="BA16" i="2"/>
  <c r="BA21" i="2" s="1"/>
  <c r="BB16" i="2"/>
  <c r="BB21" i="2" s="1"/>
  <c r="BC16" i="2"/>
  <c r="BC21" i="2" s="1"/>
  <c r="BD16" i="2"/>
  <c r="BD21" i="2" s="1"/>
  <c r="BE16" i="2"/>
  <c r="BF16" i="2"/>
  <c r="BG16" i="2"/>
  <c r="BH16" i="2"/>
  <c r="BI16" i="2"/>
  <c r="BI21" i="2" s="1"/>
  <c r="BJ16" i="2"/>
  <c r="BJ21" i="2" s="1"/>
  <c r="BK16" i="2"/>
  <c r="BK21" i="2" s="1"/>
  <c r="H21" i="2"/>
  <c r="H26" i="2" s="1"/>
  <c r="J21" i="2"/>
  <c r="K21" i="2"/>
  <c r="L21" i="2"/>
  <c r="M21" i="2"/>
  <c r="M34" i="2" s="1"/>
  <c r="M79" i="2" s="1"/>
  <c r="N21" i="2"/>
  <c r="N26" i="2" s="1"/>
  <c r="Q21" i="2"/>
  <c r="Q26" i="2" s="1"/>
  <c r="S21" i="2"/>
  <c r="T21" i="2"/>
  <c r="Y21" i="2"/>
  <c r="Y26" i="2" s="1"/>
  <c r="Z21" i="2"/>
  <c r="Z26" i="2" s="1"/>
  <c r="AB21" i="2"/>
  <c r="AB26" i="2" s="1"/>
  <c r="AG21" i="2"/>
  <c r="AG34" i="2" s="1"/>
  <c r="AG79" i="2" s="1"/>
  <c r="AI21" i="2"/>
  <c r="AO21" i="2"/>
  <c r="AO26" i="2" s="1"/>
  <c r="AP21" i="2"/>
  <c r="AP26" i="2" s="1"/>
  <c r="AQ21" i="2"/>
  <c r="AQ34" i="2" s="1"/>
  <c r="AQ79" i="2" s="1"/>
  <c r="AR21" i="2"/>
  <c r="AR34" i="2" s="1"/>
  <c r="AW21" i="2"/>
  <c r="AW78" i="2" s="1"/>
  <c r="AY21" i="2"/>
  <c r="AY78" i="2" s="1"/>
  <c r="AZ21" i="2"/>
  <c r="BE21" i="2"/>
  <c r="BE26" i="2" s="1"/>
  <c r="BF21" i="2"/>
  <c r="BF26" i="2" s="1"/>
  <c r="BG21" i="2"/>
  <c r="BG26" i="2" s="1"/>
  <c r="BH21" i="2"/>
  <c r="BH26" i="2" s="1"/>
  <c r="J26" i="2"/>
  <c r="K26" i="2"/>
  <c r="L26" i="2"/>
  <c r="M26" i="2"/>
  <c r="S26" i="2"/>
  <c r="T26" i="2"/>
  <c r="AQ26" i="2"/>
  <c r="AZ26" i="2"/>
  <c r="J34" i="2"/>
  <c r="K34" i="2"/>
  <c r="L34" i="2"/>
  <c r="L79" i="2" s="1"/>
  <c r="S34" i="2"/>
  <c r="T34" i="2"/>
  <c r="Y34" i="2"/>
  <c r="Z34" i="2"/>
  <c r="AI34" i="2"/>
  <c r="AZ34" i="2"/>
  <c r="BE34" i="2"/>
  <c r="BF34" i="2"/>
  <c r="BF79" i="2" s="1"/>
  <c r="G62" i="2"/>
  <c r="G64" i="2" s="1"/>
  <c r="J62" i="2"/>
  <c r="K62" i="2"/>
  <c r="L62" i="2"/>
  <c r="L64" i="2" s="1"/>
  <c r="O62" i="2"/>
  <c r="O64" i="2" s="1"/>
  <c r="O76" i="2" s="1"/>
  <c r="P62" i="2"/>
  <c r="Q62" i="2"/>
  <c r="Q64" i="2" s="1"/>
  <c r="R62" i="2"/>
  <c r="S62" i="2"/>
  <c r="T62" i="2"/>
  <c r="W62" i="2"/>
  <c r="W64" i="2" s="1"/>
  <c r="W76" i="2" s="1"/>
  <c r="Y62" i="2"/>
  <c r="Y64" i="2" s="1"/>
  <c r="Z62" i="2"/>
  <c r="Z64" i="2" s="1"/>
  <c r="AA62" i="2"/>
  <c r="AB62" i="2"/>
  <c r="AE62" i="2"/>
  <c r="AE64" i="2" s="1"/>
  <c r="AG62" i="2"/>
  <c r="AG64" i="2" s="1"/>
  <c r="AH62" i="2"/>
  <c r="AH64" i="2" s="1"/>
  <c r="AI62" i="2"/>
  <c r="AJ62" i="2"/>
  <c r="AJ64" i="2" s="1"/>
  <c r="AM62" i="2"/>
  <c r="AM64" i="2" s="1"/>
  <c r="AO62" i="2"/>
  <c r="AO64" i="2" s="1"/>
  <c r="AP62" i="2"/>
  <c r="AQ62" i="2"/>
  <c r="AQ64" i="2" s="1"/>
  <c r="AR62" i="2"/>
  <c r="AU62" i="2"/>
  <c r="AV62" i="2"/>
  <c r="AV64" i="2" s="1"/>
  <c r="AW62" i="2"/>
  <c r="AW64" i="2" s="1"/>
  <c r="AX62" i="2"/>
  <c r="AY62" i="2"/>
  <c r="AY64" i="2" s="1"/>
  <c r="AZ62" i="2"/>
  <c r="BC62" i="2"/>
  <c r="BC64" i="2" s="1"/>
  <c r="BE62" i="2"/>
  <c r="BE64" i="2" s="1"/>
  <c r="BF62" i="2"/>
  <c r="BG62" i="2"/>
  <c r="BG64" i="2" s="1"/>
  <c r="BH62" i="2"/>
  <c r="BK62" i="2"/>
  <c r="J64" i="2"/>
  <c r="K64" i="2"/>
  <c r="P64" i="2"/>
  <c r="R64" i="2"/>
  <c r="S64" i="2"/>
  <c r="T64" i="2"/>
  <c r="AA64" i="2"/>
  <c r="AA76" i="2" s="1"/>
  <c r="AB64" i="2"/>
  <c r="AP64" i="2"/>
  <c r="AX64" i="2"/>
  <c r="AZ64" i="2"/>
  <c r="BF64" i="2"/>
  <c r="BH64" i="2"/>
  <c r="H69" i="2"/>
  <c r="J69" i="2"/>
  <c r="K69" i="2"/>
  <c r="K72" i="2" s="1"/>
  <c r="L69" i="2"/>
  <c r="L72" i="2" s="1"/>
  <c r="M69" i="2"/>
  <c r="M72" i="2" s="1"/>
  <c r="N69" i="2"/>
  <c r="N72" i="2" s="1"/>
  <c r="P69" i="2"/>
  <c r="R69" i="2"/>
  <c r="S69" i="2"/>
  <c r="S72" i="2" s="1"/>
  <c r="T69" i="2"/>
  <c r="T72" i="2" s="1"/>
  <c r="T76" i="2" s="1"/>
  <c r="U69" i="2"/>
  <c r="U72" i="2" s="1"/>
  <c r="V69" i="2"/>
  <c r="V72" i="2" s="1"/>
  <c r="X69" i="2"/>
  <c r="X72" i="2" s="1"/>
  <c r="Z69" i="2"/>
  <c r="AA69" i="2"/>
  <c r="AA72" i="2" s="1"/>
  <c r="AB69" i="2"/>
  <c r="AB72" i="2" s="1"/>
  <c r="AC69" i="2"/>
  <c r="AC72" i="2" s="1"/>
  <c r="AD69" i="2"/>
  <c r="AF69" i="2"/>
  <c r="AF72" i="2" s="1"/>
  <c r="AG69" i="2"/>
  <c r="AG72" i="2" s="1"/>
  <c r="AH69" i="2"/>
  <c r="AI69" i="2"/>
  <c r="AJ69" i="2"/>
  <c r="AJ72" i="2" s="1"/>
  <c r="AK69" i="2"/>
  <c r="AL69" i="2"/>
  <c r="AL72" i="2" s="1"/>
  <c r="AN69" i="2"/>
  <c r="AP69" i="2"/>
  <c r="AP72" i="2" s="1"/>
  <c r="AQ69" i="2"/>
  <c r="AQ72" i="2" s="1"/>
  <c r="AR69" i="2"/>
  <c r="AS69" i="2"/>
  <c r="AS72" i="2" s="1"/>
  <c r="AT69" i="2"/>
  <c r="AT72" i="2" s="1"/>
  <c r="AV69" i="2"/>
  <c r="AV72" i="2" s="1"/>
  <c r="AX69" i="2"/>
  <c r="AY69" i="2"/>
  <c r="AY72" i="2" s="1"/>
  <c r="AZ69" i="2"/>
  <c r="AZ72" i="2" s="1"/>
  <c r="BA69" i="2"/>
  <c r="BA72" i="2" s="1"/>
  <c r="BB69" i="2"/>
  <c r="BB72" i="2" s="1"/>
  <c r="BD69" i="2"/>
  <c r="BD72" i="2" s="1"/>
  <c r="BF69" i="2"/>
  <c r="BF72" i="2" s="1"/>
  <c r="BF76" i="2" s="1"/>
  <c r="BG69" i="2"/>
  <c r="BH69" i="2"/>
  <c r="BH72" i="2" s="1"/>
  <c r="BH76" i="2" s="1"/>
  <c r="BI69" i="2"/>
  <c r="BI72" i="2" s="1"/>
  <c r="BJ69" i="2"/>
  <c r="BJ72" i="2" s="1"/>
  <c r="H72" i="2"/>
  <c r="J72" i="2"/>
  <c r="P72" i="2"/>
  <c r="R72" i="2"/>
  <c r="R76" i="2" s="1"/>
  <c r="Z72" i="2"/>
  <c r="AH72" i="2"/>
  <c r="AX72" i="2"/>
  <c r="AX76" i="2" s="1"/>
  <c r="BG72" i="2"/>
  <c r="J78" i="2"/>
  <c r="K78" i="2"/>
  <c r="L78" i="2"/>
  <c r="M78" i="2"/>
  <c r="S78" i="2"/>
  <c r="T78" i="2"/>
  <c r="Y78" i="2"/>
  <c r="Z78" i="2"/>
  <c r="AB78" i="2"/>
  <c r="AQ78" i="2"/>
  <c r="AZ78" i="2"/>
  <c r="BE78" i="2"/>
  <c r="BF78" i="2"/>
  <c r="J79" i="2"/>
  <c r="K79" i="2"/>
  <c r="S79" i="2"/>
  <c r="T79" i="2"/>
  <c r="Y79" i="2"/>
  <c r="Z79" i="2"/>
  <c r="AZ79" i="2"/>
  <c r="BE79" i="2"/>
  <c r="C16" i="10"/>
  <c r="C17" i="10"/>
  <c r="BC76" i="2" l="1"/>
  <c r="AE76" i="2"/>
  <c r="H76" i="2"/>
  <c r="AQ76" i="2"/>
  <c r="P76" i="2"/>
  <c r="J76" i="2"/>
  <c r="P34" i="2"/>
  <c r="P79" i="2" s="1"/>
  <c r="P78" i="2"/>
  <c r="P26" i="2"/>
  <c r="BD34" i="2"/>
  <c r="BD79" i="2" s="1"/>
  <c r="BD26" i="2"/>
  <c r="BD78" i="2"/>
  <c r="AV34" i="2"/>
  <c r="AV79" i="2" s="1"/>
  <c r="AV78" i="2"/>
  <c r="AV26" i="2"/>
  <c r="AF76" i="2"/>
  <c r="BE76" i="2"/>
  <c r="AB34" i="2"/>
  <c r="AB79" i="2" s="1"/>
  <c r="AW26" i="2"/>
  <c r="AF21" i="2"/>
  <c r="L76" i="2"/>
  <c r="BD62" i="2"/>
  <c r="BD64" i="2" s="1"/>
  <c r="BD76" i="2" s="1"/>
  <c r="X62" i="2"/>
  <c r="X64" i="2" s="1"/>
  <c r="AT76" i="2"/>
  <c r="AW34" i="2"/>
  <c r="AW79" i="2" s="1"/>
  <c r="H78" i="2"/>
  <c r="AH76" i="2"/>
  <c r="AB76" i="2"/>
  <c r="H34" i="2"/>
  <c r="H79" i="2" s="1"/>
  <c r="AG26" i="2"/>
  <c r="X76" i="2"/>
  <c r="Q78" i="2"/>
  <c r="AJ76" i="2"/>
  <c r="AO76" i="2"/>
  <c r="AG78" i="2"/>
  <c r="Z76" i="2"/>
  <c r="AN62" i="2"/>
  <c r="Q34" i="2"/>
  <c r="Q79" i="2" s="1"/>
  <c r="AV76" i="2"/>
  <c r="AZ76" i="2"/>
  <c r="BG76" i="2"/>
  <c r="I16" i="2"/>
  <c r="BJ34" i="2"/>
  <c r="BJ79" i="2" s="1"/>
  <c r="BJ26" i="2"/>
  <c r="BJ78" i="2"/>
  <c r="BB26" i="2"/>
  <c r="BB34" i="2"/>
  <c r="BB79" i="2" s="1"/>
  <c r="BB78" i="2"/>
  <c r="AL76" i="2"/>
  <c r="V76" i="2"/>
  <c r="N64" i="2"/>
  <c r="N76" i="2" s="1"/>
  <c r="BI26" i="2"/>
  <c r="BI78" i="2"/>
  <c r="BI34" i="2"/>
  <c r="BI79" i="2" s="1"/>
  <c r="BA26" i="2"/>
  <c r="BA78" i="2"/>
  <c r="BA34" i="2"/>
  <c r="BA79" i="2" s="1"/>
  <c r="AS78" i="2"/>
  <c r="AS26" i="2"/>
  <c r="AS34" i="2"/>
  <c r="AS79" i="2" s="1"/>
  <c r="AC34" i="2"/>
  <c r="AC79" i="2" s="1"/>
  <c r="AC26" i="2"/>
  <c r="AC78" i="2"/>
  <c r="U78" i="2"/>
  <c r="U34" i="2"/>
  <c r="U79" i="2" s="1"/>
  <c r="U26" i="2"/>
  <c r="M76" i="2"/>
  <c r="AJ34" i="2"/>
  <c r="AJ79" i="2" s="1"/>
  <c r="AJ26" i="2"/>
  <c r="AJ78" i="2"/>
  <c r="AY76" i="2"/>
  <c r="AA26" i="2"/>
  <c r="AA78" i="2"/>
  <c r="AA34" i="2"/>
  <c r="AA79" i="2" s="1"/>
  <c r="AH26" i="2"/>
  <c r="AH78" i="2"/>
  <c r="AH34" i="2"/>
  <c r="AH79" i="2" s="1"/>
  <c r="R26" i="2"/>
  <c r="R78" i="2"/>
  <c r="R34" i="2"/>
  <c r="R79" i="2" s="1"/>
  <c r="AM76" i="2"/>
  <c r="AD62" i="2"/>
  <c r="V21" i="2"/>
  <c r="BI62" i="2"/>
  <c r="BI64" i="2" s="1"/>
  <c r="BI76" i="2" s="1"/>
  <c r="BA62" i="2"/>
  <c r="BA64" i="2" s="1"/>
  <c r="BA76" i="2" s="1"/>
  <c r="AS62" i="2"/>
  <c r="AS64" i="2" s="1"/>
  <c r="AS76" i="2" s="1"/>
  <c r="AK62" i="2"/>
  <c r="AC62" i="2"/>
  <c r="AC64" i="2" s="1"/>
  <c r="AC76" i="2" s="1"/>
  <c r="U62" i="2"/>
  <c r="U64" i="2" s="1"/>
  <c r="U76" i="2" s="1"/>
  <c r="BB62" i="2"/>
  <c r="BB64" i="2" s="1"/>
  <c r="BB76" i="2" s="1"/>
  <c r="AP78" i="2"/>
  <c r="S76" i="2"/>
  <c r="K76" i="2"/>
  <c r="BH34" i="2"/>
  <c r="BH79" i="2" s="1"/>
  <c r="AY34" i="2"/>
  <c r="AY79" i="2" s="1"/>
  <c r="AP34" i="2"/>
  <c r="AP79" i="2" s="1"/>
  <c r="X34" i="2"/>
  <c r="X79" i="2" s="1"/>
  <c r="N34" i="2"/>
  <c r="N79" i="2" s="1"/>
  <c r="AL21" i="2"/>
  <c r="D5" i="2"/>
  <c r="I5" i="2" s="1"/>
  <c r="I6" i="2" s="1"/>
  <c r="BJ62" i="2"/>
  <c r="BJ64" i="2" s="1"/>
  <c r="BJ76" i="2" s="1"/>
  <c r="BH78" i="2"/>
  <c r="AO78" i="2"/>
  <c r="BG34" i="2"/>
  <c r="BG79" i="2" s="1"/>
  <c r="AX34" i="2"/>
  <c r="AX79" i="2" s="1"/>
  <c r="AO34" i="2"/>
  <c r="AO79" i="2" s="1"/>
  <c r="AY26" i="2"/>
  <c r="AT21" i="2"/>
  <c r="BG78" i="2"/>
  <c r="AX78" i="2"/>
  <c r="J6" i="2"/>
  <c r="AP76" i="2"/>
  <c r="C69" i="2"/>
  <c r="C25" i="10" s="1"/>
  <c r="AW76" i="2"/>
  <c r="AG76" i="2"/>
  <c r="Y76" i="2"/>
  <c r="Q76" i="2"/>
  <c r="X78" i="2"/>
  <c r="N78" i="2"/>
  <c r="D15" i="2"/>
  <c r="G76" i="2"/>
  <c r="BK34" i="2"/>
  <c r="BC78" i="2"/>
  <c r="BC26" i="2"/>
  <c r="BC34" i="2"/>
  <c r="BC79" i="2" s="1"/>
  <c r="AU34" i="2"/>
  <c r="AM78" i="2"/>
  <c r="AM26" i="2"/>
  <c r="AM34" i="2"/>
  <c r="AM79" i="2" s="1"/>
  <c r="AE78" i="2"/>
  <c r="AE26" i="2"/>
  <c r="AE34" i="2"/>
  <c r="AE79" i="2" s="1"/>
  <c r="W78" i="2"/>
  <c r="W26" i="2"/>
  <c r="W34" i="2"/>
  <c r="W79" i="2" s="1"/>
  <c r="O78" i="2"/>
  <c r="O26" i="2"/>
  <c r="O34" i="2"/>
  <c r="O79" i="2" s="1"/>
  <c r="G78" i="2"/>
  <c r="G24" i="2"/>
  <c r="H20" i="2" s="1"/>
  <c r="G26" i="2"/>
  <c r="G34" i="2"/>
  <c r="D16" i="2"/>
  <c r="AF34" i="2" l="1"/>
  <c r="AF79" i="2" s="1"/>
  <c r="AF78" i="2"/>
  <c r="AF26" i="2"/>
  <c r="I21" i="2"/>
  <c r="I62" i="2"/>
  <c r="I64" i="2" s="1"/>
  <c r="I76" i="2" s="1"/>
  <c r="AT34" i="2"/>
  <c r="AT79" i="2" s="1"/>
  <c r="AT26" i="2"/>
  <c r="AT78" i="2"/>
  <c r="AL34" i="2"/>
  <c r="AL79" i="2" s="1"/>
  <c r="AL26" i="2"/>
  <c r="AL78" i="2"/>
  <c r="V26" i="2"/>
  <c r="V34" i="2"/>
  <c r="V79" i="2" s="1"/>
  <c r="V78" i="2"/>
  <c r="C62" i="2"/>
  <c r="H22" i="2"/>
  <c r="H24" i="2" s="1"/>
  <c r="I20" i="2" s="1"/>
  <c r="G38" i="2"/>
  <c r="H33" i="2" s="1"/>
  <c r="G79" i="2"/>
  <c r="I26" i="2" l="1"/>
  <c r="I78" i="2"/>
  <c r="I34" i="2"/>
  <c r="I79" i="2" s="1"/>
  <c r="D21" i="2"/>
  <c r="D34" i="2"/>
  <c r="I22" i="2"/>
  <c r="I24" i="2" s="1"/>
  <c r="J20" i="2" s="1"/>
  <c r="H35" i="2"/>
  <c r="J22" i="2" l="1"/>
  <c r="J24" i="2" s="1"/>
  <c r="K20" i="2" s="1"/>
  <c r="H38" i="2"/>
  <c r="I33" i="2" s="1"/>
  <c r="K22" i="2" l="1"/>
  <c r="K24" i="2" s="1"/>
  <c r="L20" i="2" s="1"/>
  <c r="I35" i="2"/>
  <c r="I38" i="2" s="1"/>
  <c r="J33" i="2" s="1"/>
  <c r="J35" i="2" l="1"/>
  <c r="J38" i="2" s="1"/>
  <c r="K33" i="2" s="1"/>
  <c r="L22" i="2"/>
  <c r="K35" i="2" l="1"/>
  <c r="K38" i="2" s="1"/>
  <c r="L33" i="2" s="1"/>
  <c r="L24" i="2"/>
  <c r="M20" i="2" s="1"/>
  <c r="M22" i="2" l="1"/>
  <c r="M24" i="2" s="1"/>
  <c r="N20" i="2" s="1"/>
  <c r="L35" i="2"/>
  <c r="L38" i="2" s="1"/>
  <c r="M33" i="2" s="1"/>
  <c r="N22" i="2" l="1"/>
  <c r="N24" i="2" s="1"/>
  <c r="O20" i="2" s="1"/>
  <c r="M35" i="2"/>
  <c r="M38" i="2" s="1"/>
  <c r="N33" i="2" s="1"/>
  <c r="N35" i="2" l="1"/>
  <c r="N38" i="2" s="1"/>
  <c r="O33" i="2" s="1"/>
  <c r="O22" i="2"/>
  <c r="O24" i="2"/>
  <c r="P20" i="2" s="1"/>
  <c r="O35" i="2" l="1"/>
  <c r="O38" i="2" s="1"/>
  <c r="P33" i="2" s="1"/>
  <c r="P22" i="2"/>
  <c r="P24" i="2" s="1"/>
  <c r="Q20" i="2" s="1"/>
  <c r="P35" i="2" l="1"/>
  <c r="P38" i="2" s="1"/>
  <c r="Q33" i="2" s="1"/>
  <c r="Q22" i="2"/>
  <c r="Q24" i="2" s="1"/>
  <c r="R20" i="2" s="1"/>
  <c r="R22" i="2" l="1"/>
  <c r="R24" i="2"/>
  <c r="S20" i="2" s="1"/>
  <c r="Q35" i="2"/>
  <c r="Q38" i="2" s="1"/>
  <c r="R33" i="2" s="1"/>
  <c r="S22" i="2" l="1"/>
  <c r="S24" i="2"/>
  <c r="T20" i="2" s="1"/>
  <c r="R35" i="2"/>
  <c r="R38" i="2" s="1"/>
  <c r="S33" i="2" s="1"/>
  <c r="T22" i="2" l="1"/>
  <c r="T24" i="2" s="1"/>
  <c r="U20" i="2" s="1"/>
  <c r="S35" i="2"/>
  <c r="S38" i="2" s="1"/>
  <c r="T33" i="2" s="1"/>
  <c r="U22" i="2" l="1"/>
  <c r="U24" i="2" s="1"/>
  <c r="V20" i="2" s="1"/>
  <c r="T35" i="2"/>
  <c r="T38" i="2" s="1"/>
  <c r="U33" i="2" s="1"/>
  <c r="V22" i="2" l="1"/>
  <c r="V24" i="2"/>
  <c r="W20" i="2" s="1"/>
  <c r="U35" i="2"/>
  <c r="U38" i="2" s="1"/>
  <c r="V33" i="2" s="1"/>
  <c r="V35" i="2" l="1"/>
  <c r="V38" i="2" s="1"/>
  <c r="W33" i="2" s="1"/>
  <c r="W22" i="2"/>
  <c r="W24" i="2"/>
  <c r="X20" i="2" s="1"/>
  <c r="W35" i="2" l="1"/>
  <c r="W38" i="2" s="1"/>
  <c r="X33" i="2" s="1"/>
  <c r="X22" i="2"/>
  <c r="X24" i="2" s="1"/>
  <c r="Y20" i="2" s="1"/>
  <c r="X35" i="2" l="1"/>
  <c r="X38" i="2" s="1"/>
  <c r="Y33" i="2" s="1"/>
  <c r="Y22" i="2"/>
  <c r="Y24" i="2"/>
  <c r="Z20" i="2" s="1"/>
  <c r="Y35" i="2" l="1"/>
  <c r="Y38" i="2" s="1"/>
  <c r="Z33" i="2" s="1"/>
  <c r="Z22" i="2"/>
  <c r="Z24" i="2" s="1"/>
  <c r="AA20" i="2" s="1"/>
  <c r="Z35" i="2" l="1"/>
  <c r="Z38" i="2" s="1"/>
  <c r="AA33" i="2" s="1"/>
  <c r="AA22" i="2"/>
  <c r="AA24" i="2" s="1"/>
  <c r="AB20" i="2" s="1"/>
  <c r="AA35" i="2" l="1"/>
  <c r="AA38" i="2" s="1"/>
  <c r="AB33" i="2" s="1"/>
  <c r="AB22" i="2"/>
  <c r="AB24" i="2" s="1"/>
  <c r="AC20" i="2" s="1"/>
  <c r="AC22" i="2" l="1"/>
  <c r="AC24" i="2" s="1"/>
  <c r="AD20" i="2" s="1"/>
  <c r="AB35" i="2"/>
  <c r="AB38" i="2" s="1"/>
  <c r="AC33" i="2" s="1"/>
  <c r="AC35" i="2" l="1"/>
  <c r="AC38" i="2" s="1"/>
  <c r="AD33" i="2" s="1"/>
  <c r="AD22" i="2"/>
  <c r="AD23" i="2"/>
  <c r="AD35" i="2" l="1"/>
  <c r="AD78" i="2"/>
  <c r="AD36" i="2"/>
  <c r="AD26" i="2"/>
  <c r="AD27" i="2"/>
  <c r="AD24" i="2"/>
  <c r="AE20" i="2" s="1"/>
  <c r="AD29" i="2" l="1"/>
  <c r="AE22" i="2"/>
  <c r="AE24" i="2" s="1"/>
  <c r="AF20" i="2" s="1"/>
  <c r="AD37" i="2" l="1"/>
  <c r="AF22" i="2"/>
  <c r="AF24" i="2" s="1"/>
  <c r="AG20" i="2" s="1"/>
  <c r="AG22" i="2" l="1"/>
  <c r="AG24" i="2"/>
  <c r="AH20" i="2" s="1"/>
  <c r="AD40" i="2"/>
  <c r="AD41" i="2"/>
  <c r="AD42" i="2"/>
  <c r="AD38" i="2"/>
  <c r="AE33" i="2" s="1"/>
  <c r="AD79" i="2"/>
  <c r="AE35" i="2" l="1"/>
  <c r="AE38" i="2" s="1"/>
  <c r="AF33" i="2" s="1"/>
  <c r="AD44" i="2"/>
  <c r="AH22" i="2"/>
  <c r="AH24" i="2" s="1"/>
  <c r="AI20" i="2" s="1"/>
  <c r="AD47" i="2" l="1"/>
  <c r="AD48" i="2"/>
  <c r="AD49" i="2"/>
  <c r="AI22" i="2"/>
  <c r="AI23" i="2" s="1"/>
  <c r="AF35" i="2"/>
  <c r="AF38" i="2" s="1"/>
  <c r="AG33" i="2" s="1"/>
  <c r="AI27" i="2" l="1"/>
  <c r="AI26" i="2"/>
  <c r="AI36" i="2"/>
  <c r="AI78" i="2"/>
  <c r="AI24" i="2"/>
  <c r="AJ20" i="2" s="1"/>
  <c r="AD70" i="2"/>
  <c r="AD51" i="2"/>
  <c r="AD71" i="2"/>
  <c r="AG35" i="2"/>
  <c r="AG38" i="2" s="1"/>
  <c r="AH33" i="2" s="1"/>
  <c r="AD63" i="2"/>
  <c r="AJ22" i="2" l="1"/>
  <c r="AJ24" i="2" s="1"/>
  <c r="AK20" i="2" s="1"/>
  <c r="AI29" i="2"/>
  <c r="AD64" i="2"/>
  <c r="AH35" i="2"/>
  <c r="AH38" i="2" s="1"/>
  <c r="AI33" i="2" s="1"/>
  <c r="AD72" i="2"/>
  <c r="AI35" i="2" l="1"/>
  <c r="AK22" i="2"/>
  <c r="AI37" i="2"/>
  <c r="AD76" i="2"/>
  <c r="AI38" i="2" l="1"/>
  <c r="AJ33" i="2" s="1"/>
  <c r="AJ35" i="2" s="1"/>
  <c r="AK23" i="2"/>
  <c r="AI40" i="2"/>
  <c r="AI41" i="2"/>
  <c r="AI42" i="2"/>
  <c r="AI79" i="2"/>
  <c r="AJ38" i="2" l="1"/>
  <c r="AK33" i="2" s="1"/>
  <c r="AK78" i="2"/>
  <c r="AK27" i="2"/>
  <c r="AK26" i="2"/>
  <c r="AK36" i="2"/>
  <c r="AK24" i="2"/>
  <c r="AL20" i="2" s="1"/>
  <c r="AI44" i="2"/>
  <c r="AK35" i="2"/>
  <c r="AI47" i="2" l="1"/>
  <c r="AI48" i="2"/>
  <c r="AI49" i="2"/>
  <c r="AI51" i="2"/>
  <c r="AK29" i="2"/>
  <c r="AL22" i="2"/>
  <c r="AL24" i="2" s="1"/>
  <c r="AM20" i="2" s="1"/>
  <c r="AM22" i="2" l="1"/>
  <c r="AM24" i="2" s="1"/>
  <c r="AN20" i="2" s="1"/>
  <c r="AI71" i="2"/>
  <c r="AI70" i="2"/>
  <c r="AI63" i="2"/>
  <c r="AK37" i="2"/>
  <c r="AK40" i="2" l="1"/>
  <c r="AK41" i="2"/>
  <c r="AK42" i="2"/>
  <c r="AK38" i="2"/>
  <c r="AL33" i="2" s="1"/>
  <c r="AK79" i="2"/>
  <c r="AN22" i="2"/>
  <c r="AN23" i="2" s="1"/>
  <c r="AI72" i="2"/>
  <c r="AI64" i="2"/>
  <c r="AL35" i="2" l="1"/>
  <c r="AL38" i="2" s="1"/>
  <c r="AM33" i="2" s="1"/>
  <c r="AI76" i="2"/>
  <c r="AN27" i="2"/>
  <c r="AN78" i="2"/>
  <c r="AN36" i="2"/>
  <c r="AN26" i="2"/>
  <c r="AN29" i="2" s="1"/>
  <c r="AK44" i="2"/>
  <c r="AN24" i="2"/>
  <c r="AO20" i="2" s="1"/>
  <c r="AM35" i="2" l="1"/>
  <c r="AM38" i="2" s="1"/>
  <c r="AN33" i="2" s="1"/>
  <c r="AO22" i="2"/>
  <c r="AO24" i="2" s="1"/>
  <c r="AP20" i="2" s="1"/>
  <c r="AK47" i="2"/>
  <c r="AK48" i="2"/>
  <c r="AK49" i="2"/>
  <c r="AK51" i="2" s="1"/>
  <c r="AN37" i="2"/>
  <c r="AN79" i="2" s="1"/>
  <c r="AP22" i="2" l="1"/>
  <c r="AP24" i="2" s="1"/>
  <c r="AQ20" i="2" s="1"/>
  <c r="AN40" i="2"/>
  <c r="AN41" i="2"/>
  <c r="AN42" i="2"/>
  <c r="AN35" i="2"/>
  <c r="AN38" i="2" s="1"/>
  <c r="AO33" i="2" s="1"/>
  <c r="AK71" i="2"/>
  <c r="AK70" i="2"/>
  <c r="AK63" i="2"/>
  <c r="AO35" i="2" l="1"/>
  <c r="AO38" i="2"/>
  <c r="AP33" i="2" s="1"/>
  <c r="AQ22" i="2"/>
  <c r="AQ24" i="2"/>
  <c r="AR20" i="2" s="1"/>
  <c r="AK64" i="2"/>
  <c r="AK72" i="2"/>
  <c r="AN44" i="2"/>
  <c r="AR22" i="2" l="1"/>
  <c r="AK76" i="2"/>
  <c r="AN47" i="2"/>
  <c r="AN48" i="2"/>
  <c r="AN49" i="2"/>
  <c r="AP35" i="2"/>
  <c r="AP38" i="2" s="1"/>
  <c r="AQ33" i="2" s="1"/>
  <c r="AQ35" i="2" l="1"/>
  <c r="AQ38" i="2" s="1"/>
  <c r="AR33" i="2" s="1"/>
  <c r="AN70" i="2"/>
  <c r="AN63" i="2"/>
  <c r="AR23" i="2"/>
  <c r="AR24" i="2" s="1"/>
  <c r="AS20" i="2" s="1"/>
  <c r="AN51" i="2"/>
  <c r="AN71" i="2"/>
  <c r="AS22" i="2" l="1"/>
  <c r="AS24" i="2" s="1"/>
  <c r="AT20" i="2" s="1"/>
  <c r="AN64" i="2"/>
  <c r="AR26" i="2"/>
  <c r="AR27" i="2"/>
  <c r="AR36" i="2"/>
  <c r="AR78" i="2"/>
  <c r="AR35" i="2"/>
  <c r="AN72" i="2"/>
  <c r="AT22" i="2" l="1"/>
  <c r="AT24" i="2"/>
  <c r="AU20" i="2" s="1"/>
  <c r="AR29" i="2"/>
  <c r="AN76" i="2"/>
  <c r="AR37" i="2" l="1"/>
  <c r="AU22" i="2"/>
  <c r="AU23" i="2" s="1"/>
  <c r="AU27" i="2" l="1"/>
  <c r="AU36" i="2"/>
  <c r="AU78" i="2"/>
  <c r="AU26" i="2"/>
  <c r="AU29" i="2" s="1"/>
  <c r="AU24" i="2"/>
  <c r="AV20" i="2" s="1"/>
  <c r="AR40" i="2"/>
  <c r="AR41" i="2"/>
  <c r="AR42" i="2"/>
  <c r="AR38" i="2"/>
  <c r="AS33" i="2" s="1"/>
  <c r="AR79" i="2"/>
  <c r="AU37" i="2" l="1"/>
  <c r="AS35" i="2"/>
  <c r="AS38" i="2" s="1"/>
  <c r="AT33" i="2" s="1"/>
  <c r="AR44" i="2"/>
  <c r="AV22" i="2"/>
  <c r="AV24" i="2" s="1"/>
  <c r="AW20" i="2" s="1"/>
  <c r="AW22" i="2" l="1"/>
  <c r="AW24" i="2" s="1"/>
  <c r="AX20" i="2" s="1"/>
  <c r="AT35" i="2"/>
  <c r="AT38" i="2" s="1"/>
  <c r="AU33" i="2" s="1"/>
  <c r="AR47" i="2"/>
  <c r="AR48" i="2"/>
  <c r="AR51" i="2" s="1"/>
  <c r="AR49" i="2"/>
  <c r="AU40" i="2"/>
  <c r="AU41" i="2"/>
  <c r="AU42" i="2"/>
  <c r="AU79" i="2"/>
  <c r="AU35" i="2" l="1"/>
  <c r="AU38" i="2" s="1"/>
  <c r="AV33" i="2" s="1"/>
  <c r="AR63" i="2"/>
  <c r="AR70" i="2"/>
  <c r="AU44" i="2"/>
  <c r="AX22" i="2"/>
  <c r="AX24" i="2" s="1"/>
  <c r="AY20" i="2" s="1"/>
  <c r="AR71" i="2"/>
  <c r="AY22" i="2" l="1"/>
  <c r="AY24" i="2" s="1"/>
  <c r="AZ20" i="2" s="1"/>
  <c r="AR72" i="2"/>
  <c r="AV35" i="2"/>
  <c r="AV38" i="2" s="1"/>
  <c r="AW33" i="2" s="1"/>
  <c r="AR64" i="2"/>
  <c r="AR76" i="2" s="1"/>
  <c r="AU47" i="2"/>
  <c r="AU63" i="2" s="1"/>
  <c r="AU64" i="2" s="1"/>
  <c r="AU48" i="2"/>
  <c r="AU70" i="2" s="1"/>
  <c r="AU49" i="2"/>
  <c r="AU71" i="2" s="1"/>
  <c r="AU51" i="2" l="1"/>
  <c r="AW35" i="2"/>
  <c r="AW38" i="2" s="1"/>
  <c r="AX33" i="2" s="1"/>
  <c r="AU72" i="2"/>
  <c r="AU76" i="2" s="1"/>
  <c r="AZ22" i="2"/>
  <c r="AZ24" i="2" s="1"/>
  <c r="BA20" i="2" s="1"/>
  <c r="BA22" i="2" l="1"/>
  <c r="BA24" i="2" s="1"/>
  <c r="BB20" i="2" s="1"/>
  <c r="AX35" i="2"/>
  <c r="AX38" i="2" s="1"/>
  <c r="AY33" i="2" s="1"/>
  <c r="BB22" i="2" l="1"/>
  <c r="BB24" i="2" s="1"/>
  <c r="BC20" i="2" s="1"/>
  <c r="AY35" i="2"/>
  <c r="AY38" i="2" s="1"/>
  <c r="AZ33" i="2" s="1"/>
  <c r="BC22" i="2" l="1"/>
  <c r="BC24" i="2"/>
  <c r="BD20" i="2" s="1"/>
  <c r="AZ35" i="2"/>
  <c r="AZ38" i="2"/>
  <c r="BA33" i="2" s="1"/>
  <c r="BD22" i="2" l="1"/>
  <c r="BD24" i="2" s="1"/>
  <c r="BE20" i="2" s="1"/>
  <c r="BA35" i="2"/>
  <c r="BA38" i="2" s="1"/>
  <c r="BB33" i="2" s="1"/>
  <c r="BB35" i="2" l="1"/>
  <c r="BB38" i="2" s="1"/>
  <c r="BC33" i="2" s="1"/>
  <c r="BE22" i="2"/>
  <c r="BE24" i="2" s="1"/>
  <c r="BF20" i="2" s="1"/>
  <c r="BF22" i="2" l="1"/>
  <c r="BF24" i="2" s="1"/>
  <c r="BG20" i="2" s="1"/>
  <c r="BC35" i="2"/>
  <c r="BC38" i="2" s="1"/>
  <c r="BD33" i="2" s="1"/>
  <c r="BD35" i="2" l="1"/>
  <c r="BD38" i="2"/>
  <c r="BE33" i="2" s="1"/>
  <c r="BG22" i="2"/>
  <c r="BG24" i="2" s="1"/>
  <c r="BH20" i="2" s="1"/>
  <c r="BH22" i="2" l="1"/>
  <c r="BH24" i="2" s="1"/>
  <c r="BI20" i="2" s="1"/>
  <c r="BE35" i="2"/>
  <c r="BE38" i="2" s="1"/>
  <c r="BF33" i="2" s="1"/>
  <c r="BI22" i="2" l="1"/>
  <c r="BI24" i="2" s="1"/>
  <c r="BJ20" i="2" s="1"/>
  <c r="BF35" i="2"/>
  <c r="BF38" i="2" s="1"/>
  <c r="BG33" i="2" s="1"/>
  <c r="BJ22" i="2" l="1"/>
  <c r="BJ24" i="2"/>
  <c r="BK20" i="2" s="1"/>
  <c r="BG35" i="2"/>
  <c r="BG38" i="2" s="1"/>
  <c r="BH33" i="2" s="1"/>
  <c r="BH35" i="2" l="1"/>
  <c r="BH38" i="2"/>
  <c r="BI33" i="2" s="1"/>
  <c r="BK22" i="2"/>
  <c r="D22" i="2" s="1"/>
  <c r="BK23" i="2"/>
  <c r="BK24" i="2" s="1"/>
  <c r="BK36" i="2" l="1"/>
  <c r="BK27" i="2"/>
  <c r="BK78" i="2"/>
  <c r="D78" i="2" s="1"/>
  <c r="BK26" i="2"/>
  <c r="D23" i="2"/>
  <c r="D24" i="2" s="1"/>
  <c r="BI35" i="2"/>
  <c r="BI38" i="2" s="1"/>
  <c r="BJ33" i="2" s="1"/>
  <c r="BJ35" i="2" l="1"/>
  <c r="BJ38" i="2" s="1"/>
  <c r="BK33" i="2" s="1"/>
  <c r="D27" i="2"/>
  <c r="BK29" i="2"/>
  <c r="D26" i="2"/>
  <c r="D36" i="2"/>
  <c r="BK35" i="2" l="1"/>
  <c r="D35" i="2" s="1"/>
  <c r="C21" i="10"/>
  <c r="BK37" i="2"/>
  <c r="D29" i="2"/>
  <c r="BK40" i="2" l="1"/>
  <c r="BK41" i="2"/>
  <c r="BK42" i="2"/>
  <c r="D37" i="2"/>
  <c r="D38" i="2" s="1"/>
  <c r="BK79" i="2"/>
  <c r="D79" i="2" s="1"/>
  <c r="BK38" i="2"/>
  <c r="D42" i="2" l="1"/>
  <c r="D41" i="2"/>
  <c r="D40" i="2"/>
  <c r="BK44" i="2"/>
  <c r="C22" i="10" l="1"/>
  <c r="BK47" i="2"/>
  <c r="BK48" i="2"/>
  <c r="BK49" i="2"/>
  <c r="D44" i="2"/>
  <c r="D49" i="2" l="1"/>
  <c r="BK71" i="2"/>
  <c r="C71" i="2" s="1"/>
  <c r="BK51" i="2"/>
  <c r="D51" i="2" s="1"/>
  <c r="D48" i="2"/>
  <c r="BK70" i="2"/>
  <c r="D47" i="2"/>
  <c r="C23" i="10" s="1"/>
  <c r="BK63" i="2"/>
  <c r="BK64" i="2" l="1"/>
  <c r="C63" i="2"/>
  <c r="C24" i="10"/>
  <c r="BK72" i="2"/>
  <c r="C70" i="2"/>
  <c r="D24" i="10" l="1"/>
  <c r="C26" i="10"/>
  <c r="D21" i="10"/>
  <c r="D22" i="10"/>
  <c r="C73" i="2"/>
  <c r="C6" i="10" s="1"/>
  <c r="C72" i="2"/>
  <c r="C74" i="2" s="1"/>
  <c r="C11" i="10" s="1"/>
  <c r="D23" i="10"/>
  <c r="BK76" i="2"/>
  <c r="C64" i="2"/>
  <c r="C65" i="2"/>
  <c r="C5" i="10" s="1"/>
  <c r="C66" i="2" l="1"/>
  <c r="C10" i="10" s="1"/>
  <c r="D16" i="10"/>
  <c r="D17" i="10" s="1"/>
  <c r="C76" i="2"/>
</calcChain>
</file>

<file path=xl/sharedStrings.xml><?xml version="1.0" encoding="utf-8"?>
<sst xmlns="http://schemas.openxmlformats.org/spreadsheetml/2006/main" count="611" uniqueCount="495">
  <si>
    <t>Equity Contributions</t>
  </si>
  <si>
    <t>LP</t>
  </si>
  <si>
    <t>%</t>
  </si>
  <si>
    <t>TOTAL</t>
  </si>
  <si>
    <t>Split %</t>
  </si>
  <si>
    <t>Deal Level</t>
  </si>
  <si>
    <t>Members</t>
  </si>
  <si>
    <t>Equity</t>
  </si>
  <si>
    <t>Pari-Passu</t>
  </si>
  <si>
    <t>Then Split</t>
  </si>
  <si>
    <t>Closing</t>
  </si>
  <si>
    <t>TIER 1 (Preffered Return)</t>
  </si>
  <si>
    <t>Beginning Balance</t>
  </si>
  <si>
    <t>Distributions</t>
  </si>
  <si>
    <t>Ending Balance</t>
  </si>
  <si>
    <t>LP Cash Flow</t>
  </si>
  <si>
    <t>Remaining Cash to Distribute</t>
  </si>
  <si>
    <t>LP Contributions</t>
  </si>
  <si>
    <t>LP Accruals</t>
  </si>
  <si>
    <t>IRR Check</t>
  </si>
  <si>
    <t>Property Cash Flow</t>
  </si>
  <si>
    <t>TOTAL CASH FLOW</t>
  </si>
  <si>
    <t>TIER 2</t>
  </si>
  <si>
    <t>Tier 1 Accrual Distribution</t>
  </si>
  <si>
    <t>Tier 2 Accrual Distribution</t>
  </si>
  <si>
    <t>TIER 3</t>
  </si>
  <si>
    <t>Deal Summary</t>
  </si>
  <si>
    <t>Total Investment</t>
  </si>
  <si>
    <t>Gross Distributions</t>
  </si>
  <si>
    <t>Net Cash Flow</t>
  </si>
  <si>
    <t>IRR</t>
  </si>
  <si>
    <t>Equity Multiple</t>
  </si>
  <si>
    <t>LP Summary</t>
  </si>
  <si>
    <t>Investment</t>
  </si>
  <si>
    <t>Equity Cash Flow</t>
  </si>
  <si>
    <t>Promote Cash Flow</t>
  </si>
  <si>
    <t>Month 0</t>
  </si>
  <si>
    <t>Cash Flow Check</t>
  </si>
  <si>
    <t>Hurdle</t>
  </si>
  <si>
    <t>Existing Loan</t>
  </si>
  <si>
    <t>Principal</t>
  </si>
  <si>
    <t>Rate</t>
  </si>
  <si>
    <t>Interest (9/1 - 9/30)</t>
  </si>
  <si>
    <t>Prepayment Premium</t>
  </si>
  <si>
    <t>Protective Advances</t>
  </si>
  <si>
    <t>UCC Filing Fee</t>
  </si>
  <si>
    <t>Processing Fee</t>
  </si>
  <si>
    <t>Escrows on Deposit</t>
  </si>
  <si>
    <t>Property Tax</t>
  </si>
  <si>
    <t>Insurance</t>
  </si>
  <si>
    <t>Rate Cap</t>
  </si>
  <si>
    <t>Replacement Reserve</t>
  </si>
  <si>
    <t>Repair</t>
  </si>
  <si>
    <t>TOTAL PAYOFF</t>
  </si>
  <si>
    <t>FOR PAYOFF 9/13</t>
  </si>
  <si>
    <t>New Loan</t>
  </si>
  <si>
    <t>Amount</t>
  </si>
  <si>
    <t>Rate (variable)</t>
  </si>
  <si>
    <t>Term</t>
  </si>
  <si>
    <t>Amortization</t>
  </si>
  <si>
    <t>I/O</t>
  </si>
  <si>
    <t>Escrow Required</t>
  </si>
  <si>
    <t xml:space="preserve">Monthly funding </t>
  </si>
  <si>
    <t>~$250/unit, monthly funding</t>
  </si>
  <si>
    <t>TBD</t>
  </si>
  <si>
    <t>Fees</t>
  </si>
  <si>
    <t>App Fee</t>
  </si>
  <si>
    <t>3rd Party Report Fees</t>
  </si>
  <si>
    <t>Notes</t>
  </si>
  <si>
    <t>LIBOR variable, locked at DD</t>
  </si>
  <si>
    <t>(Could be partially refunded if some reports not needed)</t>
  </si>
  <si>
    <t>Freddie Mac App Fee</t>
  </si>
  <si>
    <t>Origination Fee</t>
  </si>
  <si>
    <t>75 Bps of Loan Amount</t>
  </si>
  <si>
    <t>Rate Lock</t>
  </si>
  <si>
    <t>Breakage Fee</t>
  </si>
  <si>
    <t>1% of Loan amount (refunded)</t>
  </si>
  <si>
    <t>Legal Fees</t>
  </si>
  <si>
    <t>Construction Budget Worksheet</t>
  </si>
  <si>
    <t>PROPERTY:</t>
  </si>
  <si>
    <t>Entro Post Refi July 2019</t>
  </si>
  <si>
    <t>TOTAL UNITS:</t>
  </si>
  <si>
    <t>RENO UNITS:</t>
  </si>
  <si>
    <t>could be reduced</t>
  </si>
  <si>
    <t>UNIT SIZE:</t>
  </si>
  <si>
    <t># of BLDGS.:</t>
  </si>
  <si>
    <t>Account</t>
  </si>
  <si>
    <t> Number</t>
  </si>
  <si>
    <t> Name</t>
  </si>
  <si>
    <t>G/L Budget</t>
  </si>
  <si>
    <t>Per Unit</t>
  </si>
  <si>
    <t xml:space="preserve">Notes </t>
  </si>
  <si>
    <t>1420-1000</t>
  </si>
  <si>
    <t>EXTERIOR AND COMMON AREA IMPROVEMENTS</t>
  </si>
  <si>
    <t>1420-1100</t>
  </si>
  <si>
    <t>ROOF</t>
  </si>
  <si>
    <t>1420-1101</t>
  </si>
  <si>
    <t>     Roof Replacement &amp; Repair</t>
  </si>
  <si>
    <t xml:space="preserve">Need to get full evaluation. Mansard bid for Villas phase was $39,000. Evaluating flat roofs now. Budget is per IR list. </t>
  </si>
  <si>
    <t>1420-1102</t>
  </si>
  <si>
    <t>     Roofing Engineer &amp; Consulting</t>
  </si>
  <si>
    <t>1420-1103</t>
  </si>
  <si>
    <t>     Gutters &amp; Downspouts</t>
  </si>
  <si>
    <t>1420-1199</t>
  </si>
  <si>
    <t>Bldg. Exteriors</t>
  </si>
  <si>
    <t>TOTAL ROOF</t>
  </si>
  <si>
    <t>1420-1200</t>
  </si>
  <si>
    <t>PLUMBING &amp; MECHANICAL</t>
  </si>
  <si>
    <t>1420-1201</t>
  </si>
  <si>
    <t>     Boiler/Water Heater</t>
  </si>
  <si>
    <t>1420-1202</t>
  </si>
  <si>
    <t>     Plumbing Lines &amp; Building Shutoffs</t>
  </si>
  <si>
    <t>1420-1203</t>
  </si>
  <si>
    <t>     Sewer Lines</t>
  </si>
  <si>
    <t>1420-1204</t>
  </si>
  <si>
    <t>     Chillers</t>
  </si>
  <si>
    <t>1420-1205</t>
  </si>
  <si>
    <t>     Other Mechanical</t>
  </si>
  <si>
    <t>Chiller conversion</t>
  </si>
  <si>
    <t>1420-1299</t>
  </si>
  <si>
    <t>Mechanicals</t>
  </si>
  <si>
    <t>TOTAL PLUMBING</t>
  </si>
  <si>
    <t>1420-1300</t>
  </si>
  <si>
    <t>PAINT, WOOD, SIDING</t>
  </si>
  <si>
    <t>1420-1301</t>
  </si>
  <si>
    <t>     Wood/ Siding Repairs</t>
  </si>
  <si>
    <t>Full paint and carpentry. Includes office and other soffit work. Includes mansards on the Villas phase. Bid was $407,900.</t>
  </si>
  <si>
    <t>1420-1302</t>
  </si>
  <si>
    <t>     Exterior Painting</t>
  </si>
  <si>
    <t>Included above. Full paint included.</t>
  </si>
  <si>
    <t>1420-1303</t>
  </si>
  <si>
    <t>     FaÃ§ade Improvements (Non-Paint)</t>
  </si>
  <si>
    <t>1420-1304</t>
  </si>
  <si>
    <t>     Mural Painting</t>
  </si>
  <si>
    <t>1420-1305</t>
  </si>
  <si>
    <t>     Redecking - Landings, Patios, Balconies</t>
  </si>
  <si>
    <t>1420-1306</t>
  </si>
  <si>
    <t>     Stairs &amp; Railings</t>
  </si>
  <si>
    <t>1420-1399</t>
  </si>
  <si>
    <t>TOTAL PAINT, WOOD &amp; SIDING</t>
  </si>
  <si>
    <t>1420-1400</t>
  </si>
  <si>
    <t>WINDOWS AND DOORS</t>
  </si>
  <si>
    <t>1420-1401</t>
  </si>
  <si>
    <t>     Windows and Glass</t>
  </si>
  <si>
    <t>1420-1402</t>
  </si>
  <si>
    <t>     Solar Screens</t>
  </si>
  <si>
    <t>1420-1403</t>
  </si>
  <si>
    <t>     Exterior Doors</t>
  </si>
  <si>
    <t>1420-1404</t>
  </si>
  <si>
    <t>     Door Locks and Hardware</t>
  </si>
  <si>
    <t>1420-1499</t>
  </si>
  <si>
    <t>TOTAL WINDOWS AND DOORS</t>
  </si>
  <si>
    <t>1420-1500</t>
  </si>
  <si>
    <t>ELECTRICAL &amp; LIGHTING</t>
  </si>
  <si>
    <t>1420-1501</t>
  </si>
  <si>
    <t>     Electrical &amp; Lighting</t>
  </si>
  <si>
    <t>Ext. flushmounts on all interior corridor bldgs. Bid is 4,800.</t>
  </si>
  <si>
    <t>1420-1599</t>
  </si>
  <si>
    <t>Grounds</t>
  </si>
  <si>
    <t>TOTAL ELECTRICAL &amp; LIGHTING</t>
  </si>
  <si>
    <t>1420-1600</t>
  </si>
  <si>
    <t>LANDSCAPING &amp; SITE WORK</t>
  </si>
  <si>
    <t>1420-1601</t>
  </si>
  <si>
    <t>     Irrigation</t>
  </si>
  <si>
    <t>Fix front irrigation</t>
  </si>
  <si>
    <t>1420-1602</t>
  </si>
  <si>
    <t>     Landscape Design</t>
  </si>
  <si>
    <t>1420-1603</t>
  </si>
  <si>
    <t>     New Landscaping</t>
  </si>
  <si>
    <t>Erosion throughout, especially in Villas Phase. Needs tree trimming.</t>
  </si>
  <si>
    <t>1420-1604</t>
  </si>
  <si>
    <t>     Grading &amp; Drainage</t>
  </si>
  <si>
    <t>1420-1605</t>
  </si>
  <si>
    <t>     Retaining Walls</t>
  </si>
  <si>
    <t>Small retaining wall by bldg 5553. Per bid.</t>
  </si>
  <si>
    <t>1420-1606</t>
  </si>
  <si>
    <t>     Railing and Walkway Improvements / Trip Hazards</t>
  </si>
  <si>
    <t>Concrete stair rebuilds, trip hazards, restain concrete at office entry, playground, and main pool deck. Per stain bid with allowances for trip hazards and stairs.</t>
  </si>
  <si>
    <t>1420-1699</t>
  </si>
  <si>
    <t>TOTAL LANDSCAPING &amp; SITE DRAINAGE</t>
  </si>
  <si>
    <t>1420-1700</t>
  </si>
  <si>
    <t>FOUNDATION &amp; STRUCTURAL REPAIR</t>
  </si>
  <si>
    <t>1420-1701</t>
  </si>
  <si>
    <t>     Foundation Repair</t>
  </si>
  <si>
    <t>1420-1702</t>
  </si>
  <si>
    <t>     Structural Stair and Walkway Repair</t>
  </si>
  <si>
    <t>1420-1799</t>
  </si>
  <si>
    <t>TOTAL FOUNDATION &amp; STRUCTURAL REPAIR</t>
  </si>
  <si>
    <t>1420-1800</t>
  </si>
  <si>
    <t>POOL &amp; EXTERIOR COMMON AREA</t>
  </si>
  <si>
    <t>1420-1801</t>
  </si>
  <si>
    <t>     Pool Renovation &amp; Improvements</t>
  </si>
  <si>
    <t>Shade sail at lounge area</t>
  </si>
  <si>
    <t>1420-1802</t>
  </si>
  <si>
    <t>     Pool Equipment</t>
  </si>
  <si>
    <t>1420-1803</t>
  </si>
  <si>
    <t>     Decking and Structures</t>
  </si>
  <si>
    <t>1420-1804</t>
  </si>
  <si>
    <t>     Common Area Furniture/Fixtures</t>
  </si>
  <si>
    <t>Mesh on 4 loungers and 16 dining chairs</t>
  </si>
  <si>
    <t>1420-1805</t>
  </si>
  <si>
    <t>     Dog Park</t>
  </si>
  <si>
    <t>1420-1806</t>
  </si>
  <si>
    <t>     Playground Improvements</t>
  </si>
  <si>
    <t>Top off fiber</t>
  </si>
  <si>
    <t>1420-1807</t>
  </si>
  <si>
    <t>     Other Amenity Improvements</t>
  </si>
  <si>
    <t>Firepit area clean up, cover concrete with rubber coating</t>
  </si>
  <si>
    <t>1420-1899</t>
  </si>
  <si>
    <t>Amenity Areas</t>
  </si>
  <si>
    <t>TOTAL POOL &amp; EXTERIOR COMMON AREA</t>
  </si>
  <si>
    <t>1420-1900</t>
  </si>
  <si>
    <t>PARKING AND PAVEMENT</t>
  </si>
  <si>
    <t>1420-1901</t>
  </si>
  <si>
    <t>     Paving &amp; Flatwork</t>
  </si>
  <si>
    <t>Should do repairs, seal, stripe. Bid is 34,800.</t>
  </si>
  <si>
    <t>1420-1902</t>
  </si>
  <si>
    <t>     Carports</t>
  </si>
  <si>
    <t>1420-1999</t>
  </si>
  <si>
    <t>Parking / Sidewalks</t>
  </si>
  <si>
    <t>TOTAL PARKING AND PAVEMENT</t>
  </si>
  <si>
    <t>1420-2000</t>
  </si>
  <si>
    <t>MAINTENANCE SHOP</t>
  </si>
  <si>
    <t>1420-2001</t>
  </si>
  <si>
    <t>     Maintenance Shop, Tools &amp; Equipment</t>
  </si>
  <si>
    <t>1420-2002</t>
  </si>
  <si>
    <t>     Golf Carts</t>
  </si>
  <si>
    <t>1420-2099</t>
  </si>
  <si>
    <t>Logistics</t>
  </si>
  <si>
    <t>TOTAL MAINTENANCE SHOP</t>
  </si>
  <si>
    <t>1420-2100</t>
  </si>
  <si>
    <t>FENCING</t>
  </si>
  <si>
    <t>1420-2101</t>
  </si>
  <si>
    <t>     Perimeter Fencing</t>
  </si>
  <si>
    <t>1420-2102</t>
  </si>
  <si>
    <t>     Yard Additions &amp; Balcony Enclosures</t>
  </si>
  <si>
    <t>1420-2103</t>
  </si>
  <si>
    <t>     Dumpster &amp; Equipment Enclosures</t>
  </si>
  <si>
    <t>1420-2199</t>
  </si>
  <si>
    <t>TOTAL FENCING</t>
  </si>
  <si>
    <t>1420-2200</t>
  </si>
  <si>
    <t>STORAGE &amp; CONSTRUCTION DUMPSTERS</t>
  </si>
  <si>
    <t>1420-2201</t>
  </si>
  <si>
    <t>     Storage Units</t>
  </si>
  <si>
    <t>1420-2202</t>
  </si>
  <si>
    <t>     Construction Dumpsters</t>
  </si>
  <si>
    <t>1420-2299</t>
  </si>
  <si>
    <t>TOTAL STORAGE &amp; CONSTRUCTION DUMPSTERS</t>
  </si>
  <si>
    <t>1420-2300</t>
  </si>
  <si>
    <t>MOLD &amp; TERMITE TREATMENT</t>
  </si>
  <si>
    <t>1420-2301</t>
  </si>
  <si>
    <t>     Mold Treatment</t>
  </si>
  <si>
    <t>1420-2302</t>
  </si>
  <si>
    <t>     Termite Treatment</t>
  </si>
  <si>
    <t>1420-2399</t>
  </si>
  <si>
    <t>TOTAL MOLD &amp; TERMITE TREATMENT</t>
  </si>
  <si>
    <t>1420-2400</t>
  </si>
  <si>
    <t>SECURITY</t>
  </si>
  <si>
    <t>1420-2401</t>
  </si>
  <si>
    <t>     Cameras</t>
  </si>
  <si>
    <t>1420-2402</t>
  </si>
  <si>
    <t>     Pedestrian Access</t>
  </si>
  <si>
    <t>1420-2403</t>
  </si>
  <si>
    <t>     Vehicle Access</t>
  </si>
  <si>
    <t>1420-2499</t>
  </si>
  <si>
    <t>TOTAL SECURITY</t>
  </si>
  <si>
    <t>1420-2500</t>
  </si>
  <si>
    <t>MAILBOXES &amp; MAIL CENTER</t>
  </si>
  <si>
    <t>1420-2501</t>
  </si>
  <si>
    <t>     Mailboxes &amp; Mail Center</t>
  </si>
  <si>
    <t>Lights, repairs. If we're holding for 5-7 years, we need to also do $20K in mailbox repalcement.</t>
  </si>
  <si>
    <t>1420-2599</t>
  </si>
  <si>
    <t>TOTAL MAILBOXES &amp; MAIL CENTER</t>
  </si>
  <si>
    <t>1420-2600</t>
  </si>
  <si>
    <t>LAUNDRY ROOM</t>
  </si>
  <si>
    <t>1420-2601</t>
  </si>
  <si>
    <t>     Laundry Room</t>
  </si>
  <si>
    <t>2 down rooms that need to be brought back online.</t>
  </si>
  <si>
    <t>1420-2699</t>
  </si>
  <si>
    <t>TOTAL LAUNDRY ROOM</t>
  </si>
  <si>
    <t>1420-2700</t>
  </si>
  <si>
    <t>FITNESS CENTER</t>
  </si>
  <si>
    <t>1420-2701</t>
  </si>
  <si>
    <t>     Fitness Center Renovation</t>
  </si>
  <si>
    <t>Touchups / detail work</t>
  </si>
  <si>
    <t>1420-2702</t>
  </si>
  <si>
    <t>     Fitness Center Equipment</t>
  </si>
  <si>
    <t>1420-2703</t>
  </si>
  <si>
    <t>     Fitness Center Misc.</t>
  </si>
  <si>
    <t>Add lockers / grout paint / general clean up</t>
  </si>
  <si>
    <t>1420-2799</t>
  </si>
  <si>
    <t>TOTAL FITNESS CENTER</t>
  </si>
  <si>
    <t>1420-2800</t>
  </si>
  <si>
    <t>LEASING OFFICE &amp; MODEL</t>
  </si>
  <si>
    <t>1420-2801</t>
  </si>
  <si>
    <t>     Office Renovation</t>
  </si>
  <si>
    <t>Touchups/detail work, flooring behind desks, business center with 1 computer by CDs office.</t>
  </si>
  <si>
    <t>1420-2802</t>
  </si>
  <si>
    <t>     Office Design</t>
  </si>
  <si>
    <t>1420-2803</t>
  </si>
  <si>
    <t>     Office FF&amp;E</t>
  </si>
  <si>
    <t>1420-2804</t>
  </si>
  <si>
    <t>     Model FF&amp;E</t>
  </si>
  <si>
    <t>1420-2899</t>
  </si>
  <si>
    <t>TOTAL LEASING OFFICE &amp; MODEL</t>
  </si>
  <si>
    <t>1420-2900</t>
  </si>
  <si>
    <t>SIGNAGE &amp; BRANDING</t>
  </si>
  <si>
    <t>1420-2901</t>
  </si>
  <si>
    <t>     Branding/Design</t>
  </si>
  <si>
    <t>1420-2902</t>
  </si>
  <si>
    <t>     Monument Signage</t>
  </si>
  <si>
    <t>Paint sequin areas</t>
  </si>
  <si>
    <t>1420-2903</t>
  </si>
  <si>
    <t>     Building Signage</t>
  </si>
  <si>
    <t>Allowance for 40 new signs</t>
  </si>
  <si>
    <t>1420-2904</t>
  </si>
  <si>
    <t>     Temp Signage / Banners</t>
  </si>
  <si>
    <t>1420-2905</t>
  </si>
  <si>
    <t>     Door Numbers</t>
  </si>
  <si>
    <t>1420-2999</t>
  </si>
  <si>
    <t>TOTAL SIGNAGE &amp; BRANDING</t>
  </si>
  <si>
    <t>1420-3000</t>
  </si>
  <si>
    <t>PERMITING &amp; LICENSING</t>
  </si>
  <si>
    <t>1420-3001</t>
  </si>
  <si>
    <t>     Permiting</t>
  </si>
  <si>
    <t>1420-3002</t>
  </si>
  <si>
    <t>     Engineering</t>
  </si>
  <si>
    <t>1420-3003</t>
  </si>
  <si>
    <t>     Architectural Design</t>
  </si>
  <si>
    <t>1420-3099</t>
  </si>
  <si>
    <t>TOTAL PERMITING &amp; LICENSING</t>
  </si>
  <si>
    <t>1420-3100</t>
  </si>
  <si>
    <t>ALTERNATIVE ENERGY / SUSTAINIBILITY</t>
  </si>
  <si>
    <t>1420-3101</t>
  </si>
  <si>
    <t>     Solar Power</t>
  </si>
  <si>
    <t>1420-3102</t>
  </si>
  <si>
    <t>     Microturbine</t>
  </si>
  <si>
    <t>1420-3103</t>
  </si>
  <si>
    <t>     Other</t>
  </si>
  <si>
    <t>1420-3199</t>
  </si>
  <si>
    <t>Energy Eff</t>
  </si>
  <si>
    <t>TOTAL GREEN ENERGY / ENERGY EFFICIENCY</t>
  </si>
  <si>
    <t>1420-4700</t>
  </si>
  <si>
    <t>CONTINGENCY / OTHER</t>
  </si>
  <si>
    <t>1420-4701</t>
  </si>
  <si>
    <t>     Contingency / Other</t>
  </si>
  <si>
    <t>1420-4799</t>
  </si>
  <si>
    <t>Contingency</t>
  </si>
  <si>
    <t>TOTAL CONTINGENCY / OTHER</t>
  </si>
  <si>
    <t>1420-4800</t>
  </si>
  <si>
    <t>EXTERIOR PROJECT MANAGEMENT FEES</t>
  </si>
  <si>
    <t>1420-4801</t>
  </si>
  <si>
    <t>     Exterior Project Management Fees</t>
  </si>
  <si>
    <t>1420-4899</t>
  </si>
  <si>
    <t>Exterior Fees</t>
  </si>
  <si>
    <t>TOTAL EXTERIOR PROJECT MANAGEMENT FEES</t>
  </si>
  <si>
    <t>1420-4999</t>
  </si>
  <si>
    <t>Total Exterior Upgrades</t>
  </si>
  <si>
    <t>1420-5000</t>
  </si>
  <si>
    <t>INTERIOR IMPROVEMENTS</t>
  </si>
  <si>
    <t>NO WORK - STANDARD TURNS ONLY FROM HERE ON OUT</t>
  </si>
  <si>
    <t>1420-5100</t>
  </si>
  <si>
    <t>HVAC</t>
  </si>
  <si>
    <t>1420-5101</t>
  </si>
  <si>
    <t>     HVAC Repairs</t>
  </si>
  <si>
    <t>1420-5102</t>
  </si>
  <si>
    <t>     New HVAC Units</t>
  </si>
  <si>
    <t>1420-5103</t>
  </si>
  <si>
    <t>     Thermostats, Grilles, and Registers</t>
  </si>
  <si>
    <t>1420-5199</t>
  </si>
  <si>
    <t>Materials</t>
  </si>
  <si>
    <t>TOTAL HVAC</t>
  </si>
  <si>
    <t>1420-5200</t>
  </si>
  <si>
    <t>FLOORING</t>
  </si>
  <si>
    <t>1420-5201</t>
  </si>
  <si>
    <t>     Flooring</t>
  </si>
  <si>
    <t>1420-5299</t>
  </si>
  <si>
    <t>TOTAL FLOORING</t>
  </si>
  <si>
    <t>1420-5300</t>
  </si>
  <si>
    <t>MATERIALS, HARDWARE &amp; FIXTURES</t>
  </si>
  <si>
    <t>1420-5301</t>
  </si>
  <si>
    <t>     Plumbing Fixtures / Sinks</t>
  </si>
  <si>
    <t>1420-5302</t>
  </si>
  <si>
    <t>     Electrical Fixtures &amp; Lighting</t>
  </si>
  <si>
    <t>1420-5303</t>
  </si>
  <si>
    <t>     Doors, Door Hardware, &amp; Other Hardware</t>
  </si>
  <si>
    <t>1420-5304</t>
  </si>
  <si>
    <t>     Paint Supplies</t>
  </si>
  <si>
    <t>1420-5305</t>
  </si>
  <si>
    <t>     Cabinets &amp; Countertops</t>
  </si>
  <si>
    <t>1420-5306</t>
  </si>
  <si>
    <t>     Shower, Trim, and Tub Resurfacing</t>
  </si>
  <si>
    <t>1420-5307</t>
  </si>
  <si>
    <t>     Window Treatments and Blinds</t>
  </si>
  <si>
    <t>1420-5308</t>
  </si>
  <si>
    <t>     Misc Other Materials</t>
  </si>
  <si>
    <t>1420-5399</t>
  </si>
  <si>
    <t>TOTAL HARDWARE &amp; FIXTURES</t>
  </si>
  <si>
    <t>1420-5400</t>
  </si>
  <si>
    <t>APPLIANCES</t>
  </si>
  <si>
    <t>1420-5401</t>
  </si>
  <si>
    <t>     Kitchen Appliances</t>
  </si>
  <si>
    <t>1420-5402</t>
  </si>
  <si>
    <t>     Washers &amp; Dryers</t>
  </si>
  <si>
    <t>1420-5403</t>
  </si>
  <si>
    <t>     Washer &amp; Dryer Connections Installation</t>
  </si>
  <si>
    <t>1420-5499</t>
  </si>
  <si>
    <t>Appliances</t>
  </si>
  <si>
    <t>TOTAL APPLIANCES</t>
  </si>
  <si>
    <t>1420-5500</t>
  </si>
  <si>
    <t>INTERIOR CONTRACT LABOR</t>
  </si>
  <si>
    <t>1420-5501</t>
  </si>
  <si>
    <t>     Flooring Install Labor</t>
  </si>
  <si>
    <t>1420-5502</t>
  </si>
  <si>
    <t>     General Upgrade Labor</t>
  </si>
  <si>
    <t>1420-5503</t>
  </si>
  <si>
    <t>     Paint Labor</t>
  </si>
  <si>
    <t>1420-5599</t>
  </si>
  <si>
    <t>Labor</t>
  </si>
  <si>
    <t>TOTAL INTERIOR CONTRACT LABOR</t>
  </si>
  <si>
    <t>1420-5600</t>
  </si>
  <si>
    <t>INTERIOR RECONSTRUCTION</t>
  </si>
  <si>
    <t>1420-5601</t>
  </si>
  <si>
    <t>     Significant Interior Reconstruction</t>
  </si>
  <si>
    <t>1420-5699</t>
  </si>
  <si>
    <t>TOTAL INTERIOR RECONSTRUCTION</t>
  </si>
  <si>
    <t>1420-6800</t>
  </si>
  <si>
    <t>INTERIOR PROJECT MANAGEMENT FEES</t>
  </si>
  <si>
    <t>1420-6801</t>
  </si>
  <si>
    <t>     Interior Project Management Fees</t>
  </si>
  <si>
    <t>1420-6899</t>
  </si>
  <si>
    <t>Interior Fees</t>
  </si>
  <si>
    <t>TOTAL INTERIOR PROJECT MANAGEMENT FEES</t>
  </si>
  <si>
    <t>1420-6999</t>
  </si>
  <si>
    <t>Total Interior Upgrades</t>
  </si>
  <si>
    <t>1420-9999</t>
  </si>
  <si>
    <t>TOTAL NON RECURRING CAPITAL EXPENSE</t>
  </si>
  <si>
    <t>Settlement Statement</t>
  </si>
  <si>
    <t>Construction Budget</t>
  </si>
  <si>
    <t>Waterfall Metrics</t>
  </si>
  <si>
    <t>Deal</t>
  </si>
  <si>
    <t>Financial Risk</t>
  </si>
  <si>
    <t>Financial Reward</t>
  </si>
  <si>
    <t>Tier 1</t>
  </si>
  <si>
    <t>Tier 2</t>
  </si>
  <si>
    <t>Tier 3</t>
  </si>
  <si>
    <t>Less Sponsor Investment</t>
  </si>
  <si>
    <t>Description</t>
  </si>
  <si>
    <t>Credit</t>
  </si>
  <si>
    <t>Debit</t>
  </si>
  <si>
    <t>Principal Balance</t>
  </si>
  <si>
    <t>Interest Due (9/1 - 9/30)</t>
  </si>
  <si>
    <t>Loan Amount</t>
  </si>
  <si>
    <t>Existing Loan Payoff</t>
  </si>
  <si>
    <t>Application Fee</t>
  </si>
  <si>
    <t>Freddie Mac Application Fee</t>
  </si>
  <si>
    <t>Total Due to Borrower</t>
  </si>
  <si>
    <t>Net Construction Expense</t>
  </si>
  <si>
    <t>Proceeds Due to Property's Contruction Bank Account</t>
  </si>
  <si>
    <t>NET LOAN PROCEEDS</t>
  </si>
  <si>
    <t>NET LOAN PROCEEDS LESS CONTRUCTION EXPENSE</t>
  </si>
  <si>
    <t>Funding/Capital Calls</t>
  </si>
  <si>
    <t>Year 0</t>
  </si>
  <si>
    <t>Covered by rate lock fee if applicable</t>
  </si>
  <si>
    <t>Cash Flows By Tier</t>
  </si>
  <si>
    <t>LOAN</t>
  </si>
  <si>
    <t>ESCROW</t>
  </si>
  <si>
    <t>ESCROWS ON DEPOSIT</t>
  </si>
  <si>
    <t>FEES</t>
  </si>
  <si>
    <t>Loan Terms</t>
  </si>
  <si>
    <t>Initial Interest Rate</t>
  </si>
  <si>
    <t>Term (months)</t>
  </si>
  <si>
    <t>Amortization (months)</t>
  </si>
  <si>
    <t>Interest Only Period (months)</t>
  </si>
  <si>
    <t>Interest Accrual</t>
  </si>
  <si>
    <t>Actual/360</t>
  </si>
  <si>
    <t>Prepayment</t>
  </si>
  <si>
    <t>Prohibited in first 12 months. After 12 months, prepayment may be made at any time provided payment is made on scheduled monthly due date, written notice of at leasts 30 days is provided to lender, payment is made in full, and prepayment penalty of 1% of unpaid principal is paid. (No prepayment penalty is incurred if loan is prepaid in last 90 days of the loan term).</t>
  </si>
  <si>
    <t>Interest Rate Variability</t>
  </si>
  <si>
    <t>Based on 30 Day LIBOR Rate, plus a spread of 179 basis points.</t>
  </si>
  <si>
    <t>Min DSCR</t>
  </si>
  <si>
    <t>1.25:1</t>
  </si>
  <si>
    <t>Max LTV</t>
  </si>
  <si>
    <t>Borrower</t>
  </si>
  <si>
    <t>Total Due from Borrower</t>
  </si>
  <si>
    <t>Net Proceeds to/from Borrower</t>
  </si>
  <si>
    <t>Legal Fee (Borrower)</t>
  </si>
  <si>
    <t>Legal Fee (Lender)</t>
  </si>
  <si>
    <t>Title Costs</t>
  </si>
  <si>
    <t>Equity Ownership</t>
  </si>
  <si>
    <t>Total Equity</t>
  </si>
  <si>
    <t>Sponsor</t>
  </si>
  <si>
    <t>Sponsor Summary</t>
  </si>
  <si>
    <t>Sponsor Equity Cash Flow</t>
  </si>
  <si>
    <t>Sponsor Promote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</si>
</sst>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164" formatCode="0.0%"/>
    <numFmt numFmtId="165" formatCode="&quot;Year&quot;\ #"/>
    <numFmt numFmtId="166" formatCode="&quot;Until&quot;\ 0%"/>
    <numFmt numFmtId="167" formatCode="_([$$-409]* #,##0.00_);_([$$-409]* \(#,##0.00\);_([$$-409]* &quot;-&quot;??_);_(@_)"/>
    <numFmt numFmtId="168" formatCode="_(&quot;$&quot;* #,##0_);_(&quot;$&quot;* \(#,##0\);_(&quot;$&quot;* &quot;-&quot;??_);_(@_)"/>
    <numFmt numFmtId="169" formatCode="[$-409]mmm\-yy;@"/>
    <numFmt numFmtId="170" formatCode="&quot;IRR Through&quot;\ 0%"/>
    <numFmt numFmtId="171" formatCode="&quot;$&quot;#,##0"/>
    <numFmt numFmtId="172" formatCode="&quot;IRR Above&quot;\ 0%"/>
    <numFmt numFmtId="173" formatCode="0.00\x"/>
    <numFmt numFmtId="174" formatCode="&quot;Month&quot;\ #"/>
    <numFmt numFmtId="175" formatCode="0.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sz val="11"/>
      <color theme="0" tint="-0.249977111117893"/>
      <name val="Calibri"/>
      <family val="2"/>
      <scheme val="minor"/>
    </font>
    <font>
      <i/>
      <sz val="11"/>
      <color theme="1"/>
      <name val="Calibri"/>
      <family val="2"/>
      <scheme val="minor"/>
    </font>
    <font>
      <b/>
      <sz val="11"/>
      <color rgb="FF0070C0"/>
      <name val="Calibri"/>
      <family val="2"/>
      <scheme val="minor"/>
    </font>
    <font>
      <b/>
      <sz val="12"/>
      <color theme="1"/>
      <name val="Verdana"/>
      <family val="2"/>
    </font>
    <font>
      <b/>
      <sz val="8"/>
      <name val="Verdana"/>
      <family val="2"/>
    </font>
    <font>
      <b/>
      <sz val="8"/>
      <color rgb="FFFF0000"/>
      <name val="Verdana"/>
      <family val="2"/>
    </font>
    <font>
      <b/>
      <sz val="8"/>
      <color rgb="FF505050"/>
      <name val="Verdana"/>
      <family val="2"/>
    </font>
    <font>
      <sz val="8"/>
      <color rgb="FF505050"/>
      <name val="Verdana"/>
      <family val="2"/>
    </font>
    <font>
      <b/>
      <sz val="8"/>
      <color rgb="FF0000FF"/>
      <name val="Verdana"/>
      <family val="2"/>
    </font>
    <font>
      <b/>
      <sz val="8"/>
      <color theme="1"/>
      <name val="Verdana"/>
      <family val="2"/>
    </font>
    <font>
      <b/>
      <sz val="8"/>
      <color theme="1"/>
      <name val="Calibri"/>
      <family val="2"/>
      <scheme val="minor"/>
    </font>
    <font>
      <sz val="8"/>
      <color theme="1"/>
      <name val="Verdana"/>
      <family val="2"/>
    </font>
    <font>
      <sz val="8"/>
      <color theme="1"/>
      <name val="Calibri"/>
      <family val="2"/>
      <scheme val="minor"/>
    </font>
    <font>
      <b/>
      <i/>
      <sz val="8"/>
      <color theme="1"/>
      <name val="Verdana"/>
      <family val="2"/>
    </font>
    <font>
      <sz val="8"/>
      <color rgb="FF0000FF"/>
      <name val="Verdana"/>
      <family val="2"/>
    </font>
    <font>
      <sz val="8"/>
      <name val="Calibri"/>
      <family val="2"/>
      <scheme val="minor"/>
    </font>
    <font>
      <sz val="8"/>
      <color rgb="FFFF0000"/>
      <name val="Verdana"/>
      <family val="2"/>
    </font>
    <font>
      <sz val="8"/>
      <color rgb="FF0000FF"/>
      <name val="Calibri"/>
      <family val="2"/>
      <scheme val="minor"/>
    </font>
    <font>
      <i/>
      <sz val="8"/>
      <color theme="1"/>
      <name val="Verdana"/>
      <family val="2"/>
    </font>
    <font>
      <b/>
      <sz val="10"/>
      <color theme="0"/>
      <name val="Garamond"/>
      <family val="1"/>
    </font>
    <font>
      <sz val="8"/>
      <color theme="0"/>
      <name val="Verdana"/>
      <family val="2"/>
    </font>
    <font>
      <sz val="8"/>
      <color theme="0"/>
      <name val="Calibri"/>
      <family val="2"/>
      <scheme val="minor"/>
    </font>
    <font>
      <b/>
      <i/>
      <u/>
      <sz val="11"/>
      <color theme="1"/>
      <name val="Calibri"/>
      <family val="2"/>
      <scheme val="minor"/>
    </font>
    <font>
      <b/>
      <i/>
      <sz val="11"/>
      <color theme="1"/>
      <name val="Calibri"/>
      <family val="2"/>
      <scheme val="minor"/>
    </font>
    <font>
      <sz val="11"/>
      <name val="Calibri"/>
      <family val="2"/>
      <scheme val="minor"/>
    </font>
    <font>
      <b/>
      <sz val="12"/>
      <color theme="1"/>
      <name val="Calibri"/>
      <family val="2"/>
      <scheme val="minor"/>
    </font>
  </fonts>
  <fills count="5">
    <fill>
      <patternFill patternType="none"/>
    </fill>
    <fill>
      <patternFill patternType="gray125"/>
    </fill>
    <fill>
      <patternFill patternType="solid">
        <fgColor rgb="FFC1E3F0"/>
        <bgColor indexed="64"/>
      </patternFill>
    </fill>
    <fill>
      <patternFill patternType="solid">
        <fgColor rgb="FFF7B9C6"/>
        <bgColor indexed="64"/>
      </patternFill>
    </fill>
    <fill>
      <patternFill patternType="solid">
        <fgColor rgb="FF385966"/>
        <bgColor indexed="64"/>
      </patternFill>
    </fill>
  </fills>
  <borders count="24">
    <border>
      <left/>
      <right/>
      <top/>
      <bottom/>
      <diagonal/>
    </border>
    <border>
      <left/>
      <right/>
      <top/>
      <bottom style="medium">
        <color indexed="64"/>
      </bottom>
      <diagonal/>
    </border>
    <border>
      <left/>
      <right/>
      <top style="medium">
        <color rgb="FFCCCCCC"/>
      </top>
      <bottom/>
      <diagonal/>
    </border>
    <border>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9" fontId="0" fillId="0" borderId="0" xfId="2" applyFont="1"/>
    <xf numFmtId="9" fontId="0" fillId="0" borderId="0" xfId="0" applyNumberFormat="1"/>
    <xf numFmtId="9" fontId="4" fillId="0" borderId="0" xfId="2" applyFont="1"/>
    <xf numFmtId="0" fontId="3" fillId="0" borderId="0" xfId="0" applyFont="1"/>
    <xf numFmtId="9" fontId="3" fillId="0" borderId="0" xfId="2" applyFont="1"/>
    <xf numFmtId="0" fontId="0" fillId="0" borderId="0" xfId="0" applyAlignment="1">
      <alignment horizontal="center"/>
    </xf>
    <xf numFmtId="0" fontId="0" fillId="0" borderId="0" xfId="0" applyFont="1"/>
    <xf numFmtId="14" fontId="0" fillId="0" borderId="0" xfId="0" applyNumberFormat="1"/>
    <xf numFmtId="167" fontId="0" fillId="0" borderId="0" xfId="0" applyNumberFormat="1"/>
    <xf numFmtId="38" fontId="0" fillId="0" borderId="0" xfId="0" applyNumberFormat="1"/>
    <xf numFmtId="0" fontId="5" fillId="0" borderId="0" xfId="0" applyFont="1"/>
    <xf numFmtId="1" fontId="5" fillId="0" borderId="0" xfId="0" applyNumberFormat="1" applyFont="1"/>
    <xf numFmtId="0" fontId="6" fillId="0" borderId="0" xfId="0" applyFont="1"/>
    <xf numFmtId="165" fontId="6" fillId="0" borderId="0" xfId="0" applyNumberFormat="1" applyFont="1"/>
    <xf numFmtId="38" fontId="3" fillId="0" borderId="0" xfId="0" applyNumberFormat="1" applyFont="1"/>
    <xf numFmtId="44" fontId="0" fillId="0" borderId="0" xfId="1" applyFont="1"/>
    <xf numFmtId="168" fontId="0" fillId="0" borderId="0" xfId="1" applyNumberFormat="1" applyFont="1"/>
    <xf numFmtId="168" fontId="3" fillId="0" borderId="0" xfId="1" applyNumberFormat="1" applyFont="1"/>
    <xf numFmtId="6" fontId="0" fillId="0" borderId="0" xfId="0" applyNumberFormat="1"/>
    <xf numFmtId="0" fontId="6" fillId="0" borderId="0" xfId="0" applyFont="1" applyAlignment="1">
      <alignment horizontal="right"/>
    </xf>
    <xf numFmtId="10" fontId="0" fillId="0" borderId="0" xfId="2" applyNumberFormat="1" applyFont="1"/>
    <xf numFmtId="169" fontId="0" fillId="0" borderId="0" xfId="0" applyNumberFormat="1"/>
    <xf numFmtId="170" fontId="0" fillId="0" borderId="0" xfId="2" applyNumberFormat="1" applyFont="1"/>
    <xf numFmtId="171" fontId="0" fillId="0" borderId="0" xfId="1" applyNumberFormat="1" applyFont="1"/>
    <xf numFmtId="171" fontId="3" fillId="0" borderId="0" xfId="1" applyNumberFormat="1" applyFont="1"/>
    <xf numFmtId="172" fontId="0" fillId="0" borderId="0" xfId="0" applyNumberFormat="1"/>
    <xf numFmtId="173" fontId="0" fillId="0" borderId="0" xfId="0" applyNumberFormat="1"/>
    <xf numFmtId="174" fontId="0" fillId="0" borderId="0" xfId="0" applyNumberFormat="1"/>
    <xf numFmtId="174" fontId="0" fillId="0" borderId="0" xfId="0" applyNumberFormat="1" applyAlignment="1">
      <alignment horizontal="right"/>
    </xf>
    <xf numFmtId="175" fontId="0" fillId="0" borderId="0" xfId="2" applyNumberFormat="1" applyFont="1"/>
    <xf numFmtId="167" fontId="0" fillId="0" borderId="0" xfId="2" applyNumberFormat="1" applyFont="1"/>
    <xf numFmtId="0" fontId="9" fillId="0" borderId="0" xfId="0" applyFont="1"/>
    <xf numFmtId="0" fontId="10" fillId="0" borderId="0" xfId="0" applyFont="1"/>
    <xf numFmtId="0" fontId="11" fillId="0" borderId="0" xfId="0" applyFont="1"/>
    <xf numFmtId="1" fontId="12" fillId="0" borderId="0" xfId="0" applyNumberFormat="1" applyFont="1"/>
    <xf numFmtId="0" fontId="12" fillId="0" borderId="0" xfId="0" applyFont="1"/>
    <xf numFmtId="0" fontId="13" fillId="0" borderId="0" xfId="0" applyFont="1" applyAlignment="1">
      <alignment horizontal="center"/>
    </xf>
    <xf numFmtId="0" fontId="2" fillId="0" borderId="0" xfId="0" applyFont="1"/>
    <xf numFmtId="1" fontId="12" fillId="0" borderId="0" xfId="0" applyNumberFormat="1" applyFont="1" applyAlignment="1">
      <alignment horizontal="center"/>
    </xf>
    <xf numFmtId="0" fontId="12" fillId="0" borderId="0" xfId="0" applyFont="1" applyAlignment="1">
      <alignment horizontal="center"/>
    </xf>
    <xf numFmtId="0" fontId="14" fillId="0" borderId="0" xfId="0" applyFont="1" applyAlignment="1">
      <alignment horizontal="center" vertical="center"/>
    </xf>
    <xf numFmtId="44" fontId="14" fillId="0" borderId="0" xfId="1" applyFont="1" applyFill="1" applyAlignment="1">
      <alignment horizontal="center" vertical="center"/>
    </xf>
    <xf numFmtId="1" fontId="14" fillId="0" borderId="0" xfId="1" applyNumberFormat="1" applyFont="1" applyFill="1" applyBorder="1" applyAlignment="1">
      <alignment horizontal="center" vertical="center"/>
    </xf>
    <xf numFmtId="0" fontId="15" fillId="0" borderId="0" xfId="0" applyFont="1" applyAlignment="1">
      <alignment horizontal="center" wrapText="1"/>
    </xf>
    <xf numFmtId="44" fontId="14" fillId="0" borderId="1" xfId="1" applyFont="1" applyFill="1" applyBorder="1" applyAlignment="1">
      <alignment horizontal="center" vertical="center"/>
    </xf>
    <xf numFmtId="1" fontId="14" fillId="0" borderId="1" xfId="1" applyNumberFormat="1" applyFont="1" applyFill="1" applyBorder="1" applyAlignment="1">
      <alignment horizontal="center" vertical="center"/>
    </xf>
    <xf numFmtId="0" fontId="15" fillId="0" borderId="1" xfId="0" applyFont="1" applyBorder="1" applyAlignment="1">
      <alignment horizontal="center" wrapText="1"/>
    </xf>
    <xf numFmtId="0" fontId="16" fillId="0" borderId="0" xfId="0" applyFont="1" applyAlignment="1">
      <alignment horizontal="left"/>
    </xf>
    <xf numFmtId="44" fontId="16" fillId="0" borderId="0" xfId="1" applyFont="1" applyAlignment="1">
      <alignment horizontal="left"/>
    </xf>
    <xf numFmtId="1" fontId="16" fillId="0" borderId="0" xfId="1" applyNumberFormat="1" applyFont="1" applyAlignment="1">
      <alignment horizontal="left" vertical="center"/>
    </xf>
    <xf numFmtId="0" fontId="17" fillId="0" borderId="0" xfId="0" applyFont="1" applyAlignment="1">
      <alignment wrapText="1"/>
    </xf>
    <xf numFmtId="0" fontId="14" fillId="0" borderId="0" xfId="0" applyFont="1" applyAlignment="1">
      <alignment horizontal="left"/>
    </xf>
    <xf numFmtId="0" fontId="18" fillId="0" borderId="0" xfId="0" applyFont="1" applyAlignment="1">
      <alignment horizontal="left"/>
    </xf>
    <xf numFmtId="44" fontId="19" fillId="0" borderId="0" xfId="1" applyFont="1" applyFill="1" applyAlignment="1">
      <alignment horizontal="right"/>
    </xf>
    <xf numFmtId="1" fontId="16" fillId="0" borderId="0" xfId="1" applyNumberFormat="1" applyFont="1" applyAlignment="1">
      <alignment horizontal="right" vertical="center"/>
    </xf>
    <xf numFmtId="44" fontId="19" fillId="0" borderId="0" xfId="1" applyFont="1" applyAlignment="1">
      <alignment horizontal="right"/>
    </xf>
    <xf numFmtId="44" fontId="16" fillId="0" borderId="2" xfId="1" applyFont="1" applyBorder="1" applyAlignment="1">
      <alignment horizontal="right"/>
    </xf>
    <xf numFmtId="1" fontId="16" fillId="0" borderId="2" xfId="1" applyNumberFormat="1" applyFont="1" applyBorder="1" applyAlignment="1">
      <alignment horizontal="right" vertical="center"/>
    </xf>
    <xf numFmtId="0" fontId="20" fillId="0" borderId="0" xfId="0" applyFont="1" applyAlignment="1">
      <alignment wrapText="1"/>
    </xf>
    <xf numFmtId="44" fontId="16" fillId="0" borderId="0" xfId="1" applyFont="1" applyAlignment="1">
      <alignment horizontal="right"/>
    </xf>
    <xf numFmtId="44" fontId="21" fillId="0" borderId="0" xfId="1" applyFont="1" applyFill="1" applyAlignment="1">
      <alignment horizontal="right"/>
    </xf>
    <xf numFmtId="44" fontId="16" fillId="0" borderId="0" xfId="1" applyFont="1" applyAlignment="1">
      <alignment horizontal="right" vertical="center"/>
    </xf>
    <xf numFmtId="9" fontId="22" fillId="0" borderId="0" xfId="2" applyFont="1" applyAlignment="1">
      <alignment horizontal="left" wrapText="1"/>
    </xf>
    <xf numFmtId="0" fontId="16" fillId="2" borderId="0" xfId="0" applyFont="1" applyFill="1" applyAlignment="1">
      <alignment horizontal="left"/>
    </xf>
    <xf numFmtId="0" fontId="23" fillId="2" borderId="0" xfId="0" applyFont="1" applyFill="1" applyAlignment="1">
      <alignment horizontal="left"/>
    </xf>
    <xf numFmtId="44" fontId="16" fillId="2" borderId="2" xfId="1" applyFont="1" applyFill="1" applyBorder="1" applyAlignment="1">
      <alignment horizontal="right"/>
    </xf>
    <xf numFmtId="1" fontId="16" fillId="2" borderId="2" xfId="1" applyNumberFormat="1" applyFont="1" applyFill="1" applyBorder="1" applyAlignment="1">
      <alignment horizontal="right" vertical="center"/>
    </xf>
    <xf numFmtId="0" fontId="17" fillId="2" borderId="0" xfId="0" applyFont="1" applyFill="1" applyAlignment="1">
      <alignment wrapText="1"/>
    </xf>
    <xf numFmtId="0" fontId="0" fillId="2" borderId="0" xfId="0" applyFill="1"/>
    <xf numFmtId="44" fontId="16" fillId="0" borderId="0" xfId="1" applyFont="1" applyBorder="1" applyAlignment="1">
      <alignment horizontal="right"/>
    </xf>
    <xf numFmtId="1" fontId="16" fillId="0" borderId="0" xfId="1" applyNumberFormat="1" applyFont="1" applyBorder="1" applyAlignment="1">
      <alignment horizontal="right" vertical="center"/>
    </xf>
    <xf numFmtId="44" fontId="16" fillId="0" borderId="2" xfId="1" applyFont="1" applyBorder="1" applyAlignment="1">
      <alignment horizontal="right" vertical="center"/>
    </xf>
    <xf numFmtId="0" fontId="16" fillId="3" borderId="0" xfId="0" applyFont="1" applyFill="1" applyAlignment="1">
      <alignment horizontal="left"/>
    </xf>
    <xf numFmtId="44" fontId="16" fillId="3" borderId="2" xfId="1" applyFont="1" applyFill="1" applyBorder="1" applyAlignment="1">
      <alignment horizontal="right"/>
    </xf>
    <xf numFmtId="1" fontId="16" fillId="3" borderId="2" xfId="1" applyNumberFormat="1" applyFont="1" applyFill="1" applyBorder="1" applyAlignment="1">
      <alignment horizontal="right" vertical="center"/>
    </xf>
    <xf numFmtId="0" fontId="17" fillId="3" borderId="0" xfId="0" applyFont="1" applyFill="1" applyAlignment="1">
      <alignment wrapText="1"/>
    </xf>
    <xf numFmtId="0" fontId="0" fillId="3" borderId="0" xfId="0" applyFill="1"/>
    <xf numFmtId="0" fontId="24" fillId="4" borderId="0" xfId="0" applyFont="1" applyFill="1"/>
    <xf numFmtId="0" fontId="25" fillId="4" borderId="0" xfId="0" applyFont="1" applyFill="1" applyAlignment="1">
      <alignment horizontal="left"/>
    </xf>
    <xf numFmtId="44" fontId="25" fillId="4" borderId="2" xfId="1" applyFont="1" applyFill="1" applyBorder="1" applyAlignment="1">
      <alignment horizontal="right"/>
    </xf>
    <xf numFmtId="1" fontId="25" fillId="4" borderId="2" xfId="1" applyNumberFormat="1" applyFont="1" applyFill="1" applyBorder="1" applyAlignment="1">
      <alignment horizontal="right" vertical="center"/>
    </xf>
    <xf numFmtId="0" fontId="26" fillId="4" borderId="0" xfId="0" applyFont="1" applyFill="1" applyAlignment="1">
      <alignment wrapText="1"/>
    </xf>
    <xf numFmtId="0" fontId="0" fillId="4" borderId="0" xfId="0" applyFill="1"/>
    <xf numFmtId="0" fontId="16" fillId="0" borderId="0" xfId="0" applyFont="1" applyAlignment="1">
      <alignment horizontal="center"/>
    </xf>
    <xf numFmtId="44" fontId="16" fillId="0" borderId="0" xfId="1" applyFont="1" applyAlignment="1">
      <alignment horizontal="center"/>
    </xf>
    <xf numFmtId="1" fontId="16" fillId="0" borderId="0" xfId="1" applyNumberFormat="1" applyFont="1" applyAlignment="1">
      <alignment horizontal="center" vertical="center"/>
    </xf>
    <xf numFmtId="44" fontId="17" fillId="0" borderId="0" xfId="1" applyFont="1"/>
    <xf numFmtId="1" fontId="17" fillId="0" borderId="0" xfId="1" applyNumberFormat="1" applyFont="1" applyAlignment="1">
      <alignment vertical="center"/>
    </xf>
    <xf numFmtId="0" fontId="28" fillId="0" borderId="0" xfId="0" applyFont="1"/>
    <xf numFmtId="0" fontId="28" fillId="0" borderId="1" xfId="0" applyFont="1" applyBorder="1"/>
    <xf numFmtId="0" fontId="27" fillId="0" borderId="1" xfId="0" applyFont="1" applyBorder="1"/>
    <xf numFmtId="0" fontId="0" fillId="0" borderId="4" xfId="0" applyBorder="1"/>
    <xf numFmtId="171" fontId="0" fillId="0" borderId="4" xfId="1" applyNumberFormat="1" applyFont="1" applyBorder="1"/>
    <xf numFmtId="0" fontId="3" fillId="0" borderId="5" xfId="0" applyFont="1" applyBorder="1"/>
    <xf numFmtId="0" fontId="3" fillId="0" borderId="6" xfId="0" applyFont="1" applyBorder="1" applyAlignment="1">
      <alignment horizontal="center"/>
    </xf>
    <xf numFmtId="166" fontId="7" fillId="0" borderId="6" xfId="2" applyNumberFormat="1" applyFont="1" applyBorder="1" applyAlignment="1">
      <alignment horizontal="center"/>
    </xf>
    <xf numFmtId="0" fontId="3" fillId="0" borderId="7" xfId="0" applyFont="1" applyBorder="1" applyAlignment="1">
      <alignment horizontal="center"/>
    </xf>
    <xf numFmtId="0" fontId="0" fillId="0" borderId="8" xfId="0" applyBorder="1"/>
    <xf numFmtId="0" fontId="0" fillId="0" borderId="0" xfId="0" applyBorder="1"/>
    <xf numFmtId="9" fontId="0" fillId="0" borderId="0" xfId="0" applyNumberFormat="1" applyBorder="1"/>
    <xf numFmtId="164" fontId="4" fillId="0" borderId="0" xfId="2" applyNumberFormat="1" applyFont="1" applyBorder="1"/>
    <xf numFmtId="0" fontId="4" fillId="0" borderId="0" xfId="0" applyFont="1" applyBorder="1"/>
    <xf numFmtId="164" fontId="0" fillId="0" borderId="0" xfId="2" applyNumberFormat="1" applyFont="1" applyBorder="1"/>
    <xf numFmtId="171" fontId="0" fillId="0" borderId="0" xfId="0" applyNumberFormat="1" applyBorder="1"/>
    <xf numFmtId="0" fontId="3" fillId="0" borderId="10" xfId="0" applyFont="1" applyBorder="1" applyAlignment="1">
      <alignment horizontal="center"/>
    </xf>
    <xf numFmtId="0" fontId="0" fillId="0" borderId="12" xfId="0" applyBorder="1"/>
    <xf numFmtId="171" fontId="3" fillId="0" borderId="13" xfId="0" applyNumberFormat="1" applyFont="1" applyBorder="1"/>
    <xf numFmtId="9" fontId="3" fillId="0" borderId="13" xfId="2" applyFont="1" applyBorder="1"/>
    <xf numFmtId="9" fontId="3" fillId="0" borderId="14" xfId="2" applyFont="1" applyBorder="1"/>
    <xf numFmtId="0" fontId="0" fillId="0" borderId="13" xfId="0" applyBorder="1"/>
    <xf numFmtId="9" fontId="3" fillId="0" borderId="15" xfId="2" applyFont="1" applyBorder="1"/>
    <xf numFmtId="0" fontId="0" fillId="0" borderId="16" xfId="0" applyBorder="1"/>
    <xf numFmtId="0" fontId="0" fillId="0" borderId="17" xfId="0" applyBorder="1"/>
    <xf numFmtId="38" fontId="0" fillId="0" borderId="17" xfId="0" applyNumberFormat="1" applyBorder="1"/>
    <xf numFmtId="38" fontId="0" fillId="0" borderId="18" xfId="0" applyNumberFormat="1" applyBorder="1"/>
    <xf numFmtId="0" fontId="3" fillId="0" borderId="11" xfId="0" applyFont="1" applyBorder="1"/>
    <xf numFmtId="38" fontId="3" fillId="0" borderId="0" xfId="0" applyNumberFormat="1" applyFont="1" applyBorder="1"/>
    <xf numFmtId="38" fontId="0" fillId="0" borderId="0" xfId="0" applyNumberFormat="1" applyBorder="1"/>
    <xf numFmtId="38" fontId="3" fillId="0" borderId="19" xfId="0" applyNumberFormat="1" applyFont="1" applyBorder="1"/>
    <xf numFmtId="0" fontId="0" fillId="0" borderId="11" xfId="0" applyBorder="1"/>
    <xf numFmtId="38" fontId="0" fillId="0" borderId="19" xfId="0" applyNumberFormat="1" applyBorder="1"/>
    <xf numFmtId="0" fontId="3" fillId="0" borderId="20" xfId="0" applyFont="1" applyBorder="1"/>
    <xf numFmtId="0" fontId="3" fillId="0" borderId="4" xfId="0" applyFont="1" applyBorder="1"/>
    <xf numFmtId="38" fontId="3" fillId="0" borderId="4" xfId="0" applyNumberFormat="1" applyFont="1" applyBorder="1"/>
    <xf numFmtId="0" fontId="0" fillId="0" borderId="22" xfId="0" applyBorder="1"/>
    <xf numFmtId="0" fontId="0" fillId="0" borderId="23" xfId="0" applyBorder="1"/>
    <xf numFmtId="0" fontId="3" fillId="0" borderId="23" xfId="0" applyFont="1" applyBorder="1"/>
    <xf numFmtId="0" fontId="6" fillId="0" borderId="23" xfId="0" applyFont="1" applyBorder="1" applyAlignment="1">
      <alignment horizontal="right"/>
    </xf>
    <xf numFmtId="38" fontId="0" fillId="0" borderId="23" xfId="0" applyNumberFormat="1" applyBorder="1"/>
    <xf numFmtId="0" fontId="28" fillId="0" borderId="11" xfId="0" applyFont="1" applyBorder="1"/>
    <xf numFmtId="0" fontId="0" fillId="0" borderId="20" xfId="0" applyBorder="1"/>
    <xf numFmtId="38" fontId="0" fillId="0" borderId="4" xfId="0" applyNumberFormat="1" applyBorder="1"/>
    <xf numFmtId="38" fontId="0" fillId="0" borderId="21" xfId="0" applyNumberFormat="1" applyBorder="1"/>
    <xf numFmtId="164" fontId="0" fillId="0" borderId="0" xfId="0" applyNumberFormat="1" applyBorder="1"/>
    <xf numFmtId="164" fontId="0" fillId="0" borderId="17" xfId="0" applyNumberFormat="1" applyBorder="1"/>
    <xf numFmtId="38" fontId="3" fillId="0" borderId="17" xfId="0" applyNumberFormat="1" applyFont="1" applyBorder="1"/>
    <xf numFmtId="164" fontId="4" fillId="0" borderId="9" xfId="2" applyNumberFormat="1" applyFont="1" applyBorder="1"/>
    <xf numFmtId="164" fontId="0" fillId="0" borderId="9" xfId="2" applyNumberFormat="1" applyFont="1" applyBorder="1"/>
    <xf numFmtId="6" fontId="3" fillId="0" borderId="0" xfId="0" applyNumberFormat="1" applyFont="1" applyBorder="1"/>
    <xf numFmtId="6" fontId="3" fillId="0" borderId="4" xfId="0" applyNumberFormat="1" applyFont="1" applyBorder="1"/>
    <xf numFmtId="6" fontId="0" fillId="0" borderId="17" xfId="0" applyNumberFormat="1" applyBorder="1"/>
    <xf numFmtId="6" fontId="3" fillId="0" borderId="0" xfId="0" applyNumberFormat="1" applyFont="1"/>
    <xf numFmtId="6" fontId="3" fillId="0" borderId="17" xfId="0" applyNumberFormat="1" applyFont="1" applyBorder="1"/>
    <xf numFmtId="38" fontId="0" fillId="0" borderId="0" xfId="2" applyNumberFormat="1" applyFont="1"/>
    <xf numFmtId="10" fontId="0" fillId="0" borderId="19" xfId="2" applyNumberFormat="1" applyFont="1" applyBorder="1"/>
    <xf numFmtId="173" fontId="0" fillId="0" borderId="21" xfId="0" applyNumberFormat="1" applyBorder="1"/>
    <xf numFmtId="10" fontId="0" fillId="0" borderId="0" xfId="0" applyNumberFormat="1"/>
    <xf numFmtId="164" fontId="29" fillId="0" borderId="11" xfId="2" applyNumberFormat="1" applyFont="1" applyBorder="1"/>
    <xf numFmtId="0" fontId="3" fillId="0" borderId="0" xfId="0" applyFont="1" applyAlignment="1">
      <alignment horizontal="left"/>
    </xf>
    <xf numFmtId="0" fontId="3" fillId="0" borderId="0" xfId="0" applyFont="1" applyAlignment="1"/>
    <xf numFmtId="0" fontId="0" fillId="0" borderId="0" xfId="0" applyFont="1" applyAlignment="1">
      <alignment horizontal="left"/>
    </xf>
    <xf numFmtId="167" fontId="3" fillId="0" borderId="0" xfId="0" applyNumberFormat="1" applyFont="1"/>
    <xf numFmtId="165" fontId="6" fillId="0" borderId="0" xfId="0" applyNumberFormat="1" applyFont="1" applyAlignment="1">
      <alignment horizontal="right"/>
    </xf>
    <xf numFmtId="9" fontId="29" fillId="0" borderId="4" xfId="2" applyFont="1" applyBorder="1"/>
    <xf numFmtId="0" fontId="0" fillId="0" borderId="0" xfId="0" applyAlignment="1">
      <alignment horizontal="right"/>
    </xf>
    <xf numFmtId="0" fontId="0" fillId="0" borderId="0" xfId="0" applyAlignment="1">
      <alignment wrapText="1"/>
    </xf>
    <xf numFmtId="0" fontId="0" fillId="0" borderId="0" xfId="0" applyAlignment="1">
      <alignment horizontal="left" vertical="top"/>
    </xf>
    <xf numFmtId="10" fontId="0" fillId="0" borderId="0" xfId="0" applyNumberFormat="1" applyAlignment="1">
      <alignment wrapText="1"/>
    </xf>
    <xf numFmtId="0" fontId="3" fillId="0" borderId="0" xfId="0" applyFont="1" applyAlignment="1">
      <alignment horizontal="right"/>
    </xf>
    <xf numFmtId="164" fontId="4" fillId="0" borderId="11" xfId="2" applyNumberFormat="1" applyFont="1" applyBorder="1"/>
    <xf numFmtId="0" fontId="30" fillId="0" borderId="0" xfId="0" applyFont="1" applyAlignment="1">
      <alignment horizontal="left"/>
    </xf>
    <xf numFmtId="0" fontId="8" fillId="0" borderId="0" xfId="0" applyFont="1" applyAlignment="1">
      <alignment horizontal="center"/>
    </xf>
    <xf numFmtId="0" fontId="0" fillId="0" borderId="3" xfId="0" applyBorder="1" applyAlignment="1">
      <alignment horizontal="right"/>
    </xf>
    <xf numFmtId="9" fontId="0" fillId="0" borderId="0" xfId="2" applyNumberFormat="1"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IRR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 Summary'!$B$4:$B$6</c:f>
              <c:strCache>
                <c:ptCount val="3"/>
                <c:pt idx="0">
                  <c:v>Deal</c:v>
                </c:pt>
                <c:pt idx="1">
                  <c:v>LP</c:v>
                </c:pt>
                <c:pt idx="2">
                  <c:v>Sponsor</c:v>
                </c:pt>
              </c:strCache>
            </c:strRef>
          </c:cat>
          <c:val>
            <c:numRef>
              <c:f>'Waterfall Summary'!$C$4:$C$6</c:f>
              <c:numCache>
                <c:formatCode>0.00%</c:formatCode>
                <c:ptCount val="3"/>
                <c:pt idx="0">
                  <c:v>0.23348405013343676</c:v>
                </c:pt>
                <c:pt idx="1">
                  <c:v>0.17637592423471604</c:v>
                </c:pt>
                <c:pt idx="2">
                  <c:v>184.7964035200132</c:v>
                </c:pt>
              </c:numCache>
            </c:numRef>
          </c:val>
          <c:extLst>
            <c:ext xmlns:c16="http://schemas.microsoft.com/office/drawing/2014/chart" uri="{C3380CC4-5D6E-409C-BE32-E72D297353CC}">
              <c16:uniqueId val="{00000000-C423-4D4A-A7A0-F843AAD0DCFC}"/>
            </c:ext>
          </c:extLst>
        </c:ser>
        <c:dLbls>
          <c:dLblPos val="outEnd"/>
          <c:showLegendKey val="0"/>
          <c:showVal val="1"/>
          <c:showCatName val="0"/>
          <c:showSerName val="0"/>
          <c:showPercent val="0"/>
          <c:showBubbleSize val="0"/>
        </c:dLbls>
        <c:gapWidth val="219"/>
        <c:overlap val="-27"/>
        <c:axId val="443387568"/>
        <c:axId val="1796184224"/>
      </c:barChart>
      <c:catAx>
        <c:axId val="44338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184224"/>
        <c:crosses val="autoZero"/>
        <c:auto val="1"/>
        <c:lblAlgn val="ctr"/>
        <c:lblOffset val="100"/>
        <c:noMultiLvlLbl val="0"/>
      </c:catAx>
      <c:valAx>
        <c:axId val="1796184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87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Equity Multiple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 Summary'!$B$9:$B$11</c:f>
              <c:strCache>
                <c:ptCount val="3"/>
                <c:pt idx="0">
                  <c:v>Deal</c:v>
                </c:pt>
                <c:pt idx="1">
                  <c:v>LP</c:v>
                </c:pt>
                <c:pt idx="2">
                  <c:v>Sponsor</c:v>
                </c:pt>
              </c:strCache>
            </c:strRef>
          </c:cat>
          <c:val>
            <c:numRef>
              <c:f>'Waterfall Summary'!$C$9:$C$11</c:f>
              <c:numCache>
                <c:formatCode>0.00\x</c:formatCode>
                <c:ptCount val="3"/>
                <c:pt idx="0">
                  <c:v>1.6231924228710457</c:v>
                </c:pt>
                <c:pt idx="1">
                  <c:v>1.4553034822458266</c:v>
                </c:pt>
                <c:pt idx="2">
                  <c:v>11.038963842935432</c:v>
                </c:pt>
              </c:numCache>
            </c:numRef>
          </c:val>
          <c:extLst>
            <c:ext xmlns:c16="http://schemas.microsoft.com/office/drawing/2014/chart" uri="{C3380CC4-5D6E-409C-BE32-E72D297353CC}">
              <c16:uniqueId val="{00000000-E38A-4D5A-BB06-EC7791AA9911}"/>
            </c:ext>
          </c:extLst>
        </c:ser>
        <c:dLbls>
          <c:dLblPos val="outEnd"/>
          <c:showLegendKey val="0"/>
          <c:showVal val="1"/>
          <c:showCatName val="0"/>
          <c:showSerName val="0"/>
          <c:showPercent val="0"/>
          <c:showBubbleSize val="0"/>
        </c:dLbls>
        <c:gapWidth val="219"/>
        <c:overlap val="-27"/>
        <c:axId val="443408368"/>
        <c:axId val="1796180480"/>
      </c:barChart>
      <c:catAx>
        <c:axId val="44340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180480"/>
        <c:crosses val="autoZero"/>
        <c:auto val="1"/>
        <c:lblAlgn val="ctr"/>
        <c:lblOffset val="100"/>
        <c:noMultiLvlLbl val="0"/>
      </c:catAx>
      <c:valAx>
        <c:axId val="1796180480"/>
        <c:scaling>
          <c:orientation val="minMax"/>
        </c:scaling>
        <c:delete val="0"/>
        <c:axPos val="l"/>
        <c:majorGridlines>
          <c:spPr>
            <a:ln w="9525" cap="flat" cmpd="sng" algn="ctr">
              <a:solidFill>
                <a:schemeClr val="tx1">
                  <a:lumMod val="15000"/>
                  <a:lumOff val="85000"/>
                </a:schemeClr>
              </a:solidFill>
              <a:round/>
            </a:ln>
            <a:effectLst/>
          </c:spPr>
        </c:majorGridlines>
        <c:numFmt formatCode="0.00\x"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408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Financial Risk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DBCC-4787-B3DA-275E11B7673C}"/>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DBCC-4787-B3DA-275E11B7673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'Waterfall Summary'!$B$16:$B$17</c:f>
              <c:strCache>
                <c:ptCount val="2"/>
                <c:pt idx="0">
                  <c:v>LP</c:v>
                </c:pt>
                <c:pt idx="1">
                  <c:v>Sponsor</c:v>
                </c:pt>
              </c:strCache>
            </c:strRef>
          </c:cat>
          <c:val>
            <c:numRef>
              <c:f>'Waterfall Summary'!$C$16:$C$17</c:f>
              <c:numCache>
                <c:formatCode>0%</c:formatCode>
                <c:ptCount val="2"/>
                <c:pt idx="0">
                  <c:v>0.9</c:v>
                </c:pt>
                <c:pt idx="1">
                  <c:v>0.1</c:v>
                </c:pt>
              </c:numCache>
            </c:numRef>
          </c:val>
          <c:extLst>
            <c:ext xmlns:c16="http://schemas.microsoft.com/office/drawing/2014/chart" uri="{C3380CC4-5D6E-409C-BE32-E72D297353CC}">
              <c16:uniqueId val="{00000000-F768-4520-9E96-551E969A41A1}"/>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Financial Reward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0157-4793-8639-EE8CD17701A3}"/>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0157-4793-8639-EE8CD17701A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'Waterfall Summary'!$B$16:$B$17</c:f>
              <c:strCache>
                <c:ptCount val="2"/>
                <c:pt idx="0">
                  <c:v>LP</c:v>
                </c:pt>
                <c:pt idx="1">
                  <c:v>Sponsor</c:v>
                </c:pt>
              </c:strCache>
            </c:strRef>
          </c:cat>
          <c:val>
            <c:numRef>
              <c:f>'Waterfall Summary'!$D$16:$D$17</c:f>
              <c:numCache>
                <c:formatCode>0%</c:formatCode>
                <c:ptCount val="2"/>
                <c:pt idx="0">
                  <c:v>0.71779974600458618</c:v>
                </c:pt>
                <c:pt idx="1">
                  <c:v>0.28220025399541382</c:v>
                </c:pt>
              </c:numCache>
            </c:numRef>
          </c:val>
          <c:extLst>
            <c:ext xmlns:c16="http://schemas.microsoft.com/office/drawing/2014/chart" uri="{C3380CC4-5D6E-409C-BE32-E72D297353CC}">
              <c16:uniqueId val="{00000000-19D5-47A8-8413-AE6FDDE9C08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a:t>
            </a:r>
            <a:r>
              <a:rPr lang="en-US" baseline="0"/>
              <a:t> Flows By Tier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1-4E73-4710-9DFA-61F5D9B6EF25}"/>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4E73-4710-9DFA-61F5D9B6EF25}"/>
              </c:ext>
            </c:extLst>
          </c:dPt>
          <c:dPt>
            <c:idx val="2"/>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05-4E73-4710-9DFA-61F5D9B6EF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'Waterfall Summary'!$B$21:$B$23</c:f>
              <c:strCache>
                <c:ptCount val="3"/>
                <c:pt idx="0">
                  <c:v>Tier 1</c:v>
                </c:pt>
                <c:pt idx="1">
                  <c:v>Tier 2</c:v>
                </c:pt>
                <c:pt idx="2">
                  <c:v>Tier 3</c:v>
                </c:pt>
              </c:strCache>
            </c:strRef>
          </c:cat>
          <c:val>
            <c:numRef>
              <c:f>'Waterfall Summary'!$D$21:$D$23</c:f>
              <c:numCache>
                <c:formatCode>0%</c:formatCode>
                <c:ptCount val="3"/>
                <c:pt idx="0">
                  <c:v>0.51516234528169547</c:v>
                </c:pt>
                <c:pt idx="1">
                  <c:v>0.48483765471830448</c:v>
                </c:pt>
                <c:pt idx="2">
                  <c:v>0</c:v>
                </c:pt>
              </c:numCache>
            </c:numRef>
          </c:val>
          <c:extLst>
            <c:ext xmlns:c16="http://schemas.microsoft.com/office/drawing/2014/chart" uri="{C3380CC4-5D6E-409C-BE32-E72D297353CC}">
              <c16:uniqueId val="{00000000-FA2B-449D-9724-7D8869199AB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262890</xdr:colOff>
      <xdr:row>3</xdr:row>
      <xdr:rowOff>68580</xdr:rowOff>
    </xdr:from>
    <xdr:to>
      <xdr:col>15</xdr:col>
      <xdr:colOff>111682</xdr:colOff>
      <xdr:row>23</xdr:row>
      <xdr:rowOff>174796</xdr:rowOff>
    </xdr:to>
    <xdr:pic>
      <xdr:nvPicPr>
        <xdr:cNvPr id="3" name="Picture 2">
          <a:extLst>
            <a:ext uri="{FF2B5EF4-FFF2-40B4-BE49-F238E27FC236}">
              <a16:creationId xmlns:a16="http://schemas.microsoft.com/office/drawing/2014/main" id="{D4FB9F52-7BD9-44C5-99F0-301431CD8908}"/>
            </a:ext>
          </a:extLst>
        </xdr:cNvPr>
        <xdr:cNvPicPr>
          <a:picLocks noChangeAspect="1"/>
        </xdr:cNvPicPr>
      </xdr:nvPicPr>
      <xdr:blipFill>
        <a:blip xmlns:r="http://schemas.openxmlformats.org/officeDocument/2006/relationships" r:embed="rId1"/>
        <a:stretch>
          <a:fillRect/>
        </a:stretch>
      </xdr:blipFill>
      <xdr:spPr>
        <a:xfrm>
          <a:off x="9140190" y="630555"/>
          <a:ext cx="5697142" cy="37257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xdr:colOff>
      <xdr:row>1</xdr:row>
      <xdr:rowOff>60007</xdr:rowOff>
    </xdr:from>
    <xdr:to>
      <xdr:col>11</xdr:col>
      <xdr:colOff>590550</xdr:colOff>
      <xdr:row>15</xdr:row>
      <xdr:rowOff>85725</xdr:rowOff>
    </xdr:to>
    <xdr:graphicFrame macro="">
      <xdr:nvGraphicFramePr>
        <xdr:cNvPr id="3" name="Chart 2">
          <a:extLst>
            <a:ext uri="{FF2B5EF4-FFF2-40B4-BE49-F238E27FC236}">
              <a16:creationId xmlns:a16="http://schemas.microsoft.com/office/drawing/2014/main" id="{5291D31C-29F3-453F-9A9D-40EFF9C7EB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116205</xdr:colOff>
      <xdr:row>1</xdr:row>
      <xdr:rowOff>37147</xdr:rowOff>
    </xdr:from>
    <xdr:to>
      <xdr:col>18</xdr:col>
      <xdr:colOff>581025</xdr:colOff>
      <xdr:row>15</xdr:row>
      <xdr:rowOff>114300</xdr:rowOff>
    </xdr:to>
    <xdr:graphicFrame macro="">
      <xdr:nvGraphicFramePr>
        <xdr:cNvPr id="4" name="Chart 3">
          <a:extLst>
            <a:ext uri="{FF2B5EF4-FFF2-40B4-BE49-F238E27FC236}">
              <a16:creationId xmlns:a16="http://schemas.microsoft.com/office/drawing/2014/main" id="{6DB0B0A1-A455-45C1-93D9-7769E557EC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607695</xdr:colOff>
      <xdr:row>15</xdr:row>
      <xdr:rowOff>152400</xdr:rowOff>
    </xdr:from>
    <xdr:to>
      <xdr:col>11</xdr:col>
      <xdr:colOff>600075</xdr:colOff>
      <xdr:row>30</xdr:row>
      <xdr:rowOff>87630</xdr:rowOff>
    </xdr:to>
    <xdr:graphicFrame macro="">
      <xdr:nvGraphicFramePr>
        <xdr:cNvPr id="6" name="Chart 5">
          <a:extLst>
            <a:ext uri="{FF2B5EF4-FFF2-40B4-BE49-F238E27FC236}">
              <a16:creationId xmlns:a16="http://schemas.microsoft.com/office/drawing/2014/main" id="{112E9A4B-0DB6-4E72-81BD-83D11D99A7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123825</xdr:colOff>
      <xdr:row>15</xdr:row>
      <xdr:rowOff>161926</xdr:rowOff>
    </xdr:from>
    <xdr:to>
      <xdr:col>18</xdr:col>
      <xdr:colOff>571500</xdr:colOff>
      <xdr:row>30</xdr:row>
      <xdr:rowOff>76201</xdr:rowOff>
    </xdr:to>
    <xdr:graphicFrame macro="">
      <xdr:nvGraphicFramePr>
        <xdr:cNvPr id="7" name="Chart 6">
          <a:extLst>
            <a:ext uri="{FF2B5EF4-FFF2-40B4-BE49-F238E27FC236}">
              <a16:creationId xmlns:a16="http://schemas.microsoft.com/office/drawing/2014/main" id="{554F37CE-BF55-4290-92AA-93A4DE7F75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276225</xdr:colOff>
      <xdr:row>31</xdr:row>
      <xdr:rowOff>10477</xdr:rowOff>
    </xdr:from>
    <xdr:to>
      <xdr:col>15</xdr:col>
      <xdr:colOff>352425</xdr:colOff>
      <xdr:row>45</xdr:row>
      <xdr:rowOff>28575</xdr:rowOff>
    </xdr:to>
    <xdr:graphicFrame macro="">
      <xdr:nvGraphicFramePr>
        <xdr:cNvPr id="10" name="Chart 9">
          <a:extLst>
            <a:ext uri="{FF2B5EF4-FFF2-40B4-BE49-F238E27FC236}">
              <a16:creationId xmlns:a16="http://schemas.microsoft.com/office/drawing/2014/main" id="{02C9E9D1-45D4-43C0-83D6-31050B669D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Share\SHARED\1999\BUDGET\NED\48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cquired%20Deals\Windsor%20House%20-%20San%20Antonio%20(The%20Jax)\2.%20Analysis\Archive\Windsor%20House%20UW%209.9.16%20-%20HI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aner/Downloads/Entro%20DRAFT%20Post%20Refi%20Budget%208.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Share\SHARED\1999\BUDGET\NED\49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ny-fp01.stellarmgmt.com\P\Development%20&amp;%20Acquisitions\zzModels\Mandingo%202001\HotComps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s001\Acquisitions\Under%20Contract\Vistas%20at%20Lake%20Worth%20-%20DFW\Analysis\Debt%20-%20Equity%20Books\Vistas%20UW%20Equity%20Book.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x/Documents/avesta/Acquisitions/AREP%20V/underwritings/Woods%20of%20Mandarin%20Underwriting%20Dist.%2011.05-2013%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lan%20Gordon/Desktop/Amber%20Oaks%20-%20Financial%20Analysis%20-%20v2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CQUISITIONS\Financial%20Analysis%20(D-AF)\Active%20Deals\Commercial\Meadows%20at%20Lake%20St.%20Louis\WCCG%20Underwriting\Assumptions%20MeadowsStLouis-v_1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Under%20Contract\Linda%20Vista%20-%20Dallas\10.%20Handoff_Asset%20Mgmt_Prop%20Mgmt\e.%20Business%20Plan\Linda%20Vista%20-%20Business%20Plan%20v2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ustin/Downloads/Midtown%20Oaks%20P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BUDGET"/>
      <sheetName val="VARIANCE ANALYSIS"/>
      <sheetName val="1998 REFORECAST"/>
      <sheetName val="PSF"/>
      <sheetName val="4 YEAR NOI"/>
      <sheetName val="CAPITAL EXPENDITURES"/>
      <sheetName val="5 YEAR CAP EXP"/>
      <sheetName val="DEFERRED CAM AMORTIZATION_2000"/>
      <sheetName val="DEFERRED CAM AMORTIZATION"/>
      <sheetName val="DEFERRED EXPENSES"/>
      <sheetName val="MINIMUM &amp; OVERAGE RENT"/>
      <sheetName val="SPECIALTY LEASING INCOME"/>
      <sheetName val="CAM INCOME"/>
      <sheetName val="REAL ESTATE TAX INCOME"/>
      <sheetName val="UTILITY INCOME"/>
      <sheetName val="INTEREST-OTHER INCOME"/>
      <sheetName val="4001 PAYROLL"/>
      <sheetName val="4002 PAYROLL TAXES"/>
      <sheetName val="4004 BENEFITS"/>
      <sheetName val="4005 REIMBURSEMENTS"/>
      <sheetName val="4008 CLEANING SERVICES "/>
      <sheetName val="4010 - TRAVEL"/>
      <sheetName val="4012 CONTRACTED SERVICES"/>
      <sheetName val="4013 MATERIALS &amp; SUPPLIES"/>
      <sheetName val="4014 REPAIRS &amp; MAINTENANCE"/>
      <sheetName val="4015 EQUIPMENT RENTAL"/>
      <sheetName val="4016 - UTILITIES - ELECTRIC"/>
      <sheetName val="4017 - UTILITIES - GAS &amp; OIL"/>
      <sheetName val="4018 - UTILITIES- WATER &amp; SEWER"/>
      <sheetName val="4020 SUBSCRIPTIONS"/>
      <sheetName val="4021 - OFFICE EXPENSES"/>
      <sheetName val="4022 COPIER EXPENSE"/>
      <sheetName val="4023 TELEPHONE"/>
      <sheetName val="4024 GIFT &amp; HOLIDAY"/>
      <sheetName val="4025 PARKING LOT REPAIR"/>
      <sheetName val="4026 ROAD REPAIR"/>
      <sheetName val="4027 ROOF REPAIR"/>
      <sheetName val="4030 - SALES PROMOTION"/>
      <sheetName val="4031 SPECIALTY LEASING EXPENSE"/>
      <sheetName val="4034 - EDUCATION"/>
      <sheetName val="4035 OTHER"/>
      <sheetName val="4040 MANAGEMENT FEE"/>
      <sheetName val="4041 SNOW REMOVAL"/>
      <sheetName val="4043 PARKING LOT RENTAL"/>
      <sheetName val="4044 ACCOUNTING AND AUDITING"/>
      <sheetName val="4045 PROF SERVICES - LEGAL"/>
      <sheetName val="4046 PROF SERVICES - OTHER"/>
      <sheetName val="4047 INSURANCE"/>
      <sheetName val="4050 BAD DEBTS"/>
      <sheetName val="4070 CHARITABLE CONTRIBUTIONS"/>
      <sheetName val="4071 REAL ESTATE TAXES"/>
      <sheetName val="4072 INTEREST EXPENSE"/>
      <sheetName val="4073 DEPRECIATION"/>
      <sheetName val="4074 AMORTIZATION"/>
      <sheetName val="PROMO INTERCOMPANY"/>
      <sheetName val="SQUARE FOOTAGE"/>
      <sheetName val="PAYROLL"/>
      <sheetName val="BENEFITS"/>
      <sheetName val="UTILITIES"/>
      <sheetName val="AP ALLOC"/>
      <sheetName val="PROOF PAGE"/>
      <sheetName val="Interface"/>
      <sheetName val="ROLL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TABLES"/>
      <sheetName val="More Tables"/>
      <sheetName val="Input Tabs--&gt;"/>
      <sheetName val="Dashboard"/>
      <sheetName val="Year-1 Proforma"/>
      <sheetName val="Closing - RE Tax - Cap Ex"/>
      <sheetName val="Lease up"/>
      <sheetName val="Unit Mix"/>
      <sheetName val="Cash Flows--&gt;"/>
      <sheetName val="120 Month CF"/>
      <sheetName val="Annual CF's (Fiscal Year)"/>
      <sheetName val="Annual CF's (Calendar Year)"/>
      <sheetName val="AM Table"/>
      <sheetName val="Waterfall"/>
      <sheetName val="Unlevered Return Calcs"/>
      <sheetName val="Page 4"/>
      <sheetName val="Page 5"/>
      <sheetName val="Page 9"/>
      <sheetName val="Page 10"/>
    </sheetNames>
    <sheetDataSet>
      <sheetData sheetId="0"/>
      <sheetData sheetId="1"/>
      <sheetData sheetId="2"/>
      <sheetData sheetId="3">
        <row r="11">
          <cell r="C11">
            <v>328034</v>
          </cell>
        </row>
        <row r="44">
          <cell r="G44">
            <v>0.9</v>
          </cell>
          <cell r="I44">
            <v>0.9</v>
          </cell>
          <cell r="M44">
            <v>0.9</v>
          </cell>
          <cell r="O44">
            <v>0.9</v>
          </cell>
          <cell r="Q44">
            <v>0.9</v>
          </cell>
        </row>
        <row r="54">
          <cell r="C54">
            <v>43739</v>
          </cell>
        </row>
      </sheetData>
      <sheetData sheetId="4">
        <row r="15">
          <cell r="E15">
            <v>123776</v>
          </cell>
        </row>
      </sheetData>
      <sheetData sheetId="5"/>
      <sheetData sheetId="6"/>
      <sheetData sheetId="7"/>
      <sheetData sheetId="8"/>
      <sheetData sheetId="9">
        <row r="13">
          <cell r="C13">
            <v>42644</v>
          </cell>
        </row>
      </sheetData>
      <sheetData sheetId="10"/>
      <sheetData sheetId="11"/>
      <sheetData sheetId="12"/>
      <sheetData sheetId="13">
        <row r="14">
          <cell r="C14">
            <v>0.1</v>
          </cell>
        </row>
      </sheetData>
      <sheetData sheetId="14"/>
      <sheetData sheetId="15"/>
      <sheetData sheetId="16"/>
      <sheetData sheetId="17"/>
      <sheetData sheetId="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Budget"/>
      <sheetName val="General Info"/>
      <sheetName val="Sheet1"/>
    </sheetNames>
    <sheetDataSet>
      <sheetData sheetId="0"/>
      <sheetData sheetId="1">
        <row r="10">
          <cell r="D10">
            <v>404</v>
          </cell>
        </row>
        <row r="11">
          <cell r="D11">
            <v>0</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BUDGET"/>
      <sheetName val="1998 REFORECAST"/>
      <sheetName val="VARIANCE ANALYSIS"/>
      <sheetName val="PSF"/>
      <sheetName val="4 YEAR NOI"/>
      <sheetName val="CAPITAL EXPENDITURES"/>
      <sheetName val="CAM DEP'N_AMORTIZATION_2000"/>
      <sheetName val="CAM DEP'N_AMORTIZATION"/>
      <sheetName val="DEFERRED EXPENSES"/>
      <sheetName val="MINIMUM &amp; OVERAGE RENT"/>
      <sheetName val="SPECIALTY LEASING INCOME"/>
      <sheetName val="CAM INCOME"/>
      <sheetName val="REAL ESTATE TAX INCOME"/>
      <sheetName val="UTILITY INCOME"/>
      <sheetName val="INTEREST-OTHER INCOME"/>
      <sheetName val="4001 PAYROLL"/>
      <sheetName val="4002 PAYROLL TAXES"/>
      <sheetName val="4004 BENEFITS"/>
      <sheetName val="4005 REIMBURSEMENTS"/>
      <sheetName val="4008 CLEANING"/>
      <sheetName val="4010 TRAVEL"/>
      <sheetName val="4012 CONTRACTED SERVICES"/>
      <sheetName val="4013 MATERIALS &amp; SUPPLIES"/>
      <sheetName val="4014 REPAIRS &amp; MAINTENANCE"/>
      <sheetName val="4015 EQUIPMENT RENTAL"/>
      <sheetName val="4016 UTILITIES - ELECTRIC"/>
      <sheetName val="4017 UTILITIES - GAS &amp; OIL"/>
      <sheetName val="4018 UTILITIES- WATER &amp; SEWER"/>
      <sheetName val="4019 DUES"/>
      <sheetName val="4020 SUBSCRIPTIONS"/>
      <sheetName val="4021 OFFICE EXPENSES"/>
      <sheetName val="4022 COPIER EXPENSE"/>
      <sheetName val="4023 TELEPHONE"/>
      <sheetName val="4024 GIFT &amp; HOLIDAY"/>
      <sheetName val="4025 PARKING LOT REPAIR"/>
      <sheetName val="4026 ROAD REPAIR"/>
      <sheetName val="4027 ROOF REPAIR"/>
      <sheetName val="4030 SALES PROMOTION"/>
      <sheetName val="4031 SPECIALTY LEASING EXPENSE"/>
      <sheetName val="4034 EDUCATION"/>
      <sheetName val="4040 MANAGEMENT FEE"/>
      <sheetName val="4041 SNOW REMOVAL"/>
      <sheetName val="4042 MANAGEMENT FEE"/>
      <sheetName val="4043 PARKING LOT RENTAL"/>
      <sheetName val="4044 ACCOUNTING AND AUDITING"/>
      <sheetName val="4045 PROF SERVICES - LEGAL"/>
      <sheetName val="4046 PROF SERVICES - OTHER"/>
      <sheetName val="4047 INSURANCE"/>
      <sheetName val="4049 MARKETING CONTRIBUTIONS"/>
      <sheetName val="4050 BAD DEBTS"/>
      <sheetName val="4070 CHARITABLE CONTRIBUTIONS"/>
      <sheetName val="4071 REAL ESTATE TAXES"/>
      <sheetName val="4072 INTEREST EXPENSE"/>
      <sheetName val="4073 DEPRECIATION"/>
      <sheetName val="4074 AMORTIZATION"/>
      <sheetName val="PROMO INTERCOMPANY"/>
      <sheetName val="SQUARE FOOTAGE"/>
      <sheetName val="PAYROLL"/>
      <sheetName val="BENEFITS"/>
      <sheetName val="UTILITIES"/>
      <sheetName val="AP ALLOC"/>
      <sheetName val="PROOF PAGE"/>
      <sheetName val="Inter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
      <sheetName val="Occ Rooms"/>
      <sheetName val="Rooms Rev"/>
      <sheetName val="F&amp;B"/>
      <sheetName val="Mkt SPG"/>
      <sheetName val="TMFIR"/>
      <sheetName val="Owners Expense"/>
      <sheetName val="Miscellaneous"/>
      <sheetName val="HotComps2000"/>
      <sheetName val="Capital Input"/>
      <sheetName val="#REF"/>
      <sheetName val="HOTComps"/>
      <sheetName val="Ann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TABLES"/>
      <sheetName val="Input Tabs--&gt;"/>
      <sheetName val="Dashboard"/>
      <sheetName val="Year-1 Proforma"/>
      <sheetName val="Closing - RE Tax - Cap Ex"/>
      <sheetName val="Lease up"/>
      <sheetName val="Unit Mix"/>
      <sheetName val="Cash Flows--&gt;"/>
      <sheetName val="120 Month CF"/>
      <sheetName val="Annual CF's (Fiscal Year)"/>
      <sheetName val="Annual CF's (Calendar Year)"/>
      <sheetName val="AM Table"/>
      <sheetName val="Waterfall"/>
      <sheetName val="Unlevered Return Calcs"/>
    </sheetNames>
    <sheetDataSet>
      <sheetData sheetId="0"/>
      <sheetData sheetId="1"/>
      <sheetData sheetId="2">
        <row r="11">
          <cell r="C11">
            <v>247713</v>
          </cell>
        </row>
      </sheetData>
      <sheetData sheetId="3">
        <row r="15">
          <cell r="E15">
            <v>135892.82</v>
          </cell>
        </row>
        <row r="33">
          <cell r="J33">
            <v>0.04</v>
          </cell>
        </row>
        <row r="34">
          <cell r="J34">
            <v>0</v>
          </cell>
        </row>
      </sheetData>
      <sheetData sheetId="4">
        <row r="1">
          <cell r="J1" t="b">
            <v>0</v>
          </cell>
        </row>
        <row r="25">
          <cell r="O25">
            <v>2915000</v>
          </cell>
        </row>
      </sheetData>
      <sheetData sheetId="5"/>
      <sheetData sheetId="6"/>
      <sheetData sheetId="7"/>
      <sheetData sheetId="8"/>
      <sheetData sheetId="9"/>
      <sheetData sheetId="10"/>
      <sheetData sheetId="11"/>
      <sheetData sheetId="12">
        <row r="14">
          <cell r="C14">
            <v>0.1</v>
          </cell>
        </row>
      </sheetData>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F Comparison"/>
      <sheetName val="PF Budget"/>
      <sheetName val="Sources &amp; Uses"/>
      <sheetName val="Rent Comps"/>
      <sheetName val="Property Facts"/>
      <sheetName val="Price&amp;Financing"/>
      <sheetName val="Growth&amp;Adj."/>
      <sheetName val="PF Income"/>
      <sheetName val="PF Controllable"/>
      <sheetName val="PF Noncontrollable"/>
      <sheetName val="Capex"/>
      <sheetName val="Fees&amp;Promote"/>
      <sheetName val="Hist. Financials"/>
      <sheetName val="Master CF"/>
      <sheetName val="D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9">
          <cell r="B9" t="str">
            <v>Wood Frame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lev"/>
      <sheetName val="IP NOI"/>
      <sheetName val="HvP"/>
      <sheetName val="MAIN"/>
      <sheetName val="YoC"/>
      <sheetName val="NBA"/>
      <sheetName val="Proforma1"/>
      <sheetName val="Proforma2"/>
      <sheetName val="CASH"/>
      <sheetName val="MLAs"/>
      <sheetName val="Stacking Plans"/>
      <sheetName val="RR"/>
      <sheetName val="LXPs"/>
      <sheetName val="LeaseUp"/>
      <sheetName val="D_Log"/>
      <sheetName val="Sensitivity"/>
      <sheetName val="ARGUS"/>
      <sheetName val="vBroker"/>
      <sheetName val="v1"/>
      <sheetName val="v2"/>
      <sheetName val="v3"/>
      <sheetName val="v4"/>
      <sheetName val="v5"/>
      <sheetName val="DebtValidation"/>
      <sheetName val="DebtSupport"/>
      <sheetName val="X1"/>
    </sheetNames>
    <sheetDataSet>
      <sheetData sheetId="0" refreshError="1"/>
      <sheetData sheetId="1" refreshError="1"/>
      <sheetData sheetId="2" refreshError="1"/>
      <sheetData sheetId="3">
        <row r="5">
          <cell r="C5" t="str">
            <v>Amber Oaks - Austin</v>
          </cell>
        </row>
      </sheetData>
      <sheetData sheetId="4" refreshError="1"/>
      <sheetData sheetId="5" refreshError="1"/>
      <sheetData sheetId="6" refreshError="1"/>
      <sheetData sheetId="7" refreshError="1"/>
      <sheetData sheetId="8">
        <row r="137">
          <cell r="B137" t="str">
            <v>Eq Mult.</v>
          </cell>
        </row>
      </sheetData>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2">
          <cell r="A2" t="str">
            <v>None</v>
          </cell>
          <cell r="D2" t="str">
            <v>Fixed Rate</v>
          </cell>
          <cell r="E2" t="str">
            <v>Amount</v>
          </cell>
          <cell r="K2" t="str">
            <v>Yes</v>
          </cell>
        </row>
        <row r="3">
          <cell r="A3" t="str">
            <v>Existing Note</v>
          </cell>
          <cell r="D3" t="str">
            <v>Floating Rate</v>
          </cell>
          <cell r="E3" t="str">
            <v>LTV %</v>
          </cell>
        </row>
        <row r="4">
          <cell r="E4" t="str">
            <v>DCR</v>
          </cell>
        </row>
        <row r="5">
          <cell r="A5" t="str">
            <v>Refinance</v>
          </cell>
        </row>
      </sheetData>
      <sheetData sheetId="24">
        <row r="2">
          <cell r="C2" t="e">
            <v>#REF!</v>
          </cell>
          <cell r="D2" t="e">
            <v>#REF!</v>
          </cell>
          <cell r="E2" t="e">
            <v>#REF!</v>
          </cell>
        </row>
        <row r="3">
          <cell r="C3" t="e">
            <v>#REF!</v>
          </cell>
          <cell r="D3" t="e">
            <v>#REF!</v>
          </cell>
          <cell r="E3" t="e">
            <v>#REF!</v>
          </cell>
        </row>
        <row r="4">
          <cell r="C4" t="e">
            <v>#REF!</v>
          </cell>
          <cell r="D4" t="e">
            <v>#REF!</v>
          </cell>
          <cell r="E4" t="e">
            <v>#REF!</v>
          </cell>
        </row>
        <row r="6">
          <cell r="C6" t="e">
            <v>#REF!</v>
          </cell>
          <cell r="D6" t="e">
            <v>#REF!</v>
          </cell>
          <cell r="E6" t="e">
            <v>#REF!</v>
          </cell>
        </row>
        <row r="7">
          <cell r="C7" t="e">
            <v>#REF!</v>
          </cell>
          <cell r="D7" t="e">
            <v>#REF!</v>
          </cell>
          <cell r="E7" t="e">
            <v>#REF!</v>
          </cell>
        </row>
        <row r="9">
          <cell r="C9" t="e">
            <v>#REF!</v>
          </cell>
          <cell r="D9" t="e">
            <v>#REF!</v>
          </cell>
          <cell r="E9" t="e">
            <v>#REF!</v>
          </cell>
        </row>
        <row r="12">
          <cell r="E12" t="e">
            <v>#REF!</v>
          </cell>
        </row>
        <row r="13">
          <cell r="E13" t="e">
            <v>#REF!</v>
          </cell>
        </row>
        <row r="14">
          <cell r="E14" t="e">
            <v>#REF!</v>
          </cell>
        </row>
        <row r="26">
          <cell r="C26" t="e">
            <v>#REF!</v>
          </cell>
          <cell r="D26" t="e">
            <v>#REF!</v>
          </cell>
          <cell r="E26" t="e">
            <v>#REF!</v>
          </cell>
        </row>
        <row r="27">
          <cell r="C27" t="e">
            <v>#REF!</v>
          </cell>
          <cell r="D27" t="e">
            <v>#REF!</v>
          </cell>
          <cell r="E27" t="e">
            <v>#REF!</v>
          </cell>
        </row>
        <row r="28">
          <cell r="C28" t="e">
            <v>#REF!</v>
          </cell>
          <cell r="D28" t="e">
            <v>#REF!</v>
          </cell>
          <cell r="E28" t="e">
            <v>#REF!</v>
          </cell>
        </row>
        <row r="29">
          <cell r="C29" t="e">
            <v>#REF!</v>
          </cell>
          <cell r="D29" t="e">
            <v>#REF!</v>
          </cell>
          <cell r="E29" t="e">
            <v>#REF!</v>
          </cell>
        </row>
        <row r="30">
          <cell r="C30" t="e">
            <v>#REF!</v>
          </cell>
          <cell r="D30" t="e">
            <v>#REF!</v>
          </cell>
          <cell r="E30" t="e">
            <v>#REF!</v>
          </cell>
        </row>
        <row r="33">
          <cell r="C33" t="e">
            <v>#REF!</v>
          </cell>
          <cell r="D33" t="e">
            <v>#REF!</v>
          </cell>
          <cell r="E33" t="e">
            <v>#REF!</v>
          </cell>
        </row>
        <row r="34">
          <cell r="C34" t="e">
            <v>#REF!</v>
          </cell>
          <cell r="D34" t="e">
            <v>#REF!</v>
          </cell>
        </row>
        <row r="36">
          <cell r="E36" t="e">
            <v>#REF!</v>
          </cell>
        </row>
        <row r="37">
          <cell r="E37" t="e">
            <v>#REF!</v>
          </cell>
        </row>
        <row r="39">
          <cell r="C39" t="e">
            <v>#REF!</v>
          </cell>
          <cell r="D39" t="e">
            <v>#REF!</v>
          </cell>
          <cell r="E39" t="e">
            <v>#REF!</v>
          </cell>
        </row>
      </sheetData>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ogicTools"/>
      <sheetName val="TASKLOG"/>
      <sheetName val="Settings_Properties"/>
      <sheetName val="Settings_Parameters"/>
      <sheetName val="Unleveraged Cash Flow"/>
      <sheetName val="Executive Summary"/>
      <sheetName val="Monthly Cash Flow"/>
      <sheetName val="Debt Inputs"/>
      <sheetName val="Annual Leveraged Summary"/>
      <sheetName val="Monthly Leveraged Cash Flow"/>
      <sheetName val="DebtValidation"/>
      <sheetName val="DebtSupport"/>
      <sheetName val="Waterfall"/>
      <sheetName val="Rent Roll"/>
      <sheetName val="In Place"/>
      <sheetName val="Rollover"/>
      <sheetName val="Expirations"/>
      <sheetName val="Occupancy"/>
      <sheetName val="MLA Detail"/>
      <sheetName val="Market Summary"/>
      <sheetName val="Tenant Groups"/>
      <sheetName val="Unleveraged IRR Calcs"/>
      <sheetName val="Exceptions"/>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ow r="5">
          <cell r="C5" t="str">
            <v>Coupon (1 Yr)</v>
          </cell>
        </row>
        <row r="6">
          <cell r="C6" t="str">
            <v>Coupon (6 Mo)</v>
          </cell>
        </row>
      </sheetData>
      <sheetData sheetId="11">
        <row r="12">
          <cell r="C12" t="b">
            <v>0</v>
          </cell>
          <cell r="D12" t="b">
            <v>0</v>
          </cell>
          <cell r="E12" t="b">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es"/>
      <sheetName val="Closing S&amp;U"/>
      <sheetName val="BP S&amp;U"/>
      <sheetName val="Annual BP"/>
      <sheetName val="Monthly BP"/>
      <sheetName val="Capex Budget"/>
      <sheetName val="Unit Mix"/>
      <sheetName val="Loan"/>
      <sheetName val="Dash"/>
      <sheetName val="Monthly"/>
      <sheetName val="Annual"/>
      <sheetName val="RR"/>
      <sheetName val="Growth"/>
      <sheetName val="Market"/>
      <sheetName val="CAPEX"/>
      <sheetName val="Returns"/>
      <sheetName val="D_Log"/>
      <sheetName val="T12"/>
      <sheetName val="Amort"/>
      <sheetName val="Waterfall"/>
      <sheetName val="Unle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C9">
            <v>370</v>
          </cell>
        </row>
        <row r="10">
          <cell r="C10">
            <v>246908</v>
          </cell>
        </row>
        <row r="73">
          <cell r="C73">
            <v>1.25</v>
          </cell>
        </row>
      </sheetData>
      <sheetData sheetId="9" refreshError="1"/>
      <sheetData sheetId="10" refreshError="1"/>
      <sheetData sheetId="11" refreshError="1"/>
      <sheetData sheetId="12">
        <row r="23">
          <cell r="G23">
            <v>0.95</v>
          </cell>
        </row>
        <row r="28">
          <cell r="E28">
            <v>125.80000000000001</v>
          </cell>
          <cell r="F28">
            <v>122.10000000000001</v>
          </cell>
          <cell r="G28">
            <v>122.10000000000001</v>
          </cell>
          <cell r="H28">
            <v>0</v>
          </cell>
          <cell r="I28">
            <v>0</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Flow"/>
      <sheetName val="Operating Inputs"/>
      <sheetName val="Rent Detail"/>
      <sheetName val="Renovation Detail"/>
      <sheetName val="Taxes and Insurance"/>
      <sheetName val="Sales Comps"/>
      <sheetName val="2Pager"/>
      <sheetName val="Property Facts"/>
      <sheetName val="Underwriting Notes"/>
      <sheetName val="T12"/>
      <sheetName val="UnitMix"/>
      <sheetName val="Budget"/>
      <sheetName val="Market Survey"/>
      <sheetName val="Sheet1"/>
    </sheetNames>
    <sheetDataSet>
      <sheetData sheetId="0">
        <row r="19">
          <cell r="D19">
            <v>176</v>
          </cell>
        </row>
        <row r="30">
          <cell r="E30">
            <v>8002107</v>
          </cell>
        </row>
        <row r="36">
          <cell r="E36">
            <v>8453375.6186290085</v>
          </cell>
        </row>
      </sheetData>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7B13-2CDE-46C5-AEE5-CC83B4B7B00E}">
  <dimension ref="B2:P90"/>
  <sheetViews>
    <sheetView showGridLines="0" workbookViewId="0">
      <selection activeCell="G19" sqref="G19"/>
    </sheetView>
  </sheetViews>
  <sheetFormatPr defaultRowHeight="14.4" x14ac:dyDescent="0.3"/>
  <cols>
    <col min="1" max="1" width="3.21875" customWidth="1"/>
    <col min="2" max="2" width="61.33203125" customWidth="1"/>
    <col min="3" max="3" width="17.33203125" customWidth="1"/>
    <col min="4" max="4" width="20.77734375" customWidth="1"/>
    <col min="5" max="5" width="8.88671875" customWidth="1"/>
    <col min="10" max="10" width="15.5546875" customWidth="1"/>
    <col min="11" max="11" width="3.33203125" customWidth="1"/>
    <col min="12" max="12" width="14.77734375" customWidth="1"/>
    <col min="13" max="13" width="16.109375" customWidth="1"/>
    <col min="16" max="16" width="12.88671875" customWidth="1"/>
  </cols>
  <sheetData>
    <row r="2" spans="2:13" ht="15.6" x14ac:dyDescent="0.3">
      <c r="B2" s="161" t="s">
        <v>437</v>
      </c>
      <c r="C2" s="161"/>
      <c r="D2" s="161"/>
      <c r="E2" s="150"/>
    </row>
    <row r="3" spans="2:13" x14ac:dyDescent="0.3">
      <c r="B3" s="149"/>
      <c r="C3" s="149"/>
      <c r="D3" s="149"/>
      <c r="E3" s="149"/>
    </row>
    <row r="4" spans="2:13" x14ac:dyDescent="0.3">
      <c r="B4" s="149" t="s">
        <v>447</v>
      </c>
      <c r="C4" s="159" t="s">
        <v>483</v>
      </c>
      <c r="D4" s="159"/>
      <c r="E4" s="149"/>
    </row>
    <row r="5" spans="2:13" x14ac:dyDescent="0.3">
      <c r="C5" t="s">
        <v>449</v>
      </c>
      <c r="D5" t="s">
        <v>448</v>
      </c>
    </row>
    <row r="6" spans="2:13" x14ac:dyDescent="0.3">
      <c r="B6" s="4" t="s">
        <v>453</v>
      </c>
      <c r="C6" s="9"/>
      <c r="D6" s="9"/>
    </row>
    <row r="7" spans="2:13" x14ac:dyDescent="0.3">
      <c r="B7" s="7" t="s">
        <v>465</v>
      </c>
      <c r="C7" s="9"/>
      <c r="D7" s="9"/>
    </row>
    <row r="8" spans="2:13" x14ac:dyDescent="0.3">
      <c r="B8" t="s">
        <v>450</v>
      </c>
      <c r="C8" s="9">
        <v>0</v>
      </c>
      <c r="D8" s="9">
        <v>29932511.800000001</v>
      </c>
    </row>
    <row r="9" spans="2:13" x14ac:dyDescent="0.3">
      <c r="B9" t="s">
        <v>451</v>
      </c>
      <c r="C9" s="9">
        <v>0</v>
      </c>
      <c r="D9" s="31">
        <v>114965.79</v>
      </c>
    </row>
    <row r="10" spans="2:13" x14ac:dyDescent="0.3">
      <c r="B10" t="s">
        <v>43</v>
      </c>
      <c r="C10" s="9">
        <v>0</v>
      </c>
      <c r="D10" s="9">
        <v>299325.12</v>
      </c>
    </row>
    <row r="11" spans="2:13" x14ac:dyDescent="0.3">
      <c r="B11" t="s">
        <v>46</v>
      </c>
      <c r="C11" s="9">
        <v>0</v>
      </c>
      <c r="D11" s="9">
        <v>500</v>
      </c>
      <c r="M11" s="9"/>
    </row>
    <row r="12" spans="2:13" x14ac:dyDescent="0.3">
      <c r="B12" s="7" t="s">
        <v>467</v>
      </c>
      <c r="C12" s="9"/>
      <c r="D12" s="9"/>
      <c r="M12" s="9"/>
    </row>
    <row r="13" spans="2:13" x14ac:dyDescent="0.3">
      <c r="B13" s="7" t="s">
        <v>48</v>
      </c>
      <c r="C13" s="9">
        <v>336174.64</v>
      </c>
      <c r="D13" s="9">
        <v>0</v>
      </c>
      <c r="M13" s="9"/>
    </row>
    <row r="14" spans="2:13" x14ac:dyDescent="0.3">
      <c r="B14" s="7" t="s">
        <v>49</v>
      </c>
      <c r="C14" s="9">
        <v>25587.360000000001</v>
      </c>
      <c r="D14" s="9">
        <v>0</v>
      </c>
      <c r="M14" s="9"/>
    </row>
    <row r="15" spans="2:13" x14ac:dyDescent="0.3">
      <c r="B15" s="7" t="s">
        <v>50</v>
      </c>
      <c r="C15" s="9">
        <v>101403.37</v>
      </c>
      <c r="D15" s="9">
        <v>0</v>
      </c>
      <c r="M15" s="9"/>
    </row>
    <row r="16" spans="2:13" x14ac:dyDescent="0.3">
      <c r="B16" s="7" t="s">
        <v>51</v>
      </c>
      <c r="C16" s="9">
        <v>8482.77</v>
      </c>
      <c r="D16" s="9">
        <v>0</v>
      </c>
      <c r="M16" s="9"/>
    </row>
    <row r="17" spans="2:13" x14ac:dyDescent="0.3">
      <c r="B17" s="7"/>
      <c r="C17" s="9"/>
      <c r="D17" s="9"/>
      <c r="M17" s="9"/>
    </row>
    <row r="18" spans="2:13" x14ac:dyDescent="0.3">
      <c r="B18" s="13" t="s">
        <v>456</v>
      </c>
      <c r="C18" s="9">
        <f>SUM(C8:C16)</f>
        <v>471648.14</v>
      </c>
      <c r="D18" s="9">
        <v>0</v>
      </c>
      <c r="M18" s="9"/>
    </row>
    <row r="19" spans="2:13" x14ac:dyDescent="0.3">
      <c r="B19" s="13" t="s">
        <v>484</v>
      </c>
      <c r="C19" s="9">
        <v>0</v>
      </c>
      <c r="D19" s="9">
        <f>SUM(D8:D16)</f>
        <v>30347302.710000001</v>
      </c>
      <c r="M19" s="9"/>
    </row>
    <row r="20" spans="2:13" x14ac:dyDescent="0.3">
      <c r="B20" s="89" t="s">
        <v>485</v>
      </c>
      <c r="C20" s="152">
        <v>0</v>
      </c>
      <c r="D20" s="152">
        <f>D19-C18</f>
        <v>29875654.57</v>
      </c>
      <c r="M20" s="9"/>
    </row>
    <row r="21" spans="2:13" x14ac:dyDescent="0.3">
      <c r="C21" s="9"/>
      <c r="D21" s="9"/>
      <c r="M21" s="9"/>
    </row>
    <row r="22" spans="2:13" x14ac:dyDescent="0.3">
      <c r="B22" s="4" t="s">
        <v>55</v>
      </c>
    </row>
    <row r="23" spans="2:13" x14ac:dyDescent="0.3">
      <c r="B23" s="7" t="s">
        <v>465</v>
      </c>
    </row>
    <row r="24" spans="2:13" x14ac:dyDescent="0.3">
      <c r="B24" t="s">
        <v>452</v>
      </c>
      <c r="C24" s="9">
        <v>36023000</v>
      </c>
      <c r="D24" s="9">
        <v>0</v>
      </c>
    </row>
    <row r="25" spans="2:13" x14ac:dyDescent="0.3">
      <c r="B25" t="s">
        <v>468</v>
      </c>
      <c r="C25" s="9"/>
      <c r="D25" s="9"/>
    </row>
    <row r="26" spans="2:13" x14ac:dyDescent="0.3">
      <c r="B26" t="s">
        <v>454</v>
      </c>
      <c r="C26" s="9">
        <v>0</v>
      </c>
      <c r="D26" s="9">
        <v>5000</v>
      </c>
    </row>
    <row r="27" spans="2:13" x14ac:dyDescent="0.3">
      <c r="B27" t="s">
        <v>455</v>
      </c>
      <c r="C27" s="9">
        <v>0</v>
      </c>
      <c r="D27" s="9">
        <v>36023</v>
      </c>
    </row>
    <row r="28" spans="2:13" x14ac:dyDescent="0.3">
      <c r="B28" t="s">
        <v>67</v>
      </c>
      <c r="C28" s="9">
        <v>0</v>
      </c>
      <c r="D28" s="9">
        <v>15000</v>
      </c>
    </row>
    <row r="29" spans="2:13" x14ac:dyDescent="0.3">
      <c r="B29" t="s">
        <v>72</v>
      </c>
      <c r="C29" s="9">
        <v>0</v>
      </c>
      <c r="D29" s="9">
        <f>0.75%*C24</f>
        <v>270172.5</v>
      </c>
    </row>
    <row r="30" spans="2:13" x14ac:dyDescent="0.3">
      <c r="B30" t="s">
        <v>488</v>
      </c>
      <c r="C30" s="9">
        <v>0</v>
      </c>
      <c r="D30" s="9">
        <f>C24*0.003</f>
        <v>108069</v>
      </c>
    </row>
    <row r="31" spans="2:13" x14ac:dyDescent="0.3">
      <c r="B31" t="s">
        <v>487</v>
      </c>
      <c r="C31" s="9">
        <v>0</v>
      </c>
      <c r="D31" s="9">
        <f>C24*0.0025</f>
        <v>90057.5</v>
      </c>
    </row>
    <row r="32" spans="2:13" x14ac:dyDescent="0.3">
      <c r="B32" t="s">
        <v>486</v>
      </c>
      <c r="C32" s="9">
        <v>0</v>
      </c>
      <c r="D32" s="9">
        <f>C24*0.005</f>
        <v>180115</v>
      </c>
    </row>
    <row r="33" spans="2:10" x14ac:dyDescent="0.3">
      <c r="B33" t="s">
        <v>466</v>
      </c>
      <c r="C33" s="9"/>
      <c r="D33" s="9"/>
    </row>
    <row r="34" spans="2:10" x14ac:dyDescent="0.3">
      <c r="B34" t="s">
        <v>48</v>
      </c>
      <c r="C34" s="9">
        <v>0</v>
      </c>
      <c r="D34" s="9">
        <f>682941/12</f>
        <v>56911.75</v>
      </c>
    </row>
    <row r="35" spans="2:10" x14ac:dyDescent="0.3">
      <c r="B35" t="s">
        <v>49</v>
      </c>
      <c r="C35" s="9">
        <v>0</v>
      </c>
      <c r="D35" s="9">
        <f>123203/12</f>
        <v>10266.916666666666</v>
      </c>
    </row>
    <row r="36" spans="2:10" x14ac:dyDescent="0.3">
      <c r="B36" t="s">
        <v>51</v>
      </c>
      <c r="C36" s="9">
        <v>0</v>
      </c>
      <c r="D36" s="9">
        <f>(404*250)/12</f>
        <v>8416.6666666666661</v>
      </c>
      <c r="J36" s="21"/>
    </row>
    <row r="37" spans="2:10" x14ac:dyDescent="0.3">
      <c r="C37" s="9"/>
      <c r="D37" s="9"/>
    </row>
    <row r="38" spans="2:10" x14ac:dyDescent="0.3">
      <c r="B38" s="13" t="s">
        <v>456</v>
      </c>
      <c r="C38" s="9">
        <f>SUM(C24:C36)</f>
        <v>36023000</v>
      </c>
      <c r="D38" s="9">
        <v>0</v>
      </c>
    </row>
    <row r="39" spans="2:10" x14ac:dyDescent="0.3">
      <c r="B39" s="13" t="s">
        <v>484</v>
      </c>
      <c r="C39" s="9">
        <v>0</v>
      </c>
      <c r="D39" s="9">
        <f>SUM(D24:D36)</f>
        <v>780032.33333333326</v>
      </c>
    </row>
    <row r="40" spans="2:10" x14ac:dyDescent="0.3">
      <c r="B40" s="89" t="s">
        <v>485</v>
      </c>
      <c r="C40" s="152">
        <f>C38-D39</f>
        <v>35242967.666666664</v>
      </c>
      <c r="D40" s="9">
        <v>0</v>
      </c>
    </row>
    <row r="42" spans="2:10" x14ac:dyDescent="0.3">
      <c r="B42" s="89" t="s">
        <v>459</v>
      </c>
      <c r="C42" s="152">
        <f>C40-D20</f>
        <v>5367313.0966666639</v>
      </c>
      <c r="D42" s="152">
        <v>0</v>
      </c>
    </row>
    <row r="44" spans="2:10" x14ac:dyDescent="0.3">
      <c r="B44" s="4" t="s">
        <v>438</v>
      </c>
    </row>
    <row r="45" spans="2:10" x14ac:dyDescent="0.3">
      <c r="B45" s="151" t="s">
        <v>95</v>
      </c>
      <c r="D45" s="9"/>
    </row>
    <row r="46" spans="2:10" x14ac:dyDescent="0.3">
      <c r="B46" s="151" t="s">
        <v>97</v>
      </c>
      <c r="C46" s="9">
        <v>0</v>
      </c>
      <c r="D46" s="9">
        <v>200000</v>
      </c>
    </row>
    <row r="47" spans="2:10" x14ac:dyDescent="0.3">
      <c r="B47" s="151" t="s">
        <v>107</v>
      </c>
      <c r="C47" s="9"/>
      <c r="D47" s="9"/>
    </row>
    <row r="48" spans="2:10" x14ac:dyDescent="0.3">
      <c r="B48" s="151" t="s">
        <v>117</v>
      </c>
      <c r="C48" s="9">
        <v>0</v>
      </c>
      <c r="D48" s="9">
        <v>1300000</v>
      </c>
    </row>
    <row r="49" spans="2:16" x14ac:dyDescent="0.3">
      <c r="B49" s="151" t="s">
        <v>123</v>
      </c>
      <c r="C49" s="9"/>
      <c r="D49" s="9"/>
    </row>
    <row r="50" spans="2:16" x14ac:dyDescent="0.3">
      <c r="B50" s="151" t="s">
        <v>125</v>
      </c>
      <c r="C50" s="9">
        <v>0</v>
      </c>
      <c r="D50" s="9">
        <v>424200</v>
      </c>
    </row>
    <row r="51" spans="2:16" x14ac:dyDescent="0.3">
      <c r="B51" s="151" t="s">
        <v>153</v>
      </c>
      <c r="C51" s="9"/>
      <c r="D51" s="9"/>
    </row>
    <row r="52" spans="2:16" x14ac:dyDescent="0.3">
      <c r="B52" s="151" t="s">
        <v>155</v>
      </c>
      <c r="C52" s="9">
        <v>0</v>
      </c>
      <c r="D52" s="9">
        <v>5000</v>
      </c>
    </row>
    <row r="53" spans="2:16" x14ac:dyDescent="0.3">
      <c r="B53" s="151" t="s">
        <v>161</v>
      </c>
      <c r="C53" s="9"/>
      <c r="D53" s="9"/>
    </row>
    <row r="54" spans="2:16" x14ac:dyDescent="0.3">
      <c r="B54" s="151" t="s">
        <v>163</v>
      </c>
      <c r="C54" s="9">
        <v>0</v>
      </c>
      <c r="D54" s="9">
        <v>5000</v>
      </c>
    </row>
    <row r="55" spans="2:16" x14ac:dyDescent="0.3">
      <c r="B55" s="151" t="s">
        <v>168</v>
      </c>
      <c r="C55" s="9">
        <v>0</v>
      </c>
      <c r="D55" s="9">
        <v>30000</v>
      </c>
    </row>
    <row r="56" spans="2:16" x14ac:dyDescent="0.3">
      <c r="B56" s="151" t="s">
        <v>173</v>
      </c>
      <c r="C56" s="9">
        <v>0</v>
      </c>
      <c r="D56" s="9">
        <v>4000</v>
      </c>
    </row>
    <row r="57" spans="2:16" x14ac:dyDescent="0.3">
      <c r="B57" s="151" t="s">
        <v>176</v>
      </c>
      <c r="C57" s="9">
        <v>0</v>
      </c>
      <c r="D57" s="9">
        <v>17000</v>
      </c>
      <c r="P57" s="9"/>
    </row>
    <row r="58" spans="2:16" x14ac:dyDescent="0.3">
      <c r="B58" s="151" t="s">
        <v>189</v>
      </c>
      <c r="C58" s="9"/>
      <c r="D58" s="9"/>
    </row>
    <row r="59" spans="2:16" x14ac:dyDescent="0.3">
      <c r="B59" s="151" t="s">
        <v>191</v>
      </c>
      <c r="C59" s="9">
        <v>0</v>
      </c>
      <c r="D59" s="9">
        <v>10000</v>
      </c>
    </row>
    <row r="60" spans="2:16" x14ac:dyDescent="0.3">
      <c r="B60" s="151" t="s">
        <v>198</v>
      </c>
      <c r="C60" s="9">
        <v>0</v>
      </c>
      <c r="D60" s="9">
        <v>7500</v>
      </c>
    </row>
    <row r="61" spans="2:16" x14ac:dyDescent="0.3">
      <c r="B61" s="151" t="s">
        <v>203</v>
      </c>
      <c r="C61" s="9">
        <v>0</v>
      </c>
      <c r="D61" s="9">
        <v>2000</v>
      </c>
    </row>
    <row r="62" spans="2:16" x14ac:dyDescent="0.3">
      <c r="B62" s="151" t="s">
        <v>206</v>
      </c>
      <c r="C62" s="9">
        <v>0</v>
      </c>
      <c r="D62" s="9">
        <v>30000</v>
      </c>
    </row>
    <row r="63" spans="2:16" x14ac:dyDescent="0.3">
      <c r="B63" s="151" t="s">
        <v>212</v>
      </c>
      <c r="C63" s="9"/>
      <c r="D63" s="9"/>
    </row>
    <row r="64" spans="2:16" x14ac:dyDescent="0.3">
      <c r="B64" s="151" t="s">
        <v>214</v>
      </c>
      <c r="C64" s="9">
        <v>0</v>
      </c>
      <c r="D64" s="9">
        <v>35000</v>
      </c>
    </row>
    <row r="65" spans="2:4" x14ac:dyDescent="0.3">
      <c r="B65" s="151" t="s">
        <v>267</v>
      </c>
      <c r="C65" s="9"/>
      <c r="D65" s="9"/>
    </row>
    <row r="66" spans="2:4" x14ac:dyDescent="0.3">
      <c r="B66" s="151" t="s">
        <v>269</v>
      </c>
      <c r="C66" s="9">
        <v>0</v>
      </c>
      <c r="D66" s="9">
        <v>1500</v>
      </c>
    </row>
    <row r="67" spans="2:4" x14ac:dyDescent="0.3">
      <c r="B67" s="151" t="s">
        <v>274</v>
      </c>
      <c r="C67" s="9"/>
      <c r="D67" s="9"/>
    </row>
    <row r="68" spans="2:4" x14ac:dyDescent="0.3">
      <c r="B68" s="151" t="s">
        <v>276</v>
      </c>
      <c r="C68" s="9">
        <v>0</v>
      </c>
      <c r="D68" s="9">
        <v>30000</v>
      </c>
    </row>
    <row r="69" spans="2:4" x14ac:dyDescent="0.3">
      <c r="B69" s="151" t="s">
        <v>281</v>
      </c>
      <c r="C69" s="9"/>
      <c r="D69" s="9"/>
    </row>
    <row r="70" spans="2:4" x14ac:dyDescent="0.3">
      <c r="B70" s="151" t="s">
        <v>283</v>
      </c>
      <c r="C70" s="9">
        <v>0</v>
      </c>
      <c r="D70" s="9">
        <v>1500</v>
      </c>
    </row>
    <row r="71" spans="2:4" x14ac:dyDescent="0.3">
      <c r="B71" s="151" t="s">
        <v>288</v>
      </c>
      <c r="C71" s="9">
        <v>0</v>
      </c>
      <c r="D71" s="9">
        <v>5000</v>
      </c>
    </row>
    <row r="72" spans="2:4" x14ac:dyDescent="0.3">
      <c r="B72" s="151" t="s">
        <v>293</v>
      </c>
      <c r="C72" s="9"/>
      <c r="D72" s="9"/>
    </row>
    <row r="73" spans="2:4" x14ac:dyDescent="0.3">
      <c r="B73" s="151" t="s">
        <v>295</v>
      </c>
      <c r="C73" s="9">
        <v>0</v>
      </c>
      <c r="D73" s="9">
        <v>9500</v>
      </c>
    </row>
    <row r="74" spans="2:4" x14ac:dyDescent="0.3">
      <c r="B74" s="151" t="s">
        <v>306</v>
      </c>
      <c r="C74" s="9"/>
      <c r="D74" s="9"/>
    </row>
    <row r="75" spans="2:4" x14ac:dyDescent="0.3">
      <c r="B75" s="151" t="s">
        <v>310</v>
      </c>
      <c r="C75" s="9">
        <v>0</v>
      </c>
      <c r="D75" s="9">
        <v>750</v>
      </c>
    </row>
    <row r="76" spans="2:4" x14ac:dyDescent="0.3">
      <c r="B76" s="151" t="s">
        <v>313</v>
      </c>
      <c r="C76" s="9">
        <v>0</v>
      </c>
      <c r="D76" s="9">
        <v>2000</v>
      </c>
    </row>
    <row r="77" spans="2:4" x14ac:dyDescent="0.3">
      <c r="B77" s="151" t="s">
        <v>343</v>
      </c>
      <c r="C77" s="9"/>
      <c r="D77" s="9"/>
    </row>
    <row r="78" spans="2:4" x14ac:dyDescent="0.3">
      <c r="B78" s="151" t="s">
        <v>345</v>
      </c>
      <c r="C78" s="9">
        <v>0</v>
      </c>
      <c r="D78" s="9">
        <v>15000</v>
      </c>
    </row>
    <row r="79" spans="2:4" x14ac:dyDescent="0.3">
      <c r="B79" s="151" t="s">
        <v>350</v>
      </c>
      <c r="C79" s="9"/>
      <c r="D79" s="9"/>
    </row>
    <row r="80" spans="2:4" x14ac:dyDescent="0.3">
      <c r="B80" s="151" t="s">
        <v>352</v>
      </c>
      <c r="C80" s="9">
        <v>0</v>
      </c>
      <c r="D80" s="9">
        <v>213495</v>
      </c>
    </row>
    <row r="82" spans="2:4" x14ac:dyDescent="0.3">
      <c r="B82" s="13" t="s">
        <v>457</v>
      </c>
      <c r="C82" s="9">
        <f>SUM(C46:C80)</f>
        <v>0</v>
      </c>
      <c r="D82" s="9">
        <f>SUM(D46:D80)</f>
        <v>2348445</v>
      </c>
    </row>
    <row r="83" spans="2:4" x14ac:dyDescent="0.3">
      <c r="B83" s="89" t="s">
        <v>458</v>
      </c>
      <c r="C83" s="152">
        <v>0</v>
      </c>
      <c r="D83" s="152">
        <f>D82-C82</f>
        <v>2348445</v>
      </c>
    </row>
    <row r="86" spans="2:4" x14ac:dyDescent="0.3">
      <c r="B86" s="89" t="s">
        <v>460</v>
      </c>
      <c r="C86" s="152">
        <f>C42-D83</f>
        <v>3018868.0966666639</v>
      </c>
      <c r="D86" s="152">
        <v>0</v>
      </c>
    </row>
    <row r="87" spans="2:4" x14ac:dyDescent="0.3">
      <c r="C87" s="9"/>
      <c r="D87" s="9"/>
    </row>
    <row r="90" spans="2:4" x14ac:dyDescent="0.3">
      <c r="C90" s="9"/>
    </row>
  </sheetData>
  <mergeCells count="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17AA9-B305-4709-98B6-E7290BD60224}">
  <dimension ref="B2:C12"/>
  <sheetViews>
    <sheetView showGridLines="0" workbookViewId="0">
      <selection activeCell="C19" sqref="C19"/>
    </sheetView>
  </sheetViews>
  <sheetFormatPr defaultRowHeight="14.4" x14ac:dyDescent="0.3"/>
  <cols>
    <col min="2" max="2" width="30.44140625" customWidth="1"/>
    <col min="3" max="3" width="46.77734375" customWidth="1"/>
  </cols>
  <sheetData>
    <row r="2" spans="2:3" x14ac:dyDescent="0.3">
      <c r="B2" s="4" t="s">
        <v>469</v>
      </c>
    </row>
    <row r="3" spans="2:3" x14ac:dyDescent="0.3">
      <c r="B3" t="s">
        <v>452</v>
      </c>
      <c r="C3" s="16">
        <v>36023000</v>
      </c>
    </row>
    <row r="4" spans="2:3" x14ac:dyDescent="0.3">
      <c r="B4" t="s">
        <v>470</v>
      </c>
      <c r="C4" s="147">
        <v>4.0500000000000001E-2</v>
      </c>
    </row>
    <row r="5" spans="2:3" ht="28.8" customHeight="1" x14ac:dyDescent="0.3">
      <c r="B5" t="s">
        <v>478</v>
      </c>
      <c r="C5" s="158" t="s">
        <v>479</v>
      </c>
    </row>
    <row r="6" spans="2:3" x14ac:dyDescent="0.3">
      <c r="B6" t="s">
        <v>471</v>
      </c>
      <c r="C6">
        <v>84</v>
      </c>
    </row>
    <row r="7" spans="2:3" x14ac:dyDescent="0.3">
      <c r="B7" t="s">
        <v>472</v>
      </c>
      <c r="C7">
        <v>360</v>
      </c>
    </row>
    <row r="8" spans="2:3" x14ac:dyDescent="0.3">
      <c r="B8" t="s">
        <v>473</v>
      </c>
      <c r="C8">
        <v>24</v>
      </c>
    </row>
    <row r="9" spans="2:3" x14ac:dyDescent="0.3">
      <c r="B9" t="s">
        <v>474</v>
      </c>
      <c r="C9" s="155" t="s">
        <v>475</v>
      </c>
    </row>
    <row r="10" spans="2:3" ht="114.6" customHeight="1" x14ac:dyDescent="0.3">
      <c r="B10" s="157" t="s">
        <v>476</v>
      </c>
      <c r="C10" s="156" t="s">
        <v>477</v>
      </c>
    </row>
    <row r="11" spans="2:3" x14ac:dyDescent="0.3">
      <c r="B11" t="s">
        <v>480</v>
      </c>
      <c r="C11" s="155" t="s">
        <v>481</v>
      </c>
    </row>
    <row r="12" spans="2:3" x14ac:dyDescent="0.3">
      <c r="B12" t="s">
        <v>482</v>
      </c>
      <c r="C12" s="2">
        <v>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BBF7-E520-495B-89EF-ACC851F1860B}">
  <dimension ref="A1:M5"/>
  <sheetViews>
    <sheetView showGridLines="0" workbookViewId="0">
      <selection activeCell="A7" sqref="A7"/>
    </sheetView>
  </sheetViews>
  <sheetFormatPr defaultRowHeight="14.4" x14ac:dyDescent="0.3"/>
  <cols>
    <col min="1" max="1" width="19.44140625" customWidth="1"/>
    <col min="2" max="2" width="20.33203125" customWidth="1"/>
    <col min="3" max="3" width="14.5546875" customWidth="1"/>
    <col min="4" max="4" width="14" customWidth="1"/>
    <col min="5" max="5" width="13.21875" customWidth="1"/>
    <col min="6" max="6" width="11.6640625" customWidth="1"/>
    <col min="7" max="7" width="13.33203125" customWidth="1"/>
    <col min="8" max="8" width="15.6640625" customWidth="1"/>
    <col min="9" max="9" width="12.6640625" customWidth="1"/>
    <col min="10" max="10" width="16.88671875" customWidth="1"/>
    <col min="11" max="11" width="12" customWidth="1"/>
    <col min="12" max="12" width="13.44140625" customWidth="1"/>
    <col min="13" max="13" width="17.6640625" customWidth="1"/>
  </cols>
  <sheetData>
    <row r="1" spans="1:13" x14ac:dyDescent="0.3">
      <c r="B1" s="11">
        <v>0</v>
      </c>
      <c r="C1" s="12">
        <f>DATEDIF(Waterfall!$F$9,C2,"m")</f>
        <v>17</v>
      </c>
      <c r="D1" s="12">
        <f>DATEDIF(Waterfall!$F$9,D2,"m")</f>
        <v>22</v>
      </c>
      <c r="E1" s="12">
        <f>DATEDIF(Waterfall!$F$9,E2,"m")</f>
        <v>24</v>
      </c>
      <c r="F1" s="12">
        <f>DATEDIF(Waterfall!$F$9,F2,"m")</f>
        <v>29</v>
      </c>
      <c r="G1" s="12">
        <f>DATEDIF(Waterfall!$F$9,G2,"m")</f>
        <v>31</v>
      </c>
      <c r="H1" s="12">
        <f>DATEDIF(Waterfall!$F$9,H2,"m")</f>
        <v>34</v>
      </c>
      <c r="I1" s="12">
        <f>DATEDIF(Waterfall!$F$9,I2,"m")</f>
        <v>38</v>
      </c>
      <c r="J1" s="12">
        <f>DATEDIF(Waterfall!$F$9,J2,"m")</f>
        <v>41</v>
      </c>
      <c r="K1" s="12">
        <f>DATEDIF(Waterfall!$F$9,K2,"m")</f>
        <v>49</v>
      </c>
      <c r="L1" s="12">
        <f>DATEDIF(Waterfall!$F$9,L2,"m")</f>
        <v>55</v>
      </c>
      <c r="M1" s="12">
        <f>DATEDIF(Waterfall!$F$9,M2,"m")</f>
        <v>57</v>
      </c>
    </row>
    <row r="2" spans="1:13" x14ac:dyDescent="0.3">
      <c r="B2" s="8">
        <v>41974</v>
      </c>
      <c r="C2" s="8">
        <v>42513</v>
      </c>
      <c r="D2" s="8">
        <v>42648</v>
      </c>
      <c r="E2" s="8">
        <v>42717</v>
      </c>
      <c r="F2" s="8">
        <v>42859</v>
      </c>
      <c r="G2" s="8">
        <v>42934</v>
      </c>
      <c r="H2" s="8">
        <v>43034</v>
      </c>
      <c r="I2" s="8">
        <v>43144</v>
      </c>
      <c r="J2" s="8">
        <v>43234</v>
      </c>
      <c r="K2" s="8">
        <v>43496</v>
      </c>
      <c r="L2" s="8">
        <v>43658</v>
      </c>
      <c r="M2" s="8">
        <v>43725</v>
      </c>
    </row>
    <row r="3" spans="1:13" x14ac:dyDescent="0.3">
      <c r="B3" s="153" t="s">
        <v>462</v>
      </c>
      <c r="C3" s="14">
        <f t="shared" ref="C3:M3" si="0">ROUNDUP(C1/12,0)</f>
        <v>2</v>
      </c>
      <c r="D3" s="14">
        <f t="shared" si="0"/>
        <v>2</v>
      </c>
      <c r="E3" s="14">
        <f t="shared" si="0"/>
        <v>2</v>
      </c>
      <c r="F3" s="14">
        <f t="shared" si="0"/>
        <v>3</v>
      </c>
      <c r="G3" s="14">
        <f t="shared" si="0"/>
        <v>3</v>
      </c>
      <c r="H3" s="14">
        <f t="shared" si="0"/>
        <v>3</v>
      </c>
      <c r="I3" s="14">
        <f t="shared" si="0"/>
        <v>4</v>
      </c>
      <c r="J3" s="14">
        <f t="shared" si="0"/>
        <v>4</v>
      </c>
      <c r="K3" s="14">
        <f t="shared" si="0"/>
        <v>5</v>
      </c>
      <c r="L3" s="14">
        <f t="shared" si="0"/>
        <v>5</v>
      </c>
      <c r="M3" s="14">
        <f t="shared" si="0"/>
        <v>5</v>
      </c>
    </row>
    <row r="4" spans="1:13" x14ac:dyDescent="0.3">
      <c r="A4" t="s">
        <v>13</v>
      </c>
      <c r="B4">
        <v>0</v>
      </c>
      <c r="C4" s="10">
        <v>0</v>
      </c>
      <c r="D4" s="10">
        <v>0</v>
      </c>
      <c r="E4" s="10">
        <v>7000000</v>
      </c>
      <c r="F4" s="10">
        <v>100000</v>
      </c>
      <c r="G4" s="10">
        <v>500000</v>
      </c>
      <c r="H4" s="10">
        <v>100000</v>
      </c>
      <c r="I4" s="10">
        <v>100000</v>
      </c>
      <c r="J4" s="10">
        <v>300000</v>
      </c>
      <c r="K4" s="10">
        <v>0</v>
      </c>
      <c r="L4" s="10">
        <v>0</v>
      </c>
      <c r="M4" s="10">
        <f>'Settlement Statement'!C86</f>
        <v>3018868.0966666639</v>
      </c>
    </row>
    <row r="5" spans="1:13" x14ac:dyDescent="0.3">
      <c r="A5" t="s">
        <v>461</v>
      </c>
      <c r="B5" s="10">
        <v>-5650000</v>
      </c>
      <c r="C5" s="10">
        <v>-300000</v>
      </c>
      <c r="D5" s="10">
        <v>-300000</v>
      </c>
      <c r="E5">
        <v>0</v>
      </c>
      <c r="F5">
        <v>0</v>
      </c>
      <c r="G5">
        <v>0</v>
      </c>
      <c r="H5">
        <v>0</v>
      </c>
      <c r="I5">
        <v>0</v>
      </c>
      <c r="J5">
        <v>0</v>
      </c>
      <c r="K5" s="10">
        <v>-300000</v>
      </c>
      <c r="L5" s="10">
        <v>-300000</v>
      </c>
      <c r="M5">
        <f>'Settlement Statement'!D86</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A1AB-E8A0-4A23-BB68-CC60A22CCE3C}">
  <dimension ref="B2:BK80"/>
  <sheetViews>
    <sheetView showGridLines="0" tabSelected="1" zoomScaleNormal="100" workbookViewId="0">
      <selection activeCell="C7" sqref="C7"/>
    </sheetView>
  </sheetViews>
  <sheetFormatPr defaultRowHeight="14.4" outlineLevelRow="1" x14ac:dyDescent="0.3"/>
  <cols>
    <col min="1" max="1" width="2.109375" customWidth="1"/>
    <col min="2" max="2" width="26.33203125" customWidth="1"/>
    <col min="3" max="3" width="16.88671875" customWidth="1"/>
    <col min="4" max="4" width="24.77734375" customWidth="1"/>
    <col min="5" max="5" width="3.88671875" customWidth="1"/>
    <col min="6" max="6" width="12.77734375" customWidth="1"/>
    <col min="7" max="7" width="10.77734375" bestFit="1" customWidth="1"/>
    <col min="8" max="8" width="15.77734375" customWidth="1"/>
    <col min="9" max="9" width="11.6640625" customWidth="1"/>
    <col min="10" max="10" width="10.77734375" bestFit="1" customWidth="1"/>
    <col min="11" max="11" width="11" customWidth="1"/>
    <col min="12" max="12" width="9.77734375" bestFit="1" customWidth="1"/>
    <col min="13" max="13" width="11.21875" customWidth="1"/>
    <col min="14" max="14" width="11.6640625" customWidth="1"/>
    <col min="15" max="15" width="11.21875" customWidth="1"/>
    <col min="16" max="16" width="11.5546875" customWidth="1"/>
    <col min="17" max="18" width="11.44140625" customWidth="1"/>
    <col min="19" max="27" width="9.5546875" bestFit="1" customWidth="1"/>
    <col min="28" max="30" width="14.5546875" customWidth="1"/>
    <col min="31" max="37" width="9.5546875" bestFit="1" customWidth="1"/>
    <col min="38" max="39" width="9.109375" bestFit="1" customWidth="1"/>
    <col min="40" max="42" width="11.5546875" customWidth="1"/>
    <col min="43" max="51" width="9.109375" bestFit="1" customWidth="1"/>
    <col min="52" max="53" width="10.44140625" customWidth="1"/>
    <col min="54" max="54" width="10.21875" customWidth="1"/>
    <col min="55" max="62" width="9.5546875" bestFit="1" customWidth="1"/>
    <col min="63" max="63" width="12.44140625" customWidth="1"/>
  </cols>
  <sheetData>
    <row r="2" spans="2:63" ht="15" thickBot="1" x14ac:dyDescent="0.35">
      <c r="B2" s="90" t="s">
        <v>489</v>
      </c>
      <c r="C2" s="91"/>
      <c r="D2" s="91"/>
      <c r="H2" s="89" t="s">
        <v>439</v>
      </c>
    </row>
    <row r="3" spans="2:63" x14ac:dyDescent="0.3">
      <c r="C3" s="163" t="s">
        <v>4</v>
      </c>
      <c r="D3" s="163" t="s">
        <v>490</v>
      </c>
      <c r="F3" s="4"/>
      <c r="H3" s="94" t="s">
        <v>6</v>
      </c>
      <c r="I3" s="95" t="s">
        <v>7</v>
      </c>
      <c r="J3" s="95" t="s">
        <v>2</v>
      </c>
      <c r="K3" s="105" t="s">
        <v>8</v>
      </c>
      <c r="L3" s="96">
        <v>0.1</v>
      </c>
      <c r="M3" s="95" t="s">
        <v>9</v>
      </c>
      <c r="N3" s="96">
        <v>0.2</v>
      </c>
      <c r="O3" s="97" t="s">
        <v>9</v>
      </c>
    </row>
    <row r="4" spans="2:63" x14ac:dyDescent="0.3">
      <c r="B4" t="s">
        <v>491</v>
      </c>
      <c r="C4" s="3">
        <v>0.1</v>
      </c>
      <c r="D4" s="24">
        <f>$D$6*C4</f>
        <v>685000</v>
      </c>
      <c r="E4" s="17"/>
      <c r="F4" s="15"/>
      <c r="H4" s="98" t="s">
        <v>491</v>
      </c>
      <c r="I4" s="104">
        <f>D4</f>
        <v>685000</v>
      </c>
      <c r="J4" s="100">
        <f>C4</f>
        <v>0.1</v>
      </c>
      <c r="K4" s="160">
        <v>0.1</v>
      </c>
      <c r="L4" s="99"/>
      <c r="M4" s="101">
        <v>0.2</v>
      </c>
      <c r="N4" s="102"/>
      <c r="O4" s="137">
        <v>0.3</v>
      </c>
    </row>
    <row r="5" spans="2:63" x14ac:dyDescent="0.3">
      <c r="B5" s="92" t="s">
        <v>1</v>
      </c>
      <c r="C5" s="154">
        <f>1-C4</f>
        <v>0.9</v>
      </c>
      <c r="D5" s="93">
        <f>$D$6*C5</f>
        <v>6165000</v>
      </c>
      <c r="E5" s="17"/>
      <c r="F5" s="15"/>
      <c r="H5" s="98" t="s">
        <v>1</v>
      </c>
      <c r="I5" s="104">
        <f>D5</f>
        <v>6165000</v>
      </c>
      <c r="J5" s="100">
        <f>C5</f>
        <v>0.9</v>
      </c>
      <c r="K5" s="148">
        <f>1-K4</f>
        <v>0.9</v>
      </c>
      <c r="L5" s="99"/>
      <c r="M5" s="103">
        <f>1-M4</f>
        <v>0.8</v>
      </c>
      <c r="N5" s="99"/>
      <c r="O5" s="138">
        <f>1-O4</f>
        <v>0.7</v>
      </c>
    </row>
    <row r="6" spans="2:63" ht="15" thickBot="1" x14ac:dyDescent="0.35">
      <c r="B6" s="4" t="s">
        <v>5</v>
      </c>
      <c r="C6" s="5">
        <f>SUM(C4:C5)</f>
        <v>1</v>
      </c>
      <c r="D6" s="25">
        <f>-SUM(D17:E17)</f>
        <v>6850000</v>
      </c>
      <c r="E6" s="18"/>
      <c r="F6" s="15"/>
      <c r="H6" s="106" t="s">
        <v>3</v>
      </c>
      <c r="I6" s="107">
        <f>SUM(I4:I5)</f>
        <v>6850000</v>
      </c>
      <c r="J6" s="108">
        <f>SUM(J4:J5)</f>
        <v>1</v>
      </c>
      <c r="K6" s="109">
        <f>SUM(K4:K5)</f>
        <v>1</v>
      </c>
      <c r="L6" s="110"/>
      <c r="M6" s="108">
        <f>SUM(M4:M5)</f>
        <v>1</v>
      </c>
      <c r="N6" s="110"/>
      <c r="O6" s="111">
        <f>SUM(O4:O5)</f>
        <v>1</v>
      </c>
    </row>
    <row r="8" spans="2:63" x14ac:dyDescent="0.3">
      <c r="E8" s="11"/>
      <c r="F8" s="11">
        <v>0</v>
      </c>
      <c r="G8" s="11">
        <f>F8+1</f>
        <v>1</v>
      </c>
      <c r="H8" s="11">
        <f t="shared" ref="H8:BK8" si="0">G8+1</f>
        <v>2</v>
      </c>
      <c r="I8" s="11">
        <f t="shared" si="0"/>
        <v>3</v>
      </c>
      <c r="J8" s="11">
        <f t="shared" si="0"/>
        <v>4</v>
      </c>
      <c r="K8" s="11">
        <f t="shared" si="0"/>
        <v>5</v>
      </c>
      <c r="L8" s="11">
        <f t="shared" si="0"/>
        <v>6</v>
      </c>
      <c r="M8" s="11">
        <f t="shared" si="0"/>
        <v>7</v>
      </c>
      <c r="N8" s="11">
        <f t="shared" si="0"/>
        <v>8</v>
      </c>
      <c r="O8" s="11">
        <f t="shared" si="0"/>
        <v>9</v>
      </c>
      <c r="P8" s="11">
        <f t="shared" si="0"/>
        <v>10</v>
      </c>
      <c r="Q8" s="11">
        <f t="shared" si="0"/>
        <v>11</v>
      </c>
      <c r="R8" s="11">
        <f t="shared" si="0"/>
        <v>12</v>
      </c>
      <c r="S8" s="11">
        <f t="shared" si="0"/>
        <v>13</v>
      </c>
      <c r="T8" s="11">
        <f t="shared" si="0"/>
        <v>14</v>
      </c>
      <c r="U8" s="11">
        <f t="shared" si="0"/>
        <v>15</v>
      </c>
      <c r="V8" s="11">
        <f t="shared" si="0"/>
        <v>16</v>
      </c>
      <c r="W8" s="11">
        <f t="shared" si="0"/>
        <v>17</v>
      </c>
      <c r="X8" s="11">
        <f t="shared" si="0"/>
        <v>18</v>
      </c>
      <c r="Y8" s="11">
        <f t="shared" si="0"/>
        <v>19</v>
      </c>
      <c r="Z8" s="11">
        <f t="shared" si="0"/>
        <v>20</v>
      </c>
      <c r="AA8" s="11">
        <f t="shared" si="0"/>
        <v>21</v>
      </c>
      <c r="AB8" s="11">
        <f t="shared" si="0"/>
        <v>22</v>
      </c>
      <c r="AC8" s="11">
        <f t="shared" si="0"/>
        <v>23</v>
      </c>
      <c r="AD8" s="11">
        <f t="shared" si="0"/>
        <v>24</v>
      </c>
      <c r="AE8" s="11">
        <f t="shared" si="0"/>
        <v>25</v>
      </c>
      <c r="AF8" s="11">
        <f t="shared" si="0"/>
        <v>26</v>
      </c>
      <c r="AG8" s="11">
        <f t="shared" si="0"/>
        <v>27</v>
      </c>
      <c r="AH8" s="11">
        <f t="shared" si="0"/>
        <v>28</v>
      </c>
      <c r="AI8" s="11">
        <f t="shared" si="0"/>
        <v>29</v>
      </c>
      <c r="AJ8" s="11">
        <f t="shared" si="0"/>
        <v>30</v>
      </c>
      <c r="AK8" s="11">
        <f t="shared" si="0"/>
        <v>31</v>
      </c>
      <c r="AL8" s="11">
        <f t="shared" si="0"/>
        <v>32</v>
      </c>
      <c r="AM8" s="11">
        <f t="shared" si="0"/>
        <v>33</v>
      </c>
      <c r="AN8" s="11">
        <f t="shared" si="0"/>
        <v>34</v>
      </c>
      <c r="AO8" s="11">
        <f t="shared" si="0"/>
        <v>35</v>
      </c>
      <c r="AP8" s="11">
        <f t="shared" si="0"/>
        <v>36</v>
      </c>
      <c r="AQ8" s="11">
        <f t="shared" si="0"/>
        <v>37</v>
      </c>
      <c r="AR8" s="11">
        <f t="shared" si="0"/>
        <v>38</v>
      </c>
      <c r="AS8" s="11">
        <f t="shared" si="0"/>
        <v>39</v>
      </c>
      <c r="AT8" s="11">
        <f t="shared" si="0"/>
        <v>40</v>
      </c>
      <c r="AU8" s="11">
        <f t="shared" si="0"/>
        <v>41</v>
      </c>
      <c r="AV8" s="11">
        <f t="shared" si="0"/>
        <v>42</v>
      </c>
      <c r="AW8" s="11">
        <f t="shared" si="0"/>
        <v>43</v>
      </c>
      <c r="AX8" s="11">
        <f t="shared" si="0"/>
        <v>44</v>
      </c>
      <c r="AY8" s="11">
        <f t="shared" si="0"/>
        <v>45</v>
      </c>
      <c r="AZ8" s="11">
        <f t="shared" si="0"/>
        <v>46</v>
      </c>
      <c r="BA8" s="11">
        <f t="shared" si="0"/>
        <v>47</v>
      </c>
      <c r="BB8" s="11">
        <f t="shared" si="0"/>
        <v>48</v>
      </c>
      <c r="BC8" s="11">
        <f t="shared" si="0"/>
        <v>49</v>
      </c>
      <c r="BD8" s="11">
        <f t="shared" si="0"/>
        <v>50</v>
      </c>
      <c r="BE8" s="11">
        <f t="shared" si="0"/>
        <v>51</v>
      </c>
      <c r="BF8" s="11">
        <f t="shared" si="0"/>
        <v>52</v>
      </c>
      <c r="BG8" s="11">
        <f t="shared" si="0"/>
        <v>53</v>
      </c>
      <c r="BH8" s="11">
        <f t="shared" si="0"/>
        <v>54</v>
      </c>
      <c r="BI8" s="11">
        <f t="shared" si="0"/>
        <v>55</v>
      </c>
      <c r="BJ8" s="11">
        <f t="shared" si="0"/>
        <v>56</v>
      </c>
      <c r="BK8" s="11">
        <f t="shared" si="0"/>
        <v>57</v>
      </c>
    </row>
    <row r="9" spans="2:63" x14ac:dyDescent="0.3">
      <c r="E9" s="8"/>
      <c r="F9" s="22">
        <v>41974</v>
      </c>
      <c r="G9" s="22">
        <v>42005</v>
      </c>
      <c r="H9" s="22">
        <v>42036</v>
      </c>
      <c r="I9" s="22">
        <v>42064</v>
      </c>
      <c r="J9" s="22">
        <v>42095</v>
      </c>
      <c r="K9" s="22">
        <v>42125</v>
      </c>
      <c r="L9" s="22">
        <v>42156</v>
      </c>
      <c r="M9" s="22">
        <v>42186</v>
      </c>
      <c r="N9" s="22">
        <v>42217</v>
      </c>
      <c r="O9" s="22">
        <v>42248</v>
      </c>
      <c r="P9" s="22">
        <v>42278</v>
      </c>
      <c r="Q9" s="22">
        <v>42309</v>
      </c>
      <c r="R9" s="22">
        <v>42339</v>
      </c>
      <c r="S9" s="22">
        <v>42370</v>
      </c>
      <c r="T9" s="22">
        <v>42401</v>
      </c>
      <c r="U9" s="22">
        <v>42430</v>
      </c>
      <c r="V9" s="22">
        <v>42461</v>
      </c>
      <c r="W9" s="22">
        <v>42491</v>
      </c>
      <c r="X9" s="22">
        <v>42522</v>
      </c>
      <c r="Y9" s="22">
        <v>42552</v>
      </c>
      <c r="Z9" s="22">
        <v>42583</v>
      </c>
      <c r="AA9" s="22">
        <v>42614</v>
      </c>
      <c r="AB9" s="22">
        <v>42644</v>
      </c>
      <c r="AC9" s="22">
        <v>42675</v>
      </c>
      <c r="AD9" s="22">
        <v>42705</v>
      </c>
      <c r="AE9" s="22">
        <v>42736</v>
      </c>
      <c r="AF9" s="22">
        <v>42767</v>
      </c>
      <c r="AG9" s="22">
        <v>42795</v>
      </c>
      <c r="AH9" s="22">
        <v>42826</v>
      </c>
      <c r="AI9" s="22">
        <v>42856</v>
      </c>
      <c r="AJ9" s="22">
        <v>42887</v>
      </c>
      <c r="AK9" s="22">
        <v>42917</v>
      </c>
      <c r="AL9" s="22">
        <v>42948</v>
      </c>
      <c r="AM9" s="22">
        <v>42979</v>
      </c>
      <c r="AN9" s="22">
        <v>43009</v>
      </c>
      <c r="AO9" s="22">
        <v>43040</v>
      </c>
      <c r="AP9" s="22">
        <v>43070</v>
      </c>
      <c r="AQ9" s="22">
        <v>43101</v>
      </c>
      <c r="AR9" s="22">
        <v>43132</v>
      </c>
      <c r="AS9" s="22">
        <v>43160</v>
      </c>
      <c r="AT9" s="22">
        <v>43191</v>
      </c>
      <c r="AU9" s="22">
        <v>43221</v>
      </c>
      <c r="AV9" s="22">
        <v>43252</v>
      </c>
      <c r="AW9" s="22">
        <v>43282</v>
      </c>
      <c r="AX9" s="22">
        <v>43313</v>
      </c>
      <c r="AY9" s="22">
        <v>43344</v>
      </c>
      <c r="AZ9" s="22">
        <v>43374</v>
      </c>
      <c r="BA9" s="22">
        <v>43405</v>
      </c>
      <c r="BB9" s="22">
        <v>43435</v>
      </c>
      <c r="BC9" s="22">
        <v>43466</v>
      </c>
      <c r="BD9" s="22">
        <v>43497</v>
      </c>
      <c r="BE9" s="22">
        <v>43525</v>
      </c>
      <c r="BF9" s="22">
        <v>43556</v>
      </c>
      <c r="BG9" s="22">
        <v>43586</v>
      </c>
      <c r="BH9" s="22">
        <v>43617</v>
      </c>
      <c r="BI9" s="22">
        <v>43647</v>
      </c>
      <c r="BJ9" s="22">
        <v>43678</v>
      </c>
      <c r="BK9" s="22">
        <v>43709</v>
      </c>
    </row>
    <row r="10" spans="2:63" x14ac:dyDescent="0.3">
      <c r="D10" s="4" t="s">
        <v>3</v>
      </c>
      <c r="E10" s="20"/>
      <c r="F10" s="20" t="s">
        <v>10</v>
      </c>
      <c r="G10" s="14">
        <f>ROUNDUP(G8/12,0)</f>
        <v>1</v>
      </c>
      <c r="H10" s="14">
        <f t="shared" ref="H10:BK10" si="1">ROUNDUP(H8/12,0)</f>
        <v>1</v>
      </c>
      <c r="I10" s="14">
        <f t="shared" si="1"/>
        <v>1</v>
      </c>
      <c r="J10" s="14">
        <f t="shared" si="1"/>
        <v>1</v>
      </c>
      <c r="K10" s="14">
        <f t="shared" si="1"/>
        <v>1</v>
      </c>
      <c r="L10" s="14">
        <f t="shared" si="1"/>
        <v>1</v>
      </c>
      <c r="M10" s="14">
        <f t="shared" si="1"/>
        <v>1</v>
      </c>
      <c r="N10" s="14">
        <f t="shared" si="1"/>
        <v>1</v>
      </c>
      <c r="O10" s="14">
        <f t="shared" si="1"/>
        <v>1</v>
      </c>
      <c r="P10" s="14">
        <f t="shared" si="1"/>
        <v>1</v>
      </c>
      <c r="Q10" s="14">
        <f t="shared" si="1"/>
        <v>1</v>
      </c>
      <c r="R10" s="14">
        <f t="shared" si="1"/>
        <v>1</v>
      </c>
      <c r="S10" s="14">
        <f t="shared" si="1"/>
        <v>2</v>
      </c>
      <c r="T10" s="14">
        <f t="shared" si="1"/>
        <v>2</v>
      </c>
      <c r="U10" s="14">
        <f t="shared" si="1"/>
        <v>2</v>
      </c>
      <c r="V10" s="14">
        <f t="shared" si="1"/>
        <v>2</v>
      </c>
      <c r="W10" s="14">
        <f t="shared" si="1"/>
        <v>2</v>
      </c>
      <c r="X10" s="14">
        <f t="shared" si="1"/>
        <v>2</v>
      </c>
      <c r="Y10" s="14">
        <f t="shared" si="1"/>
        <v>2</v>
      </c>
      <c r="Z10" s="14">
        <f t="shared" si="1"/>
        <v>2</v>
      </c>
      <c r="AA10" s="14">
        <f t="shared" si="1"/>
        <v>2</v>
      </c>
      <c r="AB10" s="14">
        <f t="shared" si="1"/>
        <v>2</v>
      </c>
      <c r="AC10" s="14">
        <f t="shared" si="1"/>
        <v>2</v>
      </c>
      <c r="AD10" s="14">
        <f t="shared" si="1"/>
        <v>2</v>
      </c>
      <c r="AE10" s="14">
        <f t="shared" si="1"/>
        <v>3</v>
      </c>
      <c r="AF10" s="14">
        <f t="shared" si="1"/>
        <v>3</v>
      </c>
      <c r="AG10" s="14">
        <f t="shared" si="1"/>
        <v>3</v>
      </c>
      <c r="AH10" s="14">
        <f t="shared" si="1"/>
        <v>3</v>
      </c>
      <c r="AI10" s="14">
        <f t="shared" si="1"/>
        <v>3</v>
      </c>
      <c r="AJ10" s="14">
        <f t="shared" si="1"/>
        <v>3</v>
      </c>
      <c r="AK10" s="14">
        <f t="shared" si="1"/>
        <v>3</v>
      </c>
      <c r="AL10" s="14">
        <f t="shared" si="1"/>
        <v>3</v>
      </c>
      <c r="AM10" s="14">
        <f t="shared" si="1"/>
        <v>3</v>
      </c>
      <c r="AN10" s="14">
        <f t="shared" si="1"/>
        <v>3</v>
      </c>
      <c r="AO10" s="14">
        <f t="shared" si="1"/>
        <v>3</v>
      </c>
      <c r="AP10" s="14">
        <f t="shared" si="1"/>
        <v>3</v>
      </c>
      <c r="AQ10" s="14">
        <f t="shared" si="1"/>
        <v>4</v>
      </c>
      <c r="AR10" s="14">
        <f t="shared" si="1"/>
        <v>4</v>
      </c>
      <c r="AS10" s="14">
        <f t="shared" si="1"/>
        <v>4</v>
      </c>
      <c r="AT10" s="14">
        <f t="shared" si="1"/>
        <v>4</v>
      </c>
      <c r="AU10" s="14">
        <f t="shared" si="1"/>
        <v>4</v>
      </c>
      <c r="AV10" s="14">
        <f t="shared" si="1"/>
        <v>4</v>
      </c>
      <c r="AW10" s="14">
        <f t="shared" si="1"/>
        <v>4</v>
      </c>
      <c r="AX10" s="14">
        <f t="shared" si="1"/>
        <v>4</v>
      </c>
      <c r="AY10" s="14">
        <f t="shared" si="1"/>
        <v>4</v>
      </c>
      <c r="AZ10" s="14">
        <f t="shared" si="1"/>
        <v>4</v>
      </c>
      <c r="BA10" s="14">
        <f t="shared" si="1"/>
        <v>4</v>
      </c>
      <c r="BB10" s="14">
        <f t="shared" si="1"/>
        <v>4</v>
      </c>
      <c r="BC10" s="14">
        <f t="shared" si="1"/>
        <v>5</v>
      </c>
      <c r="BD10" s="14">
        <f t="shared" si="1"/>
        <v>5</v>
      </c>
      <c r="BE10" s="14">
        <f t="shared" si="1"/>
        <v>5</v>
      </c>
      <c r="BF10" s="14">
        <f t="shared" si="1"/>
        <v>5</v>
      </c>
      <c r="BG10" s="14">
        <f t="shared" si="1"/>
        <v>5</v>
      </c>
      <c r="BH10" s="14">
        <f t="shared" si="1"/>
        <v>5</v>
      </c>
      <c r="BI10" s="14">
        <f t="shared" si="1"/>
        <v>5</v>
      </c>
      <c r="BJ10" s="14">
        <f t="shared" si="1"/>
        <v>5</v>
      </c>
      <c r="BK10" s="14">
        <f t="shared" si="1"/>
        <v>5</v>
      </c>
    </row>
    <row r="11" spans="2:63" x14ac:dyDescent="0.3">
      <c r="B11" s="125" t="s">
        <v>20</v>
      </c>
      <c r="C11" s="126"/>
      <c r="D11" s="127"/>
      <c r="E11" s="128"/>
      <c r="F11" s="129">
        <f>IFERROR(HLOOKUP(F8,'Cash Flows'!$B$1:$M$5,4,FALSE),0)</f>
        <v>0</v>
      </c>
      <c r="G11" s="129">
        <f>IFERROR(HLOOKUP(G8,'Cash Flows'!$B$1:$M$5,4,FALSE),0)</f>
        <v>0</v>
      </c>
      <c r="H11" s="129">
        <f>IFERROR(HLOOKUP(H8,'Cash Flows'!$B$1:$M$5,4,FALSE),0)</f>
        <v>0</v>
      </c>
      <c r="I11" s="129">
        <f>IFERROR(HLOOKUP(I8,'Cash Flows'!$B$1:$M$5,4,FALSE),0)</f>
        <v>0</v>
      </c>
      <c r="J11" s="129">
        <f>IFERROR(HLOOKUP(J8,'Cash Flows'!$B$1:$M$5,4,FALSE),0)</f>
        <v>0</v>
      </c>
      <c r="K11" s="129">
        <f>IFERROR(HLOOKUP(K8,'Cash Flows'!$B$1:$M$5,4,FALSE),0)</f>
        <v>0</v>
      </c>
      <c r="L11" s="129">
        <f>IFERROR(HLOOKUP(L8,'Cash Flows'!$B$1:$M$5,4,FALSE),0)</f>
        <v>0</v>
      </c>
      <c r="M11" s="129">
        <f>IFERROR(HLOOKUP(M8,'Cash Flows'!$B$1:$M$5,4,FALSE),0)</f>
        <v>0</v>
      </c>
      <c r="N11" s="129">
        <f>IFERROR(HLOOKUP(N8,'Cash Flows'!$B$1:$M$5,4,FALSE),0)</f>
        <v>0</v>
      </c>
      <c r="O11" s="129">
        <f>IFERROR(HLOOKUP(O8,'Cash Flows'!$B$1:$M$5,4,FALSE),0)</f>
        <v>0</v>
      </c>
      <c r="P11" s="129">
        <f>IFERROR(HLOOKUP(P8,'Cash Flows'!$B$1:$M$5,4,FALSE),0)</f>
        <v>0</v>
      </c>
      <c r="Q11" s="129">
        <f>IFERROR(HLOOKUP(Q8,'Cash Flows'!$B$1:$M$5,4,FALSE),0)</f>
        <v>0</v>
      </c>
      <c r="R11" s="129">
        <f>IFERROR(HLOOKUP(R8,'Cash Flows'!$B$1:$M$5,4,FALSE),0)</f>
        <v>0</v>
      </c>
      <c r="S11" s="129">
        <f>IFERROR(HLOOKUP(S8,'Cash Flows'!$B$1:$M$5,4,FALSE),0)</f>
        <v>0</v>
      </c>
      <c r="T11" s="129">
        <f>IFERROR(HLOOKUP(T8,'Cash Flows'!$B$1:$M$5,4,FALSE),0)</f>
        <v>0</v>
      </c>
      <c r="U11" s="129">
        <f>IFERROR(HLOOKUP(U8,'Cash Flows'!$B$1:$M$5,4,FALSE),0)</f>
        <v>0</v>
      </c>
      <c r="V11" s="129">
        <f>IFERROR(HLOOKUP(V8,'Cash Flows'!$B$1:$M$5,4,FALSE),0)</f>
        <v>0</v>
      </c>
      <c r="W11" s="129">
        <f>IFERROR(HLOOKUP(W8,'Cash Flows'!$B$1:$M$5,4,FALSE),0)</f>
        <v>0</v>
      </c>
      <c r="X11" s="129">
        <f>IFERROR(HLOOKUP(X8,'Cash Flows'!$B$1:$M$5,4,FALSE),0)</f>
        <v>0</v>
      </c>
      <c r="Y11" s="129">
        <f>IFERROR(HLOOKUP(Y8,'Cash Flows'!$B$1:$M$5,4,FALSE),0)</f>
        <v>0</v>
      </c>
      <c r="Z11" s="129">
        <f>IFERROR(HLOOKUP(Z8,'Cash Flows'!$B$1:$M$5,4,FALSE),0)</f>
        <v>0</v>
      </c>
      <c r="AA11" s="129">
        <f>IFERROR(HLOOKUP(AA8,'Cash Flows'!$B$1:$M$5,4,FALSE),0)</f>
        <v>0</v>
      </c>
      <c r="AB11" s="129">
        <f>IFERROR(HLOOKUP(AB8,'Cash Flows'!$B$1:$M$5,4,FALSE),0)</f>
        <v>0</v>
      </c>
      <c r="AC11" s="129">
        <f>IFERROR(HLOOKUP(AC8,'Cash Flows'!$B$1:$M$5,4,FALSE),0)</f>
        <v>0</v>
      </c>
      <c r="AD11" s="129">
        <f>IFERROR(HLOOKUP(AD8,'Cash Flows'!$B$1:$M$5,4,FALSE),0)</f>
        <v>7000000</v>
      </c>
      <c r="AE11" s="129">
        <f>IFERROR(HLOOKUP(AE8,'Cash Flows'!$B$1:$M$5,4,FALSE),0)</f>
        <v>0</v>
      </c>
      <c r="AF11" s="129">
        <f>IFERROR(HLOOKUP(AF8,'Cash Flows'!$B$1:$M$5,4,FALSE),0)</f>
        <v>0</v>
      </c>
      <c r="AG11" s="129">
        <f>IFERROR(HLOOKUP(AG8,'Cash Flows'!$B$1:$M$5,4,FALSE),0)</f>
        <v>0</v>
      </c>
      <c r="AH11" s="129">
        <f>IFERROR(HLOOKUP(AH8,'Cash Flows'!$B$1:$M$5,4,FALSE),0)</f>
        <v>0</v>
      </c>
      <c r="AI11" s="129">
        <f>IFERROR(HLOOKUP(AI8,'Cash Flows'!$B$1:$M$5,4,FALSE),0)</f>
        <v>100000</v>
      </c>
      <c r="AJ11" s="129">
        <f>IFERROR(HLOOKUP(AJ8,'Cash Flows'!$B$1:$M$5,4,FALSE),0)</f>
        <v>0</v>
      </c>
      <c r="AK11" s="129">
        <f>IFERROR(HLOOKUP(AK8,'Cash Flows'!$B$1:$M$5,4,FALSE),0)</f>
        <v>500000</v>
      </c>
      <c r="AL11" s="129">
        <f>IFERROR(HLOOKUP(AL8,'Cash Flows'!$B$1:$M$5,4,FALSE),0)</f>
        <v>0</v>
      </c>
      <c r="AM11" s="129">
        <f>IFERROR(HLOOKUP(AM8,'Cash Flows'!$B$1:$M$5,4,FALSE),0)</f>
        <v>0</v>
      </c>
      <c r="AN11" s="129">
        <f>IFERROR(HLOOKUP(AN8,'Cash Flows'!$B$1:$M$5,4,FALSE),0)</f>
        <v>100000</v>
      </c>
      <c r="AO11" s="129">
        <f>IFERROR(HLOOKUP(AO8,'Cash Flows'!$B$1:$M$5,4,FALSE),0)</f>
        <v>0</v>
      </c>
      <c r="AP11" s="129">
        <f>IFERROR(HLOOKUP(AP8,'Cash Flows'!$B$1:$M$5,4,FALSE),0)</f>
        <v>0</v>
      </c>
      <c r="AQ11" s="129">
        <f>IFERROR(HLOOKUP(AQ8,'Cash Flows'!$B$1:$M$5,4,FALSE),0)</f>
        <v>0</v>
      </c>
      <c r="AR11" s="129">
        <f>IFERROR(HLOOKUP(AR8,'Cash Flows'!$B$1:$M$5,4,FALSE),0)</f>
        <v>100000</v>
      </c>
      <c r="AS11" s="129">
        <f>IFERROR(HLOOKUP(AS8,'Cash Flows'!$B$1:$M$5,4,FALSE),0)</f>
        <v>0</v>
      </c>
      <c r="AT11" s="129">
        <f>IFERROR(HLOOKUP(AT8,'Cash Flows'!$B$1:$M$5,4,FALSE),0)</f>
        <v>0</v>
      </c>
      <c r="AU11" s="129">
        <f>IFERROR(HLOOKUP(AU8,'Cash Flows'!$B$1:$M$5,4,FALSE),0)</f>
        <v>300000</v>
      </c>
      <c r="AV11" s="129">
        <f>IFERROR(HLOOKUP(AV8,'Cash Flows'!$B$1:$M$5,4,FALSE),0)</f>
        <v>0</v>
      </c>
      <c r="AW11" s="129">
        <f>IFERROR(HLOOKUP(AW8,'Cash Flows'!$B$1:$M$5,4,FALSE),0)</f>
        <v>0</v>
      </c>
      <c r="AX11" s="129">
        <f>IFERROR(HLOOKUP(AX8,'Cash Flows'!$B$1:$M$5,4,FALSE),0)</f>
        <v>0</v>
      </c>
      <c r="AY11" s="129">
        <f>IFERROR(HLOOKUP(AY8,'Cash Flows'!$B$1:$M$5,4,FALSE),0)</f>
        <v>0</v>
      </c>
      <c r="AZ11" s="129">
        <f>IFERROR(HLOOKUP(AZ8,'Cash Flows'!$B$1:$M$5,4,FALSE),0)</f>
        <v>0</v>
      </c>
      <c r="BA11" s="129">
        <f>IFERROR(HLOOKUP(BA8,'Cash Flows'!$B$1:$M$5,4,FALSE),0)</f>
        <v>0</v>
      </c>
      <c r="BB11" s="129">
        <f>IFERROR(HLOOKUP(BB8,'Cash Flows'!$B$1:$M$5,4,FALSE),0)</f>
        <v>0</v>
      </c>
      <c r="BC11" s="129">
        <f>IFERROR(HLOOKUP(BC8,'Cash Flows'!$B$1:$M$5,4,FALSE),0)</f>
        <v>0</v>
      </c>
      <c r="BD11" s="129">
        <f>IFERROR(HLOOKUP(BD8,'Cash Flows'!$B$1:$M$5,4,FALSE),0)</f>
        <v>0</v>
      </c>
      <c r="BE11" s="129">
        <f>IFERROR(HLOOKUP(BE8,'Cash Flows'!$B$1:$M$5,4,FALSE),0)</f>
        <v>0</v>
      </c>
      <c r="BF11" s="129">
        <f>IFERROR(HLOOKUP(BF8,'Cash Flows'!$B$1:$M$5,4,FALSE),0)</f>
        <v>0</v>
      </c>
      <c r="BG11" s="129">
        <f>IFERROR(HLOOKUP(BG8,'Cash Flows'!$B$1:$M$5,4,FALSE),0)</f>
        <v>0</v>
      </c>
      <c r="BH11" s="129">
        <f>IFERROR(HLOOKUP(BH8,'Cash Flows'!$B$1:$M$5,4,FALSE),0)</f>
        <v>0</v>
      </c>
      <c r="BI11" s="129">
        <f>IFERROR(HLOOKUP(BI8,'Cash Flows'!$B$1:$M$5,4,FALSE),0)</f>
        <v>0</v>
      </c>
      <c r="BJ11" s="129">
        <f>IFERROR(HLOOKUP(BJ8,'Cash Flows'!$B$1:$M$5,4,FALSE),0)</f>
        <v>0</v>
      </c>
      <c r="BK11" s="129">
        <f>IFERROR(HLOOKUP(BK8,'Cash Flows'!$B$1:$M$5,4,FALSE),0)</f>
        <v>3018868.0966666639</v>
      </c>
    </row>
    <row r="12" spans="2:63" x14ac:dyDescent="0.3">
      <c r="B12" s="116" t="s">
        <v>21</v>
      </c>
      <c r="C12" s="99"/>
      <c r="D12" s="139">
        <f>SUM(F12:BK12)</f>
        <v>4268868.0966666639</v>
      </c>
      <c r="E12" s="118"/>
      <c r="F12" s="117">
        <f>F11+F17</f>
        <v>-5650000</v>
      </c>
      <c r="G12" s="117">
        <f>G11+G17</f>
        <v>0</v>
      </c>
      <c r="H12" s="117">
        <f t="shared" ref="H12:BK12" si="2">H11+H17</f>
        <v>0</v>
      </c>
      <c r="I12" s="117">
        <f t="shared" si="2"/>
        <v>0</v>
      </c>
      <c r="J12" s="117">
        <f t="shared" si="2"/>
        <v>0</v>
      </c>
      <c r="K12" s="117">
        <f t="shared" si="2"/>
        <v>0</v>
      </c>
      <c r="L12" s="117">
        <f t="shared" si="2"/>
        <v>0</v>
      </c>
      <c r="M12" s="117">
        <f t="shared" si="2"/>
        <v>0</v>
      </c>
      <c r="N12" s="117">
        <f t="shared" si="2"/>
        <v>0</v>
      </c>
      <c r="O12" s="117">
        <f t="shared" si="2"/>
        <v>0</v>
      </c>
      <c r="P12" s="117">
        <f t="shared" si="2"/>
        <v>0</v>
      </c>
      <c r="Q12" s="117">
        <f t="shared" si="2"/>
        <v>0</v>
      </c>
      <c r="R12" s="117">
        <f t="shared" si="2"/>
        <v>0</v>
      </c>
      <c r="S12" s="117">
        <f t="shared" si="2"/>
        <v>0</v>
      </c>
      <c r="T12" s="117">
        <f t="shared" si="2"/>
        <v>0</v>
      </c>
      <c r="U12" s="117">
        <f t="shared" si="2"/>
        <v>0</v>
      </c>
      <c r="V12" s="117">
        <f t="shared" si="2"/>
        <v>0</v>
      </c>
      <c r="W12" s="117">
        <f t="shared" si="2"/>
        <v>-300000</v>
      </c>
      <c r="X12" s="117">
        <f t="shared" si="2"/>
        <v>0</v>
      </c>
      <c r="Y12" s="117">
        <f t="shared" si="2"/>
        <v>0</v>
      </c>
      <c r="Z12" s="117">
        <f t="shared" si="2"/>
        <v>0</v>
      </c>
      <c r="AA12" s="117">
        <f t="shared" si="2"/>
        <v>0</v>
      </c>
      <c r="AB12" s="117">
        <f t="shared" si="2"/>
        <v>-300000</v>
      </c>
      <c r="AC12" s="117">
        <f t="shared" si="2"/>
        <v>0</v>
      </c>
      <c r="AD12" s="117">
        <f t="shared" si="2"/>
        <v>7000000</v>
      </c>
      <c r="AE12" s="117">
        <f t="shared" si="2"/>
        <v>0</v>
      </c>
      <c r="AF12" s="117">
        <f t="shared" si="2"/>
        <v>0</v>
      </c>
      <c r="AG12" s="117">
        <f t="shared" si="2"/>
        <v>0</v>
      </c>
      <c r="AH12" s="117">
        <f t="shared" si="2"/>
        <v>0</v>
      </c>
      <c r="AI12" s="117">
        <f t="shared" si="2"/>
        <v>100000</v>
      </c>
      <c r="AJ12" s="117">
        <f t="shared" si="2"/>
        <v>0</v>
      </c>
      <c r="AK12" s="117">
        <f t="shared" si="2"/>
        <v>500000</v>
      </c>
      <c r="AL12" s="117">
        <f t="shared" si="2"/>
        <v>0</v>
      </c>
      <c r="AM12" s="117">
        <f t="shared" si="2"/>
        <v>0</v>
      </c>
      <c r="AN12" s="117">
        <f t="shared" si="2"/>
        <v>100000</v>
      </c>
      <c r="AO12" s="117">
        <f t="shared" si="2"/>
        <v>0</v>
      </c>
      <c r="AP12" s="117">
        <f t="shared" si="2"/>
        <v>0</v>
      </c>
      <c r="AQ12" s="117">
        <f t="shared" si="2"/>
        <v>0</v>
      </c>
      <c r="AR12" s="117">
        <f t="shared" si="2"/>
        <v>100000</v>
      </c>
      <c r="AS12" s="117">
        <f t="shared" si="2"/>
        <v>0</v>
      </c>
      <c r="AT12" s="117">
        <f t="shared" si="2"/>
        <v>0</v>
      </c>
      <c r="AU12" s="117">
        <f t="shared" si="2"/>
        <v>300000</v>
      </c>
      <c r="AV12" s="117">
        <f t="shared" si="2"/>
        <v>0</v>
      </c>
      <c r="AW12" s="117">
        <f t="shared" si="2"/>
        <v>0</v>
      </c>
      <c r="AX12" s="117">
        <f t="shared" si="2"/>
        <v>0</v>
      </c>
      <c r="AY12" s="117">
        <f t="shared" si="2"/>
        <v>0</v>
      </c>
      <c r="AZ12" s="117">
        <f t="shared" si="2"/>
        <v>0</v>
      </c>
      <c r="BA12" s="117">
        <f t="shared" si="2"/>
        <v>0</v>
      </c>
      <c r="BB12" s="117">
        <f t="shared" si="2"/>
        <v>0</v>
      </c>
      <c r="BC12" s="117">
        <f t="shared" si="2"/>
        <v>-300000</v>
      </c>
      <c r="BD12" s="117">
        <f t="shared" si="2"/>
        <v>0</v>
      </c>
      <c r="BE12" s="117">
        <f t="shared" si="2"/>
        <v>0</v>
      </c>
      <c r="BF12" s="117">
        <f t="shared" si="2"/>
        <v>0</v>
      </c>
      <c r="BG12" s="117">
        <f t="shared" si="2"/>
        <v>0</v>
      </c>
      <c r="BH12" s="117">
        <f t="shared" si="2"/>
        <v>0</v>
      </c>
      <c r="BI12" s="117">
        <f t="shared" si="2"/>
        <v>-300000</v>
      </c>
      <c r="BJ12" s="117">
        <f t="shared" si="2"/>
        <v>0</v>
      </c>
      <c r="BK12" s="119">
        <f t="shared" si="2"/>
        <v>3018868.0966666639</v>
      </c>
    </row>
    <row r="13" spans="2:63" x14ac:dyDescent="0.3">
      <c r="B13" s="120"/>
      <c r="C13" s="99"/>
      <c r="D13" s="139"/>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21"/>
    </row>
    <row r="14" spans="2:63" x14ac:dyDescent="0.3">
      <c r="B14" s="130" t="s">
        <v>0</v>
      </c>
      <c r="C14" s="99"/>
      <c r="D14" s="139"/>
      <c r="E14" s="99"/>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21"/>
    </row>
    <row r="15" spans="2:63" x14ac:dyDescent="0.3">
      <c r="B15" s="120" t="s">
        <v>491</v>
      </c>
      <c r="C15" s="99"/>
      <c r="D15" s="139">
        <f>SUM(F15:BK15)</f>
        <v>-120000</v>
      </c>
      <c r="E15" s="99"/>
      <c r="F15" s="118">
        <f>IF(F8&gt;0,F17*$C$4,0)</f>
        <v>0</v>
      </c>
      <c r="G15" s="118">
        <f t="shared" ref="G15:BK15" si="3">IF(G8&gt;0,G17*$C$4,0)</f>
        <v>0</v>
      </c>
      <c r="H15" s="118">
        <f t="shared" si="3"/>
        <v>0</v>
      </c>
      <c r="I15" s="118">
        <f t="shared" si="3"/>
        <v>0</v>
      </c>
      <c r="J15" s="118">
        <f t="shared" si="3"/>
        <v>0</v>
      </c>
      <c r="K15" s="118">
        <f t="shared" si="3"/>
        <v>0</v>
      </c>
      <c r="L15" s="118">
        <f t="shared" si="3"/>
        <v>0</v>
      </c>
      <c r="M15" s="118">
        <f t="shared" si="3"/>
        <v>0</v>
      </c>
      <c r="N15" s="118">
        <f t="shared" si="3"/>
        <v>0</v>
      </c>
      <c r="O15" s="118">
        <f t="shared" si="3"/>
        <v>0</v>
      </c>
      <c r="P15" s="118">
        <f t="shared" si="3"/>
        <v>0</v>
      </c>
      <c r="Q15" s="118">
        <f t="shared" si="3"/>
        <v>0</v>
      </c>
      <c r="R15" s="118">
        <f t="shared" si="3"/>
        <v>0</v>
      </c>
      <c r="S15" s="118">
        <f t="shared" si="3"/>
        <v>0</v>
      </c>
      <c r="T15" s="118">
        <f t="shared" si="3"/>
        <v>0</v>
      </c>
      <c r="U15" s="118">
        <f t="shared" si="3"/>
        <v>0</v>
      </c>
      <c r="V15" s="118">
        <f t="shared" si="3"/>
        <v>0</v>
      </c>
      <c r="W15" s="118">
        <f t="shared" si="3"/>
        <v>-30000</v>
      </c>
      <c r="X15" s="118">
        <f t="shared" si="3"/>
        <v>0</v>
      </c>
      <c r="Y15" s="118">
        <f t="shared" si="3"/>
        <v>0</v>
      </c>
      <c r="Z15" s="118">
        <f t="shared" si="3"/>
        <v>0</v>
      </c>
      <c r="AA15" s="118">
        <f t="shared" si="3"/>
        <v>0</v>
      </c>
      <c r="AB15" s="118">
        <f t="shared" si="3"/>
        <v>-30000</v>
      </c>
      <c r="AC15" s="118">
        <f t="shared" si="3"/>
        <v>0</v>
      </c>
      <c r="AD15" s="118">
        <f t="shared" si="3"/>
        <v>0</v>
      </c>
      <c r="AE15" s="118">
        <f t="shared" si="3"/>
        <v>0</v>
      </c>
      <c r="AF15" s="118">
        <f t="shared" si="3"/>
        <v>0</v>
      </c>
      <c r="AG15" s="118">
        <f t="shared" si="3"/>
        <v>0</v>
      </c>
      <c r="AH15" s="118">
        <f t="shared" si="3"/>
        <v>0</v>
      </c>
      <c r="AI15" s="118">
        <f t="shared" si="3"/>
        <v>0</v>
      </c>
      <c r="AJ15" s="118">
        <f t="shared" si="3"/>
        <v>0</v>
      </c>
      <c r="AK15" s="118">
        <f t="shared" si="3"/>
        <v>0</v>
      </c>
      <c r="AL15" s="118">
        <f t="shared" si="3"/>
        <v>0</v>
      </c>
      <c r="AM15" s="118">
        <f t="shared" si="3"/>
        <v>0</v>
      </c>
      <c r="AN15" s="118">
        <f t="shared" si="3"/>
        <v>0</v>
      </c>
      <c r="AO15" s="118">
        <f t="shared" si="3"/>
        <v>0</v>
      </c>
      <c r="AP15" s="118">
        <f t="shared" si="3"/>
        <v>0</v>
      </c>
      <c r="AQ15" s="118">
        <f t="shared" si="3"/>
        <v>0</v>
      </c>
      <c r="AR15" s="118">
        <f t="shared" si="3"/>
        <v>0</v>
      </c>
      <c r="AS15" s="118">
        <f t="shared" si="3"/>
        <v>0</v>
      </c>
      <c r="AT15" s="118">
        <f t="shared" si="3"/>
        <v>0</v>
      </c>
      <c r="AU15" s="118">
        <f t="shared" si="3"/>
        <v>0</v>
      </c>
      <c r="AV15" s="118">
        <f t="shared" si="3"/>
        <v>0</v>
      </c>
      <c r="AW15" s="118">
        <f t="shared" si="3"/>
        <v>0</v>
      </c>
      <c r="AX15" s="118">
        <f t="shared" si="3"/>
        <v>0</v>
      </c>
      <c r="AY15" s="118">
        <f t="shared" si="3"/>
        <v>0</v>
      </c>
      <c r="AZ15" s="118">
        <f t="shared" si="3"/>
        <v>0</v>
      </c>
      <c r="BA15" s="118">
        <f t="shared" si="3"/>
        <v>0</v>
      </c>
      <c r="BB15" s="118">
        <f t="shared" si="3"/>
        <v>0</v>
      </c>
      <c r="BC15" s="118">
        <f t="shared" si="3"/>
        <v>-30000</v>
      </c>
      <c r="BD15" s="118">
        <f t="shared" si="3"/>
        <v>0</v>
      </c>
      <c r="BE15" s="118">
        <f t="shared" si="3"/>
        <v>0</v>
      </c>
      <c r="BF15" s="118">
        <f t="shared" si="3"/>
        <v>0</v>
      </c>
      <c r="BG15" s="118">
        <f t="shared" si="3"/>
        <v>0</v>
      </c>
      <c r="BH15" s="118">
        <f t="shared" si="3"/>
        <v>0</v>
      </c>
      <c r="BI15" s="118">
        <f t="shared" si="3"/>
        <v>-30000</v>
      </c>
      <c r="BJ15" s="118">
        <f t="shared" si="3"/>
        <v>0</v>
      </c>
      <c r="BK15" s="118">
        <f t="shared" si="3"/>
        <v>0</v>
      </c>
    </row>
    <row r="16" spans="2:63" x14ac:dyDescent="0.3">
      <c r="B16" s="131" t="s">
        <v>1</v>
      </c>
      <c r="C16" s="92"/>
      <c r="D16" s="140">
        <f>SUM(F16:BK16)</f>
        <v>-6730000</v>
      </c>
      <c r="E16" s="92"/>
      <c r="F16" s="132">
        <f>IF(F8&gt;0,F17*$C$5,F17)</f>
        <v>-5650000</v>
      </c>
      <c r="G16" s="132">
        <f t="shared" ref="G16:BK16" si="4">G17*$C$5</f>
        <v>0</v>
      </c>
      <c r="H16" s="132">
        <f t="shared" si="4"/>
        <v>0</v>
      </c>
      <c r="I16" s="132">
        <f t="shared" si="4"/>
        <v>0</v>
      </c>
      <c r="J16" s="132">
        <f t="shared" si="4"/>
        <v>0</v>
      </c>
      <c r="K16" s="132">
        <f t="shared" si="4"/>
        <v>0</v>
      </c>
      <c r="L16" s="132">
        <f t="shared" si="4"/>
        <v>0</v>
      </c>
      <c r="M16" s="132">
        <f t="shared" si="4"/>
        <v>0</v>
      </c>
      <c r="N16" s="132">
        <f t="shared" si="4"/>
        <v>0</v>
      </c>
      <c r="O16" s="132">
        <f t="shared" si="4"/>
        <v>0</v>
      </c>
      <c r="P16" s="132">
        <f t="shared" si="4"/>
        <v>0</v>
      </c>
      <c r="Q16" s="132">
        <f t="shared" si="4"/>
        <v>0</v>
      </c>
      <c r="R16" s="132">
        <f t="shared" si="4"/>
        <v>0</v>
      </c>
      <c r="S16" s="132">
        <f t="shared" si="4"/>
        <v>0</v>
      </c>
      <c r="T16" s="132">
        <f t="shared" si="4"/>
        <v>0</v>
      </c>
      <c r="U16" s="132">
        <f t="shared" si="4"/>
        <v>0</v>
      </c>
      <c r="V16" s="132">
        <f t="shared" si="4"/>
        <v>0</v>
      </c>
      <c r="W16" s="132">
        <f t="shared" si="4"/>
        <v>-270000</v>
      </c>
      <c r="X16" s="132">
        <f t="shared" si="4"/>
        <v>0</v>
      </c>
      <c r="Y16" s="132">
        <f t="shared" si="4"/>
        <v>0</v>
      </c>
      <c r="Z16" s="132">
        <f t="shared" si="4"/>
        <v>0</v>
      </c>
      <c r="AA16" s="132">
        <f t="shared" si="4"/>
        <v>0</v>
      </c>
      <c r="AB16" s="132">
        <f t="shared" si="4"/>
        <v>-270000</v>
      </c>
      <c r="AC16" s="132">
        <f t="shared" si="4"/>
        <v>0</v>
      </c>
      <c r="AD16" s="132">
        <f t="shared" si="4"/>
        <v>0</v>
      </c>
      <c r="AE16" s="132">
        <f t="shared" si="4"/>
        <v>0</v>
      </c>
      <c r="AF16" s="132">
        <f t="shared" si="4"/>
        <v>0</v>
      </c>
      <c r="AG16" s="132">
        <f t="shared" si="4"/>
        <v>0</v>
      </c>
      <c r="AH16" s="132">
        <f t="shared" si="4"/>
        <v>0</v>
      </c>
      <c r="AI16" s="132">
        <f t="shared" si="4"/>
        <v>0</v>
      </c>
      <c r="AJ16" s="132">
        <f t="shared" si="4"/>
        <v>0</v>
      </c>
      <c r="AK16" s="132">
        <f t="shared" si="4"/>
        <v>0</v>
      </c>
      <c r="AL16" s="132">
        <f t="shared" si="4"/>
        <v>0</v>
      </c>
      <c r="AM16" s="132">
        <f t="shared" si="4"/>
        <v>0</v>
      </c>
      <c r="AN16" s="132">
        <f t="shared" si="4"/>
        <v>0</v>
      </c>
      <c r="AO16" s="132">
        <f t="shared" si="4"/>
        <v>0</v>
      </c>
      <c r="AP16" s="132">
        <f t="shared" si="4"/>
        <v>0</v>
      </c>
      <c r="AQ16" s="132">
        <f t="shared" si="4"/>
        <v>0</v>
      </c>
      <c r="AR16" s="132">
        <f t="shared" si="4"/>
        <v>0</v>
      </c>
      <c r="AS16" s="132">
        <f t="shared" si="4"/>
        <v>0</v>
      </c>
      <c r="AT16" s="132">
        <f t="shared" si="4"/>
        <v>0</v>
      </c>
      <c r="AU16" s="132">
        <f t="shared" si="4"/>
        <v>0</v>
      </c>
      <c r="AV16" s="132">
        <f t="shared" si="4"/>
        <v>0</v>
      </c>
      <c r="AW16" s="132">
        <f t="shared" si="4"/>
        <v>0</v>
      </c>
      <c r="AX16" s="132">
        <f t="shared" si="4"/>
        <v>0</v>
      </c>
      <c r="AY16" s="132">
        <f t="shared" si="4"/>
        <v>0</v>
      </c>
      <c r="AZ16" s="132">
        <f t="shared" si="4"/>
        <v>0</v>
      </c>
      <c r="BA16" s="132">
        <f t="shared" si="4"/>
        <v>0</v>
      </c>
      <c r="BB16" s="132">
        <f t="shared" si="4"/>
        <v>0</v>
      </c>
      <c r="BC16" s="132">
        <f t="shared" si="4"/>
        <v>-270000</v>
      </c>
      <c r="BD16" s="132">
        <f t="shared" si="4"/>
        <v>0</v>
      </c>
      <c r="BE16" s="132">
        <f t="shared" si="4"/>
        <v>0</v>
      </c>
      <c r="BF16" s="132">
        <f t="shared" si="4"/>
        <v>0</v>
      </c>
      <c r="BG16" s="132">
        <f t="shared" si="4"/>
        <v>0</v>
      </c>
      <c r="BH16" s="132">
        <f t="shared" si="4"/>
        <v>0</v>
      </c>
      <c r="BI16" s="132">
        <f t="shared" si="4"/>
        <v>-270000</v>
      </c>
      <c r="BJ16" s="132">
        <f t="shared" si="4"/>
        <v>0</v>
      </c>
      <c r="BK16" s="133">
        <f t="shared" si="4"/>
        <v>0</v>
      </c>
    </row>
    <row r="17" spans="2:63" x14ac:dyDescent="0.3">
      <c r="B17" s="122" t="s">
        <v>3</v>
      </c>
      <c r="C17" s="123"/>
      <c r="D17" s="140">
        <f>SUM(F17:BK17)</f>
        <v>-6850000</v>
      </c>
      <c r="E17" s="124"/>
      <c r="F17" s="124">
        <f>IFERROR(HLOOKUP(F8,'Cash Flows'!$B$1:$M$5,5,FALSE),0)</f>
        <v>-5650000</v>
      </c>
      <c r="G17" s="124">
        <f>IFERROR(HLOOKUP(G8,'Cash Flows'!$B$1:$M$5,5,FALSE),0)</f>
        <v>0</v>
      </c>
      <c r="H17" s="124">
        <f>IFERROR(HLOOKUP(H8,'Cash Flows'!$B$1:$M$5,5,FALSE),0)</f>
        <v>0</v>
      </c>
      <c r="I17" s="124">
        <f>IFERROR(HLOOKUP(I8,'Cash Flows'!$B$1:$M$5,5,FALSE),0)</f>
        <v>0</v>
      </c>
      <c r="J17" s="124">
        <f>IFERROR(HLOOKUP(J8,'Cash Flows'!$B$1:$M$5,5,FALSE),0)</f>
        <v>0</v>
      </c>
      <c r="K17" s="124">
        <f>IFERROR(HLOOKUP(K8,'Cash Flows'!$B$1:$M$5,5,FALSE),0)</f>
        <v>0</v>
      </c>
      <c r="L17" s="124">
        <f>IFERROR(HLOOKUP(L8,'Cash Flows'!$B$1:$M$5,5,FALSE),0)</f>
        <v>0</v>
      </c>
      <c r="M17" s="124">
        <f>IFERROR(HLOOKUP(M8,'Cash Flows'!$B$1:$M$5,5,FALSE),0)</f>
        <v>0</v>
      </c>
      <c r="N17" s="124">
        <f>IFERROR(HLOOKUP(N8,'Cash Flows'!$B$1:$M$5,5,FALSE),0)</f>
        <v>0</v>
      </c>
      <c r="O17" s="124">
        <f>IFERROR(HLOOKUP(O8,'Cash Flows'!$B$1:$M$5,5,FALSE),0)</f>
        <v>0</v>
      </c>
      <c r="P17" s="124">
        <f>IFERROR(HLOOKUP(P8,'Cash Flows'!$B$1:$M$5,5,FALSE),0)</f>
        <v>0</v>
      </c>
      <c r="Q17" s="124">
        <f>IFERROR(HLOOKUP(Q8,'Cash Flows'!$B$1:$M$5,5,FALSE),0)</f>
        <v>0</v>
      </c>
      <c r="R17" s="124">
        <f>IFERROR(HLOOKUP(R8,'Cash Flows'!$B$1:$M$5,5,FALSE),0)</f>
        <v>0</v>
      </c>
      <c r="S17" s="124">
        <f>IFERROR(HLOOKUP(S8,'Cash Flows'!$B$1:$M$5,5,FALSE),0)</f>
        <v>0</v>
      </c>
      <c r="T17" s="124">
        <f>IFERROR(HLOOKUP(T8,'Cash Flows'!$B$1:$M$5,5,FALSE),0)</f>
        <v>0</v>
      </c>
      <c r="U17" s="124">
        <f>IFERROR(HLOOKUP(U8,'Cash Flows'!$B$1:$M$5,5,FALSE),0)</f>
        <v>0</v>
      </c>
      <c r="V17" s="124">
        <f>IFERROR(HLOOKUP(V8,'Cash Flows'!$B$1:$M$5,5,FALSE),0)</f>
        <v>0</v>
      </c>
      <c r="W17" s="124">
        <f>IFERROR(HLOOKUP(W8,'Cash Flows'!$B$1:$M$5,5,FALSE),0)</f>
        <v>-300000</v>
      </c>
      <c r="X17" s="124">
        <f>IFERROR(HLOOKUP(X8,'Cash Flows'!$B$1:$M$5,5,FALSE),0)</f>
        <v>0</v>
      </c>
      <c r="Y17" s="124">
        <f>IFERROR(HLOOKUP(Y8,'Cash Flows'!$B$1:$M$5,5,FALSE),0)</f>
        <v>0</v>
      </c>
      <c r="Z17" s="124">
        <f>IFERROR(HLOOKUP(Z8,'Cash Flows'!$B$1:$M$5,5,FALSE),0)</f>
        <v>0</v>
      </c>
      <c r="AA17" s="124">
        <f>IFERROR(HLOOKUP(AA8,'Cash Flows'!$B$1:$M$5,5,FALSE),0)</f>
        <v>0</v>
      </c>
      <c r="AB17" s="124">
        <f>IFERROR(HLOOKUP(AB8,'Cash Flows'!$B$1:$M$5,5,FALSE),0)</f>
        <v>-300000</v>
      </c>
      <c r="AC17" s="124">
        <f>IFERROR(HLOOKUP(AC8,'Cash Flows'!$B$1:$M$5,5,FALSE),0)</f>
        <v>0</v>
      </c>
      <c r="AD17" s="124">
        <f>IFERROR(HLOOKUP(AD8,'Cash Flows'!$B$1:$M$5,5,FALSE),0)</f>
        <v>0</v>
      </c>
      <c r="AE17" s="124">
        <f>IFERROR(HLOOKUP(AE8,'Cash Flows'!$B$1:$M$5,5,FALSE),0)</f>
        <v>0</v>
      </c>
      <c r="AF17" s="124">
        <f>IFERROR(HLOOKUP(AF8,'Cash Flows'!$B$1:$M$5,5,FALSE),0)</f>
        <v>0</v>
      </c>
      <c r="AG17" s="124">
        <f>IFERROR(HLOOKUP(AG8,'Cash Flows'!$B$1:$M$5,5,FALSE),0)</f>
        <v>0</v>
      </c>
      <c r="AH17" s="124">
        <f>IFERROR(HLOOKUP(AH8,'Cash Flows'!$B$1:$M$5,5,FALSE),0)</f>
        <v>0</v>
      </c>
      <c r="AI17" s="124">
        <f>IFERROR(HLOOKUP(AI8,'Cash Flows'!$B$1:$M$5,5,FALSE),0)</f>
        <v>0</v>
      </c>
      <c r="AJ17" s="124">
        <f>IFERROR(HLOOKUP(AJ8,'Cash Flows'!$B$1:$M$5,5,FALSE),0)</f>
        <v>0</v>
      </c>
      <c r="AK17" s="124">
        <f>IFERROR(HLOOKUP(AK8,'Cash Flows'!$B$1:$M$5,5,FALSE),0)</f>
        <v>0</v>
      </c>
      <c r="AL17" s="124">
        <f>IFERROR(HLOOKUP(AL8,'Cash Flows'!$B$1:$M$5,5,FALSE),0)</f>
        <v>0</v>
      </c>
      <c r="AM17" s="124">
        <f>IFERROR(HLOOKUP(AM8,'Cash Flows'!$B$1:$M$5,5,FALSE),0)</f>
        <v>0</v>
      </c>
      <c r="AN17" s="124">
        <f>IFERROR(HLOOKUP(AN8,'Cash Flows'!$B$1:$M$5,5,FALSE),0)</f>
        <v>0</v>
      </c>
      <c r="AO17" s="124">
        <f>IFERROR(HLOOKUP(AO8,'Cash Flows'!$B$1:$M$5,5,FALSE),0)</f>
        <v>0</v>
      </c>
      <c r="AP17" s="124">
        <f>IFERROR(HLOOKUP(AP8,'Cash Flows'!$B$1:$M$5,5,FALSE),0)</f>
        <v>0</v>
      </c>
      <c r="AQ17" s="124">
        <f>IFERROR(HLOOKUP(AQ8,'Cash Flows'!$B$1:$M$5,5,FALSE),0)</f>
        <v>0</v>
      </c>
      <c r="AR17" s="124">
        <f>IFERROR(HLOOKUP(AR8,'Cash Flows'!$B$1:$M$5,5,FALSE),0)</f>
        <v>0</v>
      </c>
      <c r="AS17" s="124">
        <f>IFERROR(HLOOKUP(AS8,'Cash Flows'!$B$1:$M$5,5,FALSE),0)</f>
        <v>0</v>
      </c>
      <c r="AT17" s="124">
        <f>IFERROR(HLOOKUP(AT8,'Cash Flows'!$B$1:$M$5,5,FALSE),0)</f>
        <v>0</v>
      </c>
      <c r="AU17" s="124">
        <f>IFERROR(HLOOKUP(AU8,'Cash Flows'!$B$1:$M$5,5,FALSE),0)</f>
        <v>0</v>
      </c>
      <c r="AV17" s="124">
        <f>IFERROR(HLOOKUP(AV8,'Cash Flows'!$B$1:$M$5,5,FALSE),0)</f>
        <v>0</v>
      </c>
      <c r="AW17" s="124">
        <f>IFERROR(HLOOKUP(AW8,'Cash Flows'!$B$1:$M$5,5,FALSE),0)</f>
        <v>0</v>
      </c>
      <c r="AX17" s="124">
        <f>IFERROR(HLOOKUP(AX8,'Cash Flows'!$B$1:$M$5,5,FALSE),0)</f>
        <v>0</v>
      </c>
      <c r="AY17" s="124">
        <f>IFERROR(HLOOKUP(AY8,'Cash Flows'!$B$1:$M$5,5,FALSE),0)</f>
        <v>0</v>
      </c>
      <c r="AZ17" s="124">
        <f>IFERROR(HLOOKUP(AZ8,'Cash Flows'!$B$1:$M$5,5,FALSE),0)</f>
        <v>0</v>
      </c>
      <c r="BA17" s="124">
        <f>IFERROR(HLOOKUP(BA8,'Cash Flows'!$B$1:$M$5,5,FALSE),0)</f>
        <v>0</v>
      </c>
      <c r="BB17" s="124">
        <f>IFERROR(HLOOKUP(BB8,'Cash Flows'!$B$1:$M$5,5,FALSE),0)</f>
        <v>0</v>
      </c>
      <c r="BC17" s="124">
        <f>IFERROR(HLOOKUP(BC8,'Cash Flows'!$B$1:$M$5,5,FALSE),0)</f>
        <v>-300000</v>
      </c>
      <c r="BD17" s="124">
        <f>IFERROR(HLOOKUP(BD8,'Cash Flows'!$B$1:$M$5,5,FALSE),0)</f>
        <v>0</v>
      </c>
      <c r="BE17" s="124">
        <f>IFERROR(HLOOKUP(BE8,'Cash Flows'!$B$1:$M$5,5,FALSE),0)</f>
        <v>0</v>
      </c>
      <c r="BF17" s="124">
        <f>IFERROR(HLOOKUP(BF8,'Cash Flows'!$B$1:$M$5,5,FALSE),0)</f>
        <v>0</v>
      </c>
      <c r="BG17" s="124">
        <f>IFERROR(HLOOKUP(BG8,'Cash Flows'!$B$1:$M$5,5,FALSE),0)</f>
        <v>0</v>
      </c>
      <c r="BH17" s="124">
        <f>IFERROR(HLOOKUP(BH8,'Cash Flows'!$B$1:$M$5,5,FALSE),0)</f>
        <v>0</v>
      </c>
      <c r="BI17" s="124">
        <f>IFERROR(HLOOKUP(BI8,'Cash Flows'!$B$1:$M$5,5,FALSE),0)</f>
        <v>-300000</v>
      </c>
      <c r="BJ17" s="124">
        <f>IFERROR(HLOOKUP(BJ8,'Cash Flows'!$B$1:$M$5,5,FALSE),0)</f>
        <v>0</v>
      </c>
      <c r="BK17" s="124">
        <f>IFERROR(HLOOKUP(BK8,'Cash Flows'!$B$1:$M$5,5,FALSE),0)</f>
        <v>0</v>
      </c>
    </row>
    <row r="18" spans="2:63" x14ac:dyDescent="0.3">
      <c r="D18" s="19"/>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row>
    <row r="19" spans="2:63" x14ac:dyDescent="0.3">
      <c r="B19" s="4" t="s">
        <v>11</v>
      </c>
      <c r="C19" s="23">
        <f>L3</f>
        <v>0.1</v>
      </c>
      <c r="D19" s="19"/>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row>
    <row r="20" spans="2:63" x14ac:dyDescent="0.3">
      <c r="B20" s="112" t="s">
        <v>12</v>
      </c>
      <c r="C20" s="113"/>
      <c r="D20" s="141"/>
      <c r="E20" s="113"/>
      <c r="F20" s="114">
        <f>E24</f>
        <v>0</v>
      </c>
      <c r="G20" s="114">
        <f t="shared" ref="G20:BK20" si="5">F24</f>
        <v>5650000</v>
      </c>
      <c r="H20" s="114">
        <f t="shared" si="5"/>
        <v>5695053.8934233058</v>
      </c>
      <c r="I20" s="114">
        <f t="shared" si="5"/>
        <v>5740467.0529196383</v>
      </c>
      <c r="J20" s="114">
        <f t="shared" si="5"/>
        <v>5786242.3433271153</v>
      </c>
      <c r="K20" s="114">
        <f t="shared" si="5"/>
        <v>5832382.6523284744</v>
      </c>
      <c r="L20" s="114">
        <f t="shared" si="5"/>
        <v>5878890.8906332441</v>
      </c>
      <c r="M20" s="114">
        <f t="shared" si="5"/>
        <v>5925769.9921613568</v>
      </c>
      <c r="N20" s="114">
        <f t="shared" si="5"/>
        <v>5973022.9142282354</v>
      </c>
      <c r="O20" s="114">
        <f t="shared" si="5"/>
        <v>6020652.637731351</v>
      </c>
      <c r="P20" s="114">
        <f t="shared" si="5"/>
        <v>6068662.1673382707</v>
      </c>
      <c r="Q20" s="114">
        <f t="shared" si="5"/>
        <v>6117054.5316762011</v>
      </c>
      <c r="R20" s="114">
        <f t="shared" si="5"/>
        <v>6165832.7835230492</v>
      </c>
      <c r="S20" s="114">
        <f t="shared" si="5"/>
        <v>6215000.0000000009</v>
      </c>
      <c r="T20" s="114">
        <f t="shared" si="5"/>
        <v>6264559.2827656381</v>
      </c>
      <c r="U20" s="114">
        <f t="shared" si="5"/>
        <v>6314513.7582116043</v>
      </c>
      <c r="V20" s="114">
        <f t="shared" si="5"/>
        <v>6364866.5776598286</v>
      </c>
      <c r="W20" s="114">
        <f t="shared" si="5"/>
        <v>6415620.9175613243</v>
      </c>
      <c r="X20" s="114">
        <f t="shared" si="5"/>
        <v>6736779.9796965709</v>
      </c>
      <c r="Y20" s="114">
        <f t="shared" si="5"/>
        <v>6790500.0092932992</v>
      </c>
      <c r="Z20" s="114">
        <f t="shared" si="5"/>
        <v>6844648.4099498764</v>
      </c>
      <c r="AA20" s="114">
        <f t="shared" si="5"/>
        <v>6899228.5975572895</v>
      </c>
      <c r="AB20" s="114">
        <f t="shared" si="5"/>
        <v>6954244.0152453203</v>
      </c>
      <c r="AC20" s="114">
        <f t="shared" si="5"/>
        <v>7279698.1335997498</v>
      </c>
      <c r="AD20" s="114">
        <f t="shared" si="5"/>
        <v>7337747.4687971026</v>
      </c>
      <c r="AE20" s="114">
        <f t="shared" si="5"/>
        <v>1096259.6975451242</v>
      </c>
      <c r="AF20" s="114">
        <f t="shared" si="5"/>
        <v>1105001.4263198967</v>
      </c>
      <c r="AG20" s="114">
        <f t="shared" si="5"/>
        <v>1113812.8628675104</v>
      </c>
      <c r="AH20" s="114">
        <f t="shared" si="5"/>
        <v>1122694.5630475353</v>
      </c>
      <c r="AI20" s="114">
        <f t="shared" si="5"/>
        <v>1131647.0871520431</v>
      </c>
      <c r="AJ20" s="114">
        <f t="shared" si="5"/>
        <v>1050670.9999409535</v>
      </c>
      <c r="AK20" s="114">
        <f t="shared" si="5"/>
        <v>1059049.1980390593</v>
      </c>
      <c r="AL20" s="114">
        <f t="shared" si="5"/>
        <v>617494.20506534074</v>
      </c>
      <c r="AM20" s="114">
        <f t="shared" si="5"/>
        <v>622418.1905705661</v>
      </c>
      <c r="AN20" s="114">
        <f t="shared" si="5"/>
        <v>627381.44062767993</v>
      </c>
      <c r="AO20" s="114">
        <f t="shared" si="5"/>
        <v>542384.268337733</v>
      </c>
      <c r="AP20" s="114">
        <f t="shared" si="5"/>
        <v>546709.31665988627</v>
      </c>
      <c r="AQ20" s="114">
        <f t="shared" si="5"/>
        <v>551068.85352472228</v>
      </c>
      <c r="AR20" s="114">
        <f t="shared" si="5"/>
        <v>555463.15394872345</v>
      </c>
      <c r="AS20" s="114">
        <f t="shared" si="5"/>
        <v>469892.49514139234</v>
      </c>
      <c r="AT20" s="114">
        <f t="shared" si="5"/>
        <v>473639.48388413776</v>
      </c>
      <c r="AU20" s="114">
        <f t="shared" si="5"/>
        <v>477416.35164130339</v>
      </c>
      <c r="AV20" s="114">
        <f t="shared" si="5"/>
        <v>211223.33667234605</v>
      </c>
      <c r="AW20" s="114">
        <f t="shared" si="5"/>
        <v>212907.66122083296</v>
      </c>
      <c r="AX20" s="114">
        <f t="shared" si="5"/>
        <v>214605.41680979735</v>
      </c>
      <c r="AY20" s="114">
        <f t="shared" si="5"/>
        <v>216316.71054024209</v>
      </c>
      <c r="AZ20" s="114">
        <f t="shared" si="5"/>
        <v>218041.65036720849</v>
      </c>
      <c r="BA20" s="114">
        <f t="shared" si="5"/>
        <v>219780.34510658655</v>
      </c>
      <c r="BB20" s="114">
        <f t="shared" si="5"/>
        <v>221532.90444197939</v>
      </c>
      <c r="BC20" s="114">
        <f t="shared" si="5"/>
        <v>223299.43893162266</v>
      </c>
      <c r="BD20" s="114">
        <f t="shared" si="5"/>
        <v>495080.06001535885</v>
      </c>
      <c r="BE20" s="114">
        <f t="shared" si="5"/>
        <v>499027.8979374714</v>
      </c>
      <c r="BF20" s="114">
        <f t="shared" si="5"/>
        <v>503007.21647356544</v>
      </c>
      <c r="BG20" s="114">
        <f t="shared" si="5"/>
        <v>507018.26665447763</v>
      </c>
      <c r="BH20" s="114">
        <f t="shared" si="5"/>
        <v>511061.30151279981</v>
      </c>
      <c r="BI20" s="114">
        <f t="shared" si="5"/>
        <v>515136.57609884121</v>
      </c>
      <c r="BJ20" s="114">
        <f t="shared" si="5"/>
        <v>789244.34749671794</v>
      </c>
      <c r="BK20" s="115">
        <f t="shared" si="5"/>
        <v>795537.89275637525</v>
      </c>
    </row>
    <row r="21" spans="2:63" x14ac:dyDescent="0.3">
      <c r="B21" s="120" t="s">
        <v>17</v>
      </c>
      <c r="C21" s="99"/>
      <c r="D21" s="139">
        <f>SUM(F21:BK21)</f>
        <v>6730000</v>
      </c>
      <c r="E21" s="99"/>
      <c r="F21" s="118">
        <f>-F16</f>
        <v>5650000</v>
      </c>
      <c r="G21" s="118">
        <f t="shared" ref="G21:BK21" si="6">-G16</f>
        <v>0</v>
      </c>
      <c r="H21" s="118">
        <f t="shared" si="6"/>
        <v>0</v>
      </c>
      <c r="I21" s="118">
        <f t="shared" si="6"/>
        <v>0</v>
      </c>
      <c r="J21" s="118">
        <f t="shared" si="6"/>
        <v>0</v>
      </c>
      <c r="K21" s="118">
        <f t="shared" si="6"/>
        <v>0</v>
      </c>
      <c r="L21" s="118">
        <f t="shared" si="6"/>
        <v>0</v>
      </c>
      <c r="M21" s="118">
        <f t="shared" si="6"/>
        <v>0</v>
      </c>
      <c r="N21" s="118">
        <f t="shared" si="6"/>
        <v>0</v>
      </c>
      <c r="O21" s="118">
        <f t="shared" si="6"/>
        <v>0</v>
      </c>
      <c r="P21" s="118">
        <f t="shared" si="6"/>
        <v>0</v>
      </c>
      <c r="Q21" s="118">
        <f t="shared" si="6"/>
        <v>0</v>
      </c>
      <c r="R21" s="118">
        <f t="shared" si="6"/>
        <v>0</v>
      </c>
      <c r="S21" s="118">
        <f t="shared" si="6"/>
        <v>0</v>
      </c>
      <c r="T21" s="118">
        <f t="shared" si="6"/>
        <v>0</v>
      </c>
      <c r="U21" s="118">
        <f t="shared" si="6"/>
        <v>0</v>
      </c>
      <c r="V21" s="118">
        <f t="shared" si="6"/>
        <v>0</v>
      </c>
      <c r="W21" s="118">
        <f t="shared" si="6"/>
        <v>270000</v>
      </c>
      <c r="X21" s="118">
        <f t="shared" si="6"/>
        <v>0</v>
      </c>
      <c r="Y21" s="118">
        <f t="shared" si="6"/>
        <v>0</v>
      </c>
      <c r="Z21" s="118">
        <f t="shared" si="6"/>
        <v>0</v>
      </c>
      <c r="AA21" s="118">
        <f t="shared" si="6"/>
        <v>0</v>
      </c>
      <c r="AB21" s="118">
        <f t="shared" si="6"/>
        <v>270000</v>
      </c>
      <c r="AC21" s="118">
        <f t="shared" si="6"/>
        <v>0</v>
      </c>
      <c r="AD21" s="118">
        <f t="shared" si="6"/>
        <v>0</v>
      </c>
      <c r="AE21" s="118">
        <f t="shared" si="6"/>
        <v>0</v>
      </c>
      <c r="AF21" s="118">
        <f t="shared" si="6"/>
        <v>0</v>
      </c>
      <c r="AG21" s="118">
        <f t="shared" si="6"/>
        <v>0</v>
      </c>
      <c r="AH21" s="118">
        <f t="shared" si="6"/>
        <v>0</v>
      </c>
      <c r="AI21" s="118">
        <f t="shared" si="6"/>
        <v>0</v>
      </c>
      <c r="AJ21" s="118">
        <f t="shared" si="6"/>
        <v>0</v>
      </c>
      <c r="AK21" s="118">
        <f t="shared" si="6"/>
        <v>0</v>
      </c>
      <c r="AL21" s="118">
        <f t="shared" si="6"/>
        <v>0</v>
      </c>
      <c r="AM21" s="118">
        <f t="shared" si="6"/>
        <v>0</v>
      </c>
      <c r="AN21" s="118">
        <f t="shared" si="6"/>
        <v>0</v>
      </c>
      <c r="AO21" s="118">
        <f t="shared" si="6"/>
        <v>0</v>
      </c>
      <c r="AP21" s="118">
        <f t="shared" si="6"/>
        <v>0</v>
      </c>
      <c r="AQ21" s="118">
        <f t="shared" si="6"/>
        <v>0</v>
      </c>
      <c r="AR21" s="118">
        <f t="shared" si="6"/>
        <v>0</v>
      </c>
      <c r="AS21" s="118">
        <f t="shared" si="6"/>
        <v>0</v>
      </c>
      <c r="AT21" s="118">
        <f t="shared" si="6"/>
        <v>0</v>
      </c>
      <c r="AU21" s="118">
        <f t="shared" si="6"/>
        <v>0</v>
      </c>
      <c r="AV21" s="118">
        <f t="shared" si="6"/>
        <v>0</v>
      </c>
      <c r="AW21" s="118">
        <f t="shared" si="6"/>
        <v>0</v>
      </c>
      <c r="AX21" s="118">
        <f t="shared" si="6"/>
        <v>0</v>
      </c>
      <c r="AY21" s="118">
        <f t="shared" si="6"/>
        <v>0</v>
      </c>
      <c r="AZ21" s="118">
        <f t="shared" si="6"/>
        <v>0</v>
      </c>
      <c r="BA21" s="118">
        <f t="shared" si="6"/>
        <v>0</v>
      </c>
      <c r="BB21" s="118">
        <f t="shared" si="6"/>
        <v>0</v>
      </c>
      <c r="BC21" s="118">
        <f t="shared" si="6"/>
        <v>270000</v>
      </c>
      <c r="BD21" s="118">
        <f t="shared" si="6"/>
        <v>0</v>
      </c>
      <c r="BE21" s="118">
        <f t="shared" si="6"/>
        <v>0</v>
      </c>
      <c r="BF21" s="118">
        <f t="shared" si="6"/>
        <v>0</v>
      </c>
      <c r="BG21" s="118">
        <f t="shared" si="6"/>
        <v>0</v>
      </c>
      <c r="BH21" s="118">
        <f t="shared" si="6"/>
        <v>0</v>
      </c>
      <c r="BI21" s="118">
        <f t="shared" si="6"/>
        <v>270000</v>
      </c>
      <c r="BJ21" s="118">
        <f t="shared" si="6"/>
        <v>0</v>
      </c>
      <c r="BK21" s="118">
        <f t="shared" si="6"/>
        <v>0</v>
      </c>
    </row>
    <row r="22" spans="2:63" x14ac:dyDescent="0.3">
      <c r="B22" s="120" t="s">
        <v>18</v>
      </c>
      <c r="C22" s="99"/>
      <c r="D22" s="139">
        <f>SUM(F22:BK22)</f>
        <v>1361881.6236297288</v>
      </c>
      <c r="E22" s="99"/>
      <c r="F22" s="118">
        <f>((1+$C$19)^(1/12)-1)*F20</f>
        <v>0</v>
      </c>
      <c r="G22" s="118">
        <f t="shared" ref="G22:BK22" si="7">((1+$C$19)^(1/12)-1)*G20</f>
        <v>45053.893423306268</v>
      </c>
      <c r="H22" s="118">
        <f t="shared" si="7"/>
        <v>45413.15949633257</v>
      </c>
      <c r="I22" s="118">
        <f t="shared" si="7"/>
        <v>45775.290407476532</v>
      </c>
      <c r="J22" s="118">
        <f t="shared" si="7"/>
        <v>46140.309001359608</v>
      </c>
      <c r="K22" s="118">
        <f t="shared" si="7"/>
        <v>46508.238304769453</v>
      </c>
      <c r="L22" s="118">
        <f t="shared" si="7"/>
        <v>46879.101528112609</v>
      </c>
      <c r="M22" s="118">
        <f t="shared" si="7"/>
        <v>47252.922066878615</v>
      </c>
      <c r="N22" s="118">
        <f t="shared" si="7"/>
        <v>47629.723503115951</v>
      </c>
      <c r="O22" s="118">
        <f t="shared" si="7"/>
        <v>48009.529606919656</v>
      </c>
      <c r="P22" s="118">
        <f t="shared" si="7"/>
        <v>48392.364337930849</v>
      </c>
      <c r="Q22" s="118">
        <f t="shared" si="7"/>
        <v>48778.251846848179</v>
      </c>
      <c r="R22" s="118">
        <f t="shared" si="7"/>
        <v>49167.216476951377</v>
      </c>
      <c r="S22" s="118">
        <f t="shared" si="7"/>
        <v>49559.282765636905</v>
      </c>
      <c r="T22" s="118">
        <f t="shared" si="7"/>
        <v>49954.475445965843</v>
      </c>
      <c r="U22" s="118">
        <f t="shared" si="7"/>
        <v>50352.819448224203</v>
      </c>
      <c r="V22" s="118">
        <f t="shared" si="7"/>
        <v>50754.339901495579</v>
      </c>
      <c r="W22" s="118">
        <f t="shared" si="7"/>
        <v>51159.062135246422</v>
      </c>
      <c r="X22" s="118">
        <f t="shared" si="7"/>
        <v>53720.029596727909</v>
      </c>
      <c r="Y22" s="118">
        <f t="shared" si="7"/>
        <v>54148.400656577083</v>
      </c>
      <c r="Z22" s="118">
        <f t="shared" si="7"/>
        <v>54580.187607413172</v>
      </c>
      <c r="AA22" s="118">
        <f t="shared" si="7"/>
        <v>55015.417688030604</v>
      </c>
      <c r="AB22" s="118">
        <f t="shared" si="7"/>
        <v>55454.118354429753</v>
      </c>
      <c r="AC22" s="118">
        <f t="shared" si="7"/>
        <v>58049.335197353044</v>
      </c>
      <c r="AD22" s="118">
        <f t="shared" si="7"/>
        <v>58512.22874802124</v>
      </c>
      <c r="AE22" s="118">
        <f t="shared" si="7"/>
        <v>8741.7287747723876</v>
      </c>
      <c r="AF22" s="118">
        <f t="shared" si="7"/>
        <v>8811.4365476138119</v>
      </c>
      <c r="AG22" s="118">
        <f t="shared" si="7"/>
        <v>8881.7001800248599</v>
      </c>
      <c r="AH22" s="118">
        <f t="shared" si="7"/>
        <v>8952.5241045077964</v>
      </c>
      <c r="AI22" s="118">
        <f t="shared" si="7"/>
        <v>9023.9127889102892</v>
      </c>
      <c r="AJ22" s="118">
        <f t="shared" si="7"/>
        <v>8378.1980981059023</v>
      </c>
      <c r="AK22" s="118">
        <f t="shared" si="7"/>
        <v>8445.0070262813715</v>
      </c>
      <c r="AL22" s="118">
        <f t="shared" si="7"/>
        <v>4923.9855052253251</v>
      </c>
      <c r="AM22" s="118">
        <f t="shared" si="7"/>
        <v>4963.2500571138789</v>
      </c>
      <c r="AN22" s="118">
        <f t="shared" si="7"/>
        <v>5002.8277100530695</v>
      </c>
      <c r="AO22" s="118">
        <f t="shared" si="7"/>
        <v>4325.048322153305</v>
      </c>
      <c r="AP22" s="118">
        <f t="shared" si="7"/>
        <v>4359.536864835949</v>
      </c>
      <c r="AQ22" s="118">
        <f t="shared" si="7"/>
        <v>4394.3004240011342</v>
      </c>
      <c r="AR22" s="118">
        <f t="shared" si="7"/>
        <v>4429.3411926689114</v>
      </c>
      <c r="AS22" s="118">
        <f t="shared" si="7"/>
        <v>3746.9887427454423</v>
      </c>
      <c r="AT22" s="118">
        <f t="shared" si="7"/>
        <v>3776.8677571656158</v>
      </c>
      <c r="AU22" s="118">
        <f t="shared" si="7"/>
        <v>3806.9850310426532</v>
      </c>
      <c r="AV22" s="118">
        <f t="shared" si="7"/>
        <v>1684.3245484869058</v>
      </c>
      <c r="AW22" s="118">
        <f t="shared" si="7"/>
        <v>1697.7555889643902</v>
      </c>
      <c r="AX22" s="118">
        <f t="shared" si="7"/>
        <v>1711.2937304447485</v>
      </c>
      <c r="AY22" s="118">
        <f t="shared" si="7"/>
        <v>1724.9398269664175</v>
      </c>
      <c r="AZ22" s="118">
        <f t="shared" si="7"/>
        <v>1738.6947393780565</v>
      </c>
      <c r="BA22" s="118">
        <f t="shared" si="7"/>
        <v>1752.5593353928534</v>
      </c>
      <c r="BB22" s="118">
        <f t="shared" si="7"/>
        <v>1766.5344896432621</v>
      </c>
      <c r="BC22" s="118">
        <f t="shared" si="7"/>
        <v>1780.6210837361793</v>
      </c>
      <c r="BD22" s="118">
        <f t="shared" si="7"/>
        <v>3947.8379221125751</v>
      </c>
      <c r="BE22" s="118">
        <f t="shared" si="7"/>
        <v>3979.318536094052</v>
      </c>
      <c r="BF22" s="118">
        <f t="shared" si="7"/>
        <v>4011.0501809122056</v>
      </c>
      <c r="BG22" s="118">
        <f t="shared" si="7"/>
        <v>4043.0348583221794</v>
      </c>
      <c r="BH22" s="118">
        <f t="shared" si="7"/>
        <v>4075.2745860413934</v>
      </c>
      <c r="BI22" s="118">
        <f t="shared" si="7"/>
        <v>4107.7713978768306</v>
      </c>
      <c r="BJ22" s="118">
        <f t="shared" si="7"/>
        <v>6293.5452596573496</v>
      </c>
      <c r="BK22" s="121">
        <f t="shared" si="7"/>
        <v>6343.7308733535192</v>
      </c>
    </row>
    <row r="23" spans="2:63" x14ac:dyDescent="0.3">
      <c r="B23" s="120" t="s">
        <v>23</v>
      </c>
      <c r="C23" s="99"/>
      <c r="D23" s="139">
        <f>SUM(F23:BK23)</f>
        <v>-8091881.6236297283</v>
      </c>
      <c r="E23" s="99"/>
      <c r="F23" s="118">
        <f>-IF(F12&gt;0,MIN($C$26*F12,F20+F21+F22),0)</f>
        <v>0</v>
      </c>
      <c r="G23" s="118">
        <f t="shared" ref="G23:BK23" si="8">-IF(G12&gt;0,MIN($C$26*G12,G20+G21+G22),0)</f>
        <v>0</v>
      </c>
      <c r="H23" s="118">
        <f t="shared" si="8"/>
        <v>0</v>
      </c>
      <c r="I23" s="118">
        <f t="shared" si="8"/>
        <v>0</v>
      </c>
      <c r="J23" s="118">
        <f t="shared" si="8"/>
        <v>0</v>
      </c>
      <c r="K23" s="118">
        <f t="shared" si="8"/>
        <v>0</v>
      </c>
      <c r="L23" s="118">
        <f t="shared" si="8"/>
        <v>0</v>
      </c>
      <c r="M23" s="118">
        <f t="shared" si="8"/>
        <v>0</v>
      </c>
      <c r="N23" s="118">
        <f t="shared" si="8"/>
        <v>0</v>
      </c>
      <c r="O23" s="118">
        <f t="shared" si="8"/>
        <v>0</v>
      </c>
      <c r="P23" s="118">
        <f t="shared" si="8"/>
        <v>0</v>
      </c>
      <c r="Q23" s="118">
        <f t="shared" si="8"/>
        <v>0</v>
      </c>
      <c r="R23" s="118">
        <f t="shared" si="8"/>
        <v>0</v>
      </c>
      <c r="S23" s="118">
        <f t="shared" si="8"/>
        <v>0</v>
      </c>
      <c r="T23" s="118">
        <f t="shared" si="8"/>
        <v>0</v>
      </c>
      <c r="U23" s="118">
        <f t="shared" si="8"/>
        <v>0</v>
      </c>
      <c r="V23" s="118">
        <f t="shared" si="8"/>
        <v>0</v>
      </c>
      <c r="W23" s="118">
        <f t="shared" si="8"/>
        <v>0</v>
      </c>
      <c r="X23" s="118">
        <f t="shared" si="8"/>
        <v>0</v>
      </c>
      <c r="Y23" s="118">
        <f t="shared" si="8"/>
        <v>0</v>
      </c>
      <c r="Z23" s="118">
        <f t="shared" si="8"/>
        <v>0</v>
      </c>
      <c r="AA23" s="118">
        <f t="shared" si="8"/>
        <v>0</v>
      </c>
      <c r="AB23" s="118">
        <f t="shared" si="8"/>
        <v>0</v>
      </c>
      <c r="AC23" s="118">
        <f t="shared" si="8"/>
        <v>0</v>
      </c>
      <c r="AD23" s="118">
        <f t="shared" si="8"/>
        <v>-6300000</v>
      </c>
      <c r="AE23" s="118">
        <f t="shared" si="8"/>
        <v>0</v>
      </c>
      <c r="AF23" s="118">
        <f t="shared" si="8"/>
        <v>0</v>
      </c>
      <c r="AG23" s="118">
        <f t="shared" si="8"/>
        <v>0</v>
      </c>
      <c r="AH23" s="118">
        <f t="shared" si="8"/>
        <v>0</v>
      </c>
      <c r="AI23" s="118">
        <f t="shared" si="8"/>
        <v>-90000</v>
      </c>
      <c r="AJ23" s="118">
        <f t="shared" si="8"/>
        <v>0</v>
      </c>
      <c r="AK23" s="118">
        <f t="shared" si="8"/>
        <v>-450000</v>
      </c>
      <c r="AL23" s="118">
        <f t="shared" si="8"/>
        <v>0</v>
      </c>
      <c r="AM23" s="118">
        <f t="shared" si="8"/>
        <v>0</v>
      </c>
      <c r="AN23" s="118">
        <f t="shared" si="8"/>
        <v>-90000</v>
      </c>
      <c r="AO23" s="118">
        <f t="shared" si="8"/>
        <v>0</v>
      </c>
      <c r="AP23" s="118">
        <f t="shared" si="8"/>
        <v>0</v>
      </c>
      <c r="AQ23" s="118">
        <f t="shared" si="8"/>
        <v>0</v>
      </c>
      <c r="AR23" s="118">
        <f t="shared" si="8"/>
        <v>-90000</v>
      </c>
      <c r="AS23" s="118">
        <f t="shared" si="8"/>
        <v>0</v>
      </c>
      <c r="AT23" s="118">
        <f t="shared" si="8"/>
        <v>0</v>
      </c>
      <c r="AU23" s="118">
        <f t="shared" si="8"/>
        <v>-270000</v>
      </c>
      <c r="AV23" s="118">
        <f t="shared" si="8"/>
        <v>0</v>
      </c>
      <c r="AW23" s="118">
        <f t="shared" si="8"/>
        <v>0</v>
      </c>
      <c r="AX23" s="118">
        <f t="shared" si="8"/>
        <v>0</v>
      </c>
      <c r="AY23" s="118">
        <f t="shared" si="8"/>
        <v>0</v>
      </c>
      <c r="AZ23" s="118">
        <f t="shared" si="8"/>
        <v>0</v>
      </c>
      <c r="BA23" s="118">
        <f t="shared" si="8"/>
        <v>0</v>
      </c>
      <c r="BB23" s="118">
        <f t="shared" si="8"/>
        <v>0</v>
      </c>
      <c r="BC23" s="118">
        <f t="shared" si="8"/>
        <v>0</v>
      </c>
      <c r="BD23" s="118">
        <f t="shared" si="8"/>
        <v>0</v>
      </c>
      <c r="BE23" s="118">
        <f t="shared" si="8"/>
        <v>0</v>
      </c>
      <c r="BF23" s="118">
        <f t="shared" si="8"/>
        <v>0</v>
      </c>
      <c r="BG23" s="118">
        <f t="shared" si="8"/>
        <v>0</v>
      </c>
      <c r="BH23" s="118">
        <f t="shared" si="8"/>
        <v>0</v>
      </c>
      <c r="BI23" s="118">
        <f t="shared" si="8"/>
        <v>0</v>
      </c>
      <c r="BJ23" s="118">
        <f t="shared" si="8"/>
        <v>0</v>
      </c>
      <c r="BK23" s="121">
        <f t="shared" si="8"/>
        <v>-801881.6236297288</v>
      </c>
    </row>
    <row r="24" spans="2:63" x14ac:dyDescent="0.3">
      <c r="B24" s="120" t="s">
        <v>14</v>
      </c>
      <c r="C24" s="99"/>
      <c r="D24" s="139">
        <f>SUM(D21:D23)</f>
        <v>0</v>
      </c>
      <c r="E24" s="99"/>
      <c r="F24" s="118">
        <f>SUM(F20:F23)</f>
        <v>5650000</v>
      </c>
      <c r="G24" s="118">
        <f t="shared" ref="G24:BK24" si="9">SUM(G20:G23)</f>
        <v>5695053.8934233058</v>
      </c>
      <c r="H24" s="118">
        <f t="shared" si="9"/>
        <v>5740467.0529196383</v>
      </c>
      <c r="I24" s="118">
        <f t="shared" si="9"/>
        <v>5786242.3433271153</v>
      </c>
      <c r="J24" s="118">
        <f t="shared" si="9"/>
        <v>5832382.6523284744</v>
      </c>
      <c r="K24" s="118">
        <f t="shared" si="9"/>
        <v>5878890.8906332441</v>
      </c>
      <c r="L24" s="118">
        <f t="shared" si="9"/>
        <v>5925769.9921613568</v>
      </c>
      <c r="M24" s="118">
        <f t="shared" si="9"/>
        <v>5973022.9142282354</v>
      </c>
      <c r="N24" s="118">
        <f t="shared" si="9"/>
        <v>6020652.637731351</v>
      </c>
      <c r="O24" s="118">
        <f t="shared" si="9"/>
        <v>6068662.1673382707</v>
      </c>
      <c r="P24" s="118">
        <f t="shared" si="9"/>
        <v>6117054.5316762011</v>
      </c>
      <c r="Q24" s="118">
        <f t="shared" si="9"/>
        <v>6165832.7835230492</v>
      </c>
      <c r="R24" s="118">
        <f t="shared" si="9"/>
        <v>6215000.0000000009</v>
      </c>
      <c r="S24" s="118">
        <f t="shared" si="9"/>
        <v>6264559.2827656381</v>
      </c>
      <c r="T24" s="118">
        <f t="shared" si="9"/>
        <v>6314513.7582116043</v>
      </c>
      <c r="U24" s="118">
        <f t="shared" si="9"/>
        <v>6364866.5776598286</v>
      </c>
      <c r="V24" s="118">
        <f t="shared" si="9"/>
        <v>6415620.9175613243</v>
      </c>
      <c r="W24" s="118">
        <f t="shared" si="9"/>
        <v>6736779.9796965709</v>
      </c>
      <c r="X24" s="118">
        <f t="shared" si="9"/>
        <v>6790500.0092932992</v>
      </c>
      <c r="Y24" s="118">
        <f t="shared" si="9"/>
        <v>6844648.4099498764</v>
      </c>
      <c r="Z24" s="118">
        <f t="shared" si="9"/>
        <v>6899228.5975572895</v>
      </c>
      <c r="AA24" s="118">
        <f t="shared" si="9"/>
        <v>6954244.0152453203</v>
      </c>
      <c r="AB24" s="118">
        <f t="shared" si="9"/>
        <v>7279698.1335997498</v>
      </c>
      <c r="AC24" s="118">
        <f t="shared" si="9"/>
        <v>7337747.4687971026</v>
      </c>
      <c r="AD24" s="118">
        <f t="shared" si="9"/>
        <v>1096259.6975451242</v>
      </c>
      <c r="AE24" s="118">
        <f t="shared" si="9"/>
        <v>1105001.4263198967</v>
      </c>
      <c r="AF24" s="118">
        <f t="shared" si="9"/>
        <v>1113812.8628675104</v>
      </c>
      <c r="AG24" s="118">
        <f t="shared" si="9"/>
        <v>1122694.5630475353</v>
      </c>
      <c r="AH24" s="118">
        <f t="shared" si="9"/>
        <v>1131647.0871520431</v>
      </c>
      <c r="AI24" s="118">
        <f t="shared" si="9"/>
        <v>1050670.9999409535</v>
      </c>
      <c r="AJ24" s="118">
        <f t="shared" si="9"/>
        <v>1059049.1980390593</v>
      </c>
      <c r="AK24" s="118">
        <f t="shared" si="9"/>
        <v>617494.20506534074</v>
      </c>
      <c r="AL24" s="118">
        <f t="shared" si="9"/>
        <v>622418.1905705661</v>
      </c>
      <c r="AM24" s="118">
        <f t="shared" si="9"/>
        <v>627381.44062767993</v>
      </c>
      <c r="AN24" s="118">
        <f t="shared" si="9"/>
        <v>542384.268337733</v>
      </c>
      <c r="AO24" s="118">
        <f t="shared" si="9"/>
        <v>546709.31665988627</v>
      </c>
      <c r="AP24" s="118">
        <f t="shared" si="9"/>
        <v>551068.85352472228</v>
      </c>
      <c r="AQ24" s="118">
        <f t="shared" si="9"/>
        <v>555463.15394872345</v>
      </c>
      <c r="AR24" s="118">
        <f t="shared" si="9"/>
        <v>469892.49514139234</v>
      </c>
      <c r="AS24" s="118">
        <f t="shared" si="9"/>
        <v>473639.48388413776</v>
      </c>
      <c r="AT24" s="118">
        <f t="shared" si="9"/>
        <v>477416.35164130339</v>
      </c>
      <c r="AU24" s="118">
        <f t="shared" si="9"/>
        <v>211223.33667234605</v>
      </c>
      <c r="AV24" s="118">
        <f t="shared" si="9"/>
        <v>212907.66122083296</v>
      </c>
      <c r="AW24" s="118">
        <f t="shared" si="9"/>
        <v>214605.41680979735</v>
      </c>
      <c r="AX24" s="118">
        <f t="shared" si="9"/>
        <v>216316.71054024209</v>
      </c>
      <c r="AY24" s="118">
        <f t="shared" si="9"/>
        <v>218041.65036720849</v>
      </c>
      <c r="AZ24" s="118">
        <f t="shared" si="9"/>
        <v>219780.34510658655</v>
      </c>
      <c r="BA24" s="118">
        <f t="shared" si="9"/>
        <v>221532.90444197939</v>
      </c>
      <c r="BB24" s="118">
        <f t="shared" si="9"/>
        <v>223299.43893162266</v>
      </c>
      <c r="BC24" s="118">
        <f t="shared" si="9"/>
        <v>495080.06001535885</v>
      </c>
      <c r="BD24" s="118">
        <f t="shared" si="9"/>
        <v>499027.8979374714</v>
      </c>
      <c r="BE24" s="118">
        <f t="shared" si="9"/>
        <v>503007.21647356544</v>
      </c>
      <c r="BF24" s="118">
        <f t="shared" si="9"/>
        <v>507018.26665447763</v>
      </c>
      <c r="BG24" s="118">
        <f t="shared" si="9"/>
        <v>511061.30151279981</v>
      </c>
      <c r="BH24" s="118">
        <f t="shared" si="9"/>
        <v>515136.57609884121</v>
      </c>
      <c r="BI24" s="118">
        <f t="shared" si="9"/>
        <v>789244.34749671794</v>
      </c>
      <c r="BJ24" s="118">
        <f t="shared" si="9"/>
        <v>795537.89275637525</v>
      </c>
      <c r="BK24" s="121">
        <f t="shared" si="9"/>
        <v>0</v>
      </c>
    </row>
    <row r="25" spans="2:63" x14ac:dyDescent="0.3">
      <c r="B25" s="120"/>
      <c r="C25" s="99"/>
      <c r="D25" s="139"/>
      <c r="E25" s="99"/>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21"/>
    </row>
    <row r="26" spans="2:63" x14ac:dyDescent="0.3">
      <c r="B26" s="120" t="s">
        <v>15</v>
      </c>
      <c r="C26" s="134">
        <f>K5</f>
        <v>0.9</v>
      </c>
      <c r="D26" s="139">
        <f>SUM(F26:BK26)</f>
        <v>1361881.6236297288</v>
      </c>
      <c r="E26" s="99"/>
      <c r="F26" s="118">
        <f>-F21-F23</f>
        <v>-5650000</v>
      </c>
      <c r="G26" s="118">
        <f t="shared" ref="G26:BK26" si="10">-G21-G23</f>
        <v>0</v>
      </c>
      <c r="H26" s="118">
        <f t="shared" si="10"/>
        <v>0</v>
      </c>
      <c r="I26" s="118">
        <f t="shared" si="10"/>
        <v>0</v>
      </c>
      <c r="J26" s="118">
        <f t="shared" si="10"/>
        <v>0</v>
      </c>
      <c r="K26" s="118">
        <f t="shared" si="10"/>
        <v>0</v>
      </c>
      <c r="L26" s="118">
        <f t="shared" si="10"/>
        <v>0</v>
      </c>
      <c r="M26" s="118">
        <f t="shared" si="10"/>
        <v>0</v>
      </c>
      <c r="N26" s="118">
        <f t="shared" si="10"/>
        <v>0</v>
      </c>
      <c r="O26" s="118">
        <f t="shared" si="10"/>
        <v>0</v>
      </c>
      <c r="P26" s="118">
        <f t="shared" si="10"/>
        <v>0</v>
      </c>
      <c r="Q26" s="118">
        <f t="shared" si="10"/>
        <v>0</v>
      </c>
      <c r="R26" s="118">
        <f t="shared" si="10"/>
        <v>0</v>
      </c>
      <c r="S26" s="118">
        <f t="shared" si="10"/>
        <v>0</v>
      </c>
      <c r="T26" s="118">
        <f t="shared" si="10"/>
        <v>0</v>
      </c>
      <c r="U26" s="118">
        <f t="shared" si="10"/>
        <v>0</v>
      </c>
      <c r="V26" s="118">
        <f t="shared" si="10"/>
        <v>0</v>
      </c>
      <c r="W26" s="118">
        <f t="shared" si="10"/>
        <v>-270000</v>
      </c>
      <c r="X26" s="118">
        <f t="shared" si="10"/>
        <v>0</v>
      </c>
      <c r="Y26" s="118">
        <f t="shared" si="10"/>
        <v>0</v>
      </c>
      <c r="Z26" s="118">
        <f t="shared" si="10"/>
        <v>0</v>
      </c>
      <c r="AA26" s="118">
        <f t="shared" si="10"/>
        <v>0</v>
      </c>
      <c r="AB26" s="118">
        <f t="shared" si="10"/>
        <v>-270000</v>
      </c>
      <c r="AC26" s="118">
        <f t="shared" si="10"/>
        <v>0</v>
      </c>
      <c r="AD26" s="118">
        <f t="shared" si="10"/>
        <v>6300000</v>
      </c>
      <c r="AE26" s="118">
        <f t="shared" si="10"/>
        <v>0</v>
      </c>
      <c r="AF26" s="118">
        <f t="shared" si="10"/>
        <v>0</v>
      </c>
      <c r="AG26" s="118">
        <f t="shared" si="10"/>
        <v>0</v>
      </c>
      <c r="AH26" s="118">
        <f t="shared" si="10"/>
        <v>0</v>
      </c>
      <c r="AI26" s="118">
        <f t="shared" si="10"/>
        <v>90000</v>
      </c>
      <c r="AJ26" s="118">
        <f t="shared" si="10"/>
        <v>0</v>
      </c>
      <c r="AK26" s="118">
        <f t="shared" si="10"/>
        <v>450000</v>
      </c>
      <c r="AL26" s="118">
        <f t="shared" si="10"/>
        <v>0</v>
      </c>
      <c r="AM26" s="118">
        <f t="shared" si="10"/>
        <v>0</v>
      </c>
      <c r="AN26" s="118">
        <f t="shared" si="10"/>
        <v>90000</v>
      </c>
      <c r="AO26" s="118">
        <f t="shared" si="10"/>
        <v>0</v>
      </c>
      <c r="AP26" s="118">
        <f t="shared" si="10"/>
        <v>0</v>
      </c>
      <c r="AQ26" s="118">
        <f t="shared" si="10"/>
        <v>0</v>
      </c>
      <c r="AR26" s="118">
        <f t="shared" si="10"/>
        <v>90000</v>
      </c>
      <c r="AS26" s="118">
        <f t="shared" si="10"/>
        <v>0</v>
      </c>
      <c r="AT26" s="118">
        <f t="shared" si="10"/>
        <v>0</v>
      </c>
      <c r="AU26" s="118">
        <f t="shared" si="10"/>
        <v>270000</v>
      </c>
      <c r="AV26" s="118">
        <f t="shared" si="10"/>
        <v>0</v>
      </c>
      <c r="AW26" s="118">
        <f t="shared" si="10"/>
        <v>0</v>
      </c>
      <c r="AX26" s="118">
        <f t="shared" si="10"/>
        <v>0</v>
      </c>
      <c r="AY26" s="118">
        <f t="shared" si="10"/>
        <v>0</v>
      </c>
      <c r="AZ26" s="118">
        <f t="shared" si="10"/>
        <v>0</v>
      </c>
      <c r="BA26" s="118">
        <f t="shared" si="10"/>
        <v>0</v>
      </c>
      <c r="BB26" s="118">
        <f t="shared" si="10"/>
        <v>0</v>
      </c>
      <c r="BC26" s="118">
        <f t="shared" si="10"/>
        <v>-270000</v>
      </c>
      <c r="BD26" s="118">
        <f t="shared" si="10"/>
        <v>0</v>
      </c>
      <c r="BE26" s="118">
        <f t="shared" si="10"/>
        <v>0</v>
      </c>
      <c r="BF26" s="118">
        <f t="shared" si="10"/>
        <v>0</v>
      </c>
      <c r="BG26" s="118">
        <f t="shared" si="10"/>
        <v>0</v>
      </c>
      <c r="BH26" s="118">
        <f t="shared" si="10"/>
        <v>0</v>
      </c>
      <c r="BI26" s="118">
        <f t="shared" si="10"/>
        <v>-270000</v>
      </c>
      <c r="BJ26" s="118">
        <f t="shared" si="10"/>
        <v>0</v>
      </c>
      <c r="BK26" s="121">
        <f t="shared" si="10"/>
        <v>801881.6236297288</v>
      </c>
    </row>
    <row r="27" spans="2:63" x14ac:dyDescent="0.3">
      <c r="B27" s="120" t="s">
        <v>493</v>
      </c>
      <c r="C27" s="134">
        <f>K4</f>
        <v>0.1</v>
      </c>
      <c r="D27" s="139">
        <f>SUM(F27:BK27)</f>
        <v>899097.95818108099</v>
      </c>
      <c r="E27" s="99"/>
      <c r="F27" s="118">
        <f>-F23/$C$26*$C$27</f>
        <v>0</v>
      </c>
      <c r="G27" s="118">
        <f t="shared" ref="G27:BK27" si="11">-G23/$C$26*$C$27</f>
        <v>0</v>
      </c>
      <c r="H27" s="118">
        <f t="shared" si="11"/>
        <v>0</v>
      </c>
      <c r="I27" s="118">
        <f t="shared" si="11"/>
        <v>0</v>
      </c>
      <c r="J27" s="118">
        <f t="shared" si="11"/>
        <v>0</v>
      </c>
      <c r="K27" s="118">
        <f t="shared" si="11"/>
        <v>0</v>
      </c>
      <c r="L27" s="118">
        <f t="shared" si="11"/>
        <v>0</v>
      </c>
      <c r="M27" s="118">
        <f t="shared" si="11"/>
        <v>0</v>
      </c>
      <c r="N27" s="118">
        <f t="shared" si="11"/>
        <v>0</v>
      </c>
      <c r="O27" s="118">
        <f t="shared" si="11"/>
        <v>0</v>
      </c>
      <c r="P27" s="118">
        <f t="shared" si="11"/>
        <v>0</v>
      </c>
      <c r="Q27" s="118">
        <f t="shared" si="11"/>
        <v>0</v>
      </c>
      <c r="R27" s="118">
        <f t="shared" si="11"/>
        <v>0</v>
      </c>
      <c r="S27" s="118">
        <f t="shared" si="11"/>
        <v>0</v>
      </c>
      <c r="T27" s="118">
        <f t="shared" si="11"/>
        <v>0</v>
      </c>
      <c r="U27" s="118">
        <f t="shared" si="11"/>
        <v>0</v>
      </c>
      <c r="V27" s="118">
        <f t="shared" si="11"/>
        <v>0</v>
      </c>
      <c r="W27" s="118">
        <f t="shared" si="11"/>
        <v>0</v>
      </c>
      <c r="X27" s="118">
        <f t="shared" si="11"/>
        <v>0</v>
      </c>
      <c r="Y27" s="118">
        <f t="shared" si="11"/>
        <v>0</v>
      </c>
      <c r="Z27" s="118">
        <f t="shared" si="11"/>
        <v>0</v>
      </c>
      <c r="AA27" s="118">
        <f t="shared" si="11"/>
        <v>0</v>
      </c>
      <c r="AB27" s="118">
        <f t="shared" si="11"/>
        <v>0</v>
      </c>
      <c r="AC27" s="118">
        <f t="shared" si="11"/>
        <v>0</v>
      </c>
      <c r="AD27" s="118">
        <f t="shared" si="11"/>
        <v>700000</v>
      </c>
      <c r="AE27" s="118">
        <f t="shared" si="11"/>
        <v>0</v>
      </c>
      <c r="AF27" s="118">
        <f t="shared" si="11"/>
        <v>0</v>
      </c>
      <c r="AG27" s="118">
        <f t="shared" si="11"/>
        <v>0</v>
      </c>
      <c r="AH27" s="118">
        <f t="shared" si="11"/>
        <v>0</v>
      </c>
      <c r="AI27" s="118">
        <f t="shared" si="11"/>
        <v>10000</v>
      </c>
      <c r="AJ27" s="118">
        <f t="shared" si="11"/>
        <v>0</v>
      </c>
      <c r="AK27" s="118">
        <f t="shared" si="11"/>
        <v>50000</v>
      </c>
      <c r="AL27" s="118">
        <f t="shared" si="11"/>
        <v>0</v>
      </c>
      <c r="AM27" s="118">
        <f t="shared" si="11"/>
        <v>0</v>
      </c>
      <c r="AN27" s="118">
        <f t="shared" si="11"/>
        <v>10000</v>
      </c>
      <c r="AO27" s="118">
        <f t="shared" si="11"/>
        <v>0</v>
      </c>
      <c r="AP27" s="118">
        <f t="shared" si="11"/>
        <v>0</v>
      </c>
      <c r="AQ27" s="118">
        <f t="shared" si="11"/>
        <v>0</v>
      </c>
      <c r="AR27" s="118">
        <f t="shared" si="11"/>
        <v>10000</v>
      </c>
      <c r="AS27" s="118">
        <f t="shared" si="11"/>
        <v>0</v>
      </c>
      <c r="AT27" s="118">
        <f t="shared" si="11"/>
        <v>0</v>
      </c>
      <c r="AU27" s="118">
        <f t="shared" si="11"/>
        <v>30000</v>
      </c>
      <c r="AV27" s="118">
        <f t="shared" si="11"/>
        <v>0</v>
      </c>
      <c r="AW27" s="118">
        <f t="shared" si="11"/>
        <v>0</v>
      </c>
      <c r="AX27" s="118">
        <f t="shared" si="11"/>
        <v>0</v>
      </c>
      <c r="AY27" s="118">
        <f t="shared" si="11"/>
        <v>0</v>
      </c>
      <c r="AZ27" s="118">
        <f t="shared" si="11"/>
        <v>0</v>
      </c>
      <c r="BA27" s="118">
        <f t="shared" si="11"/>
        <v>0</v>
      </c>
      <c r="BB27" s="118">
        <f t="shared" si="11"/>
        <v>0</v>
      </c>
      <c r="BC27" s="118">
        <f t="shared" si="11"/>
        <v>0</v>
      </c>
      <c r="BD27" s="118">
        <f t="shared" si="11"/>
        <v>0</v>
      </c>
      <c r="BE27" s="118">
        <f t="shared" si="11"/>
        <v>0</v>
      </c>
      <c r="BF27" s="118">
        <f t="shared" si="11"/>
        <v>0</v>
      </c>
      <c r="BG27" s="118">
        <f t="shared" si="11"/>
        <v>0</v>
      </c>
      <c r="BH27" s="118">
        <f t="shared" si="11"/>
        <v>0</v>
      </c>
      <c r="BI27" s="118">
        <f t="shared" si="11"/>
        <v>0</v>
      </c>
      <c r="BJ27" s="118">
        <f t="shared" si="11"/>
        <v>0</v>
      </c>
      <c r="BK27" s="121">
        <f t="shared" si="11"/>
        <v>89097.95818108099</v>
      </c>
    </row>
    <row r="28" spans="2:63" x14ac:dyDescent="0.3">
      <c r="B28" s="120"/>
      <c r="C28" s="99"/>
      <c r="D28" s="139"/>
      <c r="E28" s="99"/>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21"/>
    </row>
    <row r="29" spans="2:63" x14ac:dyDescent="0.3">
      <c r="B29" s="122" t="s">
        <v>16</v>
      </c>
      <c r="C29" s="92"/>
      <c r="D29" s="140">
        <f>SUM(F29:BK29)</f>
        <v>2127888.5148558542</v>
      </c>
      <c r="E29" s="92"/>
      <c r="F29" s="132">
        <f>IF(F12&gt;0,F12-SUM(F26:F27),0)</f>
        <v>0</v>
      </c>
      <c r="G29" s="132">
        <f t="shared" ref="G29:BK29" si="12">IF(G12&gt;0,G12-SUM(G26:G27),0)</f>
        <v>0</v>
      </c>
      <c r="H29" s="132">
        <f t="shared" si="12"/>
        <v>0</v>
      </c>
      <c r="I29" s="132">
        <f t="shared" si="12"/>
        <v>0</v>
      </c>
      <c r="J29" s="132">
        <f t="shared" si="12"/>
        <v>0</v>
      </c>
      <c r="K29" s="132">
        <f t="shared" si="12"/>
        <v>0</v>
      </c>
      <c r="L29" s="132">
        <f t="shared" si="12"/>
        <v>0</v>
      </c>
      <c r="M29" s="132">
        <f t="shared" si="12"/>
        <v>0</v>
      </c>
      <c r="N29" s="132">
        <f t="shared" si="12"/>
        <v>0</v>
      </c>
      <c r="O29" s="132">
        <f t="shared" si="12"/>
        <v>0</v>
      </c>
      <c r="P29" s="132">
        <f t="shared" si="12"/>
        <v>0</v>
      </c>
      <c r="Q29" s="132">
        <f t="shared" si="12"/>
        <v>0</v>
      </c>
      <c r="R29" s="132">
        <f t="shared" si="12"/>
        <v>0</v>
      </c>
      <c r="S29" s="132">
        <f t="shared" si="12"/>
        <v>0</v>
      </c>
      <c r="T29" s="132">
        <f t="shared" si="12"/>
        <v>0</v>
      </c>
      <c r="U29" s="132">
        <f t="shared" si="12"/>
        <v>0</v>
      </c>
      <c r="V29" s="132">
        <f t="shared" si="12"/>
        <v>0</v>
      </c>
      <c r="W29" s="132">
        <f t="shared" si="12"/>
        <v>0</v>
      </c>
      <c r="X29" s="132">
        <f t="shared" si="12"/>
        <v>0</v>
      </c>
      <c r="Y29" s="132">
        <f t="shared" si="12"/>
        <v>0</v>
      </c>
      <c r="Z29" s="132">
        <f t="shared" si="12"/>
        <v>0</v>
      </c>
      <c r="AA29" s="132">
        <f t="shared" si="12"/>
        <v>0</v>
      </c>
      <c r="AB29" s="132">
        <f t="shared" si="12"/>
        <v>0</v>
      </c>
      <c r="AC29" s="132">
        <f t="shared" si="12"/>
        <v>0</v>
      </c>
      <c r="AD29" s="132">
        <f t="shared" si="12"/>
        <v>0</v>
      </c>
      <c r="AE29" s="132">
        <f t="shared" si="12"/>
        <v>0</v>
      </c>
      <c r="AF29" s="132">
        <f t="shared" si="12"/>
        <v>0</v>
      </c>
      <c r="AG29" s="132">
        <f t="shared" si="12"/>
        <v>0</v>
      </c>
      <c r="AH29" s="132">
        <f t="shared" si="12"/>
        <v>0</v>
      </c>
      <c r="AI29" s="132">
        <f t="shared" si="12"/>
        <v>0</v>
      </c>
      <c r="AJ29" s="132">
        <f t="shared" si="12"/>
        <v>0</v>
      </c>
      <c r="AK29" s="132">
        <f t="shared" si="12"/>
        <v>0</v>
      </c>
      <c r="AL29" s="132">
        <f t="shared" si="12"/>
        <v>0</v>
      </c>
      <c r="AM29" s="132">
        <f t="shared" si="12"/>
        <v>0</v>
      </c>
      <c r="AN29" s="132">
        <f t="shared" si="12"/>
        <v>0</v>
      </c>
      <c r="AO29" s="132">
        <f t="shared" si="12"/>
        <v>0</v>
      </c>
      <c r="AP29" s="132">
        <f t="shared" si="12"/>
        <v>0</v>
      </c>
      <c r="AQ29" s="132">
        <f t="shared" si="12"/>
        <v>0</v>
      </c>
      <c r="AR29" s="132">
        <f t="shared" si="12"/>
        <v>0</v>
      </c>
      <c r="AS29" s="132">
        <f t="shared" si="12"/>
        <v>0</v>
      </c>
      <c r="AT29" s="132">
        <f t="shared" si="12"/>
        <v>0</v>
      </c>
      <c r="AU29" s="132">
        <f t="shared" si="12"/>
        <v>0</v>
      </c>
      <c r="AV29" s="132">
        <f t="shared" si="12"/>
        <v>0</v>
      </c>
      <c r="AW29" s="132">
        <f t="shared" si="12"/>
        <v>0</v>
      </c>
      <c r="AX29" s="132">
        <f t="shared" si="12"/>
        <v>0</v>
      </c>
      <c r="AY29" s="132">
        <f t="shared" si="12"/>
        <v>0</v>
      </c>
      <c r="AZ29" s="132">
        <f t="shared" si="12"/>
        <v>0</v>
      </c>
      <c r="BA29" s="132">
        <f t="shared" si="12"/>
        <v>0</v>
      </c>
      <c r="BB29" s="132">
        <f t="shared" si="12"/>
        <v>0</v>
      </c>
      <c r="BC29" s="132">
        <f t="shared" si="12"/>
        <v>0</v>
      </c>
      <c r="BD29" s="132">
        <f t="shared" si="12"/>
        <v>0</v>
      </c>
      <c r="BE29" s="132">
        <f t="shared" si="12"/>
        <v>0</v>
      </c>
      <c r="BF29" s="132">
        <f t="shared" si="12"/>
        <v>0</v>
      </c>
      <c r="BG29" s="132">
        <f t="shared" si="12"/>
        <v>0</v>
      </c>
      <c r="BH29" s="132">
        <f t="shared" si="12"/>
        <v>0</v>
      </c>
      <c r="BI29" s="132">
        <f t="shared" si="12"/>
        <v>0</v>
      </c>
      <c r="BJ29" s="132">
        <f t="shared" si="12"/>
        <v>0</v>
      </c>
      <c r="BK29" s="133">
        <f t="shared" si="12"/>
        <v>2127888.5148558542</v>
      </c>
    </row>
    <row r="30" spans="2:63" x14ac:dyDescent="0.3">
      <c r="B30" s="13"/>
      <c r="D30" s="19"/>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row>
    <row r="31" spans="2:63" x14ac:dyDescent="0.3">
      <c r="D31" s="19"/>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row>
    <row r="32" spans="2:63" x14ac:dyDescent="0.3">
      <c r="B32" s="4" t="s">
        <v>22</v>
      </c>
      <c r="C32" s="23">
        <f>N3</f>
        <v>0.2</v>
      </c>
      <c r="D32" s="19"/>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row>
    <row r="33" spans="2:63" x14ac:dyDescent="0.3">
      <c r="B33" s="112" t="s">
        <v>12</v>
      </c>
      <c r="C33" s="113"/>
      <c r="D33" s="141"/>
      <c r="E33" s="113"/>
      <c r="F33" s="114">
        <f>E38</f>
        <v>0</v>
      </c>
      <c r="G33" s="114">
        <f t="shared" ref="G33:BK33" si="13">F38</f>
        <v>5650000</v>
      </c>
      <c r="H33" s="114">
        <f t="shared" si="13"/>
        <v>5736498.5083234813</v>
      </c>
      <c r="I33" s="114">
        <f t="shared" si="13"/>
        <v>5824321.263008412</v>
      </c>
      <c r="J33" s="114">
        <f t="shared" si="13"/>
        <v>5913488.5375653962</v>
      </c>
      <c r="K33" s="114">
        <f t="shared" si="13"/>
        <v>6004020.915881752</v>
      </c>
      <c r="L33" s="114">
        <f t="shared" si="13"/>
        <v>6095939.2969732126</v>
      </c>
      <c r="M33" s="114">
        <f t="shared" si="13"/>
        <v>6189264.8998083761</v>
      </c>
      <c r="N33" s="114">
        <f t="shared" si="13"/>
        <v>6284019.2682070145</v>
      </c>
      <c r="O33" s="114">
        <f t="shared" si="13"/>
        <v>6380224.2758133719</v>
      </c>
      <c r="P33" s="114">
        <f t="shared" si="13"/>
        <v>6477902.1311456058</v>
      </c>
      <c r="Q33" s="114">
        <f t="shared" si="13"/>
        <v>6577075.3827225249</v>
      </c>
      <c r="R33" s="114">
        <f t="shared" si="13"/>
        <v>6677766.924268824</v>
      </c>
      <c r="S33" s="114">
        <f t="shared" si="13"/>
        <v>6779999.9999999981</v>
      </c>
      <c r="T33" s="114">
        <f t="shared" si="13"/>
        <v>6883798.2099881759</v>
      </c>
      <c r="U33" s="114">
        <f t="shared" si="13"/>
        <v>6989185.5156100923</v>
      </c>
      <c r="V33" s="114">
        <f t="shared" si="13"/>
        <v>7096186.2450784734</v>
      </c>
      <c r="W33" s="114">
        <f t="shared" si="13"/>
        <v>7204825.099058101</v>
      </c>
      <c r="X33" s="114">
        <f t="shared" si="13"/>
        <v>7585127.1563678542</v>
      </c>
      <c r="Y33" s="114">
        <f t="shared" si="13"/>
        <v>7701251.4368049782</v>
      </c>
      <c r="Z33" s="114">
        <f t="shared" si="13"/>
        <v>7819153.5184877561</v>
      </c>
      <c r="AA33" s="114">
        <f t="shared" si="13"/>
        <v>7938860.6186119141</v>
      </c>
      <c r="AB33" s="114">
        <f t="shared" si="13"/>
        <v>8060400.371054031</v>
      </c>
      <c r="AC33" s="114">
        <f t="shared" si="13"/>
        <v>8453800.8327507041</v>
      </c>
      <c r="AD33" s="114">
        <f t="shared" si="13"/>
        <v>8583224.0472103041</v>
      </c>
      <c r="AE33" s="114">
        <f t="shared" si="13"/>
        <v>2414628.6625536531</v>
      </c>
      <c r="AF33" s="114">
        <f t="shared" si="13"/>
        <v>2451595.3488308238</v>
      </c>
      <c r="AG33" s="114">
        <f t="shared" si="13"/>
        <v>2489127.9755010274</v>
      </c>
      <c r="AH33" s="114">
        <f t="shared" si="13"/>
        <v>2527235.2068120162</v>
      </c>
      <c r="AI33" s="114">
        <f t="shared" si="13"/>
        <v>2565925.8396565868</v>
      </c>
      <c r="AJ33" s="114">
        <f t="shared" si="13"/>
        <v>2515208.8056033072</v>
      </c>
      <c r="AK33" s="114">
        <f t="shared" si="13"/>
        <v>2553715.3206133554</v>
      </c>
      <c r="AL33" s="114">
        <f t="shared" si="13"/>
        <v>2142811.3499789969</v>
      </c>
      <c r="AM33" s="114">
        <f t="shared" si="13"/>
        <v>2175616.6571279895</v>
      </c>
      <c r="AN33" s="114">
        <f t="shared" si="13"/>
        <v>2208924.196159014</v>
      </c>
      <c r="AO33" s="114">
        <f t="shared" si="13"/>
        <v>2152741.6559762531</v>
      </c>
      <c r="AP33" s="114">
        <f t="shared" si="13"/>
        <v>2185698.9908519639</v>
      </c>
      <c r="AQ33" s="114">
        <f t="shared" si="13"/>
        <v>2219160.8850737042</v>
      </c>
      <c r="AR33" s="114">
        <f t="shared" si="13"/>
        <v>2253135.0631778976</v>
      </c>
      <c r="AS33" s="114">
        <f t="shared" si="13"/>
        <v>2197629.3679595296</v>
      </c>
      <c r="AT33" s="114">
        <f t="shared" si="13"/>
        <v>2231273.909937649</v>
      </c>
      <c r="AU33" s="114">
        <f t="shared" si="13"/>
        <v>2265433.5320386593</v>
      </c>
      <c r="AV33" s="114">
        <f t="shared" si="13"/>
        <v>2030116.1198665071</v>
      </c>
      <c r="AW33" s="114">
        <f t="shared" si="13"/>
        <v>2061196.1227146322</v>
      </c>
      <c r="AX33" s="114">
        <f t="shared" si="13"/>
        <v>2092751.9439494922</v>
      </c>
      <c r="AY33" s="114">
        <f t="shared" si="13"/>
        <v>2124790.8680986422</v>
      </c>
      <c r="AZ33" s="114">
        <f t="shared" si="13"/>
        <v>2157320.2912118966</v>
      </c>
      <c r="BA33" s="114">
        <f t="shared" si="13"/>
        <v>2190347.7225686768</v>
      </c>
      <c r="BB33" s="114">
        <f t="shared" si="13"/>
        <v>2223880.7864114954</v>
      </c>
      <c r="BC33" s="114">
        <f t="shared" si="13"/>
        <v>2257927.2237059814</v>
      </c>
      <c r="BD33" s="114">
        <f t="shared" si="13"/>
        <v>2562494.893927848</v>
      </c>
      <c r="BE33" s="114">
        <f t="shared" si="13"/>
        <v>2601725.3339121481</v>
      </c>
      <c r="BF33" s="114">
        <f t="shared" si="13"/>
        <v>2641556.3711600793</v>
      </c>
      <c r="BG33" s="114">
        <f t="shared" si="13"/>
        <v>2681997.2004977316</v>
      </c>
      <c r="BH33" s="114">
        <f t="shared" si="13"/>
        <v>2723057.1575191133</v>
      </c>
      <c r="BI33" s="114">
        <f t="shared" si="13"/>
        <v>2764745.7207412338</v>
      </c>
      <c r="BJ33" s="114">
        <f t="shared" si="13"/>
        <v>3077072.5137921795</v>
      </c>
      <c r="BK33" s="115">
        <f t="shared" si="13"/>
        <v>3124180.8646676145</v>
      </c>
    </row>
    <row r="34" spans="2:63" x14ac:dyDescent="0.3">
      <c r="B34" s="120" t="s">
        <v>17</v>
      </c>
      <c r="C34" s="99"/>
      <c r="D34" s="139">
        <f>SUM(F34:BK34)</f>
        <v>6730000</v>
      </c>
      <c r="E34" s="99"/>
      <c r="F34" s="118">
        <f>F21</f>
        <v>5650000</v>
      </c>
      <c r="G34" s="118">
        <f t="shared" ref="G34:BK34" si="14">G21</f>
        <v>0</v>
      </c>
      <c r="H34" s="118">
        <f t="shared" si="14"/>
        <v>0</v>
      </c>
      <c r="I34" s="118">
        <f t="shared" si="14"/>
        <v>0</v>
      </c>
      <c r="J34" s="118">
        <f t="shared" si="14"/>
        <v>0</v>
      </c>
      <c r="K34" s="118">
        <f t="shared" si="14"/>
        <v>0</v>
      </c>
      <c r="L34" s="118">
        <f t="shared" si="14"/>
        <v>0</v>
      </c>
      <c r="M34" s="118">
        <f t="shared" si="14"/>
        <v>0</v>
      </c>
      <c r="N34" s="118">
        <f t="shared" si="14"/>
        <v>0</v>
      </c>
      <c r="O34" s="118">
        <f t="shared" si="14"/>
        <v>0</v>
      </c>
      <c r="P34" s="118">
        <f t="shared" si="14"/>
        <v>0</v>
      </c>
      <c r="Q34" s="118">
        <f t="shared" si="14"/>
        <v>0</v>
      </c>
      <c r="R34" s="118">
        <f t="shared" si="14"/>
        <v>0</v>
      </c>
      <c r="S34" s="118">
        <f t="shared" si="14"/>
        <v>0</v>
      </c>
      <c r="T34" s="118">
        <f t="shared" si="14"/>
        <v>0</v>
      </c>
      <c r="U34" s="118">
        <f t="shared" si="14"/>
        <v>0</v>
      </c>
      <c r="V34" s="118">
        <f t="shared" si="14"/>
        <v>0</v>
      </c>
      <c r="W34" s="118">
        <f t="shared" si="14"/>
        <v>270000</v>
      </c>
      <c r="X34" s="118">
        <f t="shared" si="14"/>
        <v>0</v>
      </c>
      <c r="Y34" s="118">
        <f t="shared" si="14"/>
        <v>0</v>
      </c>
      <c r="Z34" s="118">
        <f t="shared" si="14"/>
        <v>0</v>
      </c>
      <c r="AA34" s="118">
        <f t="shared" si="14"/>
        <v>0</v>
      </c>
      <c r="AB34" s="118">
        <f t="shared" si="14"/>
        <v>270000</v>
      </c>
      <c r="AC34" s="118">
        <f t="shared" si="14"/>
        <v>0</v>
      </c>
      <c r="AD34" s="118">
        <f t="shared" si="14"/>
        <v>0</v>
      </c>
      <c r="AE34" s="118">
        <f t="shared" si="14"/>
        <v>0</v>
      </c>
      <c r="AF34" s="118">
        <f t="shared" si="14"/>
        <v>0</v>
      </c>
      <c r="AG34" s="118">
        <f t="shared" si="14"/>
        <v>0</v>
      </c>
      <c r="AH34" s="118">
        <f t="shared" si="14"/>
        <v>0</v>
      </c>
      <c r="AI34" s="118">
        <f t="shared" si="14"/>
        <v>0</v>
      </c>
      <c r="AJ34" s="118">
        <f t="shared" si="14"/>
        <v>0</v>
      </c>
      <c r="AK34" s="118">
        <f t="shared" si="14"/>
        <v>0</v>
      </c>
      <c r="AL34" s="118">
        <f t="shared" si="14"/>
        <v>0</v>
      </c>
      <c r="AM34" s="118">
        <f t="shared" si="14"/>
        <v>0</v>
      </c>
      <c r="AN34" s="118">
        <f t="shared" si="14"/>
        <v>0</v>
      </c>
      <c r="AO34" s="118">
        <f t="shared" si="14"/>
        <v>0</v>
      </c>
      <c r="AP34" s="118">
        <f t="shared" si="14"/>
        <v>0</v>
      </c>
      <c r="AQ34" s="118">
        <f t="shared" si="14"/>
        <v>0</v>
      </c>
      <c r="AR34" s="118">
        <f t="shared" si="14"/>
        <v>0</v>
      </c>
      <c r="AS34" s="118">
        <f t="shared" si="14"/>
        <v>0</v>
      </c>
      <c r="AT34" s="118">
        <f t="shared" si="14"/>
        <v>0</v>
      </c>
      <c r="AU34" s="118">
        <f t="shared" si="14"/>
        <v>0</v>
      </c>
      <c r="AV34" s="118">
        <f t="shared" si="14"/>
        <v>0</v>
      </c>
      <c r="AW34" s="118">
        <f t="shared" si="14"/>
        <v>0</v>
      </c>
      <c r="AX34" s="118">
        <f t="shared" si="14"/>
        <v>0</v>
      </c>
      <c r="AY34" s="118">
        <f t="shared" si="14"/>
        <v>0</v>
      </c>
      <c r="AZ34" s="118">
        <f t="shared" si="14"/>
        <v>0</v>
      </c>
      <c r="BA34" s="118">
        <f t="shared" si="14"/>
        <v>0</v>
      </c>
      <c r="BB34" s="118">
        <f t="shared" si="14"/>
        <v>0</v>
      </c>
      <c r="BC34" s="118">
        <f t="shared" si="14"/>
        <v>270000</v>
      </c>
      <c r="BD34" s="118">
        <f t="shared" si="14"/>
        <v>0</v>
      </c>
      <c r="BE34" s="118">
        <f t="shared" si="14"/>
        <v>0</v>
      </c>
      <c r="BF34" s="118">
        <f t="shared" si="14"/>
        <v>0</v>
      </c>
      <c r="BG34" s="118">
        <f t="shared" si="14"/>
        <v>0</v>
      </c>
      <c r="BH34" s="118">
        <f t="shared" si="14"/>
        <v>0</v>
      </c>
      <c r="BI34" s="118">
        <f t="shared" si="14"/>
        <v>270000</v>
      </c>
      <c r="BJ34" s="118">
        <f t="shared" si="14"/>
        <v>0</v>
      </c>
      <c r="BK34" s="121">
        <f t="shared" si="14"/>
        <v>0</v>
      </c>
    </row>
    <row r="35" spans="2:63" x14ac:dyDescent="0.3">
      <c r="B35" s="120" t="s">
        <v>18</v>
      </c>
      <c r="C35" s="99"/>
      <c r="D35" s="139">
        <f>SUM(F35:BK35)</f>
        <v>3732010.4194510682</v>
      </c>
      <c r="E35" s="99"/>
      <c r="F35" s="118">
        <f>((1+$C$32)^(1/12)-1)*F33</f>
        <v>0</v>
      </c>
      <c r="G35" s="118">
        <f t="shared" ref="G35:BK35" si="15">((1+$C$32)^(1/12)-1)*G33</f>
        <v>86498.508323481234</v>
      </c>
      <c r="H35" s="118">
        <f t="shared" si="15"/>
        <v>87822.754684930333</v>
      </c>
      <c r="I35" s="118">
        <f t="shared" si="15"/>
        <v>89167.274556984397</v>
      </c>
      <c r="J35" s="118">
        <f t="shared" si="15"/>
        <v>90532.378316355986</v>
      </c>
      <c r="K35" s="118">
        <f t="shared" si="15"/>
        <v>91918.381091460746</v>
      </c>
      <c r="L35" s="118">
        <f t="shared" si="15"/>
        <v>93325.602835163503</v>
      </c>
      <c r="M35" s="118">
        <f t="shared" si="15"/>
        <v>94754.368398638064</v>
      </c>
      <c r="N35" s="118">
        <f t="shared" si="15"/>
        <v>96205.007606357685</v>
      </c>
      <c r="O35" s="118">
        <f t="shared" si="15"/>
        <v>97677.855332233623</v>
      </c>
      <c r="P35" s="118">
        <f t="shared" si="15"/>
        <v>99173.251576919472</v>
      </c>
      <c r="Q35" s="118">
        <f t="shared" si="15"/>
        <v>100691.54154629874</v>
      </c>
      <c r="R35" s="118">
        <f t="shared" si="15"/>
        <v>102233.07573117426</v>
      </c>
      <c r="S35" s="118">
        <f t="shared" si="15"/>
        <v>103798.20998817746</v>
      </c>
      <c r="T35" s="118">
        <f t="shared" si="15"/>
        <v>105387.30562191637</v>
      </c>
      <c r="U35" s="118">
        <f t="shared" si="15"/>
        <v>107000.72946838125</v>
      </c>
      <c r="V35" s="118">
        <f t="shared" si="15"/>
        <v>108638.85397962715</v>
      </c>
      <c r="W35" s="118">
        <f t="shared" si="15"/>
        <v>110302.05730975287</v>
      </c>
      <c r="X35" s="118">
        <f t="shared" si="15"/>
        <v>116124.28043712361</v>
      </c>
      <c r="Y35" s="118">
        <f t="shared" si="15"/>
        <v>117902.08168277827</v>
      </c>
      <c r="Z35" s="118">
        <f t="shared" si="15"/>
        <v>119707.10012415766</v>
      </c>
      <c r="AA35" s="118">
        <f t="shared" si="15"/>
        <v>121539.75244211682</v>
      </c>
      <c r="AB35" s="118">
        <f t="shared" si="15"/>
        <v>123400.46169667404</v>
      </c>
      <c r="AC35" s="118">
        <f t="shared" si="15"/>
        <v>129423.2144595999</v>
      </c>
      <c r="AD35" s="118">
        <f t="shared" si="15"/>
        <v>131404.61534334952</v>
      </c>
      <c r="AE35" s="118">
        <f t="shared" si="15"/>
        <v>36966.686277170535</v>
      </c>
      <c r="AF35" s="118">
        <f t="shared" si="15"/>
        <v>37532.626670203703</v>
      </c>
      <c r="AG35" s="118">
        <f t="shared" si="15"/>
        <v>38107.231310988609</v>
      </c>
      <c r="AH35" s="118">
        <f t="shared" si="15"/>
        <v>38690.632844570624</v>
      </c>
      <c r="AI35" s="118">
        <f t="shared" si="15"/>
        <v>39282.965946720506</v>
      </c>
      <c r="AJ35" s="118">
        <f t="shared" si="15"/>
        <v>38506.515010047959</v>
      </c>
      <c r="AK35" s="118">
        <f t="shared" si="15"/>
        <v>39096.029365641749</v>
      </c>
      <c r="AL35" s="118">
        <f t="shared" si="15"/>
        <v>32805.307148992622</v>
      </c>
      <c r="AM35" s="118">
        <f t="shared" si="15"/>
        <v>33307.539031024746</v>
      </c>
      <c r="AN35" s="118">
        <f t="shared" si="15"/>
        <v>33817.459817238865</v>
      </c>
      <c r="AO35" s="118">
        <f t="shared" si="15"/>
        <v>32957.33487571092</v>
      </c>
      <c r="AP35" s="118">
        <f t="shared" si="15"/>
        <v>33461.894221740382</v>
      </c>
      <c r="AQ35" s="118">
        <f t="shared" si="15"/>
        <v>33974.178104193241</v>
      </c>
      <c r="AR35" s="118">
        <f t="shared" si="15"/>
        <v>34494.304781632003</v>
      </c>
      <c r="AS35" s="118">
        <f t="shared" si="15"/>
        <v>33644.541978119327</v>
      </c>
      <c r="AT35" s="118">
        <f t="shared" si="15"/>
        <v>34159.622101010311</v>
      </c>
      <c r="AU35" s="118">
        <f t="shared" si="15"/>
        <v>34682.587827847696</v>
      </c>
      <c r="AV35" s="118">
        <f t="shared" si="15"/>
        <v>31080.002848125045</v>
      </c>
      <c r="AW35" s="118">
        <f t="shared" si="15"/>
        <v>31555.821234859977</v>
      </c>
      <c r="AX35" s="118">
        <f t="shared" si="15"/>
        <v>32038.924149149858</v>
      </c>
      <c r="AY35" s="118">
        <f t="shared" si="15"/>
        <v>32529.423113254394</v>
      </c>
      <c r="AZ35" s="118">
        <f t="shared" si="15"/>
        <v>33027.431356780035</v>
      </c>
      <c r="BA35" s="118">
        <f t="shared" si="15"/>
        <v>33533.063842818563</v>
      </c>
      <c r="BB35" s="118">
        <f t="shared" si="15"/>
        <v>34046.437294485797</v>
      </c>
      <c r="BC35" s="118">
        <f t="shared" si="15"/>
        <v>34567.670221866676</v>
      </c>
      <c r="BD35" s="118">
        <f t="shared" si="15"/>
        <v>39230.439984300203</v>
      </c>
      <c r="BE35" s="118">
        <f t="shared" si="15"/>
        <v>39831.037247931316</v>
      </c>
      <c r="BF35" s="118">
        <f t="shared" si="15"/>
        <v>40440.829337652212</v>
      </c>
      <c r="BG35" s="118">
        <f t="shared" si="15"/>
        <v>41059.957021381662</v>
      </c>
      <c r="BH35" s="118">
        <f t="shared" si="15"/>
        <v>41688.563222120742</v>
      </c>
      <c r="BI35" s="118">
        <f t="shared" si="15"/>
        <v>42326.793050945969</v>
      </c>
      <c r="BJ35" s="118">
        <f t="shared" si="15"/>
        <v>47108.350875435077</v>
      </c>
      <c r="BK35" s="121">
        <f t="shared" si="15"/>
        <v>47829.554783453532</v>
      </c>
    </row>
    <row r="36" spans="2:63" x14ac:dyDescent="0.3">
      <c r="B36" s="120" t="s">
        <v>23</v>
      </c>
      <c r="C36" s="99"/>
      <c r="D36" s="139">
        <f>SUM(F36:BK36)</f>
        <v>-8091881.6236297283</v>
      </c>
      <c r="E36" s="99"/>
      <c r="F36" s="118">
        <f>F23</f>
        <v>0</v>
      </c>
      <c r="G36" s="118">
        <f t="shared" ref="G36:BK36" si="16">G23</f>
        <v>0</v>
      </c>
      <c r="H36" s="118">
        <f t="shared" si="16"/>
        <v>0</v>
      </c>
      <c r="I36" s="118">
        <f t="shared" si="16"/>
        <v>0</v>
      </c>
      <c r="J36" s="118">
        <f t="shared" si="16"/>
        <v>0</v>
      </c>
      <c r="K36" s="118">
        <f t="shared" si="16"/>
        <v>0</v>
      </c>
      <c r="L36" s="118">
        <f t="shared" si="16"/>
        <v>0</v>
      </c>
      <c r="M36" s="118">
        <f t="shared" si="16"/>
        <v>0</v>
      </c>
      <c r="N36" s="118">
        <f t="shared" si="16"/>
        <v>0</v>
      </c>
      <c r="O36" s="118">
        <f t="shared" si="16"/>
        <v>0</v>
      </c>
      <c r="P36" s="118">
        <f t="shared" si="16"/>
        <v>0</v>
      </c>
      <c r="Q36" s="118">
        <f t="shared" si="16"/>
        <v>0</v>
      </c>
      <c r="R36" s="118">
        <f t="shared" si="16"/>
        <v>0</v>
      </c>
      <c r="S36" s="118">
        <f t="shared" si="16"/>
        <v>0</v>
      </c>
      <c r="T36" s="118">
        <f t="shared" si="16"/>
        <v>0</v>
      </c>
      <c r="U36" s="118">
        <f t="shared" si="16"/>
        <v>0</v>
      </c>
      <c r="V36" s="118">
        <f t="shared" si="16"/>
        <v>0</v>
      </c>
      <c r="W36" s="118">
        <f t="shared" si="16"/>
        <v>0</v>
      </c>
      <c r="X36" s="118">
        <f t="shared" si="16"/>
        <v>0</v>
      </c>
      <c r="Y36" s="118">
        <f t="shared" si="16"/>
        <v>0</v>
      </c>
      <c r="Z36" s="118">
        <f t="shared" si="16"/>
        <v>0</v>
      </c>
      <c r="AA36" s="118">
        <f t="shared" si="16"/>
        <v>0</v>
      </c>
      <c r="AB36" s="118">
        <f t="shared" si="16"/>
        <v>0</v>
      </c>
      <c r="AC36" s="118">
        <f t="shared" si="16"/>
        <v>0</v>
      </c>
      <c r="AD36" s="118">
        <f t="shared" si="16"/>
        <v>-6300000</v>
      </c>
      <c r="AE36" s="118">
        <f t="shared" si="16"/>
        <v>0</v>
      </c>
      <c r="AF36" s="118">
        <f t="shared" si="16"/>
        <v>0</v>
      </c>
      <c r="AG36" s="118">
        <f t="shared" si="16"/>
        <v>0</v>
      </c>
      <c r="AH36" s="118">
        <f t="shared" si="16"/>
        <v>0</v>
      </c>
      <c r="AI36" s="118">
        <f t="shared" si="16"/>
        <v>-90000</v>
      </c>
      <c r="AJ36" s="118">
        <f t="shared" si="16"/>
        <v>0</v>
      </c>
      <c r="AK36" s="118">
        <f t="shared" si="16"/>
        <v>-450000</v>
      </c>
      <c r="AL36" s="118">
        <f t="shared" si="16"/>
        <v>0</v>
      </c>
      <c r="AM36" s="118">
        <f t="shared" si="16"/>
        <v>0</v>
      </c>
      <c r="AN36" s="118">
        <f t="shared" si="16"/>
        <v>-90000</v>
      </c>
      <c r="AO36" s="118">
        <f t="shared" si="16"/>
        <v>0</v>
      </c>
      <c r="AP36" s="118">
        <f t="shared" si="16"/>
        <v>0</v>
      </c>
      <c r="AQ36" s="118">
        <f t="shared" si="16"/>
        <v>0</v>
      </c>
      <c r="AR36" s="118">
        <f t="shared" si="16"/>
        <v>-90000</v>
      </c>
      <c r="AS36" s="118">
        <f t="shared" si="16"/>
        <v>0</v>
      </c>
      <c r="AT36" s="118">
        <f t="shared" si="16"/>
        <v>0</v>
      </c>
      <c r="AU36" s="118">
        <f t="shared" si="16"/>
        <v>-270000</v>
      </c>
      <c r="AV36" s="118">
        <f t="shared" si="16"/>
        <v>0</v>
      </c>
      <c r="AW36" s="118">
        <f t="shared" si="16"/>
        <v>0</v>
      </c>
      <c r="AX36" s="118">
        <f t="shared" si="16"/>
        <v>0</v>
      </c>
      <c r="AY36" s="118">
        <f t="shared" si="16"/>
        <v>0</v>
      </c>
      <c r="AZ36" s="118">
        <f t="shared" si="16"/>
        <v>0</v>
      </c>
      <c r="BA36" s="118">
        <f t="shared" si="16"/>
        <v>0</v>
      </c>
      <c r="BB36" s="118">
        <f t="shared" si="16"/>
        <v>0</v>
      </c>
      <c r="BC36" s="118">
        <f t="shared" si="16"/>
        <v>0</v>
      </c>
      <c r="BD36" s="118">
        <f t="shared" si="16"/>
        <v>0</v>
      </c>
      <c r="BE36" s="118">
        <f t="shared" si="16"/>
        <v>0</v>
      </c>
      <c r="BF36" s="118">
        <f t="shared" si="16"/>
        <v>0</v>
      </c>
      <c r="BG36" s="118">
        <f t="shared" si="16"/>
        <v>0</v>
      </c>
      <c r="BH36" s="118">
        <f t="shared" si="16"/>
        <v>0</v>
      </c>
      <c r="BI36" s="118">
        <f t="shared" si="16"/>
        <v>0</v>
      </c>
      <c r="BJ36" s="118">
        <f t="shared" si="16"/>
        <v>0</v>
      </c>
      <c r="BK36" s="121">
        <f t="shared" si="16"/>
        <v>-801881.6236297288</v>
      </c>
    </row>
    <row r="37" spans="2:63" x14ac:dyDescent="0.3">
      <c r="B37" s="120" t="s">
        <v>24</v>
      </c>
      <c r="C37" s="99"/>
      <c r="D37" s="139">
        <f>SUM(F37:BK37)</f>
        <v>-1702310.8118846836</v>
      </c>
      <c r="E37" s="99"/>
      <c r="F37" s="118">
        <f>-IF(F29&gt;0,MIN($C$40*F29,F33+F35+F36),0)</f>
        <v>0</v>
      </c>
      <c r="G37" s="118">
        <f t="shared" ref="G37:BK37" si="17">-IF(G29&gt;0,MIN($C$40*G29,G33+G35+G36),0)</f>
        <v>0</v>
      </c>
      <c r="H37" s="118">
        <f t="shared" si="17"/>
        <v>0</v>
      </c>
      <c r="I37" s="118">
        <f t="shared" si="17"/>
        <v>0</v>
      </c>
      <c r="J37" s="118">
        <f t="shared" si="17"/>
        <v>0</v>
      </c>
      <c r="K37" s="118">
        <f t="shared" si="17"/>
        <v>0</v>
      </c>
      <c r="L37" s="118">
        <f t="shared" si="17"/>
        <v>0</v>
      </c>
      <c r="M37" s="118">
        <f t="shared" si="17"/>
        <v>0</v>
      </c>
      <c r="N37" s="118">
        <f t="shared" si="17"/>
        <v>0</v>
      </c>
      <c r="O37" s="118">
        <f t="shared" si="17"/>
        <v>0</v>
      </c>
      <c r="P37" s="118">
        <f t="shared" si="17"/>
        <v>0</v>
      </c>
      <c r="Q37" s="118">
        <f t="shared" si="17"/>
        <v>0</v>
      </c>
      <c r="R37" s="118">
        <f t="shared" si="17"/>
        <v>0</v>
      </c>
      <c r="S37" s="118">
        <f t="shared" si="17"/>
        <v>0</v>
      </c>
      <c r="T37" s="118">
        <f t="shared" si="17"/>
        <v>0</v>
      </c>
      <c r="U37" s="118">
        <f t="shared" si="17"/>
        <v>0</v>
      </c>
      <c r="V37" s="118">
        <f t="shared" si="17"/>
        <v>0</v>
      </c>
      <c r="W37" s="118">
        <f t="shared" si="17"/>
        <v>0</v>
      </c>
      <c r="X37" s="118">
        <f t="shared" si="17"/>
        <v>0</v>
      </c>
      <c r="Y37" s="118">
        <f t="shared" si="17"/>
        <v>0</v>
      </c>
      <c r="Z37" s="118">
        <f t="shared" si="17"/>
        <v>0</v>
      </c>
      <c r="AA37" s="118">
        <f t="shared" si="17"/>
        <v>0</v>
      </c>
      <c r="AB37" s="118">
        <f t="shared" si="17"/>
        <v>0</v>
      </c>
      <c r="AC37" s="118">
        <f t="shared" si="17"/>
        <v>0</v>
      </c>
      <c r="AD37" s="118">
        <f t="shared" si="17"/>
        <v>0</v>
      </c>
      <c r="AE37" s="118">
        <f t="shared" si="17"/>
        <v>0</v>
      </c>
      <c r="AF37" s="118">
        <f t="shared" si="17"/>
        <v>0</v>
      </c>
      <c r="AG37" s="118">
        <f t="shared" si="17"/>
        <v>0</v>
      </c>
      <c r="AH37" s="118">
        <f t="shared" si="17"/>
        <v>0</v>
      </c>
      <c r="AI37" s="118">
        <f t="shared" si="17"/>
        <v>0</v>
      </c>
      <c r="AJ37" s="118">
        <f t="shared" si="17"/>
        <v>0</v>
      </c>
      <c r="AK37" s="118">
        <f t="shared" si="17"/>
        <v>0</v>
      </c>
      <c r="AL37" s="118">
        <f t="shared" si="17"/>
        <v>0</v>
      </c>
      <c r="AM37" s="118">
        <f t="shared" si="17"/>
        <v>0</v>
      </c>
      <c r="AN37" s="118">
        <f t="shared" si="17"/>
        <v>0</v>
      </c>
      <c r="AO37" s="118">
        <f t="shared" si="17"/>
        <v>0</v>
      </c>
      <c r="AP37" s="118">
        <f t="shared" si="17"/>
        <v>0</v>
      </c>
      <c r="AQ37" s="118">
        <f t="shared" si="17"/>
        <v>0</v>
      </c>
      <c r="AR37" s="118">
        <f t="shared" si="17"/>
        <v>0</v>
      </c>
      <c r="AS37" s="118">
        <f t="shared" si="17"/>
        <v>0</v>
      </c>
      <c r="AT37" s="118">
        <f t="shared" si="17"/>
        <v>0</v>
      </c>
      <c r="AU37" s="118">
        <f t="shared" si="17"/>
        <v>0</v>
      </c>
      <c r="AV37" s="118">
        <f t="shared" si="17"/>
        <v>0</v>
      </c>
      <c r="AW37" s="118">
        <f t="shared" si="17"/>
        <v>0</v>
      </c>
      <c r="AX37" s="118">
        <f t="shared" si="17"/>
        <v>0</v>
      </c>
      <c r="AY37" s="118">
        <f t="shared" si="17"/>
        <v>0</v>
      </c>
      <c r="AZ37" s="118">
        <f t="shared" si="17"/>
        <v>0</v>
      </c>
      <c r="BA37" s="118">
        <f t="shared" si="17"/>
        <v>0</v>
      </c>
      <c r="BB37" s="118">
        <f t="shared" si="17"/>
        <v>0</v>
      </c>
      <c r="BC37" s="118">
        <f t="shared" si="17"/>
        <v>0</v>
      </c>
      <c r="BD37" s="118">
        <f t="shared" si="17"/>
        <v>0</v>
      </c>
      <c r="BE37" s="118">
        <f t="shared" si="17"/>
        <v>0</v>
      </c>
      <c r="BF37" s="118">
        <f t="shared" si="17"/>
        <v>0</v>
      </c>
      <c r="BG37" s="118">
        <f t="shared" si="17"/>
        <v>0</v>
      </c>
      <c r="BH37" s="118">
        <f t="shared" si="17"/>
        <v>0</v>
      </c>
      <c r="BI37" s="118">
        <f t="shared" si="17"/>
        <v>0</v>
      </c>
      <c r="BJ37" s="118">
        <f t="shared" si="17"/>
        <v>0</v>
      </c>
      <c r="BK37" s="121">
        <f t="shared" si="17"/>
        <v>-1702310.8118846836</v>
      </c>
    </row>
    <row r="38" spans="2:63" x14ac:dyDescent="0.3">
      <c r="B38" s="120" t="s">
        <v>14</v>
      </c>
      <c r="C38" s="99"/>
      <c r="D38" s="139">
        <f>ROUND(SUM(D34:D37),0)</f>
        <v>667818</v>
      </c>
      <c r="E38" s="99"/>
      <c r="F38" s="118">
        <f>SUM(F33:F37)</f>
        <v>5650000</v>
      </c>
      <c r="G38" s="118">
        <f t="shared" ref="G38:BK38" si="18">SUM(G33:G37)</f>
        <v>5736498.5083234813</v>
      </c>
      <c r="H38" s="118">
        <f t="shared" si="18"/>
        <v>5824321.263008412</v>
      </c>
      <c r="I38" s="118">
        <f t="shared" si="18"/>
        <v>5913488.5375653962</v>
      </c>
      <c r="J38" s="118">
        <f t="shared" si="18"/>
        <v>6004020.915881752</v>
      </c>
      <c r="K38" s="118">
        <f t="shared" si="18"/>
        <v>6095939.2969732126</v>
      </c>
      <c r="L38" s="118">
        <f t="shared" si="18"/>
        <v>6189264.8998083761</v>
      </c>
      <c r="M38" s="118">
        <f t="shared" si="18"/>
        <v>6284019.2682070145</v>
      </c>
      <c r="N38" s="118">
        <f t="shared" si="18"/>
        <v>6380224.2758133719</v>
      </c>
      <c r="O38" s="118">
        <f t="shared" si="18"/>
        <v>6477902.1311456058</v>
      </c>
      <c r="P38" s="118">
        <f t="shared" si="18"/>
        <v>6577075.3827225249</v>
      </c>
      <c r="Q38" s="118">
        <f t="shared" si="18"/>
        <v>6677766.924268824</v>
      </c>
      <c r="R38" s="118">
        <f t="shared" si="18"/>
        <v>6779999.9999999981</v>
      </c>
      <c r="S38" s="118">
        <f t="shared" si="18"/>
        <v>6883798.2099881759</v>
      </c>
      <c r="T38" s="118">
        <f t="shared" si="18"/>
        <v>6989185.5156100923</v>
      </c>
      <c r="U38" s="118">
        <f t="shared" si="18"/>
        <v>7096186.2450784734</v>
      </c>
      <c r="V38" s="118">
        <f t="shared" si="18"/>
        <v>7204825.099058101</v>
      </c>
      <c r="W38" s="118">
        <f t="shared" si="18"/>
        <v>7585127.1563678542</v>
      </c>
      <c r="X38" s="118">
        <f t="shared" si="18"/>
        <v>7701251.4368049782</v>
      </c>
      <c r="Y38" s="118">
        <f t="shared" si="18"/>
        <v>7819153.5184877561</v>
      </c>
      <c r="Z38" s="118">
        <f t="shared" si="18"/>
        <v>7938860.6186119141</v>
      </c>
      <c r="AA38" s="118">
        <f t="shared" si="18"/>
        <v>8060400.371054031</v>
      </c>
      <c r="AB38" s="118">
        <f t="shared" si="18"/>
        <v>8453800.8327507041</v>
      </c>
      <c r="AC38" s="118">
        <f t="shared" si="18"/>
        <v>8583224.0472103041</v>
      </c>
      <c r="AD38" s="118">
        <f t="shared" si="18"/>
        <v>2414628.6625536531</v>
      </c>
      <c r="AE38" s="118">
        <f t="shared" si="18"/>
        <v>2451595.3488308238</v>
      </c>
      <c r="AF38" s="118">
        <f t="shared" si="18"/>
        <v>2489127.9755010274</v>
      </c>
      <c r="AG38" s="118">
        <f t="shared" si="18"/>
        <v>2527235.2068120162</v>
      </c>
      <c r="AH38" s="118">
        <f t="shared" si="18"/>
        <v>2565925.8396565868</v>
      </c>
      <c r="AI38" s="118">
        <f t="shared" si="18"/>
        <v>2515208.8056033072</v>
      </c>
      <c r="AJ38" s="118">
        <f t="shared" si="18"/>
        <v>2553715.3206133554</v>
      </c>
      <c r="AK38" s="118">
        <f t="shared" si="18"/>
        <v>2142811.3499789969</v>
      </c>
      <c r="AL38" s="118">
        <f t="shared" si="18"/>
        <v>2175616.6571279895</v>
      </c>
      <c r="AM38" s="118">
        <f t="shared" si="18"/>
        <v>2208924.196159014</v>
      </c>
      <c r="AN38" s="118">
        <f t="shared" si="18"/>
        <v>2152741.6559762531</v>
      </c>
      <c r="AO38" s="118">
        <f t="shared" si="18"/>
        <v>2185698.9908519639</v>
      </c>
      <c r="AP38" s="118">
        <f t="shared" si="18"/>
        <v>2219160.8850737042</v>
      </c>
      <c r="AQ38" s="118">
        <f t="shared" si="18"/>
        <v>2253135.0631778976</v>
      </c>
      <c r="AR38" s="118">
        <f t="shared" si="18"/>
        <v>2197629.3679595296</v>
      </c>
      <c r="AS38" s="118">
        <f t="shared" si="18"/>
        <v>2231273.909937649</v>
      </c>
      <c r="AT38" s="118">
        <f t="shared" si="18"/>
        <v>2265433.5320386593</v>
      </c>
      <c r="AU38" s="118">
        <f t="shared" si="18"/>
        <v>2030116.1198665071</v>
      </c>
      <c r="AV38" s="118">
        <f t="shared" si="18"/>
        <v>2061196.1227146322</v>
      </c>
      <c r="AW38" s="118">
        <f t="shared" si="18"/>
        <v>2092751.9439494922</v>
      </c>
      <c r="AX38" s="118">
        <f t="shared" si="18"/>
        <v>2124790.8680986422</v>
      </c>
      <c r="AY38" s="118">
        <f t="shared" si="18"/>
        <v>2157320.2912118966</v>
      </c>
      <c r="AZ38" s="118">
        <f t="shared" si="18"/>
        <v>2190347.7225686768</v>
      </c>
      <c r="BA38" s="118">
        <f t="shared" si="18"/>
        <v>2223880.7864114954</v>
      </c>
      <c r="BB38" s="118">
        <f t="shared" si="18"/>
        <v>2257927.2237059814</v>
      </c>
      <c r="BC38" s="118">
        <f t="shared" si="18"/>
        <v>2562494.893927848</v>
      </c>
      <c r="BD38" s="118">
        <f t="shared" si="18"/>
        <v>2601725.3339121481</v>
      </c>
      <c r="BE38" s="118">
        <f t="shared" si="18"/>
        <v>2641556.3711600793</v>
      </c>
      <c r="BF38" s="118">
        <f t="shared" si="18"/>
        <v>2681997.2004977316</v>
      </c>
      <c r="BG38" s="118">
        <f t="shared" si="18"/>
        <v>2723057.1575191133</v>
      </c>
      <c r="BH38" s="118">
        <f t="shared" si="18"/>
        <v>2764745.7207412338</v>
      </c>
      <c r="BI38" s="118">
        <f t="shared" si="18"/>
        <v>3077072.5137921795</v>
      </c>
      <c r="BJ38" s="118">
        <f t="shared" si="18"/>
        <v>3124180.8646676145</v>
      </c>
      <c r="BK38" s="121">
        <f t="shared" si="18"/>
        <v>667817.9839366558</v>
      </c>
    </row>
    <row r="39" spans="2:63" x14ac:dyDescent="0.3">
      <c r="B39" s="120"/>
      <c r="C39" s="99"/>
      <c r="D39" s="139"/>
      <c r="E39" s="99"/>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21"/>
    </row>
    <row r="40" spans="2:63" x14ac:dyDescent="0.3">
      <c r="B40" s="120" t="s">
        <v>15</v>
      </c>
      <c r="C40" s="134">
        <f>K5-C42</f>
        <v>0.8</v>
      </c>
      <c r="D40" s="139">
        <f>SUM(F40:BK40)</f>
        <v>1702310.8118846836</v>
      </c>
      <c r="E40" s="99"/>
      <c r="F40" s="118">
        <f>-F37</f>
        <v>0</v>
      </c>
      <c r="G40" s="118">
        <f t="shared" ref="G40:BK40" si="19">-G37</f>
        <v>0</v>
      </c>
      <c r="H40" s="118">
        <f t="shared" si="19"/>
        <v>0</v>
      </c>
      <c r="I40" s="118">
        <f t="shared" si="19"/>
        <v>0</v>
      </c>
      <c r="J40" s="118">
        <f t="shared" si="19"/>
        <v>0</v>
      </c>
      <c r="K40" s="118">
        <f t="shared" si="19"/>
        <v>0</v>
      </c>
      <c r="L40" s="118">
        <f t="shared" si="19"/>
        <v>0</v>
      </c>
      <c r="M40" s="118">
        <f t="shared" si="19"/>
        <v>0</v>
      </c>
      <c r="N40" s="118">
        <f t="shared" si="19"/>
        <v>0</v>
      </c>
      <c r="O40" s="118">
        <f t="shared" si="19"/>
        <v>0</v>
      </c>
      <c r="P40" s="118">
        <f t="shared" si="19"/>
        <v>0</v>
      </c>
      <c r="Q40" s="118">
        <f t="shared" si="19"/>
        <v>0</v>
      </c>
      <c r="R40" s="118">
        <f t="shared" si="19"/>
        <v>0</v>
      </c>
      <c r="S40" s="118">
        <f t="shared" si="19"/>
        <v>0</v>
      </c>
      <c r="T40" s="118">
        <f t="shared" si="19"/>
        <v>0</v>
      </c>
      <c r="U40" s="118">
        <f t="shared" si="19"/>
        <v>0</v>
      </c>
      <c r="V40" s="118">
        <f t="shared" si="19"/>
        <v>0</v>
      </c>
      <c r="W40" s="118">
        <f t="shared" si="19"/>
        <v>0</v>
      </c>
      <c r="X40" s="118">
        <f t="shared" si="19"/>
        <v>0</v>
      </c>
      <c r="Y40" s="118">
        <f t="shared" si="19"/>
        <v>0</v>
      </c>
      <c r="Z40" s="118">
        <f t="shared" si="19"/>
        <v>0</v>
      </c>
      <c r="AA40" s="118">
        <f t="shared" si="19"/>
        <v>0</v>
      </c>
      <c r="AB40" s="118">
        <f t="shared" si="19"/>
        <v>0</v>
      </c>
      <c r="AC40" s="118">
        <f t="shared" si="19"/>
        <v>0</v>
      </c>
      <c r="AD40" s="118">
        <f t="shared" si="19"/>
        <v>0</v>
      </c>
      <c r="AE40" s="118">
        <f t="shared" si="19"/>
        <v>0</v>
      </c>
      <c r="AF40" s="118">
        <f t="shared" si="19"/>
        <v>0</v>
      </c>
      <c r="AG40" s="118">
        <f t="shared" si="19"/>
        <v>0</v>
      </c>
      <c r="AH40" s="118">
        <f t="shared" si="19"/>
        <v>0</v>
      </c>
      <c r="AI40" s="118">
        <f t="shared" si="19"/>
        <v>0</v>
      </c>
      <c r="AJ40" s="118">
        <f t="shared" si="19"/>
        <v>0</v>
      </c>
      <c r="AK40" s="118">
        <f t="shared" si="19"/>
        <v>0</v>
      </c>
      <c r="AL40" s="118">
        <f t="shared" si="19"/>
        <v>0</v>
      </c>
      <c r="AM40" s="118">
        <f t="shared" si="19"/>
        <v>0</v>
      </c>
      <c r="AN40" s="118">
        <f t="shared" si="19"/>
        <v>0</v>
      </c>
      <c r="AO40" s="118">
        <f t="shared" si="19"/>
        <v>0</v>
      </c>
      <c r="AP40" s="118">
        <f t="shared" si="19"/>
        <v>0</v>
      </c>
      <c r="AQ40" s="118">
        <f t="shared" si="19"/>
        <v>0</v>
      </c>
      <c r="AR40" s="118">
        <f t="shared" si="19"/>
        <v>0</v>
      </c>
      <c r="AS40" s="118">
        <f t="shared" si="19"/>
        <v>0</v>
      </c>
      <c r="AT40" s="118">
        <f t="shared" si="19"/>
        <v>0</v>
      </c>
      <c r="AU40" s="118">
        <f t="shared" si="19"/>
        <v>0</v>
      </c>
      <c r="AV40" s="118">
        <f t="shared" si="19"/>
        <v>0</v>
      </c>
      <c r="AW40" s="118">
        <f t="shared" si="19"/>
        <v>0</v>
      </c>
      <c r="AX40" s="118">
        <f t="shared" si="19"/>
        <v>0</v>
      </c>
      <c r="AY40" s="118">
        <f t="shared" si="19"/>
        <v>0</v>
      </c>
      <c r="AZ40" s="118">
        <f t="shared" si="19"/>
        <v>0</v>
      </c>
      <c r="BA40" s="118">
        <f t="shared" si="19"/>
        <v>0</v>
      </c>
      <c r="BB40" s="118">
        <f t="shared" si="19"/>
        <v>0</v>
      </c>
      <c r="BC40" s="118">
        <f t="shared" si="19"/>
        <v>0</v>
      </c>
      <c r="BD40" s="118">
        <f t="shared" si="19"/>
        <v>0</v>
      </c>
      <c r="BE40" s="118">
        <f t="shared" si="19"/>
        <v>0</v>
      </c>
      <c r="BF40" s="118">
        <f t="shared" si="19"/>
        <v>0</v>
      </c>
      <c r="BG40" s="118">
        <f t="shared" si="19"/>
        <v>0</v>
      </c>
      <c r="BH40" s="118">
        <f t="shared" si="19"/>
        <v>0</v>
      </c>
      <c r="BI40" s="118">
        <f t="shared" si="19"/>
        <v>0</v>
      </c>
      <c r="BJ40" s="118">
        <f t="shared" si="19"/>
        <v>0</v>
      </c>
      <c r="BK40" s="121">
        <f t="shared" si="19"/>
        <v>1702310.8118846836</v>
      </c>
    </row>
    <row r="41" spans="2:63" x14ac:dyDescent="0.3">
      <c r="B41" s="120" t="s">
        <v>493</v>
      </c>
      <c r="C41" s="134">
        <f>M4-C42</f>
        <v>0.1</v>
      </c>
      <c r="D41" s="139">
        <f>SUM(F41:BK41)</f>
        <v>212788.85148558544</v>
      </c>
      <c r="E41" s="99"/>
      <c r="F41" s="118">
        <f>-F37/$C$40*$C$41</f>
        <v>0</v>
      </c>
      <c r="G41" s="118">
        <f t="shared" ref="G41:BK41" si="20">-G37/$C$40*$C$41</f>
        <v>0</v>
      </c>
      <c r="H41" s="118">
        <f t="shared" si="20"/>
        <v>0</v>
      </c>
      <c r="I41" s="118">
        <f t="shared" si="20"/>
        <v>0</v>
      </c>
      <c r="J41" s="118">
        <f t="shared" si="20"/>
        <v>0</v>
      </c>
      <c r="K41" s="118">
        <f t="shared" si="20"/>
        <v>0</v>
      </c>
      <c r="L41" s="118">
        <f t="shared" si="20"/>
        <v>0</v>
      </c>
      <c r="M41" s="118">
        <f t="shared" si="20"/>
        <v>0</v>
      </c>
      <c r="N41" s="118">
        <f t="shared" si="20"/>
        <v>0</v>
      </c>
      <c r="O41" s="118">
        <f t="shared" si="20"/>
        <v>0</v>
      </c>
      <c r="P41" s="118">
        <f t="shared" si="20"/>
        <v>0</v>
      </c>
      <c r="Q41" s="118">
        <f t="shared" si="20"/>
        <v>0</v>
      </c>
      <c r="R41" s="118">
        <f t="shared" si="20"/>
        <v>0</v>
      </c>
      <c r="S41" s="118">
        <f t="shared" si="20"/>
        <v>0</v>
      </c>
      <c r="T41" s="118">
        <f t="shared" si="20"/>
        <v>0</v>
      </c>
      <c r="U41" s="118">
        <f t="shared" si="20"/>
        <v>0</v>
      </c>
      <c r="V41" s="118">
        <f t="shared" si="20"/>
        <v>0</v>
      </c>
      <c r="W41" s="118">
        <f t="shared" si="20"/>
        <v>0</v>
      </c>
      <c r="X41" s="118">
        <f t="shared" si="20"/>
        <v>0</v>
      </c>
      <c r="Y41" s="118">
        <f t="shared" si="20"/>
        <v>0</v>
      </c>
      <c r="Z41" s="118">
        <f t="shared" si="20"/>
        <v>0</v>
      </c>
      <c r="AA41" s="118">
        <f t="shared" si="20"/>
        <v>0</v>
      </c>
      <c r="AB41" s="118">
        <f t="shared" si="20"/>
        <v>0</v>
      </c>
      <c r="AC41" s="118">
        <f t="shared" si="20"/>
        <v>0</v>
      </c>
      <c r="AD41" s="118">
        <f t="shared" si="20"/>
        <v>0</v>
      </c>
      <c r="AE41" s="118">
        <f t="shared" si="20"/>
        <v>0</v>
      </c>
      <c r="AF41" s="118">
        <f t="shared" si="20"/>
        <v>0</v>
      </c>
      <c r="AG41" s="118">
        <f t="shared" si="20"/>
        <v>0</v>
      </c>
      <c r="AH41" s="118">
        <f t="shared" si="20"/>
        <v>0</v>
      </c>
      <c r="AI41" s="118">
        <f t="shared" si="20"/>
        <v>0</v>
      </c>
      <c r="AJ41" s="118">
        <f t="shared" si="20"/>
        <v>0</v>
      </c>
      <c r="AK41" s="118">
        <f t="shared" si="20"/>
        <v>0</v>
      </c>
      <c r="AL41" s="118">
        <f t="shared" si="20"/>
        <v>0</v>
      </c>
      <c r="AM41" s="118">
        <f t="shared" si="20"/>
        <v>0</v>
      </c>
      <c r="AN41" s="118">
        <f t="shared" si="20"/>
        <v>0</v>
      </c>
      <c r="AO41" s="118">
        <f t="shared" si="20"/>
        <v>0</v>
      </c>
      <c r="AP41" s="118">
        <f t="shared" si="20"/>
        <v>0</v>
      </c>
      <c r="AQ41" s="118">
        <f t="shared" si="20"/>
        <v>0</v>
      </c>
      <c r="AR41" s="118">
        <f t="shared" si="20"/>
        <v>0</v>
      </c>
      <c r="AS41" s="118">
        <f t="shared" si="20"/>
        <v>0</v>
      </c>
      <c r="AT41" s="118">
        <f t="shared" si="20"/>
        <v>0</v>
      </c>
      <c r="AU41" s="118">
        <f t="shared" si="20"/>
        <v>0</v>
      </c>
      <c r="AV41" s="118">
        <f t="shared" si="20"/>
        <v>0</v>
      </c>
      <c r="AW41" s="118">
        <f t="shared" si="20"/>
        <v>0</v>
      </c>
      <c r="AX41" s="118">
        <f t="shared" si="20"/>
        <v>0</v>
      </c>
      <c r="AY41" s="118">
        <f t="shared" si="20"/>
        <v>0</v>
      </c>
      <c r="AZ41" s="118">
        <f t="shared" si="20"/>
        <v>0</v>
      </c>
      <c r="BA41" s="118">
        <f t="shared" si="20"/>
        <v>0</v>
      </c>
      <c r="BB41" s="118">
        <f t="shared" si="20"/>
        <v>0</v>
      </c>
      <c r="BC41" s="118">
        <f t="shared" si="20"/>
        <v>0</v>
      </c>
      <c r="BD41" s="118">
        <f t="shared" si="20"/>
        <v>0</v>
      </c>
      <c r="BE41" s="118">
        <f t="shared" si="20"/>
        <v>0</v>
      </c>
      <c r="BF41" s="118">
        <f t="shared" si="20"/>
        <v>0</v>
      </c>
      <c r="BG41" s="118">
        <f t="shared" si="20"/>
        <v>0</v>
      </c>
      <c r="BH41" s="118">
        <f t="shared" si="20"/>
        <v>0</v>
      </c>
      <c r="BI41" s="118">
        <f t="shared" si="20"/>
        <v>0</v>
      </c>
      <c r="BJ41" s="118">
        <f t="shared" si="20"/>
        <v>0</v>
      </c>
      <c r="BK41" s="121">
        <f t="shared" si="20"/>
        <v>212788.85148558544</v>
      </c>
    </row>
    <row r="42" spans="2:63" x14ac:dyDescent="0.3">
      <c r="B42" s="120" t="s">
        <v>494</v>
      </c>
      <c r="C42" s="134">
        <f>M4-K4</f>
        <v>0.1</v>
      </c>
      <c r="D42" s="139">
        <f>SUM(F42:BK42)</f>
        <v>212788.85148558544</v>
      </c>
      <c r="E42" s="99"/>
      <c r="F42" s="118">
        <f>-F37/$C$40*$C$42</f>
        <v>0</v>
      </c>
      <c r="G42" s="118">
        <f t="shared" ref="G42:BK42" si="21">-G37/$C$40*$C$42</f>
        <v>0</v>
      </c>
      <c r="H42" s="118">
        <f t="shared" si="21"/>
        <v>0</v>
      </c>
      <c r="I42" s="118">
        <f t="shared" si="21"/>
        <v>0</v>
      </c>
      <c r="J42" s="118">
        <f t="shared" si="21"/>
        <v>0</v>
      </c>
      <c r="K42" s="118">
        <f t="shared" si="21"/>
        <v>0</v>
      </c>
      <c r="L42" s="118">
        <f t="shared" si="21"/>
        <v>0</v>
      </c>
      <c r="M42" s="118">
        <f t="shared" si="21"/>
        <v>0</v>
      </c>
      <c r="N42" s="118">
        <f t="shared" si="21"/>
        <v>0</v>
      </c>
      <c r="O42" s="118">
        <f t="shared" si="21"/>
        <v>0</v>
      </c>
      <c r="P42" s="118">
        <f t="shared" si="21"/>
        <v>0</v>
      </c>
      <c r="Q42" s="118">
        <f t="shared" si="21"/>
        <v>0</v>
      </c>
      <c r="R42" s="118">
        <f t="shared" si="21"/>
        <v>0</v>
      </c>
      <c r="S42" s="118">
        <f t="shared" si="21"/>
        <v>0</v>
      </c>
      <c r="T42" s="118">
        <f t="shared" si="21"/>
        <v>0</v>
      </c>
      <c r="U42" s="118">
        <f t="shared" si="21"/>
        <v>0</v>
      </c>
      <c r="V42" s="118">
        <f t="shared" si="21"/>
        <v>0</v>
      </c>
      <c r="W42" s="118">
        <f t="shared" si="21"/>
        <v>0</v>
      </c>
      <c r="X42" s="118">
        <f t="shared" si="21"/>
        <v>0</v>
      </c>
      <c r="Y42" s="118">
        <f t="shared" si="21"/>
        <v>0</v>
      </c>
      <c r="Z42" s="118">
        <f t="shared" si="21"/>
        <v>0</v>
      </c>
      <c r="AA42" s="118">
        <f t="shared" si="21"/>
        <v>0</v>
      </c>
      <c r="AB42" s="118">
        <f t="shared" si="21"/>
        <v>0</v>
      </c>
      <c r="AC42" s="118">
        <f t="shared" si="21"/>
        <v>0</v>
      </c>
      <c r="AD42" s="118">
        <f t="shared" si="21"/>
        <v>0</v>
      </c>
      <c r="AE42" s="118">
        <f t="shared" si="21"/>
        <v>0</v>
      </c>
      <c r="AF42" s="118">
        <f t="shared" si="21"/>
        <v>0</v>
      </c>
      <c r="AG42" s="118">
        <f t="shared" si="21"/>
        <v>0</v>
      </c>
      <c r="AH42" s="118">
        <f t="shared" si="21"/>
        <v>0</v>
      </c>
      <c r="AI42" s="118">
        <f t="shared" si="21"/>
        <v>0</v>
      </c>
      <c r="AJ42" s="118">
        <f t="shared" si="21"/>
        <v>0</v>
      </c>
      <c r="AK42" s="118">
        <f t="shared" si="21"/>
        <v>0</v>
      </c>
      <c r="AL42" s="118">
        <f t="shared" si="21"/>
        <v>0</v>
      </c>
      <c r="AM42" s="118">
        <f t="shared" si="21"/>
        <v>0</v>
      </c>
      <c r="AN42" s="118">
        <f t="shared" si="21"/>
        <v>0</v>
      </c>
      <c r="AO42" s="118">
        <f t="shared" si="21"/>
        <v>0</v>
      </c>
      <c r="AP42" s="118">
        <f t="shared" si="21"/>
        <v>0</v>
      </c>
      <c r="AQ42" s="118">
        <f t="shared" si="21"/>
        <v>0</v>
      </c>
      <c r="AR42" s="118">
        <f t="shared" si="21"/>
        <v>0</v>
      </c>
      <c r="AS42" s="118">
        <f t="shared" si="21"/>
        <v>0</v>
      </c>
      <c r="AT42" s="118">
        <f t="shared" si="21"/>
        <v>0</v>
      </c>
      <c r="AU42" s="118">
        <f t="shared" si="21"/>
        <v>0</v>
      </c>
      <c r="AV42" s="118">
        <f t="shared" si="21"/>
        <v>0</v>
      </c>
      <c r="AW42" s="118">
        <f t="shared" si="21"/>
        <v>0</v>
      </c>
      <c r="AX42" s="118">
        <f t="shared" si="21"/>
        <v>0</v>
      </c>
      <c r="AY42" s="118">
        <f t="shared" si="21"/>
        <v>0</v>
      </c>
      <c r="AZ42" s="118">
        <f t="shared" si="21"/>
        <v>0</v>
      </c>
      <c r="BA42" s="118">
        <f t="shared" si="21"/>
        <v>0</v>
      </c>
      <c r="BB42" s="118">
        <f t="shared" si="21"/>
        <v>0</v>
      </c>
      <c r="BC42" s="118">
        <f t="shared" si="21"/>
        <v>0</v>
      </c>
      <c r="BD42" s="118">
        <f t="shared" si="21"/>
        <v>0</v>
      </c>
      <c r="BE42" s="118">
        <f t="shared" si="21"/>
        <v>0</v>
      </c>
      <c r="BF42" s="118">
        <f t="shared" si="21"/>
        <v>0</v>
      </c>
      <c r="BG42" s="118">
        <f t="shared" si="21"/>
        <v>0</v>
      </c>
      <c r="BH42" s="118">
        <f t="shared" si="21"/>
        <v>0</v>
      </c>
      <c r="BI42" s="118">
        <f t="shared" si="21"/>
        <v>0</v>
      </c>
      <c r="BJ42" s="118">
        <f t="shared" si="21"/>
        <v>0</v>
      </c>
      <c r="BK42" s="121">
        <f t="shared" si="21"/>
        <v>212788.85148558544</v>
      </c>
    </row>
    <row r="43" spans="2:63" x14ac:dyDescent="0.3">
      <c r="B43" s="120"/>
      <c r="C43" s="99"/>
      <c r="D43" s="139"/>
      <c r="E43" s="99"/>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21"/>
    </row>
    <row r="44" spans="2:63" x14ac:dyDescent="0.3">
      <c r="B44" s="122" t="s">
        <v>16</v>
      </c>
      <c r="C44" s="92"/>
      <c r="D44" s="140">
        <f>SUM(F44:BK44)</f>
        <v>0</v>
      </c>
      <c r="E44" s="92"/>
      <c r="F44" s="132">
        <f>F29-SUM(F40:F42)</f>
        <v>0</v>
      </c>
      <c r="G44" s="132">
        <f t="shared" ref="G44:BK44" si="22">G29-SUM(G40:G42)</f>
        <v>0</v>
      </c>
      <c r="H44" s="132">
        <f t="shared" si="22"/>
        <v>0</v>
      </c>
      <c r="I44" s="132">
        <f t="shared" si="22"/>
        <v>0</v>
      </c>
      <c r="J44" s="132">
        <f t="shared" si="22"/>
        <v>0</v>
      </c>
      <c r="K44" s="132">
        <f t="shared" si="22"/>
        <v>0</v>
      </c>
      <c r="L44" s="132">
        <f t="shared" si="22"/>
        <v>0</v>
      </c>
      <c r="M44" s="132">
        <f t="shared" si="22"/>
        <v>0</v>
      </c>
      <c r="N44" s="132">
        <f t="shared" si="22"/>
        <v>0</v>
      </c>
      <c r="O44" s="132">
        <f t="shared" si="22"/>
        <v>0</v>
      </c>
      <c r="P44" s="132">
        <f t="shared" si="22"/>
        <v>0</v>
      </c>
      <c r="Q44" s="132">
        <f t="shared" si="22"/>
        <v>0</v>
      </c>
      <c r="R44" s="132">
        <f t="shared" si="22"/>
        <v>0</v>
      </c>
      <c r="S44" s="132">
        <f t="shared" si="22"/>
        <v>0</v>
      </c>
      <c r="T44" s="132">
        <f t="shared" si="22"/>
        <v>0</v>
      </c>
      <c r="U44" s="132">
        <f t="shared" si="22"/>
        <v>0</v>
      </c>
      <c r="V44" s="132">
        <f t="shared" si="22"/>
        <v>0</v>
      </c>
      <c r="W44" s="132">
        <f t="shared" si="22"/>
        <v>0</v>
      </c>
      <c r="X44" s="132">
        <f t="shared" si="22"/>
        <v>0</v>
      </c>
      <c r="Y44" s="132">
        <f t="shared" si="22"/>
        <v>0</v>
      </c>
      <c r="Z44" s="132">
        <f t="shared" si="22"/>
        <v>0</v>
      </c>
      <c r="AA44" s="132">
        <f t="shared" si="22"/>
        <v>0</v>
      </c>
      <c r="AB44" s="132">
        <f t="shared" si="22"/>
        <v>0</v>
      </c>
      <c r="AC44" s="132">
        <f t="shared" si="22"/>
        <v>0</v>
      </c>
      <c r="AD44" s="132">
        <f t="shared" si="22"/>
        <v>0</v>
      </c>
      <c r="AE44" s="132">
        <f t="shared" si="22"/>
        <v>0</v>
      </c>
      <c r="AF44" s="132">
        <f t="shared" si="22"/>
        <v>0</v>
      </c>
      <c r="AG44" s="132">
        <f t="shared" si="22"/>
        <v>0</v>
      </c>
      <c r="AH44" s="132">
        <f t="shared" si="22"/>
        <v>0</v>
      </c>
      <c r="AI44" s="132">
        <f t="shared" si="22"/>
        <v>0</v>
      </c>
      <c r="AJ44" s="132">
        <f t="shared" si="22"/>
        <v>0</v>
      </c>
      <c r="AK44" s="132">
        <f t="shared" si="22"/>
        <v>0</v>
      </c>
      <c r="AL44" s="132">
        <f t="shared" si="22"/>
        <v>0</v>
      </c>
      <c r="AM44" s="132">
        <f t="shared" si="22"/>
        <v>0</v>
      </c>
      <c r="AN44" s="132">
        <f t="shared" si="22"/>
        <v>0</v>
      </c>
      <c r="AO44" s="132">
        <f t="shared" si="22"/>
        <v>0</v>
      </c>
      <c r="AP44" s="132">
        <f t="shared" si="22"/>
        <v>0</v>
      </c>
      <c r="AQ44" s="132">
        <f t="shared" si="22"/>
        <v>0</v>
      </c>
      <c r="AR44" s="132">
        <f t="shared" si="22"/>
        <v>0</v>
      </c>
      <c r="AS44" s="132">
        <f t="shared" si="22"/>
        <v>0</v>
      </c>
      <c r="AT44" s="132">
        <f t="shared" si="22"/>
        <v>0</v>
      </c>
      <c r="AU44" s="132">
        <f t="shared" si="22"/>
        <v>0</v>
      </c>
      <c r="AV44" s="132">
        <f t="shared" si="22"/>
        <v>0</v>
      </c>
      <c r="AW44" s="132">
        <f t="shared" si="22"/>
        <v>0</v>
      </c>
      <c r="AX44" s="132">
        <f t="shared" si="22"/>
        <v>0</v>
      </c>
      <c r="AY44" s="132">
        <f t="shared" si="22"/>
        <v>0</v>
      </c>
      <c r="AZ44" s="132">
        <f t="shared" si="22"/>
        <v>0</v>
      </c>
      <c r="BA44" s="132">
        <f t="shared" si="22"/>
        <v>0</v>
      </c>
      <c r="BB44" s="132">
        <f t="shared" si="22"/>
        <v>0</v>
      </c>
      <c r="BC44" s="132">
        <f t="shared" si="22"/>
        <v>0</v>
      </c>
      <c r="BD44" s="132">
        <f t="shared" si="22"/>
        <v>0</v>
      </c>
      <c r="BE44" s="132">
        <f t="shared" si="22"/>
        <v>0</v>
      </c>
      <c r="BF44" s="132">
        <f t="shared" si="22"/>
        <v>0</v>
      </c>
      <c r="BG44" s="132">
        <f t="shared" si="22"/>
        <v>0</v>
      </c>
      <c r="BH44" s="132">
        <f t="shared" si="22"/>
        <v>0</v>
      </c>
      <c r="BI44" s="132">
        <f t="shared" si="22"/>
        <v>0</v>
      </c>
      <c r="BJ44" s="132">
        <f t="shared" si="22"/>
        <v>0</v>
      </c>
      <c r="BK44" s="133">
        <f t="shared" si="22"/>
        <v>0</v>
      </c>
    </row>
    <row r="45" spans="2:63" x14ac:dyDescent="0.3">
      <c r="D45" s="142"/>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row>
    <row r="46" spans="2:63" x14ac:dyDescent="0.3">
      <c r="B46" s="4" t="s">
        <v>25</v>
      </c>
      <c r="C46" s="26">
        <f>C32</f>
        <v>0.2</v>
      </c>
      <c r="D46" s="142"/>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row>
    <row r="47" spans="2:63" x14ac:dyDescent="0.3">
      <c r="B47" s="112" t="s">
        <v>15</v>
      </c>
      <c r="C47" s="135">
        <f>K5-C49</f>
        <v>0.70000000000000007</v>
      </c>
      <c r="D47" s="143">
        <f>SUM(F47:BK47)</f>
        <v>0</v>
      </c>
      <c r="E47" s="113"/>
      <c r="F47" s="114">
        <f>F44*$C$47</f>
        <v>0</v>
      </c>
      <c r="G47" s="114">
        <f t="shared" ref="G47:BK47" si="23">G44*$C$47</f>
        <v>0</v>
      </c>
      <c r="H47" s="114">
        <f t="shared" si="23"/>
        <v>0</v>
      </c>
      <c r="I47" s="114">
        <f t="shared" si="23"/>
        <v>0</v>
      </c>
      <c r="J47" s="114">
        <f t="shared" si="23"/>
        <v>0</v>
      </c>
      <c r="K47" s="114">
        <f t="shared" si="23"/>
        <v>0</v>
      </c>
      <c r="L47" s="114">
        <f t="shared" si="23"/>
        <v>0</v>
      </c>
      <c r="M47" s="114">
        <f t="shared" si="23"/>
        <v>0</v>
      </c>
      <c r="N47" s="114">
        <f t="shared" si="23"/>
        <v>0</v>
      </c>
      <c r="O47" s="114">
        <f t="shared" si="23"/>
        <v>0</v>
      </c>
      <c r="P47" s="114">
        <f t="shared" si="23"/>
        <v>0</v>
      </c>
      <c r="Q47" s="114">
        <f t="shared" si="23"/>
        <v>0</v>
      </c>
      <c r="R47" s="114">
        <f t="shared" si="23"/>
        <v>0</v>
      </c>
      <c r="S47" s="114">
        <f t="shared" si="23"/>
        <v>0</v>
      </c>
      <c r="T47" s="114">
        <f t="shared" si="23"/>
        <v>0</v>
      </c>
      <c r="U47" s="114">
        <f t="shared" si="23"/>
        <v>0</v>
      </c>
      <c r="V47" s="114">
        <f t="shared" si="23"/>
        <v>0</v>
      </c>
      <c r="W47" s="114">
        <f t="shared" si="23"/>
        <v>0</v>
      </c>
      <c r="X47" s="114">
        <f t="shared" si="23"/>
        <v>0</v>
      </c>
      <c r="Y47" s="114">
        <f t="shared" si="23"/>
        <v>0</v>
      </c>
      <c r="Z47" s="114">
        <f t="shared" si="23"/>
        <v>0</v>
      </c>
      <c r="AA47" s="114">
        <f t="shared" si="23"/>
        <v>0</v>
      </c>
      <c r="AB47" s="114">
        <f t="shared" si="23"/>
        <v>0</v>
      </c>
      <c r="AC47" s="114">
        <f t="shared" si="23"/>
        <v>0</v>
      </c>
      <c r="AD47" s="114">
        <f t="shared" si="23"/>
        <v>0</v>
      </c>
      <c r="AE47" s="114">
        <f t="shared" si="23"/>
        <v>0</v>
      </c>
      <c r="AF47" s="114">
        <f t="shared" si="23"/>
        <v>0</v>
      </c>
      <c r="AG47" s="114">
        <f t="shared" si="23"/>
        <v>0</v>
      </c>
      <c r="AH47" s="114">
        <f t="shared" si="23"/>
        <v>0</v>
      </c>
      <c r="AI47" s="114">
        <f t="shared" si="23"/>
        <v>0</v>
      </c>
      <c r="AJ47" s="114">
        <f t="shared" si="23"/>
        <v>0</v>
      </c>
      <c r="AK47" s="114">
        <f t="shared" si="23"/>
        <v>0</v>
      </c>
      <c r="AL47" s="114">
        <f t="shared" si="23"/>
        <v>0</v>
      </c>
      <c r="AM47" s="114">
        <f t="shared" si="23"/>
        <v>0</v>
      </c>
      <c r="AN47" s="114">
        <f t="shared" si="23"/>
        <v>0</v>
      </c>
      <c r="AO47" s="114">
        <f t="shared" si="23"/>
        <v>0</v>
      </c>
      <c r="AP47" s="114">
        <f t="shared" si="23"/>
        <v>0</v>
      </c>
      <c r="AQ47" s="114">
        <f t="shared" si="23"/>
        <v>0</v>
      </c>
      <c r="AR47" s="114">
        <f t="shared" si="23"/>
        <v>0</v>
      </c>
      <c r="AS47" s="114">
        <f t="shared" si="23"/>
        <v>0</v>
      </c>
      <c r="AT47" s="114">
        <f t="shared" si="23"/>
        <v>0</v>
      </c>
      <c r="AU47" s="114">
        <f t="shared" si="23"/>
        <v>0</v>
      </c>
      <c r="AV47" s="114">
        <f t="shared" si="23"/>
        <v>0</v>
      </c>
      <c r="AW47" s="114">
        <f t="shared" si="23"/>
        <v>0</v>
      </c>
      <c r="AX47" s="114">
        <f t="shared" si="23"/>
        <v>0</v>
      </c>
      <c r="AY47" s="114">
        <f t="shared" si="23"/>
        <v>0</v>
      </c>
      <c r="AZ47" s="114">
        <f t="shared" si="23"/>
        <v>0</v>
      </c>
      <c r="BA47" s="114">
        <f t="shared" si="23"/>
        <v>0</v>
      </c>
      <c r="BB47" s="114">
        <f t="shared" si="23"/>
        <v>0</v>
      </c>
      <c r="BC47" s="114">
        <f t="shared" si="23"/>
        <v>0</v>
      </c>
      <c r="BD47" s="114">
        <f t="shared" si="23"/>
        <v>0</v>
      </c>
      <c r="BE47" s="114">
        <f t="shared" si="23"/>
        <v>0</v>
      </c>
      <c r="BF47" s="114">
        <f t="shared" si="23"/>
        <v>0</v>
      </c>
      <c r="BG47" s="114">
        <f t="shared" si="23"/>
        <v>0</v>
      </c>
      <c r="BH47" s="114">
        <f t="shared" si="23"/>
        <v>0</v>
      </c>
      <c r="BI47" s="114">
        <f t="shared" si="23"/>
        <v>0</v>
      </c>
      <c r="BJ47" s="114">
        <f t="shared" si="23"/>
        <v>0</v>
      </c>
      <c r="BK47" s="115">
        <f t="shared" si="23"/>
        <v>0</v>
      </c>
    </row>
    <row r="48" spans="2:63" x14ac:dyDescent="0.3">
      <c r="B48" s="120" t="s">
        <v>493</v>
      </c>
      <c r="C48" s="134">
        <f>O4-C49</f>
        <v>0.1</v>
      </c>
      <c r="D48" s="139">
        <f>SUM(F48:BK48)</f>
        <v>0</v>
      </c>
      <c r="E48" s="99"/>
      <c r="F48" s="118">
        <f>F44*$C$48</f>
        <v>0</v>
      </c>
      <c r="G48" s="118">
        <f t="shared" ref="G48:BK48" si="24">G44*$C$48</f>
        <v>0</v>
      </c>
      <c r="H48" s="118">
        <f t="shared" si="24"/>
        <v>0</v>
      </c>
      <c r="I48" s="118">
        <f t="shared" si="24"/>
        <v>0</v>
      </c>
      <c r="J48" s="118">
        <f t="shared" si="24"/>
        <v>0</v>
      </c>
      <c r="K48" s="118">
        <f t="shared" si="24"/>
        <v>0</v>
      </c>
      <c r="L48" s="118">
        <f t="shared" si="24"/>
        <v>0</v>
      </c>
      <c r="M48" s="118">
        <f t="shared" si="24"/>
        <v>0</v>
      </c>
      <c r="N48" s="118">
        <f t="shared" si="24"/>
        <v>0</v>
      </c>
      <c r="O48" s="118">
        <f t="shared" si="24"/>
        <v>0</v>
      </c>
      <c r="P48" s="118">
        <f t="shared" si="24"/>
        <v>0</v>
      </c>
      <c r="Q48" s="118">
        <f t="shared" si="24"/>
        <v>0</v>
      </c>
      <c r="R48" s="118">
        <f t="shared" si="24"/>
        <v>0</v>
      </c>
      <c r="S48" s="118">
        <f t="shared" si="24"/>
        <v>0</v>
      </c>
      <c r="T48" s="118">
        <f t="shared" si="24"/>
        <v>0</v>
      </c>
      <c r="U48" s="118">
        <f t="shared" si="24"/>
        <v>0</v>
      </c>
      <c r="V48" s="118">
        <f t="shared" si="24"/>
        <v>0</v>
      </c>
      <c r="W48" s="118">
        <f t="shared" si="24"/>
        <v>0</v>
      </c>
      <c r="X48" s="118">
        <f t="shared" si="24"/>
        <v>0</v>
      </c>
      <c r="Y48" s="118">
        <f t="shared" si="24"/>
        <v>0</v>
      </c>
      <c r="Z48" s="118">
        <f t="shared" si="24"/>
        <v>0</v>
      </c>
      <c r="AA48" s="118">
        <f t="shared" si="24"/>
        <v>0</v>
      </c>
      <c r="AB48" s="118">
        <f t="shared" si="24"/>
        <v>0</v>
      </c>
      <c r="AC48" s="118">
        <f t="shared" si="24"/>
        <v>0</v>
      </c>
      <c r="AD48" s="118">
        <f t="shared" si="24"/>
        <v>0</v>
      </c>
      <c r="AE48" s="118">
        <f t="shared" si="24"/>
        <v>0</v>
      </c>
      <c r="AF48" s="118">
        <f t="shared" si="24"/>
        <v>0</v>
      </c>
      <c r="AG48" s="118">
        <f t="shared" si="24"/>
        <v>0</v>
      </c>
      <c r="AH48" s="118">
        <f t="shared" si="24"/>
        <v>0</v>
      </c>
      <c r="AI48" s="118">
        <f t="shared" si="24"/>
        <v>0</v>
      </c>
      <c r="AJ48" s="118">
        <f t="shared" si="24"/>
        <v>0</v>
      </c>
      <c r="AK48" s="118">
        <f t="shared" si="24"/>
        <v>0</v>
      </c>
      <c r="AL48" s="118">
        <f t="shared" si="24"/>
        <v>0</v>
      </c>
      <c r="AM48" s="118">
        <f t="shared" si="24"/>
        <v>0</v>
      </c>
      <c r="AN48" s="118">
        <f t="shared" si="24"/>
        <v>0</v>
      </c>
      <c r="AO48" s="118">
        <f t="shared" si="24"/>
        <v>0</v>
      </c>
      <c r="AP48" s="118">
        <f t="shared" si="24"/>
        <v>0</v>
      </c>
      <c r="AQ48" s="118">
        <f t="shared" si="24"/>
        <v>0</v>
      </c>
      <c r="AR48" s="118">
        <f t="shared" si="24"/>
        <v>0</v>
      </c>
      <c r="AS48" s="118">
        <f t="shared" si="24"/>
        <v>0</v>
      </c>
      <c r="AT48" s="118">
        <f t="shared" si="24"/>
        <v>0</v>
      </c>
      <c r="AU48" s="118">
        <f t="shared" si="24"/>
        <v>0</v>
      </c>
      <c r="AV48" s="118">
        <f t="shared" si="24"/>
        <v>0</v>
      </c>
      <c r="AW48" s="118">
        <f t="shared" si="24"/>
        <v>0</v>
      </c>
      <c r="AX48" s="118">
        <f t="shared" si="24"/>
        <v>0</v>
      </c>
      <c r="AY48" s="118">
        <f t="shared" si="24"/>
        <v>0</v>
      </c>
      <c r="AZ48" s="118">
        <f t="shared" si="24"/>
        <v>0</v>
      </c>
      <c r="BA48" s="118">
        <f t="shared" si="24"/>
        <v>0</v>
      </c>
      <c r="BB48" s="118">
        <f t="shared" si="24"/>
        <v>0</v>
      </c>
      <c r="BC48" s="118">
        <f t="shared" si="24"/>
        <v>0</v>
      </c>
      <c r="BD48" s="118">
        <f t="shared" si="24"/>
        <v>0</v>
      </c>
      <c r="BE48" s="118">
        <f t="shared" si="24"/>
        <v>0</v>
      </c>
      <c r="BF48" s="118">
        <f t="shared" si="24"/>
        <v>0</v>
      </c>
      <c r="BG48" s="118">
        <f t="shared" si="24"/>
        <v>0</v>
      </c>
      <c r="BH48" s="118">
        <f t="shared" si="24"/>
        <v>0</v>
      </c>
      <c r="BI48" s="118">
        <f t="shared" si="24"/>
        <v>0</v>
      </c>
      <c r="BJ48" s="118">
        <f t="shared" si="24"/>
        <v>0</v>
      </c>
      <c r="BK48" s="121">
        <f t="shared" si="24"/>
        <v>0</v>
      </c>
    </row>
    <row r="49" spans="2:63" x14ac:dyDescent="0.3">
      <c r="B49" s="120" t="s">
        <v>494</v>
      </c>
      <c r="C49" s="134">
        <f>O4-K4</f>
        <v>0.19999999999999998</v>
      </c>
      <c r="D49" s="139">
        <f>SUM(F49:BK49)</f>
        <v>0</v>
      </c>
      <c r="E49" s="99"/>
      <c r="F49" s="118">
        <f>F44*$C$49</f>
        <v>0</v>
      </c>
      <c r="G49" s="118">
        <f t="shared" ref="G49:BK49" si="25">G44*$C$49</f>
        <v>0</v>
      </c>
      <c r="H49" s="118">
        <f t="shared" si="25"/>
        <v>0</v>
      </c>
      <c r="I49" s="118">
        <f t="shared" si="25"/>
        <v>0</v>
      </c>
      <c r="J49" s="118">
        <f t="shared" si="25"/>
        <v>0</v>
      </c>
      <c r="K49" s="118">
        <f t="shared" si="25"/>
        <v>0</v>
      </c>
      <c r="L49" s="118">
        <f t="shared" si="25"/>
        <v>0</v>
      </c>
      <c r="M49" s="118">
        <f t="shared" si="25"/>
        <v>0</v>
      </c>
      <c r="N49" s="118">
        <f t="shared" si="25"/>
        <v>0</v>
      </c>
      <c r="O49" s="118">
        <f t="shared" si="25"/>
        <v>0</v>
      </c>
      <c r="P49" s="118">
        <f t="shared" si="25"/>
        <v>0</v>
      </c>
      <c r="Q49" s="118">
        <f t="shared" si="25"/>
        <v>0</v>
      </c>
      <c r="R49" s="118">
        <f t="shared" si="25"/>
        <v>0</v>
      </c>
      <c r="S49" s="118">
        <f t="shared" si="25"/>
        <v>0</v>
      </c>
      <c r="T49" s="118">
        <f t="shared" si="25"/>
        <v>0</v>
      </c>
      <c r="U49" s="118">
        <f t="shared" si="25"/>
        <v>0</v>
      </c>
      <c r="V49" s="118">
        <f t="shared" si="25"/>
        <v>0</v>
      </c>
      <c r="W49" s="118">
        <f t="shared" si="25"/>
        <v>0</v>
      </c>
      <c r="X49" s="118">
        <f t="shared" si="25"/>
        <v>0</v>
      </c>
      <c r="Y49" s="118">
        <f t="shared" si="25"/>
        <v>0</v>
      </c>
      <c r="Z49" s="118">
        <f t="shared" si="25"/>
        <v>0</v>
      </c>
      <c r="AA49" s="118">
        <f t="shared" si="25"/>
        <v>0</v>
      </c>
      <c r="AB49" s="118">
        <f t="shared" si="25"/>
        <v>0</v>
      </c>
      <c r="AC49" s="118">
        <f t="shared" si="25"/>
        <v>0</v>
      </c>
      <c r="AD49" s="118">
        <f t="shared" si="25"/>
        <v>0</v>
      </c>
      <c r="AE49" s="118">
        <f t="shared" si="25"/>
        <v>0</v>
      </c>
      <c r="AF49" s="118">
        <f t="shared" si="25"/>
        <v>0</v>
      </c>
      <c r="AG49" s="118">
        <f t="shared" si="25"/>
        <v>0</v>
      </c>
      <c r="AH49" s="118">
        <f t="shared" si="25"/>
        <v>0</v>
      </c>
      <c r="AI49" s="118">
        <f t="shared" si="25"/>
        <v>0</v>
      </c>
      <c r="AJ49" s="118">
        <f t="shared" si="25"/>
        <v>0</v>
      </c>
      <c r="AK49" s="118">
        <f t="shared" si="25"/>
        <v>0</v>
      </c>
      <c r="AL49" s="118">
        <f t="shared" si="25"/>
        <v>0</v>
      </c>
      <c r="AM49" s="118">
        <f t="shared" si="25"/>
        <v>0</v>
      </c>
      <c r="AN49" s="118">
        <f t="shared" si="25"/>
        <v>0</v>
      </c>
      <c r="AO49" s="118">
        <f t="shared" si="25"/>
        <v>0</v>
      </c>
      <c r="AP49" s="118">
        <f t="shared" si="25"/>
        <v>0</v>
      </c>
      <c r="AQ49" s="118">
        <f t="shared" si="25"/>
        <v>0</v>
      </c>
      <c r="AR49" s="118">
        <f t="shared" si="25"/>
        <v>0</v>
      </c>
      <c r="AS49" s="118">
        <f t="shared" si="25"/>
        <v>0</v>
      </c>
      <c r="AT49" s="118">
        <f t="shared" si="25"/>
        <v>0</v>
      </c>
      <c r="AU49" s="118">
        <f t="shared" si="25"/>
        <v>0</v>
      </c>
      <c r="AV49" s="118">
        <f t="shared" si="25"/>
        <v>0</v>
      </c>
      <c r="AW49" s="118">
        <f t="shared" si="25"/>
        <v>0</v>
      </c>
      <c r="AX49" s="118">
        <f t="shared" si="25"/>
        <v>0</v>
      </c>
      <c r="AY49" s="118">
        <f t="shared" si="25"/>
        <v>0</v>
      </c>
      <c r="AZ49" s="118">
        <f t="shared" si="25"/>
        <v>0</v>
      </c>
      <c r="BA49" s="118">
        <f t="shared" si="25"/>
        <v>0</v>
      </c>
      <c r="BB49" s="118">
        <f t="shared" si="25"/>
        <v>0</v>
      </c>
      <c r="BC49" s="118">
        <f t="shared" si="25"/>
        <v>0</v>
      </c>
      <c r="BD49" s="118">
        <f t="shared" si="25"/>
        <v>0</v>
      </c>
      <c r="BE49" s="118">
        <f t="shared" si="25"/>
        <v>0</v>
      </c>
      <c r="BF49" s="118">
        <f t="shared" si="25"/>
        <v>0</v>
      </c>
      <c r="BG49" s="118">
        <f t="shared" si="25"/>
        <v>0</v>
      </c>
      <c r="BH49" s="118">
        <f t="shared" si="25"/>
        <v>0</v>
      </c>
      <c r="BI49" s="118">
        <f t="shared" si="25"/>
        <v>0</v>
      </c>
      <c r="BJ49" s="118">
        <f t="shared" si="25"/>
        <v>0</v>
      </c>
      <c r="BK49" s="121">
        <f t="shared" si="25"/>
        <v>0</v>
      </c>
    </row>
    <row r="50" spans="2:63" x14ac:dyDescent="0.3">
      <c r="B50" s="120"/>
      <c r="C50" s="99"/>
      <c r="D50" s="99"/>
      <c r="E50" s="99"/>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21"/>
    </row>
    <row r="51" spans="2:63" x14ac:dyDescent="0.3">
      <c r="B51" s="122" t="s">
        <v>16</v>
      </c>
      <c r="C51" s="92"/>
      <c r="D51" s="140">
        <f>SUM(F51:BK51)</f>
        <v>0</v>
      </c>
      <c r="E51" s="92"/>
      <c r="F51" s="132">
        <f>F44-SUM(F47:F49)</f>
        <v>0</v>
      </c>
      <c r="G51" s="132">
        <f t="shared" ref="G51:BK51" si="26">G44-SUM(G47:G49)</f>
        <v>0</v>
      </c>
      <c r="H51" s="132">
        <f t="shared" si="26"/>
        <v>0</v>
      </c>
      <c r="I51" s="132">
        <f t="shared" si="26"/>
        <v>0</v>
      </c>
      <c r="J51" s="132">
        <f t="shared" si="26"/>
        <v>0</v>
      </c>
      <c r="K51" s="132">
        <f t="shared" si="26"/>
        <v>0</v>
      </c>
      <c r="L51" s="132">
        <f t="shared" si="26"/>
        <v>0</v>
      </c>
      <c r="M51" s="132">
        <f t="shared" si="26"/>
        <v>0</v>
      </c>
      <c r="N51" s="132">
        <f t="shared" si="26"/>
        <v>0</v>
      </c>
      <c r="O51" s="132">
        <f t="shared" si="26"/>
        <v>0</v>
      </c>
      <c r="P51" s="132">
        <f t="shared" si="26"/>
        <v>0</v>
      </c>
      <c r="Q51" s="132">
        <f t="shared" si="26"/>
        <v>0</v>
      </c>
      <c r="R51" s="132">
        <f t="shared" si="26"/>
        <v>0</v>
      </c>
      <c r="S51" s="132">
        <f t="shared" si="26"/>
        <v>0</v>
      </c>
      <c r="T51" s="132">
        <f t="shared" si="26"/>
        <v>0</v>
      </c>
      <c r="U51" s="132">
        <f t="shared" si="26"/>
        <v>0</v>
      </c>
      <c r="V51" s="132">
        <f t="shared" si="26"/>
        <v>0</v>
      </c>
      <c r="W51" s="132">
        <f t="shared" si="26"/>
        <v>0</v>
      </c>
      <c r="X51" s="132">
        <f t="shared" si="26"/>
        <v>0</v>
      </c>
      <c r="Y51" s="132">
        <f t="shared" si="26"/>
        <v>0</v>
      </c>
      <c r="Z51" s="132">
        <f t="shared" si="26"/>
        <v>0</v>
      </c>
      <c r="AA51" s="132">
        <f t="shared" si="26"/>
        <v>0</v>
      </c>
      <c r="AB51" s="132">
        <f t="shared" si="26"/>
        <v>0</v>
      </c>
      <c r="AC51" s="132">
        <f t="shared" si="26"/>
        <v>0</v>
      </c>
      <c r="AD51" s="132">
        <f t="shared" si="26"/>
        <v>0</v>
      </c>
      <c r="AE51" s="132">
        <f t="shared" si="26"/>
        <v>0</v>
      </c>
      <c r="AF51" s="132">
        <f t="shared" si="26"/>
        <v>0</v>
      </c>
      <c r="AG51" s="132">
        <f t="shared" si="26"/>
        <v>0</v>
      </c>
      <c r="AH51" s="132">
        <f t="shared" si="26"/>
        <v>0</v>
      </c>
      <c r="AI51" s="132">
        <f t="shared" si="26"/>
        <v>0</v>
      </c>
      <c r="AJ51" s="132">
        <f t="shared" si="26"/>
        <v>0</v>
      </c>
      <c r="AK51" s="132">
        <f t="shared" si="26"/>
        <v>0</v>
      </c>
      <c r="AL51" s="132">
        <f t="shared" si="26"/>
        <v>0</v>
      </c>
      <c r="AM51" s="132">
        <f t="shared" si="26"/>
        <v>0</v>
      </c>
      <c r="AN51" s="132">
        <f t="shared" si="26"/>
        <v>0</v>
      </c>
      <c r="AO51" s="132">
        <f t="shared" si="26"/>
        <v>0</v>
      </c>
      <c r="AP51" s="132">
        <f t="shared" si="26"/>
        <v>0</v>
      </c>
      <c r="AQ51" s="132">
        <f t="shared" si="26"/>
        <v>0</v>
      </c>
      <c r="AR51" s="132">
        <f t="shared" si="26"/>
        <v>0</v>
      </c>
      <c r="AS51" s="132">
        <f t="shared" si="26"/>
        <v>0</v>
      </c>
      <c r="AT51" s="132">
        <f t="shared" si="26"/>
        <v>0</v>
      </c>
      <c r="AU51" s="132">
        <f t="shared" si="26"/>
        <v>0</v>
      </c>
      <c r="AV51" s="132">
        <f t="shared" si="26"/>
        <v>0</v>
      </c>
      <c r="AW51" s="132">
        <f t="shared" si="26"/>
        <v>0</v>
      </c>
      <c r="AX51" s="132">
        <f t="shared" si="26"/>
        <v>0</v>
      </c>
      <c r="AY51" s="132">
        <f t="shared" si="26"/>
        <v>0</v>
      </c>
      <c r="AZ51" s="132">
        <f t="shared" si="26"/>
        <v>0</v>
      </c>
      <c r="BA51" s="132">
        <f t="shared" si="26"/>
        <v>0</v>
      </c>
      <c r="BB51" s="132">
        <f t="shared" si="26"/>
        <v>0</v>
      </c>
      <c r="BC51" s="132">
        <f t="shared" si="26"/>
        <v>0</v>
      </c>
      <c r="BD51" s="132">
        <f t="shared" si="26"/>
        <v>0</v>
      </c>
      <c r="BE51" s="132">
        <f t="shared" si="26"/>
        <v>0</v>
      </c>
      <c r="BF51" s="132">
        <f t="shared" si="26"/>
        <v>0</v>
      </c>
      <c r="BG51" s="132">
        <f t="shared" si="26"/>
        <v>0</v>
      </c>
      <c r="BH51" s="132">
        <f t="shared" si="26"/>
        <v>0</v>
      </c>
      <c r="BI51" s="132">
        <f t="shared" si="26"/>
        <v>0</v>
      </c>
      <c r="BJ51" s="132">
        <f t="shared" si="26"/>
        <v>0</v>
      </c>
      <c r="BK51" s="133">
        <f t="shared" si="26"/>
        <v>0</v>
      </c>
    </row>
    <row r="53" spans="2:63" x14ac:dyDescent="0.3">
      <c r="F53" s="29" t="s">
        <v>36</v>
      </c>
      <c r="G53" s="28">
        <f t="shared" ref="G53:BK53" si="27">G8</f>
        <v>1</v>
      </c>
      <c r="H53" s="28">
        <f t="shared" si="27"/>
        <v>2</v>
      </c>
      <c r="I53" s="28">
        <f t="shared" si="27"/>
        <v>3</v>
      </c>
      <c r="J53" s="28">
        <f t="shared" si="27"/>
        <v>4</v>
      </c>
      <c r="K53" s="28">
        <f t="shared" si="27"/>
        <v>5</v>
      </c>
      <c r="L53" s="28">
        <f t="shared" si="27"/>
        <v>6</v>
      </c>
      <c r="M53" s="28">
        <f t="shared" si="27"/>
        <v>7</v>
      </c>
      <c r="N53" s="28">
        <f t="shared" si="27"/>
        <v>8</v>
      </c>
      <c r="O53" s="28">
        <f t="shared" si="27"/>
        <v>9</v>
      </c>
      <c r="P53" s="28">
        <f t="shared" si="27"/>
        <v>10</v>
      </c>
      <c r="Q53" s="28">
        <f t="shared" si="27"/>
        <v>11</v>
      </c>
      <c r="R53" s="28">
        <f t="shared" si="27"/>
        <v>12</v>
      </c>
      <c r="S53" s="28">
        <f t="shared" si="27"/>
        <v>13</v>
      </c>
      <c r="T53" s="28">
        <f t="shared" si="27"/>
        <v>14</v>
      </c>
      <c r="U53" s="28">
        <f t="shared" si="27"/>
        <v>15</v>
      </c>
      <c r="V53" s="28">
        <f t="shared" si="27"/>
        <v>16</v>
      </c>
      <c r="W53" s="28">
        <f t="shared" si="27"/>
        <v>17</v>
      </c>
      <c r="X53" s="28">
        <f t="shared" si="27"/>
        <v>18</v>
      </c>
      <c r="Y53" s="28">
        <f t="shared" si="27"/>
        <v>19</v>
      </c>
      <c r="Z53" s="28">
        <f t="shared" si="27"/>
        <v>20</v>
      </c>
      <c r="AA53" s="28">
        <f t="shared" si="27"/>
        <v>21</v>
      </c>
      <c r="AB53" s="28">
        <f t="shared" si="27"/>
        <v>22</v>
      </c>
      <c r="AC53" s="28">
        <f t="shared" si="27"/>
        <v>23</v>
      </c>
      <c r="AD53" s="28">
        <f t="shared" si="27"/>
        <v>24</v>
      </c>
      <c r="AE53" s="28">
        <f t="shared" si="27"/>
        <v>25</v>
      </c>
      <c r="AF53" s="28">
        <f t="shared" si="27"/>
        <v>26</v>
      </c>
      <c r="AG53" s="28">
        <f t="shared" si="27"/>
        <v>27</v>
      </c>
      <c r="AH53" s="28">
        <f t="shared" si="27"/>
        <v>28</v>
      </c>
      <c r="AI53" s="28">
        <f t="shared" si="27"/>
        <v>29</v>
      </c>
      <c r="AJ53" s="28">
        <f t="shared" si="27"/>
        <v>30</v>
      </c>
      <c r="AK53" s="28">
        <f t="shared" si="27"/>
        <v>31</v>
      </c>
      <c r="AL53" s="28">
        <f t="shared" si="27"/>
        <v>32</v>
      </c>
      <c r="AM53" s="28">
        <f t="shared" si="27"/>
        <v>33</v>
      </c>
      <c r="AN53" s="28">
        <f t="shared" si="27"/>
        <v>34</v>
      </c>
      <c r="AO53" s="28">
        <f t="shared" si="27"/>
        <v>35</v>
      </c>
      <c r="AP53" s="28">
        <f t="shared" si="27"/>
        <v>36</v>
      </c>
      <c r="AQ53" s="28">
        <f t="shared" si="27"/>
        <v>37</v>
      </c>
      <c r="AR53" s="28">
        <f t="shared" si="27"/>
        <v>38</v>
      </c>
      <c r="AS53" s="28">
        <f t="shared" si="27"/>
        <v>39</v>
      </c>
      <c r="AT53" s="28">
        <f t="shared" si="27"/>
        <v>40</v>
      </c>
      <c r="AU53" s="28">
        <f t="shared" si="27"/>
        <v>41</v>
      </c>
      <c r="AV53" s="28">
        <f t="shared" si="27"/>
        <v>42</v>
      </c>
      <c r="AW53" s="28">
        <f t="shared" si="27"/>
        <v>43</v>
      </c>
      <c r="AX53" s="28">
        <f t="shared" si="27"/>
        <v>44</v>
      </c>
      <c r="AY53" s="28">
        <f t="shared" si="27"/>
        <v>45</v>
      </c>
      <c r="AZ53" s="28">
        <f t="shared" si="27"/>
        <v>46</v>
      </c>
      <c r="BA53" s="28">
        <f t="shared" si="27"/>
        <v>47</v>
      </c>
      <c r="BB53" s="28">
        <f t="shared" si="27"/>
        <v>48</v>
      </c>
      <c r="BC53" s="28">
        <f t="shared" si="27"/>
        <v>49</v>
      </c>
      <c r="BD53" s="28">
        <f t="shared" si="27"/>
        <v>50</v>
      </c>
      <c r="BE53" s="28">
        <f t="shared" si="27"/>
        <v>51</v>
      </c>
      <c r="BF53" s="28">
        <f t="shared" si="27"/>
        <v>52</v>
      </c>
      <c r="BG53" s="28">
        <f t="shared" si="27"/>
        <v>53</v>
      </c>
      <c r="BH53" s="28">
        <f t="shared" si="27"/>
        <v>54</v>
      </c>
      <c r="BI53" s="28">
        <f t="shared" si="27"/>
        <v>55</v>
      </c>
      <c r="BJ53" s="28">
        <f t="shared" si="27"/>
        <v>56</v>
      </c>
      <c r="BK53" s="28">
        <f t="shared" si="27"/>
        <v>57</v>
      </c>
    </row>
    <row r="54" spans="2:63" x14ac:dyDescent="0.3">
      <c r="B54" s="4" t="s">
        <v>26</v>
      </c>
    </row>
    <row r="55" spans="2:63" x14ac:dyDescent="0.3">
      <c r="B55" s="112" t="s">
        <v>27</v>
      </c>
      <c r="C55" s="115">
        <f>SUM(F55:BK55)</f>
        <v>-6850000</v>
      </c>
      <c r="F55" s="10">
        <f>F17</f>
        <v>-5650000</v>
      </c>
      <c r="G55" s="10">
        <f t="shared" ref="G55:BK55" si="28">G17</f>
        <v>0</v>
      </c>
      <c r="H55" s="10">
        <f t="shared" si="28"/>
        <v>0</v>
      </c>
      <c r="I55" s="10">
        <f t="shared" si="28"/>
        <v>0</v>
      </c>
      <c r="J55" s="10">
        <f t="shared" si="28"/>
        <v>0</v>
      </c>
      <c r="K55" s="10">
        <f t="shared" si="28"/>
        <v>0</v>
      </c>
      <c r="L55" s="10">
        <f t="shared" si="28"/>
        <v>0</v>
      </c>
      <c r="M55" s="10">
        <f t="shared" si="28"/>
        <v>0</v>
      </c>
      <c r="N55" s="10">
        <f t="shared" si="28"/>
        <v>0</v>
      </c>
      <c r="O55" s="10">
        <f t="shared" si="28"/>
        <v>0</v>
      </c>
      <c r="P55" s="10">
        <f t="shared" si="28"/>
        <v>0</v>
      </c>
      <c r="Q55" s="10">
        <f t="shared" si="28"/>
        <v>0</v>
      </c>
      <c r="R55" s="10">
        <f t="shared" si="28"/>
        <v>0</v>
      </c>
      <c r="S55" s="10">
        <f t="shared" si="28"/>
        <v>0</v>
      </c>
      <c r="T55" s="10">
        <f t="shared" si="28"/>
        <v>0</v>
      </c>
      <c r="U55" s="10">
        <f t="shared" si="28"/>
        <v>0</v>
      </c>
      <c r="V55" s="10">
        <f t="shared" si="28"/>
        <v>0</v>
      </c>
      <c r="W55" s="10">
        <f t="shared" si="28"/>
        <v>-300000</v>
      </c>
      <c r="X55" s="10">
        <f t="shared" si="28"/>
        <v>0</v>
      </c>
      <c r="Y55" s="10">
        <f t="shared" si="28"/>
        <v>0</v>
      </c>
      <c r="Z55" s="10">
        <f t="shared" si="28"/>
        <v>0</v>
      </c>
      <c r="AA55" s="10">
        <f t="shared" si="28"/>
        <v>0</v>
      </c>
      <c r="AB55" s="10">
        <f t="shared" si="28"/>
        <v>-300000</v>
      </c>
      <c r="AC55" s="10">
        <f t="shared" si="28"/>
        <v>0</v>
      </c>
      <c r="AD55" s="10">
        <f t="shared" si="28"/>
        <v>0</v>
      </c>
      <c r="AE55" s="10">
        <f t="shared" si="28"/>
        <v>0</v>
      </c>
      <c r="AF55" s="10">
        <f t="shared" si="28"/>
        <v>0</v>
      </c>
      <c r="AG55" s="10">
        <f t="shared" si="28"/>
        <v>0</v>
      </c>
      <c r="AH55" s="10">
        <f t="shared" si="28"/>
        <v>0</v>
      </c>
      <c r="AI55" s="10">
        <f t="shared" si="28"/>
        <v>0</v>
      </c>
      <c r="AJ55" s="10">
        <f t="shared" si="28"/>
        <v>0</v>
      </c>
      <c r="AK55" s="10">
        <f t="shared" si="28"/>
        <v>0</v>
      </c>
      <c r="AL55" s="10">
        <f t="shared" si="28"/>
        <v>0</v>
      </c>
      <c r="AM55" s="10">
        <f t="shared" si="28"/>
        <v>0</v>
      </c>
      <c r="AN55" s="10">
        <f t="shared" si="28"/>
        <v>0</v>
      </c>
      <c r="AO55" s="10">
        <f t="shared" si="28"/>
        <v>0</v>
      </c>
      <c r="AP55" s="10">
        <f t="shared" si="28"/>
        <v>0</v>
      </c>
      <c r="AQ55" s="10">
        <f t="shared" si="28"/>
        <v>0</v>
      </c>
      <c r="AR55" s="10">
        <f t="shared" si="28"/>
        <v>0</v>
      </c>
      <c r="AS55" s="10">
        <f t="shared" si="28"/>
        <v>0</v>
      </c>
      <c r="AT55" s="10">
        <f t="shared" si="28"/>
        <v>0</v>
      </c>
      <c r="AU55" s="10">
        <f t="shared" si="28"/>
        <v>0</v>
      </c>
      <c r="AV55" s="10">
        <f t="shared" si="28"/>
        <v>0</v>
      </c>
      <c r="AW55" s="10">
        <f t="shared" si="28"/>
        <v>0</v>
      </c>
      <c r="AX55" s="10">
        <f t="shared" si="28"/>
        <v>0</v>
      </c>
      <c r="AY55" s="10">
        <f t="shared" si="28"/>
        <v>0</v>
      </c>
      <c r="AZ55" s="10">
        <f t="shared" si="28"/>
        <v>0</v>
      </c>
      <c r="BA55" s="10">
        <f t="shared" si="28"/>
        <v>0</v>
      </c>
      <c r="BB55" s="10">
        <f t="shared" si="28"/>
        <v>0</v>
      </c>
      <c r="BC55" s="10">
        <f t="shared" si="28"/>
        <v>-300000</v>
      </c>
      <c r="BD55" s="10">
        <f t="shared" si="28"/>
        <v>0</v>
      </c>
      <c r="BE55" s="10">
        <f t="shared" si="28"/>
        <v>0</v>
      </c>
      <c r="BF55" s="10">
        <f t="shared" si="28"/>
        <v>0</v>
      </c>
      <c r="BG55" s="10">
        <f t="shared" si="28"/>
        <v>0</v>
      </c>
      <c r="BH55" s="10">
        <f t="shared" si="28"/>
        <v>0</v>
      </c>
      <c r="BI55" s="10">
        <f t="shared" si="28"/>
        <v>-300000</v>
      </c>
      <c r="BJ55" s="10">
        <f t="shared" si="28"/>
        <v>0</v>
      </c>
      <c r="BK55" s="10">
        <f t="shared" si="28"/>
        <v>0</v>
      </c>
    </row>
    <row r="56" spans="2:63" x14ac:dyDescent="0.3">
      <c r="B56" s="120" t="s">
        <v>28</v>
      </c>
      <c r="C56" s="121">
        <f>SUM(F56:BK56)</f>
        <v>11118868.096666664</v>
      </c>
      <c r="F56" s="10">
        <f>F11</f>
        <v>0</v>
      </c>
      <c r="G56" s="10">
        <f>G11</f>
        <v>0</v>
      </c>
      <c r="H56" s="10">
        <f t="shared" ref="H56:BK56" si="29">H11</f>
        <v>0</v>
      </c>
      <c r="I56" s="10">
        <f t="shared" si="29"/>
        <v>0</v>
      </c>
      <c r="J56" s="10">
        <f t="shared" si="29"/>
        <v>0</v>
      </c>
      <c r="K56" s="10">
        <f t="shared" si="29"/>
        <v>0</v>
      </c>
      <c r="L56" s="10">
        <f t="shared" si="29"/>
        <v>0</v>
      </c>
      <c r="M56" s="10">
        <f t="shared" si="29"/>
        <v>0</v>
      </c>
      <c r="N56" s="10">
        <f t="shared" si="29"/>
        <v>0</v>
      </c>
      <c r="O56" s="10">
        <f t="shared" si="29"/>
        <v>0</v>
      </c>
      <c r="P56" s="10">
        <f t="shared" si="29"/>
        <v>0</v>
      </c>
      <c r="Q56" s="10">
        <f t="shared" si="29"/>
        <v>0</v>
      </c>
      <c r="R56" s="10">
        <f t="shared" si="29"/>
        <v>0</v>
      </c>
      <c r="S56" s="10">
        <f t="shared" si="29"/>
        <v>0</v>
      </c>
      <c r="T56" s="10">
        <f t="shared" si="29"/>
        <v>0</v>
      </c>
      <c r="U56" s="10">
        <f t="shared" si="29"/>
        <v>0</v>
      </c>
      <c r="V56" s="10">
        <f t="shared" si="29"/>
        <v>0</v>
      </c>
      <c r="W56" s="10">
        <f t="shared" si="29"/>
        <v>0</v>
      </c>
      <c r="X56" s="10">
        <f t="shared" si="29"/>
        <v>0</v>
      </c>
      <c r="Y56" s="10">
        <f t="shared" si="29"/>
        <v>0</v>
      </c>
      <c r="Z56" s="10">
        <f t="shared" si="29"/>
        <v>0</v>
      </c>
      <c r="AA56" s="10">
        <f t="shared" si="29"/>
        <v>0</v>
      </c>
      <c r="AB56" s="10">
        <f t="shared" si="29"/>
        <v>0</v>
      </c>
      <c r="AC56" s="10">
        <f t="shared" si="29"/>
        <v>0</v>
      </c>
      <c r="AD56" s="10">
        <f t="shared" si="29"/>
        <v>7000000</v>
      </c>
      <c r="AE56" s="10">
        <f t="shared" si="29"/>
        <v>0</v>
      </c>
      <c r="AF56" s="10">
        <f t="shared" si="29"/>
        <v>0</v>
      </c>
      <c r="AG56" s="10">
        <f t="shared" si="29"/>
        <v>0</v>
      </c>
      <c r="AH56" s="10">
        <f t="shared" si="29"/>
        <v>0</v>
      </c>
      <c r="AI56" s="10">
        <f t="shared" si="29"/>
        <v>100000</v>
      </c>
      <c r="AJ56" s="10">
        <f t="shared" si="29"/>
        <v>0</v>
      </c>
      <c r="AK56" s="10">
        <f t="shared" si="29"/>
        <v>500000</v>
      </c>
      <c r="AL56" s="10">
        <f t="shared" si="29"/>
        <v>0</v>
      </c>
      <c r="AM56" s="10">
        <f t="shared" si="29"/>
        <v>0</v>
      </c>
      <c r="AN56" s="10">
        <f t="shared" si="29"/>
        <v>100000</v>
      </c>
      <c r="AO56" s="10">
        <f t="shared" si="29"/>
        <v>0</v>
      </c>
      <c r="AP56" s="10">
        <f t="shared" si="29"/>
        <v>0</v>
      </c>
      <c r="AQ56" s="10">
        <f t="shared" si="29"/>
        <v>0</v>
      </c>
      <c r="AR56" s="10">
        <f t="shared" si="29"/>
        <v>100000</v>
      </c>
      <c r="AS56" s="10">
        <f t="shared" si="29"/>
        <v>0</v>
      </c>
      <c r="AT56" s="10">
        <f t="shared" si="29"/>
        <v>0</v>
      </c>
      <c r="AU56" s="10">
        <f t="shared" si="29"/>
        <v>300000</v>
      </c>
      <c r="AV56" s="10">
        <f t="shared" si="29"/>
        <v>0</v>
      </c>
      <c r="AW56" s="10">
        <f t="shared" si="29"/>
        <v>0</v>
      </c>
      <c r="AX56" s="10">
        <f t="shared" si="29"/>
        <v>0</v>
      </c>
      <c r="AY56" s="10">
        <f t="shared" si="29"/>
        <v>0</v>
      </c>
      <c r="AZ56" s="10">
        <f t="shared" si="29"/>
        <v>0</v>
      </c>
      <c r="BA56" s="10">
        <f t="shared" si="29"/>
        <v>0</v>
      </c>
      <c r="BB56" s="10">
        <f t="shared" si="29"/>
        <v>0</v>
      </c>
      <c r="BC56" s="10">
        <f t="shared" si="29"/>
        <v>0</v>
      </c>
      <c r="BD56" s="10">
        <f t="shared" si="29"/>
        <v>0</v>
      </c>
      <c r="BE56" s="10">
        <f t="shared" si="29"/>
        <v>0</v>
      </c>
      <c r="BF56" s="10">
        <f t="shared" si="29"/>
        <v>0</v>
      </c>
      <c r="BG56" s="10">
        <f t="shared" si="29"/>
        <v>0</v>
      </c>
      <c r="BH56" s="10">
        <f t="shared" si="29"/>
        <v>0</v>
      </c>
      <c r="BI56" s="10">
        <f t="shared" si="29"/>
        <v>0</v>
      </c>
      <c r="BJ56" s="10">
        <f t="shared" si="29"/>
        <v>0</v>
      </c>
      <c r="BK56" s="10">
        <f t="shared" si="29"/>
        <v>3018868.0966666639</v>
      </c>
    </row>
    <row r="57" spans="2:63" x14ac:dyDescent="0.3">
      <c r="B57" s="120" t="s">
        <v>29</v>
      </c>
      <c r="C57" s="121">
        <f>SUM(F57:BK57)</f>
        <v>4268868.0966666639</v>
      </c>
      <c r="F57" s="136">
        <f>SUM(F55:F56)</f>
        <v>-5650000</v>
      </c>
      <c r="G57" s="136">
        <f t="shared" ref="G57:BK57" si="30">SUM(G55:G56)</f>
        <v>0</v>
      </c>
      <c r="H57" s="136">
        <f t="shared" si="30"/>
        <v>0</v>
      </c>
      <c r="I57" s="136">
        <f t="shared" si="30"/>
        <v>0</v>
      </c>
      <c r="J57" s="136">
        <f t="shared" si="30"/>
        <v>0</v>
      </c>
      <c r="K57" s="136">
        <f t="shared" si="30"/>
        <v>0</v>
      </c>
      <c r="L57" s="136">
        <f t="shared" si="30"/>
        <v>0</v>
      </c>
      <c r="M57" s="136">
        <f t="shared" si="30"/>
        <v>0</v>
      </c>
      <c r="N57" s="136">
        <f t="shared" si="30"/>
        <v>0</v>
      </c>
      <c r="O57" s="136">
        <f t="shared" si="30"/>
        <v>0</v>
      </c>
      <c r="P57" s="136">
        <f t="shared" si="30"/>
        <v>0</v>
      </c>
      <c r="Q57" s="136">
        <f t="shared" si="30"/>
        <v>0</v>
      </c>
      <c r="R57" s="136">
        <f t="shared" si="30"/>
        <v>0</v>
      </c>
      <c r="S57" s="136">
        <f t="shared" si="30"/>
        <v>0</v>
      </c>
      <c r="T57" s="136">
        <f t="shared" si="30"/>
        <v>0</v>
      </c>
      <c r="U57" s="136">
        <f t="shared" si="30"/>
        <v>0</v>
      </c>
      <c r="V57" s="136">
        <f t="shared" si="30"/>
        <v>0</v>
      </c>
      <c r="W57" s="136">
        <f t="shared" si="30"/>
        <v>-300000</v>
      </c>
      <c r="X57" s="136">
        <f t="shared" si="30"/>
        <v>0</v>
      </c>
      <c r="Y57" s="136">
        <f t="shared" si="30"/>
        <v>0</v>
      </c>
      <c r="Z57" s="136">
        <f t="shared" si="30"/>
        <v>0</v>
      </c>
      <c r="AA57" s="136">
        <f t="shared" si="30"/>
        <v>0</v>
      </c>
      <c r="AB57" s="136">
        <f t="shared" si="30"/>
        <v>-300000</v>
      </c>
      <c r="AC57" s="136">
        <f t="shared" si="30"/>
        <v>0</v>
      </c>
      <c r="AD57" s="136">
        <f t="shared" si="30"/>
        <v>7000000</v>
      </c>
      <c r="AE57" s="136">
        <f t="shared" si="30"/>
        <v>0</v>
      </c>
      <c r="AF57" s="136">
        <f t="shared" si="30"/>
        <v>0</v>
      </c>
      <c r="AG57" s="136">
        <f t="shared" si="30"/>
        <v>0</v>
      </c>
      <c r="AH57" s="136">
        <f t="shared" si="30"/>
        <v>0</v>
      </c>
      <c r="AI57" s="136">
        <f t="shared" si="30"/>
        <v>100000</v>
      </c>
      <c r="AJ57" s="136">
        <f t="shared" si="30"/>
        <v>0</v>
      </c>
      <c r="AK57" s="136">
        <f t="shared" si="30"/>
        <v>500000</v>
      </c>
      <c r="AL57" s="136">
        <f t="shared" si="30"/>
        <v>0</v>
      </c>
      <c r="AM57" s="136">
        <f t="shared" si="30"/>
        <v>0</v>
      </c>
      <c r="AN57" s="136">
        <f t="shared" si="30"/>
        <v>100000</v>
      </c>
      <c r="AO57" s="136">
        <f t="shared" si="30"/>
        <v>0</v>
      </c>
      <c r="AP57" s="136">
        <f t="shared" si="30"/>
        <v>0</v>
      </c>
      <c r="AQ57" s="136">
        <f t="shared" si="30"/>
        <v>0</v>
      </c>
      <c r="AR57" s="136">
        <f t="shared" si="30"/>
        <v>100000</v>
      </c>
      <c r="AS57" s="136">
        <f t="shared" si="30"/>
        <v>0</v>
      </c>
      <c r="AT57" s="136">
        <f t="shared" si="30"/>
        <v>0</v>
      </c>
      <c r="AU57" s="136">
        <f t="shared" si="30"/>
        <v>300000</v>
      </c>
      <c r="AV57" s="136">
        <f t="shared" si="30"/>
        <v>0</v>
      </c>
      <c r="AW57" s="136">
        <f t="shared" si="30"/>
        <v>0</v>
      </c>
      <c r="AX57" s="136">
        <f t="shared" si="30"/>
        <v>0</v>
      </c>
      <c r="AY57" s="136">
        <f t="shared" si="30"/>
        <v>0</v>
      </c>
      <c r="AZ57" s="136">
        <f t="shared" si="30"/>
        <v>0</v>
      </c>
      <c r="BA57" s="136">
        <f t="shared" si="30"/>
        <v>0</v>
      </c>
      <c r="BB57" s="136">
        <f t="shared" si="30"/>
        <v>0</v>
      </c>
      <c r="BC57" s="136">
        <f t="shared" si="30"/>
        <v>-300000</v>
      </c>
      <c r="BD57" s="136">
        <f t="shared" si="30"/>
        <v>0</v>
      </c>
      <c r="BE57" s="136">
        <f t="shared" si="30"/>
        <v>0</v>
      </c>
      <c r="BF57" s="136">
        <f t="shared" si="30"/>
        <v>0</v>
      </c>
      <c r="BG57" s="136">
        <f t="shared" si="30"/>
        <v>0</v>
      </c>
      <c r="BH57" s="136">
        <f t="shared" si="30"/>
        <v>0</v>
      </c>
      <c r="BI57" s="136">
        <f t="shared" si="30"/>
        <v>-300000</v>
      </c>
      <c r="BJ57" s="136">
        <f t="shared" si="30"/>
        <v>0</v>
      </c>
      <c r="BK57" s="136">
        <f t="shared" si="30"/>
        <v>3018868.0966666639</v>
      </c>
    </row>
    <row r="58" spans="2:63" x14ac:dyDescent="0.3">
      <c r="B58" s="120" t="s">
        <v>30</v>
      </c>
      <c r="C58" s="145">
        <f>(IRR(F57:BK57)+1)^12-1</f>
        <v>0.23348405013343676</v>
      </c>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row>
    <row r="59" spans="2:63" x14ac:dyDescent="0.3">
      <c r="B59" s="131" t="s">
        <v>31</v>
      </c>
      <c r="C59" s="146">
        <f>C57/-C55+1</f>
        <v>1.6231924228710457</v>
      </c>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row>
    <row r="60" spans="2:63" x14ac:dyDescent="0.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row>
    <row r="61" spans="2:63" x14ac:dyDescent="0.3">
      <c r="B61" s="4" t="s">
        <v>32</v>
      </c>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row>
    <row r="62" spans="2:63" x14ac:dyDescent="0.3">
      <c r="B62" s="112" t="s">
        <v>33</v>
      </c>
      <c r="C62" s="115">
        <f>SUM(F62:BK62)</f>
        <v>-6730000</v>
      </c>
      <c r="F62" s="10">
        <f>F16</f>
        <v>-5650000</v>
      </c>
      <c r="G62" s="10">
        <f t="shared" ref="G62:BK62" si="31">G16</f>
        <v>0</v>
      </c>
      <c r="H62" s="10">
        <f t="shared" si="31"/>
        <v>0</v>
      </c>
      <c r="I62" s="10">
        <f t="shared" si="31"/>
        <v>0</v>
      </c>
      <c r="J62" s="10">
        <f t="shared" si="31"/>
        <v>0</v>
      </c>
      <c r="K62" s="10">
        <f t="shared" si="31"/>
        <v>0</v>
      </c>
      <c r="L62" s="10">
        <f t="shared" si="31"/>
        <v>0</v>
      </c>
      <c r="M62" s="10">
        <f t="shared" si="31"/>
        <v>0</v>
      </c>
      <c r="N62" s="10">
        <f t="shared" si="31"/>
        <v>0</v>
      </c>
      <c r="O62" s="10">
        <f t="shared" si="31"/>
        <v>0</v>
      </c>
      <c r="P62" s="10">
        <f t="shared" si="31"/>
        <v>0</v>
      </c>
      <c r="Q62" s="10">
        <f t="shared" si="31"/>
        <v>0</v>
      </c>
      <c r="R62" s="10">
        <f t="shared" si="31"/>
        <v>0</v>
      </c>
      <c r="S62" s="10">
        <f t="shared" si="31"/>
        <v>0</v>
      </c>
      <c r="T62" s="10">
        <f t="shared" si="31"/>
        <v>0</v>
      </c>
      <c r="U62" s="10">
        <f t="shared" si="31"/>
        <v>0</v>
      </c>
      <c r="V62" s="10">
        <f t="shared" si="31"/>
        <v>0</v>
      </c>
      <c r="W62" s="10">
        <f t="shared" si="31"/>
        <v>-270000</v>
      </c>
      <c r="X62" s="10">
        <f t="shared" si="31"/>
        <v>0</v>
      </c>
      <c r="Y62" s="10">
        <f t="shared" si="31"/>
        <v>0</v>
      </c>
      <c r="Z62" s="10">
        <f t="shared" si="31"/>
        <v>0</v>
      </c>
      <c r="AA62" s="10">
        <f t="shared" si="31"/>
        <v>0</v>
      </c>
      <c r="AB62" s="10">
        <f t="shared" si="31"/>
        <v>-270000</v>
      </c>
      <c r="AC62" s="10">
        <f t="shared" si="31"/>
        <v>0</v>
      </c>
      <c r="AD62" s="10">
        <f t="shared" si="31"/>
        <v>0</v>
      </c>
      <c r="AE62" s="10">
        <f t="shared" si="31"/>
        <v>0</v>
      </c>
      <c r="AF62" s="10">
        <f t="shared" si="31"/>
        <v>0</v>
      </c>
      <c r="AG62" s="10">
        <f t="shared" si="31"/>
        <v>0</v>
      </c>
      <c r="AH62" s="10">
        <f t="shared" si="31"/>
        <v>0</v>
      </c>
      <c r="AI62" s="10">
        <f t="shared" si="31"/>
        <v>0</v>
      </c>
      <c r="AJ62" s="10">
        <f t="shared" si="31"/>
        <v>0</v>
      </c>
      <c r="AK62" s="10">
        <f t="shared" si="31"/>
        <v>0</v>
      </c>
      <c r="AL62" s="10">
        <f t="shared" si="31"/>
        <v>0</v>
      </c>
      <c r="AM62" s="10">
        <f t="shared" si="31"/>
        <v>0</v>
      </c>
      <c r="AN62" s="10">
        <f t="shared" si="31"/>
        <v>0</v>
      </c>
      <c r="AO62" s="10">
        <f t="shared" si="31"/>
        <v>0</v>
      </c>
      <c r="AP62" s="10">
        <f t="shared" si="31"/>
        <v>0</v>
      </c>
      <c r="AQ62" s="10">
        <f t="shared" si="31"/>
        <v>0</v>
      </c>
      <c r="AR62" s="10">
        <f t="shared" si="31"/>
        <v>0</v>
      </c>
      <c r="AS62" s="10">
        <f t="shared" si="31"/>
        <v>0</v>
      </c>
      <c r="AT62" s="10">
        <f t="shared" si="31"/>
        <v>0</v>
      </c>
      <c r="AU62" s="10">
        <f t="shared" si="31"/>
        <v>0</v>
      </c>
      <c r="AV62" s="10">
        <f t="shared" si="31"/>
        <v>0</v>
      </c>
      <c r="AW62" s="10">
        <f t="shared" si="31"/>
        <v>0</v>
      </c>
      <c r="AX62" s="10">
        <f t="shared" si="31"/>
        <v>0</v>
      </c>
      <c r="AY62" s="10">
        <f t="shared" si="31"/>
        <v>0</v>
      </c>
      <c r="AZ62" s="10">
        <f t="shared" si="31"/>
        <v>0</v>
      </c>
      <c r="BA62" s="10">
        <f t="shared" si="31"/>
        <v>0</v>
      </c>
      <c r="BB62" s="10">
        <f t="shared" si="31"/>
        <v>0</v>
      </c>
      <c r="BC62" s="10">
        <f t="shared" si="31"/>
        <v>-270000</v>
      </c>
      <c r="BD62" s="10">
        <f t="shared" si="31"/>
        <v>0</v>
      </c>
      <c r="BE62" s="10">
        <f t="shared" si="31"/>
        <v>0</v>
      </c>
      <c r="BF62" s="10">
        <f t="shared" si="31"/>
        <v>0</v>
      </c>
      <c r="BG62" s="10">
        <f t="shared" si="31"/>
        <v>0</v>
      </c>
      <c r="BH62" s="10">
        <f t="shared" si="31"/>
        <v>0</v>
      </c>
      <c r="BI62" s="10">
        <f t="shared" si="31"/>
        <v>-270000</v>
      </c>
      <c r="BJ62" s="10">
        <f t="shared" si="31"/>
        <v>0</v>
      </c>
      <c r="BK62" s="10">
        <f t="shared" si="31"/>
        <v>0</v>
      </c>
    </row>
    <row r="63" spans="2:63" x14ac:dyDescent="0.3">
      <c r="B63" s="120" t="s">
        <v>28</v>
      </c>
      <c r="C63" s="121">
        <f>SUM(F63:BK63)</f>
        <v>9794192.4355144128</v>
      </c>
      <c r="F63" s="10">
        <f>-F23-F37+F47</f>
        <v>0</v>
      </c>
      <c r="G63" s="10">
        <f t="shared" ref="G63:BK63" si="32">-G23-G37+G47</f>
        <v>0</v>
      </c>
      <c r="H63" s="10">
        <f t="shared" si="32"/>
        <v>0</v>
      </c>
      <c r="I63" s="10">
        <f t="shared" si="32"/>
        <v>0</v>
      </c>
      <c r="J63" s="10">
        <f t="shared" si="32"/>
        <v>0</v>
      </c>
      <c r="K63" s="10">
        <f t="shared" si="32"/>
        <v>0</v>
      </c>
      <c r="L63" s="10">
        <f t="shared" si="32"/>
        <v>0</v>
      </c>
      <c r="M63" s="10">
        <f t="shared" si="32"/>
        <v>0</v>
      </c>
      <c r="N63" s="10">
        <f t="shared" si="32"/>
        <v>0</v>
      </c>
      <c r="O63" s="10">
        <f t="shared" si="32"/>
        <v>0</v>
      </c>
      <c r="P63" s="10">
        <f t="shared" si="32"/>
        <v>0</v>
      </c>
      <c r="Q63" s="10">
        <f t="shared" si="32"/>
        <v>0</v>
      </c>
      <c r="R63" s="10">
        <f t="shared" si="32"/>
        <v>0</v>
      </c>
      <c r="S63" s="10">
        <f t="shared" si="32"/>
        <v>0</v>
      </c>
      <c r="T63" s="10">
        <f t="shared" si="32"/>
        <v>0</v>
      </c>
      <c r="U63" s="10">
        <f t="shared" si="32"/>
        <v>0</v>
      </c>
      <c r="V63" s="10">
        <f t="shared" si="32"/>
        <v>0</v>
      </c>
      <c r="W63" s="10">
        <f t="shared" si="32"/>
        <v>0</v>
      </c>
      <c r="X63" s="10">
        <f t="shared" si="32"/>
        <v>0</v>
      </c>
      <c r="Y63" s="10">
        <f t="shared" si="32"/>
        <v>0</v>
      </c>
      <c r="Z63" s="10">
        <f t="shared" si="32"/>
        <v>0</v>
      </c>
      <c r="AA63" s="10">
        <f t="shared" si="32"/>
        <v>0</v>
      </c>
      <c r="AB63" s="10">
        <f t="shared" si="32"/>
        <v>0</v>
      </c>
      <c r="AC63" s="10">
        <f t="shared" si="32"/>
        <v>0</v>
      </c>
      <c r="AD63" s="10">
        <f t="shared" si="32"/>
        <v>6300000</v>
      </c>
      <c r="AE63" s="10">
        <f t="shared" si="32"/>
        <v>0</v>
      </c>
      <c r="AF63" s="10">
        <f t="shared" si="32"/>
        <v>0</v>
      </c>
      <c r="AG63" s="10">
        <f t="shared" si="32"/>
        <v>0</v>
      </c>
      <c r="AH63" s="10">
        <f t="shared" si="32"/>
        <v>0</v>
      </c>
      <c r="AI63" s="10">
        <f t="shared" si="32"/>
        <v>90000</v>
      </c>
      <c r="AJ63" s="10">
        <f t="shared" si="32"/>
        <v>0</v>
      </c>
      <c r="AK63" s="10">
        <f t="shared" si="32"/>
        <v>450000</v>
      </c>
      <c r="AL63" s="10">
        <f t="shared" si="32"/>
        <v>0</v>
      </c>
      <c r="AM63" s="10">
        <f t="shared" si="32"/>
        <v>0</v>
      </c>
      <c r="AN63" s="10">
        <f t="shared" si="32"/>
        <v>90000</v>
      </c>
      <c r="AO63" s="10">
        <f t="shared" si="32"/>
        <v>0</v>
      </c>
      <c r="AP63" s="10">
        <f t="shared" si="32"/>
        <v>0</v>
      </c>
      <c r="AQ63" s="10">
        <f t="shared" si="32"/>
        <v>0</v>
      </c>
      <c r="AR63" s="10">
        <f t="shared" si="32"/>
        <v>90000</v>
      </c>
      <c r="AS63" s="10">
        <f t="shared" si="32"/>
        <v>0</v>
      </c>
      <c r="AT63" s="10">
        <f t="shared" si="32"/>
        <v>0</v>
      </c>
      <c r="AU63" s="10">
        <f t="shared" si="32"/>
        <v>270000</v>
      </c>
      <c r="AV63" s="10">
        <f t="shared" si="32"/>
        <v>0</v>
      </c>
      <c r="AW63" s="10">
        <f t="shared" si="32"/>
        <v>0</v>
      </c>
      <c r="AX63" s="10">
        <f t="shared" si="32"/>
        <v>0</v>
      </c>
      <c r="AY63" s="10">
        <f t="shared" si="32"/>
        <v>0</v>
      </c>
      <c r="AZ63" s="10">
        <f t="shared" si="32"/>
        <v>0</v>
      </c>
      <c r="BA63" s="10">
        <f t="shared" si="32"/>
        <v>0</v>
      </c>
      <c r="BB63" s="10">
        <f t="shared" si="32"/>
        <v>0</v>
      </c>
      <c r="BC63" s="10">
        <f t="shared" si="32"/>
        <v>0</v>
      </c>
      <c r="BD63" s="10">
        <f t="shared" si="32"/>
        <v>0</v>
      </c>
      <c r="BE63" s="10">
        <f t="shared" si="32"/>
        <v>0</v>
      </c>
      <c r="BF63" s="10">
        <f t="shared" si="32"/>
        <v>0</v>
      </c>
      <c r="BG63" s="10">
        <f t="shared" si="32"/>
        <v>0</v>
      </c>
      <c r="BH63" s="10">
        <f t="shared" si="32"/>
        <v>0</v>
      </c>
      <c r="BI63" s="10">
        <f t="shared" si="32"/>
        <v>0</v>
      </c>
      <c r="BJ63" s="10">
        <f t="shared" si="32"/>
        <v>0</v>
      </c>
      <c r="BK63" s="10">
        <f t="shared" si="32"/>
        <v>2504192.4355144124</v>
      </c>
    </row>
    <row r="64" spans="2:63" x14ac:dyDescent="0.3">
      <c r="B64" s="120" t="s">
        <v>29</v>
      </c>
      <c r="C64" s="121">
        <f>SUM(F64:BK64)</f>
        <v>3064192.4355144124</v>
      </c>
      <c r="F64" s="136">
        <f>SUM(F62:F63)</f>
        <v>-5650000</v>
      </c>
      <c r="G64" s="136">
        <f t="shared" ref="G64:BK64" si="33">SUM(G62:G63)</f>
        <v>0</v>
      </c>
      <c r="H64" s="136">
        <f t="shared" si="33"/>
        <v>0</v>
      </c>
      <c r="I64" s="136">
        <f t="shared" si="33"/>
        <v>0</v>
      </c>
      <c r="J64" s="136">
        <f t="shared" si="33"/>
        <v>0</v>
      </c>
      <c r="K64" s="136">
        <f t="shared" si="33"/>
        <v>0</v>
      </c>
      <c r="L64" s="136">
        <f t="shared" si="33"/>
        <v>0</v>
      </c>
      <c r="M64" s="136">
        <f t="shared" si="33"/>
        <v>0</v>
      </c>
      <c r="N64" s="136">
        <f t="shared" si="33"/>
        <v>0</v>
      </c>
      <c r="O64" s="136">
        <f t="shared" si="33"/>
        <v>0</v>
      </c>
      <c r="P64" s="136">
        <f t="shared" si="33"/>
        <v>0</v>
      </c>
      <c r="Q64" s="136">
        <f t="shared" si="33"/>
        <v>0</v>
      </c>
      <c r="R64" s="136">
        <f t="shared" si="33"/>
        <v>0</v>
      </c>
      <c r="S64" s="136">
        <f t="shared" si="33"/>
        <v>0</v>
      </c>
      <c r="T64" s="136">
        <f t="shared" si="33"/>
        <v>0</v>
      </c>
      <c r="U64" s="136">
        <f t="shared" si="33"/>
        <v>0</v>
      </c>
      <c r="V64" s="136">
        <f t="shared" si="33"/>
        <v>0</v>
      </c>
      <c r="W64" s="136">
        <f t="shared" si="33"/>
        <v>-270000</v>
      </c>
      <c r="X64" s="136">
        <f t="shared" si="33"/>
        <v>0</v>
      </c>
      <c r="Y64" s="136">
        <f t="shared" si="33"/>
        <v>0</v>
      </c>
      <c r="Z64" s="136">
        <f t="shared" si="33"/>
        <v>0</v>
      </c>
      <c r="AA64" s="136">
        <f t="shared" si="33"/>
        <v>0</v>
      </c>
      <c r="AB64" s="136">
        <f t="shared" si="33"/>
        <v>-270000</v>
      </c>
      <c r="AC64" s="136">
        <f t="shared" si="33"/>
        <v>0</v>
      </c>
      <c r="AD64" s="136">
        <f t="shared" si="33"/>
        <v>6300000</v>
      </c>
      <c r="AE64" s="136">
        <f t="shared" si="33"/>
        <v>0</v>
      </c>
      <c r="AF64" s="136">
        <f t="shared" si="33"/>
        <v>0</v>
      </c>
      <c r="AG64" s="136">
        <f t="shared" si="33"/>
        <v>0</v>
      </c>
      <c r="AH64" s="136">
        <f t="shared" si="33"/>
        <v>0</v>
      </c>
      <c r="AI64" s="136">
        <f t="shared" si="33"/>
        <v>90000</v>
      </c>
      <c r="AJ64" s="136">
        <f t="shared" si="33"/>
        <v>0</v>
      </c>
      <c r="AK64" s="136">
        <f t="shared" si="33"/>
        <v>450000</v>
      </c>
      <c r="AL64" s="136">
        <f t="shared" si="33"/>
        <v>0</v>
      </c>
      <c r="AM64" s="136">
        <f t="shared" si="33"/>
        <v>0</v>
      </c>
      <c r="AN64" s="136">
        <f t="shared" si="33"/>
        <v>90000</v>
      </c>
      <c r="AO64" s="136">
        <f t="shared" si="33"/>
        <v>0</v>
      </c>
      <c r="AP64" s="136">
        <f t="shared" si="33"/>
        <v>0</v>
      </c>
      <c r="AQ64" s="136">
        <f t="shared" si="33"/>
        <v>0</v>
      </c>
      <c r="AR64" s="136">
        <f t="shared" si="33"/>
        <v>90000</v>
      </c>
      <c r="AS64" s="136">
        <f t="shared" si="33"/>
        <v>0</v>
      </c>
      <c r="AT64" s="136">
        <f t="shared" si="33"/>
        <v>0</v>
      </c>
      <c r="AU64" s="136">
        <f t="shared" si="33"/>
        <v>270000</v>
      </c>
      <c r="AV64" s="136">
        <f t="shared" si="33"/>
        <v>0</v>
      </c>
      <c r="AW64" s="136">
        <f t="shared" si="33"/>
        <v>0</v>
      </c>
      <c r="AX64" s="136">
        <f t="shared" si="33"/>
        <v>0</v>
      </c>
      <c r="AY64" s="136">
        <f t="shared" si="33"/>
        <v>0</v>
      </c>
      <c r="AZ64" s="136">
        <f t="shared" si="33"/>
        <v>0</v>
      </c>
      <c r="BA64" s="136">
        <f t="shared" si="33"/>
        <v>0</v>
      </c>
      <c r="BB64" s="136">
        <f t="shared" si="33"/>
        <v>0</v>
      </c>
      <c r="BC64" s="136">
        <f t="shared" si="33"/>
        <v>-270000</v>
      </c>
      <c r="BD64" s="136">
        <f t="shared" si="33"/>
        <v>0</v>
      </c>
      <c r="BE64" s="136">
        <f t="shared" si="33"/>
        <v>0</v>
      </c>
      <c r="BF64" s="136">
        <f t="shared" si="33"/>
        <v>0</v>
      </c>
      <c r="BG64" s="136">
        <f t="shared" si="33"/>
        <v>0</v>
      </c>
      <c r="BH64" s="136">
        <f t="shared" si="33"/>
        <v>0</v>
      </c>
      <c r="BI64" s="136">
        <f t="shared" si="33"/>
        <v>-270000</v>
      </c>
      <c r="BJ64" s="136">
        <f t="shared" si="33"/>
        <v>0</v>
      </c>
      <c r="BK64" s="136">
        <f t="shared" si="33"/>
        <v>2504192.4355144124</v>
      </c>
    </row>
    <row r="65" spans="2:63" x14ac:dyDescent="0.3">
      <c r="B65" s="120" t="s">
        <v>30</v>
      </c>
      <c r="C65" s="145">
        <f>(IRR(F64:BK64)+1)^12-1</f>
        <v>0.17637592423471604</v>
      </c>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row>
    <row r="66" spans="2:63" x14ac:dyDescent="0.3">
      <c r="B66" s="131" t="s">
        <v>31</v>
      </c>
      <c r="C66" s="146">
        <f>C64/-C62+1</f>
        <v>1.4553034822458266</v>
      </c>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row>
    <row r="67" spans="2:63" x14ac:dyDescent="0.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row>
    <row r="68" spans="2:63" x14ac:dyDescent="0.3">
      <c r="B68" s="4" t="s">
        <v>492</v>
      </c>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row>
    <row r="69" spans="2:63" x14ac:dyDescent="0.3">
      <c r="B69" s="112" t="s">
        <v>33</v>
      </c>
      <c r="C69" s="115">
        <f>SUM(F69:BK69)</f>
        <v>-120000</v>
      </c>
      <c r="F69" s="10">
        <f>F15</f>
        <v>0</v>
      </c>
      <c r="G69" s="10">
        <f t="shared" ref="G69:BK69" si="34">G15</f>
        <v>0</v>
      </c>
      <c r="H69" s="10">
        <f t="shared" si="34"/>
        <v>0</v>
      </c>
      <c r="I69" s="10">
        <f t="shared" si="34"/>
        <v>0</v>
      </c>
      <c r="J69" s="10">
        <f t="shared" si="34"/>
        <v>0</v>
      </c>
      <c r="K69" s="10">
        <f t="shared" si="34"/>
        <v>0</v>
      </c>
      <c r="L69" s="10">
        <f t="shared" si="34"/>
        <v>0</v>
      </c>
      <c r="M69" s="10">
        <f t="shared" si="34"/>
        <v>0</v>
      </c>
      <c r="N69" s="10">
        <f t="shared" si="34"/>
        <v>0</v>
      </c>
      <c r="O69" s="10">
        <f t="shared" si="34"/>
        <v>0</v>
      </c>
      <c r="P69" s="10">
        <f t="shared" si="34"/>
        <v>0</v>
      </c>
      <c r="Q69" s="10">
        <f t="shared" si="34"/>
        <v>0</v>
      </c>
      <c r="R69" s="10">
        <f t="shared" si="34"/>
        <v>0</v>
      </c>
      <c r="S69" s="10">
        <f t="shared" si="34"/>
        <v>0</v>
      </c>
      <c r="T69" s="10">
        <f t="shared" si="34"/>
        <v>0</v>
      </c>
      <c r="U69" s="10">
        <f t="shared" si="34"/>
        <v>0</v>
      </c>
      <c r="V69" s="10">
        <f t="shared" si="34"/>
        <v>0</v>
      </c>
      <c r="W69" s="10">
        <f t="shared" si="34"/>
        <v>-30000</v>
      </c>
      <c r="X69" s="10">
        <f t="shared" si="34"/>
        <v>0</v>
      </c>
      <c r="Y69" s="10">
        <f t="shared" si="34"/>
        <v>0</v>
      </c>
      <c r="Z69" s="10">
        <f t="shared" si="34"/>
        <v>0</v>
      </c>
      <c r="AA69" s="10">
        <f t="shared" si="34"/>
        <v>0</v>
      </c>
      <c r="AB69" s="10">
        <f t="shared" si="34"/>
        <v>-30000</v>
      </c>
      <c r="AC69" s="10">
        <f t="shared" si="34"/>
        <v>0</v>
      </c>
      <c r="AD69" s="10">
        <f t="shared" si="34"/>
        <v>0</v>
      </c>
      <c r="AE69" s="10">
        <f t="shared" si="34"/>
        <v>0</v>
      </c>
      <c r="AF69" s="10">
        <f t="shared" si="34"/>
        <v>0</v>
      </c>
      <c r="AG69" s="10">
        <f t="shared" si="34"/>
        <v>0</v>
      </c>
      <c r="AH69" s="10">
        <f t="shared" si="34"/>
        <v>0</v>
      </c>
      <c r="AI69" s="10">
        <f t="shared" si="34"/>
        <v>0</v>
      </c>
      <c r="AJ69" s="10">
        <f t="shared" si="34"/>
        <v>0</v>
      </c>
      <c r="AK69" s="10">
        <f t="shared" si="34"/>
        <v>0</v>
      </c>
      <c r="AL69" s="10">
        <f t="shared" si="34"/>
        <v>0</v>
      </c>
      <c r="AM69" s="10">
        <f t="shared" si="34"/>
        <v>0</v>
      </c>
      <c r="AN69" s="10">
        <f t="shared" si="34"/>
        <v>0</v>
      </c>
      <c r="AO69" s="10">
        <f t="shared" si="34"/>
        <v>0</v>
      </c>
      <c r="AP69" s="10">
        <f t="shared" si="34"/>
        <v>0</v>
      </c>
      <c r="AQ69" s="10">
        <f t="shared" si="34"/>
        <v>0</v>
      </c>
      <c r="AR69" s="10">
        <f t="shared" si="34"/>
        <v>0</v>
      </c>
      <c r="AS69" s="10">
        <f t="shared" si="34"/>
        <v>0</v>
      </c>
      <c r="AT69" s="10">
        <f t="shared" si="34"/>
        <v>0</v>
      </c>
      <c r="AU69" s="10">
        <f t="shared" si="34"/>
        <v>0</v>
      </c>
      <c r="AV69" s="10">
        <f t="shared" si="34"/>
        <v>0</v>
      </c>
      <c r="AW69" s="10">
        <f t="shared" si="34"/>
        <v>0</v>
      </c>
      <c r="AX69" s="10">
        <f t="shared" si="34"/>
        <v>0</v>
      </c>
      <c r="AY69" s="10">
        <f t="shared" si="34"/>
        <v>0</v>
      </c>
      <c r="AZ69" s="10">
        <f t="shared" si="34"/>
        <v>0</v>
      </c>
      <c r="BA69" s="10">
        <f t="shared" si="34"/>
        <v>0</v>
      </c>
      <c r="BB69" s="10">
        <f t="shared" si="34"/>
        <v>0</v>
      </c>
      <c r="BC69" s="10">
        <f t="shared" si="34"/>
        <v>-30000</v>
      </c>
      <c r="BD69" s="10">
        <f t="shared" si="34"/>
        <v>0</v>
      </c>
      <c r="BE69" s="10">
        <f t="shared" si="34"/>
        <v>0</v>
      </c>
      <c r="BF69" s="10">
        <f t="shared" si="34"/>
        <v>0</v>
      </c>
      <c r="BG69" s="10">
        <f t="shared" si="34"/>
        <v>0</v>
      </c>
      <c r="BH69" s="10">
        <f t="shared" si="34"/>
        <v>0</v>
      </c>
      <c r="BI69" s="10">
        <f t="shared" si="34"/>
        <v>-30000</v>
      </c>
      <c r="BJ69" s="10">
        <f t="shared" si="34"/>
        <v>0</v>
      </c>
      <c r="BK69" s="10">
        <f t="shared" si="34"/>
        <v>0</v>
      </c>
    </row>
    <row r="70" spans="2:63" x14ac:dyDescent="0.3">
      <c r="B70" s="120" t="s">
        <v>34</v>
      </c>
      <c r="C70" s="121">
        <f>SUM(F70:BK70)</f>
        <v>1111886.8096666664</v>
      </c>
      <c r="F70" s="10">
        <f>F27+F41+F48</f>
        <v>0</v>
      </c>
      <c r="G70" s="10">
        <f t="shared" ref="G70:BK70" si="35">G27+G41+G48</f>
        <v>0</v>
      </c>
      <c r="H70" s="10">
        <f t="shared" si="35"/>
        <v>0</v>
      </c>
      <c r="I70" s="10">
        <f t="shared" si="35"/>
        <v>0</v>
      </c>
      <c r="J70" s="10">
        <f t="shared" si="35"/>
        <v>0</v>
      </c>
      <c r="K70" s="10">
        <f t="shared" si="35"/>
        <v>0</v>
      </c>
      <c r="L70" s="10">
        <f t="shared" si="35"/>
        <v>0</v>
      </c>
      <c r="M70" s="10">
        <f t="shared" si="35"/>
        <v>0</v>
      </c>
      <c r="N70" s="10">
        <f t="shared" si="35"/>
        <v>0</v>
      </c>
      <c r="O70" s="10">
        <f t="shared" si="35"/>
        <v>0</v>
      </c>
      <c r="P70" s="10">
        <f t="shared" si="35"/>
        <v>0</v>
      </c>
      <c r="Q70" s="10">
        <f t="shared" si="35"/>
        <v>0</v>
      </c>
      <c r="R70" s="10">
        <f t="shared" si="35"/>
        <v>0</v>
      </c>
      <c r="S70" s="10">
        <f t="shared" si="35"/>
        <v>0</v>
      </c>
      <c r="T70" s="10">
        <f t="shared" si="35"/>
        <v>0</v>
      </c>
      <c r="U70" s="10">
        <f t="shared" si="35"/>
        <v>0</v>
      </c>
      <c r="V70" s="10">
        <f t="shared" si="35"/>
        <v>0</v>
      </c>
      <c r="W70" s="10">
        <f t="shared" si="35"/>
        <v>0</v>
      </c>
      <c r="X70" s="10">
        <f t="shared" si="35"/>
        <v>0</v>
      </c>
      <c r="Y70" s="10">
        <f t="shared" si="35"/>
        <v>0</v>
      </c>
      <c r="Z70" s="10">
        <f t="shared" si="35"/>
        <v>0</v>
      </c>
      <c r="AA70" s="10">
        <f t="shared" si="35"/>
        <v>0</v>
      </c>
      <c r="AB70" s="10">
        <f t="shared" si="35"/>
        <v>0</v>
      </c>
      <c r="AC70" s="10">
        <f t="shared" si="35"/>
        <v>0</v>
      </c>
      <c r="AD70" s="10">
        <f t="shared" si="35"/>
        <v>700000</v>
      </c>
      <c r="AE70" s="10">
        <f t="shared" si="35"/>
        <v>0</v>
      </c>
      <c r="AF70" s="10">
        <f t="shared" si="35"/>
        <v>0</v>
      </c>
      <c r="AG70" s="10">
        <f t="shared" si="35"/>
        <v>0</v>
      </c>
      <c r="AH70" s="10">
        <f t="shared" si="35"/>
        <v>0</v>
      </c>
      <c r="AI70" s="10">
        <f t="shared" si="35"/>
        <v>10000</v>
      </c>
      <c r="AJ70" s="10">
        <f t="shared" si="35"/>
        <v>0</v>
      </c>
      <c r="AK70" s="10">
        <f t="shared" si="35"/>
        <v>50000</v>
      </c>
      <c r="AL70" s="10">
        <f t="shared" si="35"/>
        <v>0</v>
      </c>
      <c r="AM70" s="10">
        <f t="shared" si="35"/>
        <v>0</v>
      </c>
      <c r="AN70" s="10">
        <f t="shared" si="35"/>
        <v>10000</v>
      </c>
      <c r="AO70" s="10">
        <f t="shared" si="35"/>
        <v>0</v>
      </c>
      <c r="AP70" s="10">
        <f t="shared" si="35"/>
        <v>0</v>
      </c>
      <c r="AQ70" s="10">
        <f t="shared" si="35"/>
        <v>0</v>
      </c>
      <c r="AR70" s="10">
        <f t="shared" si="35"/>
        <v>10000</v>
      </c>
      <c r="AS70" s="10">
        <f t="shared" si="35"/>
        <v>0</v>
      </c>
      <c r="AT70" s="10">
        <f t="shared" si="35"/>
        <v>0</v>
      </c>
      <c r="AU70" s="10">
        <f t="shared" si="35"/>
        <v>30000</v>
      </c>
      <c r="AV70" s="10">
        <f t="shared" si="35"/>
        <v>0</v>
      </c>
      <c r="AW70" s="10">
        <f t="shared" si="35"/>
        <v>0</v>
      </c>
      <c r="AX70" s="10">
        <f t="shared" si="35"/>
        <v>0</v>
      </c>
      <c r="AY70" s="10">
        <f t="shared" si="35"/>
        <v>0</v>
      </c>
      <c r="AZ70" s="10">
        <f t="shared" si="35"/>
        <v>0</v>
      </c>
      <c r="BA70" s="10">
        <f t="shared" si="35"/>
        <v>0</v>
      </c>
      <c r="BB70" s="10">
        <f t="shared" si="35"/>
        <v>0</v>
      </c>
      <c r="BC70" s="10">
        <f t="shared" si="35"/>
        <v>0</v>
      </c>
      <c r="BD70" s="10">
        <f t="shared" si="35"/>
        <v>0</v>
      </c>
      <c r="BE70" s="10">
        <f t="shared" si="35"/>
        <v>0</v>
      </c>
      <c r="BF70" s="10">
        <f t="shared" si="35"/>
        <v>0</v>
      </c>
      <c r="BG70" s="10">
        <f t="shared" si="35"/>
        <v>0</v>
      </c>
      <c r="BH70" s="10">
        <f t="shared" si="35"/>
        <v>0</v>
      </c>
      <c r="BI70" s="10">
        <f t="shared" si="35"/>
        <v>0</v>
      </c>
      <c r="BJ70" s="10">
        <f t="shared" si="35"/>
        <v>0</v>
      </c>
      <c r="BK70" s="10">
        <f t="shared" si="35"/>
        <v>301886.80966666644</v>
      </c>
    </row>
    <row r="71" spans="2:63" x14ac:dyDescent="0.3">
      <c r="B71" s="120" t="s">
        <v>35</v>
      </c>
      <c r="C71" s="121">
        <f>SUM(F71:BK71)</f>
        <v>212788.85148558544</v>
      </c>
      <c r="F71" s="10">
        <f>F42+F49</f>
        <v>0</v>
      </c>
      <c r="G71" s="10">
        <f t="shared" ref="G71:BK71" si="36">G42+G49</f>
        <v>0</v>
      </c>
      <c r="H71" s="10">
        <f t="shared" si="36"/>
        <v>0</v>
      </c>
      <c r="I71" s="10">
        <f t="shared" si="36"/>
        <v>0</v>
      </c>
      <c r="J71" s="10">
        <f t="shared" si="36"/>
        <v>0</v>
      </c>
      <c r="K71" s="10">
        <f t="shared" si="36"/>
        <v>0</v>
      </c>
      <c r="L71" s="10">
        <f t="shared" si="36"/>
        <v>0</v>
      </c>
      <c r="M71" s="10">
        <f t="shared" si="36"/>
        <v>0</v>
      </c>
      <c r="N71" s="10">
        <f t="shared" si="36"/>
        <v>0</v>
      </c>
      <c r="O71" s="10">
        <f t="shared" si="36"/>
        <v>0</v>
      </c>
      <c r="P71" s="10">
        <f t="shared" si="36"/>
        <v>0</v>
      </c>
      <c r="Q71" s="10">
        <f t="shared" si="36"/>
        <v>0</v>
      </c>
      <c r="R71" s="10">
        <f t="shared" si="36"/>
        <v>0</v>
      </c>
      <c r="S71" s="10">
        <f t="shared" si="36"/>
        <v>0</v>
      </c>
      <c r="T71" s="10">
        <f t="shared" si="36"/>
        <v>0</v>
      </c>
      <c r="U71" s="10">
        <f t="shared" si="36"/>
        <v>0</v>
      </c>
      <c r="V71" s="10">
        <f t="shared" si="36"/>
        <v>0</v>
      </c>
      <c r="W71" s="10">
        <f t="shared" si="36"/>
        <v>0</v>
      </c>
      <c r="X71" s="10">
        <f t="shared" si="36"/>
        <v>0</v>
      </c>
      <c r="Y71" s="10">
        <f t="shared" si="36"/>
        <v>0</v>
      </c>
      <c r="Z71" s="10">
        <f t="shared" si="36"/>
        <v>0</v>
      </c>
      <c r="AA71" s="10">
        <f t="shared" si="36"/>
        <v>0</v>
      </c>
      <c r="AB71" s="10">
        <f t="shared" si="36"/>
        <v>0</v>
      </c>
      <c r="AC71" s="10">
        <f t="shared" si="36"/>
        <v>0</v>
      </c>
      <c r="AD71" s="10">
        <f t="shared" si="36"/>
        <v>0</v>
      </c>
      <c r="AE71" s="10">
        <f t="shared" si="36"/>
        <v>0</v>
      </c>
      <c r="AF71" s="10">
        <f t="shared" si="36"/>
        <v>0</v>
      </c>
      <c r="AG71" s="10">
        <f t="shared" si="36"/>
        <v>0</v>
      </c>
      <c r="AH71" s="10">
        <f t="shared" si="36"/>
        <v>0</v>
      </c>
      <c r="AI71" s="10">
        <f t="shared" si="36"/>
        <v>0</v>
      </c>
      <c r="AJ71" s="10">
        <f t="shared" si="36"/>
        <v>0</v>
      </c>
      <c r="AK71" s="10">
        <f t="shared" si="36"/>
        <v>0</v>
      </c>
      <c r="AL71" s="10">
        <f t="shared" si="36"/>
        <v>0</v>
      </c>
      <c r="AM71" s="10">
        <f t="shared" si="36"/>
        <v>0</v>
      </c>
      <c r="AN71" s="10">
        <f t="shared" si="36"/>
        <v>0</v>
      </c>
      <c r="AO71" s="10">
        <f t="shared" si="36"/>
        <v>0</v>
      </c>
      <c r="AP71" s="10">
        <f t="shared" si="36"/>
        <v>0</v>
      </c>
      <c r="AQ71" s="10">
        <f t="shared" si="36"/>
        <v>0</v>
      </c>
      <c r="AR71" s="10">
        <f t="shared" si="36"/>
        <v>0</v>
      </c>
      <c r="AS71" s="10">
        <f t="shared" si="36"/>
        <v>0</v>
      </c>
      <c r="AT71" s="10">
        <f t="shared" si="36"/>
        <v>0</v>
      </c>
      <c r="AU71" s="10">
        <f t="shared" si="36"/>
        <v>0</v>
      </c>
      <c r="AV71" s="10">
        <f t="shared" si="36"/>
        <v>0</v>
      </c>
      <c r="AW71" s="10">
        <f t="shared" si="36"/>
        <v>0</v>
      </c>
      <c r="AX71" s="10">
        <f t="shared" si="36"/>
        <v>0</v>
      </c>
      <c r="AY71" s="10">
        <f t="shared" si="36"/>
        <v>0</v>
      </c>
      <c r="AZ71" s="10">
        <f t="shared" si="36"/>
        <v>0</v>
      </c>
      <c r="BA71" s="10">
        <f t="shared" si="36"/>
        <v>0</v>
      </c>
      <c r="BB71" s="10">
        <f t="shared" si="36"/>
        <v>0</v>
      </c>
      <c r="BC71" s="10">
        <f t="shared" si="36"/>
        <v>0</v>
      </c>
      <c r="BD71" s="10">
        <f t="shared" si="36"/>
        <v>0</v>
      </c>
      <c r="BE71" s="10">
        <f t="shared" si="36"/>
        <v>0</v>
      </c>
      <c r="BF71" s="10">
        <f t="shared" si="36"/>
        <v>0</v>
      </c>
      <c r="BG71" s="10">
        <f t="shared" si="36"/>
        <v>0</v>
      </c>
      <c r="BH71" s="10">
        <f t="shared" si="36"/>
        <v>0</v>
      </c>
      <c r="BI71" s="10">
        <f t="shared" si="36"/>
        <v>0</v>
      </c>
      <c r="BJ71" s="10">
        <f t="shared" si="36"/>
        <v>0</v>
      </c>
      <c r="BK71" s="10">
        <f t="shared" si="36"/>
        <v>212788.85148558544</v>
      </c>
    </row>
    <row r="72" spans="2:63" x14ac:dyDescent="0.3">
      <c r="B72" s="120" t="s">
        <v>29</v>
      </c>
      <c r="C72" s="121">
        <f>SUM(F72:BK72)</f>
        <v>1204675.661152252</v>
      </c>
      <c r="F72" s="136">
        <f>SUM(F69:F71)</f>
        <v>0</v>
      </c>
      <c r="G72" s="136">
        <f t="shared" ref="G72:BK72" si="37">SUM(G69:G71)</f>
        <v>0</v>
      </c>
      <c r="H72" s="136">
        <f t="shared" si="37"/>
        <v>0</v>
      </c>
      <c r="I72" s="136">
        <f t="shared" si="37"/>
        <v>0</v>
      </c>
      <c r="J72" s="136">
        <f t="shared" si="37"/>
        <v>0</v>
      </c>
      <c r="K72" s="136">
        <f t="shared" si="37"/>
        <v>0</v>
      </c>
      <c r="L72" s="136">
        <f t="shared" si="37"/>
        <v>0</v>
      </c>
      <c r="M72" s="136">
        <f t="shared" si="37"/>
        <v>0</v>
      </c>
      <c r="N72" s="136">
        <f t="shared" si="37"/>
        <v>0</v>
      </c>
      <c r="O72" s="136">
        <f t="shared" si="37"/>
        <v>0</v>
      </c>
      <c r="P72" s="136">
        <f t="shared" si="37"/>
        <v>0</v>
      </c>
      <c r="Q72" s="136">
        <f t="shared" si="37"/>
        <v>0</v>
      </c>
      <c r="R72" s="136">
        <f t="shared" si="37"/>
        <v>0</v>
      </c>
      <c r="S72" s="136">
        <f t="shared" si="37"/>
        <v>0</v>
      </c>
      <c r="T72" s="136">
        <f t="shared" si="37"/>
        <v>0</v>
      </c>
      <c r="U72" s="136">
        <f t="shared" si="37"/>
        <v>0</v>
      </c>
      <c r="V72" s="136">
        <f t="shared" si="37"/>
        <v>0</v>
      </c>
      <c r="W72" s="136">
        <f t="shared" si="37"/>
        <v>-30000</v>
      </c>
      <c r="X72" s="136">
        <f t="shared" si="37"/>
        <v>0</v>
      </c>
      <c r="Y72" s="136">
        <f t="shared" si="37"/>
        <v>0</v>
      </c>
      <c r="Z72" s="136">
        <f t="shared" si="37"/>
        <v>0</v>
      </c>
      <c r="AA72" s="136">
        <f t="shared" si="37"/>
        <v>0</v>
      </c>
      <c r="AB72" s="136">
        <f t="shared" si="37"/>
        <v>-30000</v>
      </c>
      <c r="AC72" s="136">
        <f t="shared" si="37"/>
        <v>0</v>
      </c>
      <c r="AD72" s="136">
        <f t="shared" si="37"/>
        <v>700000</v>
      </c>
      <c r="AE72" s="136">
        <f t="shared" si="37"/>
        <v>0</v>
      </c>
      <c r="AF72" s="136">
        <f t="shared" si="37"/>
        <v>0</v>
      </c>
      <c r="AG72" s="136">
        <f t="shared" si="37"/>
        <v>0</v>
      </c>
      <c r="AH72" s="136">
        <f t="shared" si="37"/>
        <v>0</v>
      </c>
      <c r="AI72" s="136">
        <f t="shared" si="37"/>
        <v>10000</v>
      </c>
      <c r="AJ72" s="136">
        <f t="shared" si="37"/>
        <v>0</v>
      </c>
      <c r="AK72" s="136">
        <f t="shared" si="37"/>
        <v>50000</v>
      </c>
      <c r="AL72" s="136">
        <f t="shared" si="37"/>
        <v>0</v>
      </c>
      <c r="AM72" s="136">
        <f t="shared" si="37"/>
        <v>0</v>
      </c>
      <c r="AN72" s="136">
        <f t="shared" si="37"/>
        <v>10000</v>
      </c>
      <c r="AO72" s="136">
        <f t="shared" si="37"/>
        <v>0</v>
      </c>
      <c r="AP72" s="136">
        <f t="shared" si="37"/>
        <v>0</v>
      </c>
      <c r="AQ72" s="136">
        <f t="shared" si="37"/>
        <v>0</v>
      </c>
      <c r="AR72" s="136">
        <f t="shared" si="37"/>
        <v>10000</v>
      </c>
      <c r="AS72" s="136">
        <f t="shared" si="37"/>
        <v>0</v>
      </c>
      <c r="AT72" s="136">
        <f t="shared" si="37"/>
        <v>0</v>
      </c>
      <c r="AU72" s="136">
        <f t="shared" si="37"/>
        <v>30000</v>
      </c>
      <c r="AV72" s="136">
        <f t="shared" si="37"/>
        <v>0</v>
      </c>
      <c r="AW72" s="136">
        <f t="shared" si="37"/>
        <v>0</v>
      </c>
      <c r="AX72" s="136">
        <f t="shared" si="37"/>
        <v>0</v>
      </c>
      <c r="AY72" s="136">
        <f t="shared" si="37"/>
        <v>0</v>
      </c>
      <c r="AZ72" s="136">
        <f t="shared" si="37"/>
        <v>0</v>
      </c>
      <c r="BA72" s="136">
        <f t="shared" si="37"/>
        <v>0</v>
      </c>
      <c r="BB72" s="136">
        <f t="shared" si="37"/>
        <v>0</v>
      </c>
      <c r="BC72" s="136">
        <f t="shared" si="37"/>
        <v>-30000</v>
      </c>
      <c r="BD72" s="136">
        <f t="shared" si="37"/>
        <v>0</v>
      </c>
      <c r="BE72" s="136">
        <f t="shared" si="37"/>
        <v>0</v>
      </c>
      <c r="BF72" s="136">
        <f t="shared" si="37"/>
        <v>0</v>
      </c>
      <c r="BG72" s="136">
        <f t="shared" si="37"/>
        <v>0</v>
      </c>
      <c r="BH72" s="136">
        <f t="shared" si="37"/>
        <v>0</v>
      </c>
      <c r="BI72" s="136">
        <f t="shared" si="37"/>
        <v>-30000</v>
      </c>
      <c r="BJ72" s="136">
        <f t="shared" si="37"/>
        <v>0</v>
      </c>
      <c r="BK72" s="136">
        <f t="shared" si="37"/>
        <v>514675.66115225188</v>
      </c>
    </row>
    <row r="73" spans="2:63" x14ac:dyDescent="0.3">
      <c r="B73" s="120" t="s">
        <v>30</v>
      </c>
      <c r="C73" s="145">
        <f>(IRR(F72:BK72)+1)^12-1</f>
        <v>184.7964035200132</v>
      </c>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row>
    <row r="74" spans="2:63" x14ac:dyDescent="0.3">
      <c r="B74" s="131" t="s">
        <v>31</v>
      </c>
      <c r="C74" s="146">
        <f>C72/-C69+1</f>
        <v>11.038963842935432</v>
      </c>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row>
    <row r="75" spans="2:63" x14ac:dyDescent="0.3">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row>
    <row r="76" spans="2:63" hidden="1" outlineLevel="1" x14ac:dyDescent="0.3">
      <c r="B76" t="s">
        <v>37</v>
      </c>
      <c r="C76" s="10">
        <f>C57-C64-C72</f>
        <v>0</v>
      </c>
      <c r="F76" s="10">
        <f>F57-F64-F72</f>
        <v>0</v>
      </c>
      <c r="G76" s="10">
        <f t="shared" ref="G76:BK76" si="38">G57-G64-G72</f>
        <v>0</v>
      </c>
      <c r="H76" s="10">
        <f t="shared" si="38"/>
        <v>0</v>
      </c>
      <c r="I76" s="10">
        <f t="shared" si="38"/>
        <v>0</v>
      </c>
      <c r="J76" s="10">
        <f t="shared" si="38"/>
        <v>0</v>
      </c>
      <c r="K76" s="10">
        <f t="shared" si="38"/>
        <v>0</v>
      </c>
      <c r="L76" s="10">
        <f t="shared" si="38"/>
        <v>0</v>
      </c>
      <c r="M76" s="10">
        <f t="shared" si="38"/>
        <v>0</v>
      </c>
      <c r="N76" s="10">
        <f t="shared" si="38"/>
        <v>0</v>
      </c>
      <c r="O76" s="10">
        <f t="shared" si="38"/>
        <v>0</v>
      </c>
      <c r="P76" s="10">
        <f t="shared" si="38"/>
        <v>0</v>
      </c>
      <c r="Q76" s="10">
        <f t="shared" si="38"/>
        <v>0</v>
      </c>
      <c r="R76" s="10">
        <f t="shared" si="38"/>
        <v>0</v>
      </c>
      <c r="S76" s="10">
        <f t="shared" si="38"/>
        <v>0</v>
      </c>
      <c r="T76" s="10">
        <f t="shared" si="38"/>
        <v>0</v>
      </c>
      <c r="U76" s="10">
        <f t="shared" si="38"/>
        <v>0</v>
      </c>
      <c r="V76" s="10">
        <f t="shared" si="38"/>
        <v>0</v>
      </c>
      <c r="W76" s="10">
        <f t="shared" si="38"/>
        <v>0</v>
      </c>
      <c r="X76" s="10">
        <f t="shared" si="38"/>
        <v>0</v>
      </c>
      <c r="Y76" s="10">
        <f t="shared" si="38"/>
        <v>0</v>
      </c>
      <c r="Z76" s="10">
        <f t="shared" si="38"/>
        <v>0</v>
      </c>
      <c r="AA76" s="10">
        <f t="shared" si="38"/>
        <v>0</v>
      </c>
      <c r="AB76" s="10">
        <f t="shared" si="38"/>
        <v>0</v>
      </c>
      <c r="AC76" s="10">
        <f t="shared" si="38"/>
        <v>0</v>
      </c>
      <c r="AD76" s="10">
        <f t="shared" si="38"/>
        <v>0</v>
      </c>
      <c r="AE76" s="10">
        <f t="shared" si="38"/>
        <v>0</v>
      </c>
      <c r="AF76" s="10">
        <f t="shared" si="38"/>
        <v>0</v>
      </c>
      <c r="AG76" s="10">
        <f t="shared" si="38"/>
        <v>0</v>
      </c>
      <c r="AH76" s="10">
        <f t="shared" si="38"/>
        <v>0</v>
      </c>
      <c r="AI76" s="10">
        <f t="shared" si="38"/>
        <v>0</v>
      </c>
      <c r="AJ76" s="10">
        <f t="shared" si="38"/>
        <v>0</v>
      </c>
      <c r="AK76" s="10">
        <f t="shared" si="38"/>
        <v>0</v>
      </c>
      <c r="AL76" s="10">
        <f t="shared" si="38"/>
        <v>0</v>
      </c>
      <c r="AM76" s="10">
        <f t="shared" si="38"/>
        <v>0</v>
      </c>
      <c r="AN76" s="10">
        <f t="shared" si="38"/>
        <v>0</v>
      </c>
      <c r="AO76" s="10">
        <f t="shared" si="38"/>
        <v>0</v>
      </c>
      <c r="AP76" s="10">
        <f t="shared" si="38"/>
        <v>0</v>
      </c>
      <c r="AQ76" s="10">
        <f t="shared" si="38"/>
        <v>0</v>
      </c>
      <c r="AR76" s="10">
        <f t="shared" si="38"/>
        <v>0</v>
      </c>
      <c r="AS76" s="10">
        <f t="shared" si="38"/>
        <v>0</v>
      </c>
      <c r="AT76" s="10">
        <f t="shared" si="38"/>
        <v>0</v>
      </c>
      <c r="AU76" s="10">
        <f t="shared" si="38"/>
        <v>0</v>
      </c>
      <c r="AV76" s="10">
        <f t="shared" si="38"/>
        <v>0</v>
      </c>
      <c r="AW76" s="10">
        <f t="shared" si="38"/>
        <v>0</v>
      </c>
      <c r="AX76" s="10">
        <f t="shared" si="38"/>
        <v>0</v>
      </c>
      <c r="AY76" s="10">
        <f t="shared" si="38"/>
        <v>0</v>
      </c>
      <c r="AZ76" s="10">
        <f t="shared" si="38"/>
        <v>0</v>
      </c>
      <c r="BA76" s="10">
        <f t="shared" si="38"/>
        <v>0</v>
      </c>
      <c r="BB76" s="10">
        <f t="shared" si="38"/>
        <v>0</v>
      </c>
      <c r="BC76" s="10">
        <f t="shared" si="38"/>
        <v>0</v>
      </c>
      <c r="BD76" s="10">
        <f t="shared" si="38"/>
        <v>0</v>
      </c>
      <c r="BE76" s="10">
        <f t="shared" si="38"/>
        <v>0</v>
      </c>
      <c r="BF76" s="10">
        <f t="shared" si="38"/>
        <v>0</v>
      </c>
      <c r="BG76" s="10">
        <f t="shared" si="38"/>
        <v>0</v>
      </c>
      <c r="BH76" s="10">
        <f t="shared" si="38"/>
        <v>0</v>
      </c>
      <c r="BI76" s="10">
        <f t="shared" si="38"/>
        <v>0</v>
      </c>
      <c r="BJ76" s="10">
        <f t="shared" si="38"/>
        <v>0</v>
      </c>
      <c r="BK76" s="10">
        <f t="shared" si="38"/>
        <v>0</v>
      </c>
    </row>
    <row r="77" spans="2:63" hidden="1" outlineLevel="1" x14ac:dyDescent="0.3">
      <c r="C77" t="s">
        <v>38</v>
      </c>
      <c r="D77" t="s">
        <v>19</v>
      </c>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row>
    <row r="78" spans="2:63" hidden="1" outlineLevel="1" x14ac:dyDescent="0.3">
      <c r="C78" s="2">
        <f>L3</f>
        <v>0.1</v>
      </c>
      <c r="D78" s="1">
        <f>(IRR(F78:BK78)+1)^12-1</f>
        <v>0.10000000000000031</v>
      </c>
      <c r="F78" s="10">
        <f>-(F21+F23)</f>
        <v>-5650000</v>
      </c>
      <c r="G78" s="10">
        <f t="shared" ref="G78:BK78" si="39">-(G21+G23)</f>
        <v>0</v>
      </c>
      <c r="H78" s="10">
        <f t="shared" si="39"/>
        <v>0</v>
      </c>
      <c r="I78" s="10">
        <f t="shared" si="39"/>
        <v>0</v>
      </c>
      <c r="J78" s="10">
        <f t="shared" si="39"/>
        <v>0</v>
      </c>
      <c r="K78" s="10">
        <f t="shared" si="39"/>
        <v>0</v>
      </c>
      <c r="L78" s="10">
        <f t="shared" si="39"/>
        <v>0</v>
      </c>
      <c r="M78" s="10">
        <f t="shared" si="39"/>
        <v>0</v>
      </c>
      <c r="N78" s="10">
        <f t="shared" si="39"/>
        <v>0</v>
      </c>
      <c r="O78" s="10">
        <f t="shared" si="39"/>
        <v>0</v>
      </c>
      <c r="P78" s="10">
        <f t="shared" si="39"/>
        <v>0</v>
      </c>
      <c r="Q78" s="10">
        <f t="shared" si="39"/>
        <v>0</v>
      </c>
      <c r="R78" s="10">
        <f t="shared" si="39"/>
        <v>0</v>
      </c>
      <c r="S78" s="10">
        <f t="shared" si="39"/>
        <v>0</v>
      </c>
      <c r="T78" s="10">
        <f t="shared" si="39"/>
        <v>0</v>
      </c>
      <c r="U78" s="10">
        <f t="shared" si="39"/>
        <v>0</v>
      </c>
      <c r="V78" s="10">
        <f t="shared" si="39"/>
        <v>0</v>
      </c>
      <c r="W78" s="10">
        <f t="shared" si="39"/>
        <v>-270000</v>
      </c>
      <c r="X78" s="10">
        <f t="shared" si="39"/>
        <v>0</v>
      </c>
      <c r="Y78" s="10">
        <f t="shared" si="39"/>
        <v>0</v>
      </c>
      <c r="Z78" s="10">
        <f t="shared" si="39"/>
        <v>0</v>
      </c>
      <c r="AA78" s="10">
        <f t="shared" si="39"/>
        <v>0</v>
      </c>
      <c r="AB78" s="10">
        <f t="shared" si="39"/>
        <v>-270000</v>
      </c>
      <c r="AC78" s="10">
        <f t="shared" si="39"/>
        <v>0</v>
      </c>
      <c r="AD78" s="10">
        <f t="shared" si="39"/>
        <v>6300000</v>
      </c>
      <c r="AE78" s="10">
        <f t="shared" si="39"/>
        <v>0</v>
      </c>
      <c r="AF78" s="10">
        <f t="shared" si="39"/>
        <v>0</v>
      </c>
      <c r="AG78" s="10">
        <f t="shared" si="39"/>
        <v>0</v>
      </c>
      <c r="AH78" s="10">
        <f t="shared" si="39"/>
        <v>0</v>
      </c>
      <c r="AI78" s="10">
        <f t="shared" si="39"/>
        <v>90000</v>
      </c>
      <c r="AJ78" s="10">
        <f t="shared" si="39"/>
        <v>0</v>
      </c>
      <c r="AK78" s="10">
        <f t="shared" si="39"/>
        <v>450000</v>
      </c>
      <c r="AL78" s="10">
        <f t="shared" si="39"/>
        <v>0</v>
      </c>
      <c r="AM78" s="10">
        <f t="shared" si="39"/>
        <v>0</v>
      </c>
      <c r="AN78" s="10">
        <f t="shared" si="39"/>
        <v>90000</v>
      </c>
      <c r="AO78" s="10">
        <f t="shared" si="39"/>
        <v>0</v>
      </c>
      <c r="AP78" s="10">
        <f t="shared" si="39"/>
        <v>0</v>
      </c>
      <c r="AQ78" s="10">
        <f t="shared" si="39"/>
        <v>0</v>
      </c>
      <c r="AR78" s="10">
        <f t="shared" si="39"/>
        <v>90000</v>
      </c>
      <c r="AS78" s="10">
        <f t="shared" si="39"/>
        <v>0</v>
      </c>
      <c r="AT78" s="10">
        <f t="shared" si="39"/>
        <v>0</v>
      </c>
      <c r="AU78" s="10">
        <f t="shared" si="39"/>
        <v>270000</v>
      </c>
      <c r="AV78" s="10">
        <f t="shared" si="39"/>
        <v>0</v>
      </c>
      <c r="AW78" s="10">
        <f t="shared" si="39"/>
        <v>0</v>
      </c>
      <c r="AX78" s="10">
        <f t="shared" si="39"/>
        <v>0</v>
      </c>
      <c r="AY78" s="10">
        <f t="shared" si="39"/>
        <v>0</v>
      </c>
      <c r="AZ78" s="10">
        <f t="shared" si="39"/>
        <v>0</v>
      </c>
      <c r="BA78" s="10">
        <f t="shared" si="39"/>
        <v>0</v>
      </c>
      <c r="BB78" s="10">
        <f t="shared" si="39"/>
        <v>0</v>
      </c>
      <c r="BC78" s="10">
        <f t="shared" si="39"/>
        <v>-270000</v>
      </c>
      <c r="BD78" s="10">
        <f t="shared" si="39"/>
        <v>0</v>
      </c>
      <c r="BE78" s="10">
        <f t="shared" si="39"/>
        <v>0</v>
      </c>
      <c r="BF78" s="10">
        <f t="shared" si="39"/>
        <v>0</v>
      </c>
      <c r="BG78" s="10">
        <f t="shared" si="39"/>
        <v>0</v>
      </c>
      <c r="BH78" s="10">
        <f t="shared" si="39"/>
        <v>0</v>
      </c>
      <c r="BI78" s="10">
        <f t="shared" si="39"/>
        <v>-270000</v>
      </c>
      <c r="BJ78" s="10">
        <f t="shared" si="39"/>
        <v>0</v>
      </c>
      <c r="BK78" s="10">
        <f t="shared" si="39"/>
        <v>801881.6236297288</v>
      </c>
    </row>
    <row r="79" spans="2:63" hidden="1" outlineLevel="1" x14ac:dyDescent="0.3">
      <c r="C79" s="2">
        <f>N3</f>
        <v>0.2</v>
      </c>
      <c r="D79" s="164">
        <f>(IRR(F79:BK79)+1)^12-1</f>
        <v>0.17637592423471604</v>
      </c>
      <c r="F79" s="10">
        <f>-(F34+F36+F37)</f>
        <v>-5650000</v>
      </c>
      <c r="G79" s="10">
        <f t="shared" ref="G79:BK79" si="40">-(G34+G36+G37)</f>
        <v>0</v>
      </c>
      <c r="H79" s="10">
        <f t="shared" si="40"/>
        <v>0</v>
      </c>
      <c r="I79" s="10">
        <f t="shared" si="40"/>
        <v>0</v>
      </c>
      <c r="J79" s="10">
        <f t="shared" si="40"/>
        <v>0</v>
      </c>
      <c r="K79" s="10">
        <f t="shared" si="40"/>
        <v>0</v>
      </c>
      <c r="L79" s="10">
        <f t="shared" si="40"/>
        <v>0</v>
      </c>
      <c r="M79" s="10">
        <f t="shared" si="40"/>
        <v>0</v>
      </c>
      <c r="N79" s="10">
        <f t="shared" si="40"/>
        <v>0</v>
      </c>
      <c r="O79" s="10">
        <f t="shared" si="40"/>
        <v>0</v>
      </c>
      <c r="P79" s="10">
        <f t="shared" si="40"/>
        <v>0</v>
      </c>
      <c r="Q79" s="10">
        <f t="shared" si="40"/>
        <v>0</v>
      </c>
      <c r="R79" s="10">
        <f t="shared" si="40"/>
        <v>0</v>
      </c>
      <c r="S79" s="10">
        <f t="shared" si="40"/>
        <v>0</v>
      </c>
      <c r="T79" s="10">
        <f t="shared" si="40"/>
        <v>0</v>
      </c>
      <c r="U79" s="10">
        <f t="shared" si="40"/>
        <v>0</v>
      </c>
      <c r="V79" s="10">
        <f t="shared" si="40"/>
        <v>0</v>
      </c>
      <c r="W79" s="10">
        <f t="shared" si="40"/>
        <v>-270000</v>
      </c>
      <c r="X79" s="10">
        <f t="shared" si="40"/>
        <v>0</v>
      </c>
      <c r="Y79" s="10">
        <f t="shared" si="40"/>
        <v>0</v>
      </c>
      <c r="Z79" s="10">
        <f t="shared" si="40"/>
        <v>0</v>
      </c>
      <c r="AA79" s="10">
        <f t="shared" si="40"/>
        <v>0</v>
      </c>
      <c r="AB79" s="10">
        <f t="shared" si="40"/>
        <v>-270000</v>
      </c>
      <c r="AC79" s="10">
        <f t="shared" si="40"/>
        <v>0</v>
      </c>
      <c r="AD79" s="10">
        <f t="shared" si="40"/>
        <v>6300000</v>
      </c>
      <c r="AE79" s="10">
        <f t="shared" si="40"/>
        <v>0</v>
      </c>
      <c r="AF79" s="10">
        <f t="shared" si="40"/>
        <v>0</v>
      </c>
      <c r="AG79" s="10">
        <f t="shared" si="40"/>
        <v>0</v>
      </c>
      <c r="AH79" s="10">
        <f t="shared" si="40"/>
        <v>0</v>
      </c>
      <c r="AI79" s="10">
        <f t="shared" si="40"/>
        <v>90000</v>
      </c>
      <c r="AJ79" s="10">
        <f t="shared" si="40"/>
        <v>0</v>
      </c>
      <c r="AK79" s="10">
        <f t="shared" si="40"/>
        <v>450000</v>
      </c>
      <c r="AL79" s="10">
        <f t="shared" si="40"/>
        <v>0</v>
      </c>
      <c r="AM79" s="10">
        <f t="shared" si="40"/>
        <v>0</v>
      </c>
      <c r="AN79" s="10">
        <f t="shared" si="40"/>
        <v>90000</v>
      </c>
      <c r="AO79" s="10">
        <f t="shared" si="40"/>
        <v>0</v>
      </c>
      <c r="AP79" s="10">
        <f t="shared" si="40"/>
        <v>0</v>
      </c>
      <c r="AQ79" s="10">
        <f t="shared" si="40"/>
        <v>0</v>
      </c>
      <c r="AR79" s="10">
        <f t="shared" si="40"/>
        <v>90000</v>
      </c>
      <c r="AS79" s="10">
        <f t="shared" si="40"/>
        <v>0</v>
      </c>
      <c r="AT79" s="10">
        <f t="shared" si="40"/>
        <v>0</v>
      </c>
      <c r="AU79" s="10">
        <f t="shared" si="40"/>
        <v>270000</v>
      </c>
      <c r="AV79" s="10">
        <f t="shared" si="40"/>
        <v>0</v>
      </c>
      <c r="AW79" s="10">
        <f t="shared" si="40"/>
        <v>0</v>
      </c>
      <c r="AX79" s="10">
        <f t="shared" si="40"/>
        <v>0</v>
      </c>
      <c r="AY79" s="10">
        <f t="shared" si="40"/>
        <v>0</v>
      </c>
      <c r="AZ79" s="10">
        <f t="shared" si="40"/>
        <v>0</v>
      </c>
      <c r="BA79" s="10">
        <f t="shared" si="40"/>
        <v>0</v>
      </c>
      <c r="BB79" s="10">
        <f t="shared" si="40"/>
        <v>0</v>
      </c>
      <c r="BC79" s="10">
        <f t="shared" si="40"/>
        <v>-270000</v>
      </c>
      <c r="BD79" s="10">
        <f t="shared" si="40"/>
        <v>0</v>
      </c>
      <c r="BE79" s="10">
        <f t="shared" si="40"/>
        <v>0</v>
      </c>
      <c r="BF79" s="10">
        <f t="shared" si="40"/>
        <v>0</v>
      </c>
      <c r="BG79" s="10">
        <f t="shared" si="40"/>
        <v>0</v>
      </c>
      <c r="BH79" s="10">
        <f t="shared" si="40"/>
        <v>0</v>
      </c>
      <c r="BI79" s="10">
        <f t="shared" si="40"/>
        <v>-270000</v>
      </c>
      <c r="BJ79" s="10">
        <f t="shared" si="40"/>
        <v>0</v>
      </c>
      <c r="BK79" s="10">
        <f t="shared" si="40"/>
        <v>2504192.4355144124</v>
      </c>
    </row>
    <row r="80" spans="2:63" collapsed="1"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25F77-55B9-4E68-9567-D6A31E60EA7C}">
  <dimension ref="B3:D26"/>
  <sheetViews>
    <sheetView showGridLines="0" workbookViewId="0">
      <selection activeCell="B24" sqref="B24"/>
    </sheetView>
  </sheetViews>
  <sheetFormatPr defaultRowHeight="14.4" x14ac:dyDescent="0.3"/>
  <cols>
    <col min="2" max="2" width="24" customWidth="1"/>
    <col min="3" max="3" width="14.44140625" customWidth="1"/>
    <col min="4" max="4" width="17.44140625" customWidth="1"/>
  </cols>
  <sheetData>
    <row r="3" spans="2:4" x14ac:dyDescent="0.3">
      <c r="B3" s="4" t="s">
        <v>30</v>
      </c>
    </row>
    <row r="4" spans="2:4" x14ac:dyDescent="0.3">
      <c r="B4" t="s">
        <v>440</v>
      </c>
      <c r="C4" s="147">
        <f>Waterfall!C58</f>
        <v>0.23348405013343676</v>
      </c>
    </row>
    <row r="5" spans="2:4" x14ac:dyDescent="0.3">
      <c r="B5" t="s">
        <v>1</v>
      </c>
      <c r="C5" s="147">
        <f>Waterfall!C65</f>
        <v>0.17637592423471604</v>
      </c>
    </row>
    <row r="6" spans="2:4" x14ac:dyDescent="0.3">
      <c r="B6" t="s">
        <v>491</v>
      </c>
      <c r="C6" s="147">
        <f>Waterfall!C73</f>
        <v>184.7964035200132</v>
      </c>
    </row>
    <row r="8" spans="2:4" x14ac:dyDescent="0.3">
      <c r="B8" s="4" t="s">
        <v>31</v>
      </c>
    </row>
    <row r="9" spans="2:4" x14ac:dyDescent="0.3">
      <c r="B9" t="s">
        <v>440</v>
      </c>
      <c r="C9" s="27">
        <f>Waterfall!C59</f>
        <v>1.6231924228710457</v>
      </c>
    </row>
    <row r="10" spans="2:4" x14ac:dyDescent="0.3">
      <c r="B10" t="s">
        <v>1</v>
      </c>
      <c r="C10" s="27">
        <f>Waterfall!C66</f>
        <v>1.4553034822458266</v>
      </c>
    </row>
    <row r="11" spans="2:4" x14ac:dyDescent="0.3">
      <c r="B11" t="s">
        <v>491</v>
      </c>
      <c r="C11" s="27">
        <f>Waterfall!C74</f>
        <v>11.038963842935432</v>
      </c>
    </row>
    <row r="15" spans="2:4" x14ac:dyDescent="0.3">
      <c r="C15" s="4" t="s">
        <v>441</v>
      </c>
      <c r="D15" s="4" t="s">
        <v>442</v>
      </c>
    </row>
    <row r="16" spans="2:4" x14ac:dyDescent="0.3">
      <c r="B16" t="s">
        <v>1</v>
      </c>
      <c r="C16" s="2">
        <f>Waterfall!C5</f>
        <v>0.9</v>
      </c>
      <c r="D16" s="2">
        <f>Waterfall!C64/Waterfall!C57</f>
        <v>0.71779974600458618</v>
      </c>
    </row>
    <row r="17" spans="2:4" x14ac:dyDescent="0.3">
      <c r="B17" t="s">
        <v>491</v>
      </c>
      <c r="C17" s="2">
        <f>Waterfall!C4</f>
        <v>0.1</v>
      </c>
      <c r="D17" s="1">
        <f>1-D16</f>
        <v>0.28220025399541382</v>
      </c>
    </row>
    <row r="20" spans="2:4" x14ac:dyDescent="0.3">
      <c r="B20" s="4" t="s">
        <v>464</v>
      </c>
    </row>
    <row r="21" spans="2:4" x14ac:dyDescent="0.3">
      <c r="B21" t="s">
        <v>443</v>
      </c>
      <c r="C21" s="19">
        <f>SUM(Waterfall!D26:D27)</f>
        <v>2260979.5818108097</v>
      </c>
      <c r="D21" s="1">
        <f>C21/$C$24</f>
        <v>0.51516234528169547</v>
      </c>
    </row>
    <row r="22" spans="2:4" x14ac:dyDescent="0.3">
      <c r="B22" t="s">
        <v>444</v>
      </c>
      <c r="C22" s="19">
        <f>SUM(Waterfall!D40:D42)</f>
        <v>2127888.5148558542</v>
      </c>
      <c r="D22" s="1">
        <f>C22/$C$24</f>
        <v>0.48483765471830448</v>
      </c>
    </row>
    <row r="23" spans="2:4" x14ac:dyDescent="0.3">
      <c r="B23" t="s">
        <v>445</v>
      </c>
      <c r="C23" s="19">
        <f>SUM(Waterfall!D47:D49)</f>
        <v>0</v>
      </c>
      <c r="D23" s="1">
        <f>C23/$C$24</f>
        <v>0</v>
      </c>
    </row>
    <row r="24" spans="2:4" x14ac:dyDescent="0.3">
      <c r="B24" s="4" t="s">
        <v>3</v>
      </c>
      <c r="C24" s="142">
        <f>SUM(C21:C23)</f>
        <v>4388868.0966666639</v>
      </c>
      <c r="D24" s="5">
        <f>C24/$C$24</f>
        <v>1</v>
      </c>
    </row>
    <row r="25" spans="2:4" x14ac:dyDescent="0.3">
      <c r="B25" t="s">
        <v>446</v>
      </c>
      <c r="C25" s="10">
        <f>Waterfall!C69</f>
        <v>-120000</v>
      </c>
    </row>
    <row r="26" spans="2:4" x14ac:dyDescent="0.3">
      <c r="B26" s="4" t="s">
        <v>29</v>
      </c>
      <c r="C26" s="142">
        <f>SUM(C24:C25)</f>
        <v>4268868.0966666639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AA29-7886-4A2E-A34E-499EF7EE2BB0}">
  <dimension ref="B1:Q33"/>
  <sheetViews>
    <sheetView workbookViewId="0">
      <selection activeCell="C22" sqref="C22"/>
    </sheetView>
  </sheetViews>
  <sheetFormatPr defaultRowHeight="14.4" x14ac:dyDescent="0.3"/>
  <cols>
    <col min="2" max="2" width="20.77734375" customWidth="1"/>
    <col min="3" max="3" width="18.77734375" customWidth="1"/>
    <col min="6" max="6" width="20.5546875" customWidth="1"/>
    <col min="7" max="7" width="26.33203125" customWidth="1"/>
    <col min="8" max="8" width="27" customWidth="1"/>
    <col min="11" max="11" width="23.21875" customWidth="1"/>
    <col min="12" max="12" width="21.44140625" customWidth="1"/>
    <col min="13" max="13" width="20.44140625" customWidth="1"/>
    <col min="14" max="14" width="22.88671875" customWidth="1"/>
    <col min="15" max="15" width="15.33203125" customWidth="1"/>
    <col min="16" max="16" width="23.5546875" customWidth="1"/>
    <col min="17" max="17" width="15.88671875" customWidth="1"/>
  </cols>
  <sheetData>
    <row r="1" spans="2:17" x14ac:dyDescent="0.3">
      <c r="B1" t="s">
        <v>54</v>
      </c>
    </row>
    <row r="2" spans="2:17" x14ac:dyDescent="0.3">
      <c r="B2" s="4" t="s">
        <v>39</v>
      </c>
      <c r="F2" s="4" t="s">
        <v>55</v>
      </c>
      <c r="H2" t="s">
        <v>68</v>
      </c>
    </row>
    <row r="3" spans="2:17" x14ac:dyDescent="0.3">
      <c r="B3" t="s">
        <v>40</v>
      </c>
      <c r="C3" s="9">
        <v>29932511.800000001</v>
      </c>
      <c r="F3" t="s">
        <v>56</v>
      </c>
      <c r="G3" s="9">
        <v>36023000</v>
      </c>
      <c r="K3" s="4"/>
      <c r="L3" s="9"/>
      <c r="M3" s="9"/>
    </row>
    <row r="4" spans="2:17" x14ac:dyDescent="0.3">
      <c r="B4" t="s">
        <v>41</v>
      </c>
      <c r="C4" s="30">
        <v>4.6089999999999999E-2</v>
      </c>
      <c r="F4" t="s">
        <v>57</v>
      </c>
      <c r="G4" s="21">
        <v>4.0500000000000001E-2</v>
      </c>
      <c r="H4" t="s">
        <v>69</v>
      </c>
      <c r="M4" s="9"/>
    </row>
    <row r="5" spans="2:17" x14ac:dyDescent="0.3">
      <c r="B5" t="s">
        <v>42</v>
      </c>
      <c r="C5" s="31">
        <v>114965.79</v>
      </c>
      <c r="F5" t="s">
        <v>58</v>
      </c>
      <c r="G5">
        <f>7*12</f>
        <v>84</v>
      </c>
      <c r="M5" s="31"/>
    </row>
    <row r="6" spans="2:17" x14ac:dyDescent="0.3">
      <c r="B6" t="s">
        <v>43</v>
      </c>
      <c r="C6" s="9">
        <v>299325.12</v>
      </c>
      <c r="F6" t="s">
        <v>59</v>
      </c>
      <c r="G6">
        <f>30*12</f>
        <v>360</v>
      </c>
      <c r="M6" s="9"/>
    </row>
    <row r="7" spans="2:17" x14ac:dyDescent="0.3">
      <c r="B7" t="s">
        <v>44</v>
      </c>
      <c r="C7" s="9">
        <v>0</v>
      </c>
      <c r="F7" t="s">
        <v>60</v>
      </c>
      <c r="G7">
        <f>2*12</f>
        <v>24</v>
      </c>
      <c r="M7" s="9"/>
    </row>
    <row r="8" spans="2:17" x14ac:dyDescent="0.3">
      <c r="B8" t="s">
        <v>45</v>
      </c>
      <c r="C8" s="9">
        <v>0</v>
      </c>
      <c r="L8" s="9"/>
      <c r="M8" s="9"/>
    </row>
    <row r="9" spans="2:17" x14ac:dyDescent="0.3">
      <c r="B9" t="s">
        <v>46</v>
      </c>
      <c r="C9" s="9">
        <v>500</v>
      </c>
      <c r="K9" s="4"/>
    </row>
    <row r="10" spans="2:17" x14ac:dyDescent="0.3">
      <c r="B10" t="s">
        <v>53</v>
      </c>
      <c r="C10" s="9">
        <f>C3+C5+C6+C7+C8+C9</f>
        <v>30347302.710000001</v>
      </c>
      <c r="L10" s="9"/>
    </row>
    <row r="11" spans="2:17" x14ac:dyDescent="0.3">
      <c r="M11" s="9"/>
    </row>
    <row r="12" spans="2:17" x14ac:dyDescent="0.3">
      <c r="B12" s="4" t="s">
        <v>47</v>
      </c>
      <c r="F12" s="4" t="s">
        <v>61</v>
      </c>
      <c r="M12" s="9"/>
    </row>
    <row r="13" spans="2:17" x14ac:dyDescent="0.3">
      <c r="B13" t="s">
        <v>48</v>
      </c>
      <c r="C13" s="9">
        <v>336174.64</v>
      </c>
      <c r="F13" t="s">
        <v>48</v>
      </c>
      <c r="G13" t="s">
        <v>62</v>
      </c>
      <c r="M13" s="9"/>
    </row>
    <row r="14" spans="2:17" x14ac:dyDescent="0.3">
      <c r="B14" t="s">
        <v>49</v>
      </c>
      <c r="C14" s="9">
        <v>25587.360000000001</v>
      </c>
      <c r="F14" t="s">
        <v>49</v>
      </c>
      <c r="G14" t="s">
        <v>62</v>
      </c>
      <c r="M14" s="9"/>
    </row>
    <row r="15" spans="2:17" x14ac:dyDescent="0.3">
      <c r="B15" t="s">
        <v>50</v>
      </c>
      <c r="C15" s="9">
        <v>101403.37</v>
      </c>
      <c r="F15" t="s">
        <v>51</v>
      </c>
      <c r="G15" t="s">
        <v>63</v>
      </c>
      <c r="O15" s="9"/>
      <c r="P15" s="9"/>
      <c r="Q15" s="9"/>
    </row>
    <row r="16" spans="2:17" x14ac:dyDescent="0.3">
      <c r="B16" t="s">
        <v>51</v>
      </c>
      <c r="C16" s="9">
        <v>8482.77</v>
      </c>
      <c r="F16" t="s">
        <v>52</v>
      </c>
      <c r="G16" t="s">
        <v>64</v>
      </c>
      <c r="Q16" s="9"/>
    </row>
    <row r="17" spans="2:16" x14ac:dyDescent="0.3">
      <c r="B17" t="s">
        <v>52</v>
      </c>
      <c r="C17" s="9">
        <v>0</v>
      </c>
    </row>
    <row r="18" spans="2:16" x14ac:dyDescent="0.3">
      <c r="B18" t="s">
        <v>3</v>
      </c>
      <c r="C18" s="9">
        <f>SUM(C13:C17)</f>
        <v>471648.14</v>
      </c>
    </row>
    <row r="19" spans="2:16" x14ac:dyDescent="0.3">
      <c r="F19" s="4" t="s">
        <v>65</v>
      </c>
      <c r="P19" s="9"/>
    </row>
    <row r="20" spans="2:16" x14ac:dyDescent="0.3">
      <c r="F20" t="s">
        <v>66</v>
      </c>
      <c r="G20">
        <v>5000</v>
      </c>
      <c r="O20" s="9"/>
      <c r="P20" s="9"/>
    </row>
    <row r="21" spans="2:16" x14ac:dyDescent="0.3">
      <c r="F21" t="s">
        <v>71</v>
      </c>
      <c r="G21">
        <v>36023</v>
      </c>
      <c r="O21" s="9"/>
      <c r="P21" s="9"/>
    </row>
    <row r="22" spans="2:16" x14ac:dyDescent="0.3">
      <c r="F22" t="s">
        <v>67</v>
      </c>
      <c r="G22">
        <v>15000</v>
      </c>
      <c r="H22" t="s">
        <v>70</v>
      </c>
      <c r="O22" s="9"/>
      <c r="P22" s="9"/>
    </row>
    <row r="23" spans="2:16" x14ac:dyDescent="0.3">
      <c r="F23" t="s">
        <v>72</v>
      </c>
      <c r="G23" t="s">
        <v>73</v>
      </c>
      <c r="O23" s="9"/>
      <c r="P23" s="9"/>
    </row>
    <row r="24" spans="2:16" x14ac:dyDescent="0.3">
      <c r="F24" t="s">
        <v>74</v>
      </c>
      <c r="G24" t="s">
        <v>76</v>
      </c>
      <c r="N24" s="4"/>
      <c r="P24" s="9"/>
    </row>
    <row r="25" spans="2:16" x14ac:dyDescent="0.3">
      <c r="F25" t="s">
        <v>75</v>
      </c>
      <c r="G25" t="s">
        <v>463</v>
      </c>
      <c r="O25" s="9"/>
      <c r="P25" s="9"/>
    </row>
    <row r="26" spans="2:16" x14ac:dyDescent="0.3">
      <c r="F26" t="s">
        <v>77</v>
      </c>
      <c r="G26" t="s">
        <v>64</v>
      </c>
      <c r="O26" s="9"/>
      <c r="P26" s="9"/>
    </row>
    <row r="27" spans="2:16" x14ac:dyDescent="0.3">
      <c r="O27" s="9"/>
      <c r="P27" s="9"/>
    </row>
    <row r="28" spans="2:16" x14ac:dyDescent="0.3">
      <c r="O28" s="9"/>
      <c r="P28" s="9"/>
    </row>
    <row r="29" spans="2:16" x14ac:dyDescent="0.3">
      <c r="O29" s="9"/>
      <c r="P29" s="9"/>
    </row>
    <row r="30" spans="2:16" x14ac:dyDescent="0.3">
      <c r="N30" s="4"/>
      <c r="P30" s="9"/>
    </row>
    <row r="31" spans="2:16" x14ac:dyDescent="0.3">
      <c r="P31" s="9"/>
    </row>
    <row r="32" spans="2:16" x14ac:dyDescent="0.3">
      <c r="P32" s="9"/>
    </row>
    <row r="33" spans="16:16" x14ac:dyDescent="0.3">
      <c r="P33"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B51F-209A-4E28-B055-710FD2BA78F4}">
  <sheetPr>
    <pageSetUpPr autoPageBreaks="0" fitToPage="1"/>
  </sheetPr>
  <dimension ref="A1:F169"/>
  <sheetViews>
    <sheetView zoomScale="130" zoomScaleNormal="130" zoomScaleSheetLayoutView="100" workbookViewId="0">
      <selection activeCell="E20" sqref="E20"/>
    </sheetView>
  </sheetViews>
  <sheetFormatPr defaultRowHeight="14.4" x14ac:dyDescent="0.3"/>
  <cols>
    <col min="1" max="2" width="13.33203125" customWidth="1"/>
    <col min="3" max="3" width="46.6640625" bestFit="1" customWidth="1"/>
    <col min="4" max="4" width="22" style="87" customWidth="1"/>
    <col min="5" max="5" width="22" style="88" customWidth="1"/>
    <col min="6" max="6" width="41.109375" style="51" customWidth="1"/>
  </cols>
  <sheetData>
    <row r="1" spans="1:6" ht="16.2" x14ac:dyDescent="0.3">
      <c r="A1" s="162" t="s">
        <v>78</v>
      </c>
      <c r="B1" s="162"/>
      <c r="C1" s="162"/>
      <c r="D1" s="162"/>
      <c r="E1" s="162"/>
      <c r="F1" s="162"/>
    </row>
    <row r="2" spans="1:6" x14ac:dyDescent="0.3">
      <c r="A2" s="32" t="s">
        <v>79</v>
      </c>
      <c r="B2" s="32" t="s">
        <v>80</v>
      </c>
      <c r="C2" s="33"/>
      <c r="D2" s="34"/>
      <c r="E2" s="35"/>
      <c r="F2" s="36"/>
    </row>
    <row r="3" spans="1:6" x14ac:dyDescent="0.3">
      <c r="A3" s="32" t="s">
        <v>81</v>
      </c>
      <c r="B3" s="37">
        <v>404</v>
      </c>
      <c r="D3" s="34"/>
      <c r="E3" s="35"/>
      <c r="F3" s="36"/>
    </row>
    <row r="4" spans="1:6" x14ac:dyDescent="0.3">
      <c r="A4" s="32" t="s">
        <v>82</v>
      </c>
      <c r="B4" s="37">
        <v>0</v>
      </c>
      <c r="C4" s="38" t="s">
        <v>83</v>
      </c>
      <c r="D4" s="34"/>
      <c r="E4" s="35"/>
      <c r="F4" s="36"/>
    </row>
    <row r="5" spans="1:6" x14ac:dyDescent="0.3">
      <c r="A5" s="32" t="s">
        <v>84</v>
      </c>
      <c r="B5" s="37">
        <v>0</v>
      </c>
      <c r="D5" s="34"/>
      <c r="E5" s="35"/>
      <c r="F5" s="36"/>
    </row>
    <row r="6" spans="1:6" x14ac:dyDescent="0.3">
      <c r="A6" s="32" t="s">
        <v>85</v>
      </c>
      <c r="B6" s="37">
        <v>0</v>
      </c>
      <c r="D6" s="34"/>
      <c r="E6" s="35"/>
      <c r="F6" s="36"/>
    </row>
    <row r="7" spans="1:6" x14ac:dyDescent="0.3">
      <c r="A7" s="36"/>
      <c r="B7" s="36"/>
      <c r="C7" s="36"/>
      <c r="D7" s="36"/>
      <c r="E7" s="39"/>
      <c r="F7" s="40"/>
    </row>
    <row r="8" spans="1:6" s="6" customFormat="1" x14ac:dyDescent="0.3">
      <c r="A8" s="41" t="s">
        <v>86</v>
      </c>
      <c r="B8" s="41"/>
      <c r="C8" s="41" t="s">
        <v>86</v>
      </c>
      <c r="D8" s="42"/>
      <c r="E8" s="43"/>
      <c r="F8" s="44"/>
    </row>
    <row r="9" spans="1:6" ht="15" thickBot="1" x14ac:dyDescent="0.35">
      <c r="A9" s="45" t="s">
        <v>87</v>
      </c>
      <c r="B9" s="45"/>
      <c r="C9" s="45" t="s">
        <v>88</v>
      </c>
      <c r="D9" s="45" t="s">
        <v>89</v>
      </c>
      <c r="E9" s="46" t="s">
        <v>90</v>
      </c>
      <c r="F9" s="47" t="s">
        <v>91</v>
      </c>
    </row>
    <row r="10" spans="1:6" x14ac:dyDescent="0.3">
      <c r="A10" s="48"/>
      <c r="B10" s="48"/>
      <c r="C10" s="48"/>
      <c r="D10" s="49"/>
      <c r="E10" s="50"/>
    </row>
    <row r="11" spans="1:6" x14ac:dyDescent="0.3">
      <c r="A11" s="52" t="s">
        <v>92</v>
      </c>
      <c r="B11" s="53"/>
      <c r="C11" s="52" t="s">
        <v>93</v>
      </c>
      <c r="D11" s="49"/>
      <c r="E11" s="50"/>
    </row>
    <row r="12" spans="1:6" x14ac:dyDescent="0.3">
      <c r="A12" s="48" t="s">
        <v>94</v>
      </c>
      <c r="B12" s="53"/>
      <c r="C12" s="48" t="s">
        <v>95</v>
      </c>
      <c r="D12" s="49"/>
      <c r="E12" s="50"/>
    </row>
    <row r="13" spans="1:6" ht="21.6" x14ac:dyDescent="0.3">
      <c r="A13" s="48" t="s">
        <v>96</v>
      </c>
      <c r="B13" s="53"/>
      <c r="C13" s="48" t="s">
        <v>97</v>
      </c>
      <c r="D13" s="54">
        <v>200000</v>
      </c>
      <c r="E13" s="55">
        <f>IF(D13="Inc.","",D13/UnitCount)</f>
        <v>495.04950495049508</v>
      </c>
      <c r="F13" s="51" t="s">
        <v>98</v>
      </c>
    </row>
    <row r="14" spans="1:6" x14ac:dyDescent="0.3">
      <c r="A14" s="48" t="s">
        <v>99</v>
      </c>
      <c r="B14" s="53"/>
      <c r="C14" s="48" t="s">
        <v>100</v>
      </c>
      <c r="D14" s="56">
        <v>0</v>
      </c>
      <c r="E14" s="55">
        <f>IF(D14="Inc.","",D14/UnitCount)</f>
        <v>0</v>
      </c>
    </row>
    <row r="15" spans="1:6" ht="15" thickBot="1" x14ac:dyDescent="0.35">
      <c r="A15" s="48" t="s">
        <v>101</v>
      </c>
      <c r="B15" s="53"/>
      <c r="C15" s="48" t="s">
        <v>102</v>
      </c>
      <c r="D15" s="56">
        <v>0</v>
      </c>
      <c r="E15" s="55">
        <f>IF(D15="Inc.","",D15/UnitCount)</f>
        <v>0</v>
      </c>
    </row>
    <row r="16" spans="1:6" x14ac:dyDescent="0.3">
      <c r="A16" s="48" t="s">
        <v>103</v>
      </c>
      <c r="B16" s="53" t="s">
        <v>104</v>
      </c>
      <c r="C16" s="48" t="s">
        <v>105</v>
      </c>
      <c r="D16" s="57">
        <f>SUM(D13:D15)</f>
        <v>200000</v>
      </c>
      <c r="E16" s="58">
        <f>SUM(E13:E15)</f>
        <v>495.04950495049508</v>
      </c>
    </row>
    <row r="17" spans="1:6" x14ac:dyDescent="0.3">
      <c r="A17" s="48" t="s">
        <v>106</v>
      </c>
      <c r="B17" s="53"/>
      <c r="C17" s="48" t="s">
        <v>107</v>
      </c>
      <c r="D17" s="49"/>
      <c r="E17" s="50"/>
    </row>
    <row r="18" spans="1:6" x14ac:dyDescent="0.3">
      <c r="A18" s="48" t="s">
        <v>108</v>
      </c>
      <c r="B18" s="53"/>
      <c r="C18" s="48" t="s">
        <v>109</v>
      </c>
      <c r="D18" s="56">
        <v>0</v>
      </c>
      <c r="E18" s="55">
        <f>IF(D18="Inc.","",D18/UnitCount)</f>
        <v>0</v>
      </c>
    </row>
    <row r="19" spans="1:6" x14ac:dyDescent="0.3">
      <c r="A19" s="48" t="s">
        <v>110</v>
      </c>
      <c r="B19" s="53"/>
      <c r="C19" s="48" t="s">
        <v>111</v>
      </c>
      <c r="D19" s="56">
        <v>0</v>
      </c>
      <c r="E19" s="55">
        <f>IF(D19="Inc.","",D19/UnitCount)</f>
        <v>0</v>
      </c>
    </row>
    <row r="20" spans="1:6" x14ac:dyDescent="0.3">
      <c r="A20" s="48" t="s">
        <v>112</v>
      </c>
      <c r="B20" s="53"/>
      <c r="C20" s="48" t="s">
        <v>113</v>
      </c>
      <c r="D20" s="56">
        <v>0</v>
      </c>
      <c r="E20" s="55">
        <f>IF(D20="Inc.","",D20/UnitCount)</f>
        <v>0</v>
      </c>
    </row>
    <row r="21" spans="1:6" x14ac:dyDescent="0.3">
      <c r="A21" s="48" t="s">
        <v>114</v>
      </c>
      <c r="B21" s="53"/>
      <c r="C21" s="48" t="s">
        <v>115</v>
      </c>
      <c r="D21" s="56">
        <v>0</v>
      </c>
      <c r="E21" s="55">
        <f>IF(D21="Inc.","",D21/UnitCount)</f>
        <v>0</v>
      </c>
    </row>
    <row r="22" spans="1:6" ht="15" thickBot="1" x14ac:dyDescent="0.35">
      <c r="A22" s="48" t="s">
        <v>116</v>
      </c>
      <c r="B22" s="53"/>
      <c r="C22" s="48" t="s">
        <v>117</v>
      </c>
      <c r="D22" s="56">
        <v>1300000</v>
      </c>
      <c r="E22" s="55">
        <f>IF(D22="Inc.","",D22/UnitCount)</f>
        <v>3217.8217821782177</v>
      </c>
      <c r="F22" s="51" t="s">
        <v>118</v>
      </c>
    </row>
    <row r="23" spans="1:6" x14ac:dyDescent="0.3">
      <c r="A23" s="48" t="s">
        <v>119</v>
      </c>
      <c r="B23" s="53" t="s">
        <v>120</v>
      </c>
      <c r="C23" s="48" t="s">
        <v>121</v>
      </c>
      <c r="D23" s="57">
        <f>SUM(D18:D22)</f>
        <v>1300000</v>
      </c>
      <c r="E23" s="58">
        <f>SUM(E18:E22)</f>
        <v>3217.8217821782177</v>
      </c>
    </row>
    <row r="24" spans="1:6" x14ac:dyDescent="0.3">
      <c r="A24" s="48" t="s">
        <v>122</v>
      </c>
      <c r="B24" s="53"/>
      <c r="C24" s="48" t="s">
        <v>123</v>
      </c>
      <c r="D24" s="49"/>
      <c r="E24" s="50"/>
    </row>
    <row r="25" spans="1:6" ht="21.6" x14ac:dyDescent="0.3">
      <c r="A25" s="48" t="s">
        <v>124</v>
      </c>
      <c r="B25" s="53"/>
      <c r="C25" s="48" t="s">
        <v>125</v>
      </c>
      <c r="D25" s="54">
        <f>1050*404</f>
        <v>424200</v>
      </c>
      <c r="E25" s="55">
        <f t="shared" ref="E25:E30" si="0">IF(D25="Inc.","",D25/UnitCount)</f>
        <v>1050</v>
      </c>
      <c r="F25" s="51" t="s">
        <v>126</v>
      </c>
    </row>
    <row r="26" spans="1:6" x14ac:dyDescent="0.3">
      <c r="A26" s="48" t="s">
        <v>127</v>
      </c>
      <c r="B26" s="53"/>
      <c r="C26" s="48" t="s">
        <v>128</v>
      </c>
      <c r="D26" s="54">
        <v>0</v>
      </c>
      <c r="E26" s="55">
        <f t="shared" si="0"/>
        <v>0</v>
      </c>
      <c r="F26" s="59" t="s">
        <v>129</v>
      </c>
    </row>
    <row r="27" spans="1:6" x14ac:dyDescent="0.3">
      <c r="A27" s="48" t="s">
        <v>130</v>
      </c>
      <c r="B27" s="53"/>
      <c r="C27" s="48" t="s">
        <v>131</v>
      </c>
      <c r="D27" s="56">
        <v>0</v>
      </c>
      <c r="E27" s="55">
        <f t="shared" si="0"/>
        <v>0</v>
      </c>
    </row>
    <row r="28" spans="1:6" x14ac:dyDescent="0.3">
      <c r="A28" s="48" t="s">
        <v>132</v>
      </c>
      <c r="B28" s="53"/>
      <c r="C28" s="48" t="s">
        <v>133</v>
      </c>
      <c r="D28" s="56">
        <v>0</v>
      </c>
      <c r="E28" s="55">
        <f t="shared" si="0"/>
        <v>0</v>
      </c>
    </row>
    <row r="29" spans="1:6" x14ac:dyDescent="0.3">
      <c r="A29" s="48" t="s">
        <v>134</v>
      </c>
      <c r="B29" s="53"/>
      <c r="C29" s="48" t="s">
        <v>135</v>
      </c>
      <c r="D29" s="56">
        <v>0</v>
      </c>
      <c r="E29" s="55">
        <f t="shared" si="0"/>
        <v>0</v>
      </c>
    </row>
    <row r="30" spans="1:6" ht="15" thickBot="1" x14ac:dyDescent="0.35">
      <c r="A30" s="48" t="s">
        <v>136</v>
      </c>
      <c r="B30" s="53"/>
      <c r="C30" s="48" t="s">
        <v>137</v>
      </c>
      <c r="D30" s="56">
        <v>0</v>
      </c>
      <c r="E30" s="55">
        <f t="shared" si="0"/>
        <v>0</v>
      </c>
    </row>
    <row r="31" spans="1:6" x14ac:dyDescent="0.3">
      <c r="A31" s="48" t="s">
        <v>138</v>
      </c>
      <c r="B31" s="53" t="s">
        <v>104</v>
      </c>
      <c r="C31" s="48" t="s">
        <v>139</v>
      </c>
      <c r="D31" s="57">
        <f>SUM(D25:D30)</f>
        <v>424200</v>
      </c>
      <c r="E31" s="58">
        <f>SUM(E25:E30)</f>
        <v>1050</v>
      </c>
    </row>
    <row r="32" spans="1:6" x14ac:dyDescent="0.3">
      <c r="A32" s="48" t="s">
        <v>140</v>
      </c>
      <c r="B32" s="53"/>
      <c r="C32" s="48" t="s">
        <v>141</v>
      </c>
      <c r="D32" s="49"/>
      <c r="E32" s="50"/>
    </row>
    <row r="33" spans="1:6" x14ac:dyDescent="0.3">
      <c r="A33" s="48" t="s">
        <v>142</v>
      </c>
      <c r="B33" s="53"/>
      <c r="C33" s="48" t="s">
        <v>143</v>
      </c>
      <c r="D33" s="56">
        <v>0</v>
      </c>
      <c r="E33" s="55">
        <f>IF(D33="Inc.","",D33/UnitCount)</f>
        <v>0</v>
      </c>
    </row>
    <row r="34" spans="1:6" x14ac:dyDescent="0.3">
      <c r="A34" s="48" t="s">
        <v>144</v>
      </c>
      <c r="B34" s="53"/>
      <c r="C34" s="48" t="s">
        <v>145</v>
      </c>
      <c r="D34" s="56">
        <v>0</v>
      </c>
      <c r="E34" s="55">
        <f>IF(D34="Inc.","",D34/UnitCount)</f>
        <v>0</v>
      </c>
    </row>
    <row r="35" spans="1:6" x14ac:dyDescent="0.3">
      <c r="A35" s="48" t="s">
        <v>146</v>
      </c>
      <c r="B35" s="53"/>
      <c r="C35" s="48" t="s">
        <v>147</v>
      </c>
      <c r="D35" s="56">
        <v>0</v>
      </c>
      <c r="E35" s="55">
        <f>IF(D35="Inc.","",D35/UnitCount)</f>
        <v>0</v>
      </c>
    </row>
    <row r="36" spans="1:6" ht="15" thickBot="1" x14ac:dyDescent="0.35">
      <c r="A36" s="48" t="s">
        <v>148</v>
      </c>
      <c r="B36" s="53"/>
      <c r="C36" s="48" t="s">
        <v>149</v>
      </c>
      <c r="D36" s="56">
        <v>0</v>
      </c>
      <c r="E36" s="55">
        <f>IF(D36="Inc.","",D36/UnitCount)</f>
        <v>0</v>
      </c>
    </row>
    <row r="37" spans="1:6" x14ac:dyDescent="0.3">
      <c r="A37" s="48" t="s">
        <v>150</v>
      </c>
      <c r="B37" s="53" t="s">
        <v>104</v>
      </c>
      <c r="C37" s="48" t="s">
        <v>151</v>
      </c>
      <c r="D37" s="57">
        <f>SUM(D33:D36)</f>
        <v>0</v>
      </c>
      <c r="E37" s="58">
        <f>SUM(E33:E36)</f>
        <v>0</v>
      </c>
    </row>
    <row r="38" spans="1:6" x14ac:dyDescent="0.3">
      <c r="A38" s="48" t="s">
        <v>152</v>
      </c>
      <c r="B38" s="53"/>
      <c r="C38" s="48" t="s">
        <v>153</v>
      </c>
      <c r="D38" s="49"/>
      <c r="E38" s="50"/>
    </row>
    <row r="39" spans="1:6" ht="15" thickBot="1" x14ac:dyDescent="0.35">
      <c r="A39" s="48" t="s">
        <v>154</v>
      </c>
      <c r="B39" s="53"/>
      <c r="C39" s="48" t="s">
        <v>155</v>
      </c>
      <c r="D39" s="60">
        <v>5000</v>
      </c>
      <c r="E39" s="55">
        <f>IF(D39="Inc.","",D39/UnitCount)</f>
        <v>12.376237623762377</v>
      </c>
      <c r="F39" s="51" t="s">
        <v>156</v>
      </c>
    </row>
    <row r="40" spans="1:6" x14ac:dyDescent="0.3">
      <c r="A40" s="48" t="s">
        <v>157</v>
      </c>
      <c r="B40" s="53" t="s">
        <v>158</v>
      </c>
      <c r="C40" s="48" t="s">
        <v>159</v>
      </c>
      <c r="D40" s="57">
        <f>D39</f>
        <v>5000</v>
      </c>
      <c r="E40" s="58">
        <f>E39</f>
        <v>12.376237623762377</v>
      </c>
    </row>
    <row r="41" spans="1:6" x14ac:dyDescent="0.3">
      <c r="A41" s="48" t="s">
        <v>160</v>
      </c>
      <c r="B41" s="53"/>
      <c r="C41" s="48" t="s">
        <v>161</v>
      </c>
      <c r="D41" s="49"/>
      <c r="E41" s="50"/>
    </row>
    <row r="42" spans="1:6" x14ac:dyDescent="0.3">
      <c r="A42" s="48" t="s">
        <v>162</v>
      </c>
      <c r="B42" s="53"/>
      <c r="C42" s="48" t="s">
        <v>163</v>
      </c>
      <c r="D42" s="56">
        <v>5000</v>
      </c>
      <c r="E42" s="55">
        <f t="shared" ref="E42:E47" si="1">IF(D42="Inc.","",D42/UnitCount)</f>
        <v>12.376237623762377</v>
      </c>
      <c r="F42" s="51" t="s">
        <v>164</v>
      </c>
    </row>
    <row r="43" spans="1:6" x14ac:dyDescent="0.3">
      <c r="A43" s="48" t="s">
        <v>165</v>
      </c>
      <c r="B43" s="53"/>
      <c r="C43" s="48" t="s">
        <v>166</v>
      </c>
      <c r="D43" s="56">
        <v>0</v>
      </c>
      <c r="E43" s="55">
        <f t="shared" si="1"/>
        <v>0</v>
      </c>
    </row>
    <row r="44" spans="1:6" ht="21.6" x14ac:dyDescent="0.3">
      <c r="A44" s="48" t="s">
        <v>167</v>
      </c>
      <c r="B44" s="53"/>
      <c r="C44" s="48" t="s">
        <v>168</v>
      </c>
      <c r="D44" s="56">
        <v>30000</v>
      </c>
      <c r="E44" s="55">
        <f t="shared" si="1"/>
        <v>74.257425742574256</v>
      </c>
      <c r="F44" s="51" t="s">
        <v>169</v>
      </c>
    </row>
    <row r="45" spans="1:6" x14ac:dyDescent="0.3">
      <c r="A45" s="48" t="s">
        <v>170</v>
      </c>
      <c r="B45" s="53"/>
      <c r="C45" s="48" t="s">
        <v>171</v>
      </c>
      <c r="D45" s="56">
        <v>0</v>
      </c>
      <c r="E45" s="55">
        <f t="shared" si="1"/>
        <v>0</v>
      </c>
    </row>
    <row r="46" spans="1:6" x14ac:dyDescent="0.3">
      <c r="A46" s="48" t="s">
        <v>172</v>
      </c>
      <c r="B46" s="53"/>
      <c r="C46" s="48" t="s">
        <v>173</v>
      </c>
      <c r="D46" s="56">
        <v>4000</v>
      </c>
      <c r="E46" s="55">
        <f t="shared" si="1"/>
        <v>9.9009900990099009</v>
      </c>
      <c r="F46" s="51" t="s">
        <v>174</v>
      </c>
    </row>
    <row r="47" spans="1:6" ht="32.4" thickBot="1" x14ac:dyDescent="0.35">
      <c r="A47" s="48" t="s">
        <v>175</v>
      </c>
      <c r="B47" s="53"/>
      <c r="C47" s="48" t="s">
        <v>176</v>
      </c>
      <c r="D47" s="56">
        <v>17000</v>
      </c>
      <c r="E47" s="55">
        <f t="shared" si="1"/>
        <v>42.079207920792079</v>
      </c>
      <c r="F47" s="51" t="s">
        <v>177</v>
      </c>
    </row>
    <row r="48" spans="1:6" x14ac:dyDescent="0.3">
      <c r="A48" s="48" t="s">
        <v>178</v>
      </c>
      <c r="B48" s="53" t="s">
        <v>158</v>
      </c>
      <c r="C48" s="48" t="s">
        <v>179</v>
      </c>
      <c r="D48" s="57">
        <f>SUM(D42:D47)</f>
        <v>56000</v>
      </c>
      <c r="E48" s="58">
        <f>SUM(E42:E47)</f>
        <v>138.61386138613861</v>
      </c>
    </row>
    <row r="49" spans="1:6" x14ac:dyDescent="0.3">
      <c r="A49" s="48" t="s">
        <v>180</v>
      </c>
      <c r="B49" s="53"/>
      <c r="C49" s="48" t="s">
        <v>181</v>
      </c>
      <c r="D49" s="49"/>
      <c r="E49" s="50"/>
    </row>
    <row r="50" spans="1:6" x14ac:dyDescent="0.3">
      <c r="A50" s="48" t="s">
        <v>182</v>
      </c>
      <c r="B50" s="53"/>
      <c r="C50" s="48" t="s">
        <v>183</v>
      </c>
      <c r="D50" s="56">
        <v>0</v>
      </c>
      <c r="E50" s="55">
        <f>IF(D50="Inc.","",D50/UnitCount)</f>
        <v>0</v>
      </c>
    </row>
    <row r="51" spans="1:6" ht="15" thickBot="1" x14ac:dyDescent="0.35">
      <c r="A51" s="48" t="s">
        <v>184</v>
      </c>
      <c r="B51" s="53"/>
      <c r="C51" s="48" t="s">
        <v>185</v>
      </c>
      <c r="D51" s="56">
        <v>0</v>
      </c>
      <c r="E51" s="55">
        <f>IF(D51="Inc.","",D51/UnitCount)</f>
        <v>0</v>
      </c>
    </row>
    <row r="52" spans="1:6" x14ac:dyDescent="0.3">
      <c r="A52" s="48" t="s">
        <v>186</v>
      </c>
      <c r="B52" s="53" t="s">
        <v>104</v>
      </c>
      <c r="C52" s="48" t="s">
        <v>187</v>
      </c>
      <c r="D52" s="57">
        <f>SUM(D50:D51)</f>
        <v>0</v>
      </c>
      <c r="E52" s="58">
        <f>SUM(E50:E51)</f>
        <v>0</v>
      </c>
    </row>
    <row r="53" spans="1:6" x14ac:dyDescent="0.3">
      <c r="A53" s="48" t="s">
        <v>188</v>
      </c>
      <c r="B53" s="53"/>
      <c r="C53" s="48" t="s">
        <v>189</v>
      </c>
      <c r="D53" s="49"/>
      <c r="E53" s="50"/>
    </row>
    <row r="54" spans="1:6" x14ac:dyDescent="0.3">
      <c r="A54" s="48" t="s">
        <v>190</v>
      </c>
      <c r="B54" s="53"/>
      <c r="C54" s="48" t="s">
        <v>191</v>
      </c>
      <c r="D54" s="61">
        <v>10000</v>
      </c>
      <c r="E54" s="55">
        <f t="shared" ref="E54:E60" si="2">IF(D54="Inc.","",D54/UnitCount)</f>
        <v>24.752475247524753</v>
      </c>
      <c r="F54" s="51" t="s">
        <v>192</v>
      </c>
    </row>
    <row r="55" spans="1:6" x14ac:dyDescent="0.3">
      <c r="A55" s="48" t="s">
        <v>193</v>
      </c>
      <c r="B55" s="53"/>
      <c r="C55" s="48" t="s">
        <v>194</v>
      </c>
      <c r="D55" s="56">
        <v>0</v>
      </c>
      <c r="E55" s="55">
        <f t="shared" si="2"/>
        <v>0</v>
      </c>
    </row>
    <row r="56" spans="1:6" x14ac:dyDescent="0.3">
      <c r="A56" s="48" t="s">
        <v>195</v>
      </c>
      <c r="B56" s="53"/>
      <c r="C56" s="48" t="s">
        <v>196</v>
      </c>
      <c r="D56" s="56">
        <v>0</v>
      </c>
      <c r="E56" s="55">
        <f t="shared" si="2"/>
        <v>0</v>
      </c>
    </row>
    <row r="57" spans="1:6" x14ac:dyDescent="0.3">
      <c r="A57" s="48" t="s">
        <v>197</v>
      </c>
      <c r="B57" s="53"/>
      <c r="C57" s="48" t="s">
        <v>198</v>
      </c>
      <c r="D57" s="56">
        <v>7500</v>
      </c>
      <c r="E57" s="55">
        <f t="shared" si="2"/>
        <v>18.564356435643564</v>
      </c>
      <c r="F57" s="51" t="s">
        <v>199</v>
      </c>
    </row>
    <row r="58" spans="1:6" x14ac:dyDescent="0.3">
      <c r="A58" s="48" t="s">
        <v>200</v>
      </c>
      <c r="B58" s="53"/>
      <c r="C58" s="48" t="s">
        <v>201</v>
      </c>
      <c r="D58" s="56">
        <v>0</v>
      </c>
      <c r="E58" s="55">
        <f t="shared" si="2"/>
        <v>0</v>
      </c>
    </row>
    <row r="59" spans="1:6" x14ac:dyDescent="0.3">
      <c r="A59" s="48" t="s">
        <v>202</v>
      </c>
      <c r="B59" s="53"/>
      <c r="C59" s="48" t="s">
        <v>203</v>
      </c>
      <c r="D59" s="54">
        <v>2000</v>
      </c>
      <c r="E59" s="55">
        <f t="shared" si="2"/>
        <v>4.9504950495049505</v>
      </c>
      <c r="F59" s="51" t="s">
        <v>204</v>
      </c>
    </row>
    <row r="60" spans="1:6" ht="15" thickBot="1" x14ac:dyDescent="0.35">
      <c r="A60" s="48" t="s">
        <v>205</v>
      </c>
      <c r="B60" s="53"/>
      <c r="C60" s="48" t="s">
        <v>206</v>
      </c>
      <c r="D60" s="54">
        <v>30000</v>
      </c>
      <c r="E60" s="55">
        <f t="shared" si="2"/>
        <v>74.257425742574256</v>
      </c>
      <c r="F60" s="51" t="s">
        <v>207</v>
      </c>
    </row>
    <row r="61" spans="1:6" x14ac:dyDescent="0.3">
      <c r="A61" s="48" t="s">
        <v>208</v>
      </c>
      <c r="B61" s="53" t="s">
        <v>209</v>
      </c>
      <c r="C61" s="48" t="s">
        <v>210</v>
      </c>
      <c r="D61" s="57">
        <f>SUM(D54:D60)</f>
        <v>49500</v>
      </c>
      <c r="E61" s="58">
        <f>SUM(E54:E60)</f>
        <v>122.52475247524752</v>
      </c>
    </row>
    <row r="62" spans="1:6" x14ac:dyDescent="0.3">
      <c r="A62" s="48" t="s">
        <v>211</v>
      </c>
      <c r="B62" s="53"/>
      <c r="C62" s="48" t="s">
        <v>212</v>
      </c>
      <c r="D62" s="49"/>
      <c r="E62" s="50"/>
    </row>
    <row r="63" spans="1:6" x14ac:dyDescent="0.3">
      <c r="A63" s="48" t="s">
        <v>213</v>
      </c>
      <c r="B63" s="53"/>
      <c r="C63" s="48" t="s">
        <v>214</v>
      </c>
      <c r="D63" s="54">
        <v>35000</v>
      </c>
      <c r="E63" s="55">
        <f>IF(D63="Inc.","",D63/UnitCount)</f>
        <v>86.633663366336634</v>
      </c>
      <c r="F63" s="51" t="s">
        <v>215</v>
      </c>
    </row>
    <row r="64" spans="1:6" ht="15" thickBot="1" x14ac:dyDescent="0.35">
      <c r="A64" s="48" t="s">
        <v>216</v>
      </c>
      <c r="B64" s="53"/>
      <c r="C64" s="48" t="s">
        <v>217</v>
      </c>
      <c r="D64" s="56">
        <v>0</v>
      </c>
      <c r="E64" s="55">
        <f>IF(D64="Inc.","",D64/UnitCount)</f>
        <v>0</v>
      </c>
    </row>
    <row r="65" spans="1:5" x14ac:dyDescent="0.3">
      <c r="A65" s="48" t="s">
        <v>218</v>
      </c>
      <c r="B65" s="53" t="s">
        <v>219</v>
      </c>
      <c r="C65" s="48" t="s">
        <v>220</v>
      </c>
      <c r="D65" s="57">
        <f>SUM(D63:D64)</f>
        <v>35000</v>
      </c>
      <c r="E65" s="58">
        <f>SUM(E63:E64)</f>
        <v>86.633663366336634</v>
      </c>
    </row>
    <row r="66" spans="1:5" x14ac:dyDescent="0.3">
      <c r="A66" s="48" t="s">
        <v>221</v>
      </c>
      <c r="B66" s="53"/>
      <c r="C66" s="48" t="s">
        <v>222</v>
      </c>
      <c r="D66" s="49"/>
      <c r="E66" s="50"/>
    </row>
    <row r="67" spans="1:5" x14ac:dyDescent="0.3">
      <c r="A67" s="48" t="s">
        <v>223</v>
      </c>
      <c r="B67" s="53"/>
      <c r="C67" s="48" t="s">
        <v>224</v>
      </c>
      <c r="D67" s="56">
        <v>0</v>
      </c>
      <c r="E67" s="55">
        <f>IF(D67="Inc.","",D67/UnitCount)</f>
        <v>0</v>
      </c>
    </row>
    <row r="68" spans="1:5" ht="15" thickBot="1" x14ac:dyDescent="0.35">
      <c r="A68" s="48" t="s">
        <v>225</v>
      </c>
      <c r="B68" s="53"/>
      <c r="C68" s="48" t="s">
        <v>226</v>
      </c>
      <c r="D68" s="56">
        <v>0</v>
      </c>
      <c r="E68" s="55">
        <f>IF(D68="Inc.","",D68/UnitCount)</f>
        <v>0</v>
      </c>
    </row>
    <row r="69" spans="1:5" x14ac:dyDescent="0.3">
      <c r="A69" s="48" t="s">
        <v>227</v>
      </c>
      <c r="B69" s="53" t="s">
        <v>228</v>
      </c>
      <c r="C69" s="48" t="s">
        <v>229</v>
      </c>
      <c r="D69" s="57">
        <f>SUM(D67:D68)</f>
        <v>0</v>
      </c>
      <c r="E69" s="58">
        <f>SUM(E67:E68)</f>
        <v>0</v>
      </c>
    </row>
    <row r="70" spans="1:5" x14ac:dyDescent="0.3">
      <c r="A70" s="48" t="s">
        <v>230</v>
      </c>
      <c r="B70" s="53"/>
      <c r="C70" s="48" t="s">
        <v>231</v>
      </c>
      <c r="D70" s="49"/>
      <c r="E70" s="50"/>
    </row>
    <row r="71" spans="1:5" x14ac:dyDescent="0.3">
      <c r="A71" s="48" t="s">
        <v>232</v>
      </c>
      <c r="B71" s="53"/>
      <c r="C71" s="48" t="s">
        <v>233</v>
      </c>
      <c r="D71" s="56">
        <v>0</v>
      </c>
      <c r="E71" s="55">
        <f>IF(D71="Inc.","",D71/UnitCount)</f>
        <v>0</v>
      </c>
    </row>
    <row r="72" spans="1:5" x14ac:dyDescent="0.3">
      <c r="A72" s="48" t="s">
        <v>234</v>
      </c>
      <c r="B72" s="53"/>
      <c r="C72" s="48" t="s">
        <v>235</v>
      </c>
      <c r="D72" s="56">
        <v>0</v>
      </c>
      <c r="E72" s="55">
        <f>IF(D72="Inc.","",D72/UnitCount)</f>
        <v>0</v>
      </c>
    </row>
    <row r="73" spans="1:5" ht="15" thickBot="1" x14ac:dyDescent="0.35">
      <c r="A73" s="48" t="s">
        <v>236</v>
      </c>
      <c r="B73" s="53"/>
      <c r="C73" s="48" t="s">
        <v>237</v>
      </c>
      <c r="D73" s="56">
        <v>0</v>
      </c>
      <c r="E73" s="55">
        <f>IF(D73="Inc.","",D73/UnitCount)</f>
        <v>0</v>
      </c>
    </row>
    <row r="74" spans="1:5" x14ac:dyDescent="0.3">
      <c r="A74" s="48" t="s">
        <v>238</v>
      </c>
      <c r="B74" s="53" t="s">
        <v>158</v>
      </c>
      <c r="C74" s="48" t="s">
        <v>239</v>
      </c>
      <c r="D74" s="57">
        <f>SUM(D71:D73)</f>
        <v>0</v>
      </c>
      <c r="E74" s="58">
        <f>SUM(E71:E73)</f>
        <v>0</v>
      </c>
    </row>
    <row r="75" spans="1:5" x14ac:dyDescent="0.3">
      <c r="A75" s="48" t="s">
        <v>240</v>
      </c>
      <c r="B75" s="53"/>
      <c r="C75" s="48" t="s">
        <v>241</v>
      </c>
      <c r="D75" s="49"/>
      <c r="E75" s="50"/>
    </row>
    <row r="76" spans="1:5" x14ac:dyDescent="0.3">
      <c r="A76" s="48" t="s">
        <v>242</v>
      </c>
      <c r="B76" s="53"/>
      <c r="C76" s="48" t="s">
        <v>243</v>
      </c>
      <c r="D76" s="56">
        <v>0</v>
      </c>
      <c r="E76" s="55">
        <f>IF(D76="Inc.","",D76/UnitCount)</f>
        <v>0</v>
      </c>
    </row>
    <row r="77" spans="1:5" ht="15" thickBot="1" x14ac:dyDescent="0.35">
      <c r="A77" s="48" t="s">
        <v>244</v>
      </c>
      <c r="B77" s="53"/>
      <c r="C77" s="48" t="s">
        <v>245</v>
      </c>
      <c r="D77" s="56">
        <v>0</v>
      </c>
      <c r="E77" s="55">
        <f>IF(D77="Inc.","",D77/UnitCount)</f>
        <v>0</v>
      </c>
    </row>
    <row r="78" spans="1:5" x14ac:dyDescent="0.3">
      <c r="A78" s="48" t="s">
        <v>246</v>
      </c>
      <c r="B78" s="53" t="s">
        <v>228</v>
      </c>
      <c r="C78" s="48" t="s">
        <v>247</v>
      </c>
      <c r="D78" s="57">
        <f>SUM(D76:D77)</f>
        <v>0</v>
      </c>
      <c r="E78" s="58">
        <f>SUM(E76:E77)</f>
        <v>0</v>
      </c>
    </row>
    <row r="79" spans="1:5" x14ac:dyDescent="0.3">
      <c r="A79" s="48" t="s">
        <v>248</v>
      </c>
      <c r="B79" s="53"/>
      <c r="C79" s="48" t="s">
        <v>249</v>
      </c>
      <c r="D79" s="49"/>
      <c r="E79" s="50"/>
    </row>
    <row r="80" spans="1:5" x14ac:dyDescent="0.3">
      <c r="A80" s="48" t="s">
        <v>250</v>
      </c>
      <c r="B80" s="53"/>
      <c r="C80" s="48" t="s">
        <v>251</v>
      </c>
      <c r="D80" s="56">
        <v>0</v>
      </c>
      <c r="E80" s="55">
        <f>IF(D80="Inc.","",D80/UnitCount)</f>
        <v>0</v>
      </c>
    </row>
    <row r="81" spans="1:6" ht="15" thickBot="1" x14ac:dyDescent="0.35">
      <c r="A81" s="48" t="s">
        <v>252</v>
      </c>
      <c r="B81" s="53"/>
      <c r="C81" s="48" t="s">
        <v>253</v>
      </c>
      <c r="D81" s="56">
        <v>0</v>
      </c>
      <c r="E81" s="55">
        <f>IF(D81="Inc.","",D81/UnitCount)</f>
        <v>0</v>
      </c>
    </row>
    <row r="82" spans="1:6" x14ac:dyDescent="0.3">
      <c r="A82" s="48" t="s">
        <v>254</v>
      </c>
      <c r="B82" s="53" t="s">
        <v>104</v>
      </c>
      <c r="C82" s="48" t="s">
        <v>255</v>
      </c>
      <c r="D82" s="57">
        <f>SUM(D80:D81)</f>
        <v>0</v>
      </c>
      <c r="E82" s="58">
        <f>SUM(E80:E81)</f>
        <v>0</v>
      </c>
    </row>
    <row r="83" spans="1:6" x14ac:dyDescent="0.3">
      <c r="A83" s="48" t="s">
        <v>256</v>
      </c>
      <c r="B83" s="53"/>
      <c r="C83" s="48" t="s">
        <v>257</v>
      </c>
      <c r="D83" s="49"/>
      <c r="E83" s="50"/>
    </row>
    <row r="84" spans="1:6" x14ac:dyDescent="0.3">
      <c r="A84" s="48" t="s">
        <v>258</v>
      </c>
      <c r="B84" s="53"/>
      <c r="C84" s="48" t="s">
        <v>259</v>
      </c>
      <c r="D84" s="56">
        <v>0</v>
      </c>
      <c r="E84" s="55">
        <f>IF(D84="Inc.","",D84/UnitCount)</f>
        <v>0</v>
      </c>
    </row>
    <row r="85" spans="1:6" x14ac:dyDescent="0.3">
      <c r="A85" s="48" t="s">
        <v>260</v>
      </c>
      <c r="B85" s="53"/>
      <c r="C85" s="48" t="s">
        <v>261</v>
      </c>
      <c r="D85" s="56">
        <v>0</v>
      </c>
      <c r="E85" s="55">
        <f>IF(D85="Inc.","",D85/UnitCount)</f>
        <v>0</v>
      </c>
    </row>
    <row r="86" spans="1:6" ht="15" thickBot="1" x14ac:dyDescent="0.35">
      <c r="A86" s="48" t="s">
        <v>262</v>
      </c>
      <c r="B86" s="53"/>
      <c r="C86" s="48" t="s">
        <v>263</v>
      </c>
      <c r="D86" s="56">
        <v>0</v>
      </c>
      <c r="E86" s="55">
        <f>IF(D86="Inc.","",D86/UnitCount)</f>
        <v>0</v>
      </c>
    </row>
    <row r="87" spans="1:6" x14ac:dyDescent="0.3">
      <c r="A87" s="48" t="s">
        <v>264</v>
      </c>
      <c r="B87" s="53" t="s">
        <v>104</v>
      </c>
      <c r="C87" s="48" t="s">
        <v>265</v>
      </c>
      <c r="D87" s="57">
        <f>SUM(D84:D86)</f>
        <v>0</v>
      </c>
      <c r="E87" s="58">
        <f>SUM(E84:E86)</f>
        <v>0</v>
      </c>
    </row>
    <row r="88" spans="1:6" x14ac:dyDescent="0.3">
      <c r="A88" s="48" t="s">
        <v>266</v>
      </c>
      <c r="B88" s="53"/>
      <c r="C88" s="48" t="s">
        <v>267</v>
      </c>
      <c r="D88" s="49"/>
      <c r="E88" s="50"/>
    </row>
    <row r="89" spans="1:6" ht="22.2" thickBot="1" x14ac:dyDescent="0.35">
      <c r="A89" s="48" t="s">
        <v>268</v>
      </c>
      <c r="B89" s="53"/>
      <c r="C89" s="48" t="s">
        <v>269</v>
      </c>
      <c r="D89" s="54">
        <v>1500</v>
      </c>
      <c r="E89" s="55">
        <f>IF(D89="Inc.","",D89/UnitCount)</f>
        <v>3.7128712871287131</v>
      </c>
      <c r="F89" s="51" t="s">
        <v>270</v>
      </c>
    </row>
    <row r="90" spans="1:6" x14ac:dyDescent="0.3">
      <c r="A90" s="48" t="s">
        <v>271</v>
      </c>
      <c r="B90" s="53" t="s">
        <v>209</v>
      </c>
      <c r="C90" s="48" t="s">
        <v>272</v>
      </c>
      <c r="D90" s="57">
        <f>D89</f>
        <v>1500</v>
      </c>
      <c r="E90" s="58">
        <f>E89</f>
        <v>3.7128712871287131</v>
      </c>
    </row>
    <row r="91" spans="1:6" x14ac:dyDescent="0.3">
      <c r="A91" s="48" t="s">
        <v>273</v>
      </c>
      <c r="B91" s="53"/>
      <c r="C91" s="48" t="s">
        <v>274</v>
      </c>
      <c r="D91" s="49"/>
      <c r="E91" s="50"/>
    </row>
    <row r="92" spans="1:6" ht="15" thickBot="1" x14ac:dyDescent="0.35">
      <c r="A92" s="48" t="s">
        <v>275</v>
      </c>
      <c r="B92" s="53"/>
      <c r="C92" s="48" t="s">
        <v>276</v>
      </c>
      <c r="D92" s="56">
        <v>30000</v>
      </c>
      <c r="E92" s="55">
        <f>IF(D92="Inc.","",D92/UnitCount)</f>
        <v>74.257425742574256</v>
      </c>
      <c r="F92" s="51" t="s">
        <v>277</v>
      </c>
    </row>
    <row r="93" spans="1:6" x14ac:dyDescent="0.3">
      <c r="A93" s="48" t="s">
        <v>278</v>
      </c>
      <c r="B93" s="53" t="s">
        <v>209</v>
      </c>
      <c r="C93" s="48" t="s">
        <v>279</v>
      </c>
      <c r="D93" s="57">
        <f>D92</f>
        <v>30000</v>
      </c>
      <c r="E93" s="58">
        <f>E92</f>
        <v>74.257425742574256</v>
      </c>
    </row>
    <row r="94" spans="1:6" x14ac:dyDescent="0.3">
      <c r="A94" s="48" t="s">
        <v>280</v>
      </c>
      <c r="B94" s="53"/>
      <c r="C94" s="48" t="s">
        <v>281</v>
      </c>
      <c r="D94" s="49"/>
      <c r="E94" s="50"/>
    </row>
    <row r="95" spans="1:6" x14ac:dyDescent="0.3">
      <c r="A95" s="48" t="s">
        <v>282</v>
      </c>
      <c r="B95" s="53"/>
      <c r="C95" s="48" t="s">
        <v>283</v>
      </c>
      <c r="D95" s="56">
        <v>1500</v>
      </c>
      <c r="E95" s="55">
        <f>IF(D95="Inc.","",D95/UnitCount)</f>
        <v>3.7128712871287131</v>
      </c>
      <c r="F95" s="51" t="s">
        <v>284</v>
      </c>
    </row>
    <row r="96" spans="1:6" x14ac:dyDescent="0.3">
      <c r="A96" s="48" t="s">
        <v>285</v>
      </c>
      <c r="B96" s="53"/>
      <c r="C96" s="48" t="s">
        <v>286</v>
      </c>
      <c r="D96" s="56">
        <v>0</v>
      </c>
      <c r="E96" s="55">
        <f>IF(D96="Inc.","",D96/UnitCount)</f>
        <v>0</v>
      </c>
    </row>
    <row r="97" spans="1:6" ht="15" thickBot="1" x14ac:dyDescent="0.35">
      <c r="A97" s="48" t="s">
        <v>287</v>
      </c>
      <c r="B97" s="53"/>
      <c r="C97" s="48" t="s">
        <v>288</v>
      </c>
      <c r="D97" s="56">
        <v>5000</v>
      </c>
      <c r="E97" s="55">
        <f>IF(D97="Inc.","",D97/UnitCount)</f>
        <v>12.376237623762377</v>
      </c>
      <c r="F97" s="51" t="s">
        <v>289</v>
      </c>
    </row>
    <row r="98" spans="1:6" x14ac:dyDescent="0.3">
      <c r="A98" s="48" t="s">
        <v>290</v>
      </c>
      <c r="B98" s="53" t="s">
        <v>209</v>
      </c>
      <c r="C98" s="48" t="s">
        <v>291</v>
      </c>
      <c r="D98" s="57">
        <f>SUM(D95:D97)</f>
        <v>6500</v>
      </c>
      <c r="E98" s="58">
        <f>SUM(E95:E97)</f>
        <v>16.089108910891088</v>
      </c>
    </row>
    <row r="99" spans="1:6" x14ac:dyDescent="0.3">
      <c r="A99" s="48" t="s">
        <v>292</v>
      </c>
      <c r="B99" s="53"/>
      <c r="C99" s="48" t="s">
        <v>293</v>
      </c>
      <c r="D99" s="49"/>
      <c r="E99" s="50"/>
    </row>
    <row r="100" spans="1:6" ht="21.6" x14ac:dyDescent="0.3">
      <c r="A100" s="48" t="s">
        <v>294</v>
      </c>
      <c r="B100" s="53"/>
      <c r="C100" s="48" t="s">
        <v>295</v>
      </c>
      <c r="D100" s="56">
        <f>5000+1500+3000</f>
        <v>9500</v>
      </c>
      <c r="E100" s="55">
        <f>IF(D100="Inc.","",D100/UnitCount)</f>
        <v>23.514851485148515</v>
      </c>
      <c r="F100" s="51" t="s">
        <v>296</v>
      </c>
    </row>
    <row r="101" spans="1:6" x14ac:dyDescent="0.3">
      <c r="A101" s="48" t="s">
        <v>297</v>
      </c>
      <c r="B101" s="53"/>
      <c r="C101" s="48" t="s">
        <v>298</v>
      </c>
      <c r="D101" s="56">
        <v>0</v>
      </c>
      <c r="E101" s="55">
        <f>IF(D101="Inc.","",D101/UnitCount)</f>
        <v>0</v>
      </c>
    </row>
    <row r="102" spans="1:6" x14ac:dyDescent="0.3">
      <c r="A102" s="48" t="s">
        <v>299</v>
      </c>
      <c r="B102" s="53"/>
      <c r="C102" s="48" t="s">
        <v>300</v>
      </c>
      <c r="D102" s="56">
        <v>0</v>
      </c>
      <c r="E102" s="55">
        <f>IF(D102="Inc.","",D102/UnitCount)</f>
        <v>0</v>
      </c>
    </row>
    <row r="103" spans="1:6" ht="15" thickBot="1" x14ac:dyDescent="0.35">
      <c r="A103" s="48" t="s">
        <v>301</v>
      </c>
      <c r="B103" s="53"/>
      <c r="C103" s="48" t="s">
        <v>302</v>
      </c>
      <c r="D103" s="56">
        <v>0</v>
      </c>
      <c r="E103" s="55">
        <f>IF(D103="Inc.","",D103/UnitCount)</f>
        <v>0</v>
      </c>
    </row>
    <row r="104" spans="1:6" x14ac:dyDescent="0.3">
      <c r="A104" s="48" t="s">
        <v>303</v>
      </c>
      <c r="B104" s="53" t="s">
        <v>209</v>
      </c>
      <c r="C104" s="48" t="s">
        <v>304</v>
      </c>
      <c r="D104" s="57">
        <f>SUM(D100:D103)</f>
        <v>9500</v>
      </c>
      <c r="E104" s="58">
        <f>SUM(E100:E103)</f>
        <v>23.514851485148515</v>
      </c>
    </row>
    <row r="105" spans="1:6" x14ac:dyDescent="0.3">
      <c r="A105" s="48" t="s">
        <v>305</v>
      </c>
      <c r="B105" s="53"/>
      <c r="C105" s="48" t="s">
        <v>306</v>
      </c>
      <c r="D105" s="49"/>
      <c r="E105" s="50"/>
    </row>
    <row r="106" spans="1:6" x14ac:dyDescent="0.3">
      <c r="A106" s="48" t="s">
        <v>307</v>
      </c>
      <c r="B106" s="53"/>
      <c r="C106" s="48" t="s">
        <v>308</v>
      </c>
      <c r="D106" s="56">
        <v>0</v>
      </c>
      <c r="E106" s="55">
        <f>IF(D106="Inc.","",D106/UnitCount)</f>
        <v>0</v>
      </c>
    </row>
    <row r="107" spans="1:6" x14ac:dyDescent="0.3">
      <c r="A107" s="48" t="s">
        <v>309</v>
      </c>
      <c r="B107" s="53"/>
      <c r="C107" s="48" t="s">
        <v>310</v>
      </c>
      <c r="D107" s="56">
        <v>750</v>
      </c>
      <c r="E107" s="55">
        <f>IF(D107="Inc.","",D107/UnitCount)</f>
        <v>1.8564356435643565</v>
      </c>
      <c r="F107" s="51" t="s">
        <v>311</v>
      </c>
    </row>
    <row r="108" spans="1:6" x14ac:dyDescent="0.3">
      <c r="A108" s="48" t="s">
        <v>312</v>
      </c>
      <c r="B108" s="53"/>
      <c r="C108" s="48" t="s">
        <v>313</v>
      </c>
      <c r="D108" s="56">
        <f>40*50</f>
        <v>2000</v>
      </c>
      <c r="E108" s="55">
        <f>IF(D108="Inc.","",D108/UnitCount)</f>
        <v>4.9504950495049505</v>
      </c>
      <c r="F108" s="51" t="s">
        <v>314</v>
      </c>
    </row>
    <row r="109" spans="1:6" x14ac:dyDescent="0.3">
      <c r="A109" s="48" t="s">
        <v>315</v>
      </c>
      <c r="B109" s="53"/>
      <c r="C109" s="48" t="s">
        <v>316</v>
      </c>
      <c r="D109" s="56">
        <v>0</v>
      </c>
      <c r="E109" s="55">
        <f>IF(D109="Inc.","",D109/UnitCount)</f>
        <v>0</v>
      </c>
    </row>
    <row r="110" spans="1:6" ht="15" thickBot="1" x14ac:dyDescent="0.35">
      <c r="A110" s="48" t="s">
        <v>317</v>
      </c>
      <c r="B110" s="53"/>
      <c r="C110" s="48" t="s">
        <v>318</v>
      </c>
      <c r="D110" s="56">
        <v>0</v>
      </c>
      <c r="E110" s="55">
        <f>IF(D110="Inc.","",D110/UnitCount)</f>
        <v>0</v>
      </c>
    </row>
    <row r="111" spans="1:6" x14ac:dyDescent="0.3">
      <c r="A111" s="48" t="s">
        <v>319</v>
      </c>
      <c r="B111" s="53" t="s">
        <v>158</v>
      </c>
      <c r="C111" s="48" t="s">
        <v>320</v>
      </c>
      <c r="D111" s="57">
        <f>SUM(D106:D110)</f>
        <v>2750</v>
      </c>
      <c r="E111" s="58">
        <f>SUM(E106:E110)</f>
        <v>6.8069306930693072</v>
      </c>
    </row>
    <row r="112" spans="1:6" x14ac:dyDescent="0.3">
      <c r="A112" s="48" t="s">
        <v>321</v>
      </c>
      <c r="B112" s="53"/>
      <c r="C112" s="48" t="s">
        <v>322</v>
      </c>
      <c r="D112" s="49"/>
      <c r="E112" s="50"/>
    </row>
    <row r="113" spans="1:6" x14ac:dyDescent="0.3">
      <c r="A113" s="48" t="s">
        <v>323</v>
      </c>
      <c r="B113" s="53"/>
      <c r="C113" s="48" t="s">
        <v>324</v>
      </c>
      <c r="D113" s="56">
        <v>0</v>
      </c>
      <c r="E113" s="55">
        <f>IF(D113="Inc.","",D113/UnitCount)</f>
        <v>0</v>
      </c>
    </row>
    <row r="114" spans="1:6" x14ac:dyDescent="0.3">
      <c r="A114" s="48" t="s">
        <v>325</v>
      </c>
      <c r="B114" s="53"/>
      <c r="C114" s="48" t="s">
        <v>326</v>
      </c>
      <c r="D114" s="56">
        <v>0</v>
      </c>
      <c r="E114" s="55">
        <f>IF(D114="Inc.","",D114/UnitCount)</f>
        <v>0</v>
      </c>
    </row>
    <row r="115" spans="1:6" ht="15" thickBot="1" x14ac:dyDescent="0.35">
      <c r="A115" s="48" t="s">
        <v>327</v>
      </c>
      <c r="B115" s="53"/>
      <c r="C115" s="48" t="s">
        <v>328</v>
      </c>
      <c r="D115" s="56">
        <v>0</v>
      </c>
      <c r="E115" s="55">
        <f>IF(D115="Inc.","",D115/UnitCount)</f>
        <v>0</v>
      </c>
    </row>
    <row r="116" spans="1:6" x14ac:dyDescent="0.3">
      <c r="A116" s="48" t="s">
        <v>329</v>
      </c>
      <c r="B116" s="53" t="s">
        <v>228</v>
      </c>
      <c r="C116" s="48" t="s">
        <v>330</v>
      </c>
      <c r="D116" s="57">
        <f>SUM(D113:D115)</f>
        <v>0</v>
      </c>
      <c r="E116" s="58">
        <f>SUM(E113:E115)</f>
        <v>0</v>
      </c>
    </row>
    <row r="117" spans="1:6" x14ac:dyDescent="0.3">
      <c r="A117" s="48" t="s">
        <v>331</v>
      </c>
      <c r="B117" s="53"/>
      <c r="C117" s="48" t="s">
        <v>332</v>
      </c>
      <c r="D117" s="49"/>
      <c r="E117" s="50"/>
    </row>
    <row r="118" spans="1:6" x14ac:dyDescent="0.3">
      <c r="A118" s="48" t="s">
        <v>333</v>
      </c>
      <c r="B118" s="53"/>
      <c r="C118" s="48" t="s">
        <v>334</v>
      </c>
      <c r="D118" s="56">
        <v>0</v>
      </c>
      <c r="E118" s="55">
        <f>IF(D118="Inc.","",D118/UnitCount)</f>
        <v>0</v>
      </c>
    </row>
    <row r="119" spans="1:6" x14ac:dyDescent="0.3">
      <c r="A119" s="48" t="s">
        <v>335</v>
      </c>
      <c r="B119" s="53"/>
      <c r="C119" s="48" t="s">
        <v>336</v>
      </c>
      <c r="D119" s="56">
        <v>0</v>
      </c>
      <c r="E119" s="55">
        <f>IF(D119="Inc.","",D119/UnitCount)</f>
        <v>0</v>
      </c>
    </row>
    <row r="120" spans="1:6" ht="15" thickBot="1" x14ac:dyDescent="0.35">
      <c r="A120" s="48" t="s">
        <v>337</v>
      </c>
      <c r="B120" s="53"/>
      <c r="C120" s="48" t="s">
        <v>338</v>
      </c>
      <c r="D120" s="56">
        <v>0</v>
      </c>
      <c r="E120" s="55">
        <f>IF(D120="Inc.","",D120/UnitCount)</f>
        <v>0</v>
      </c>
    </row>
    <row r="121" spans="1:6" x14ac:dyDescent="0.3">
      <c r="A121" s="48" t="s">
        <v>339</v>
      </c>
      <c r="B121" s="53" t="s">
        <v>340</v>
      </c>
      <c r="C121" s="48" t="s">
        <v>341</v>
      </c>
      <c r="D121" s="57">
        <f>SUM(D118:D120)</f>
        <v>0</v>
      </c>
      <c r="E121" s="58">
        <f>SUM(E118:E120)</f>
        <v>0</v>
      </c>
    </row>
    <row r="122" spans="1:6" x14ac:dyDescent="0.3">
      <c r="A122" s="48" t="s">
        <v>342</v>
      </c>
      <c r="B122" s="53"/>
      <c r="C122" s="48" t="s">
        <v>343</v>
      </c>
      <c r="D122" s="49"/>
      <c r="E122" s="50"/>
    </row>
    <row r="123" spans="1:6" ht="15" thickBot="1" x14ac:dyDescent="0.35">
      <c r="A123" s="48" t="s">
        <v>344</v>
      </c>
      <c r="B123" s="53"/>
      <c r="C123" s="48" t="s">
        <v>345</v>
      </c>
      <c r="D123" s="56">
        <v>15000</v>
      </c>
      <c r="E123" s="55">
        <f>IF(D123="Inc.","",D123/UnitCount)</f>
        <v>37.128712871287128</v>
      </c>
    </row>
    <row r="124" spans="1:6" x14ac:dyDescent="0.3">
      <c r="A124" s="48" t="s">
        <v>346</v>
      </c>
      <c r="B124" s="53" t="s">
        <v>347</v>
      </c>
      <c r="C124" s="48" t="s">
        <v>348</v>
      </c>
      <c r="D124" s="57">
        <f>D123</f>
        <v>15000</v>
      </c>
      <c r="E124" s="58">
        <f>E123</f>
        <v>37.128712871287128</v>
      </c>
    </row>
    <row r="125" spans="1:6" x14ac:dyDescent="0.3">
      <c r="A125" s="48" t="s">
        <v>349</v>
      </c>
      <c r="B125" s="53"/>
      <c r="C125" s="48" t="s">
        <v>350</v>
      </c>
      <c r="D125" s="49"/>
      <c r="E125" s="50"/>
    </row>
    <row r="126" spans="1:6" ht="15" thickBot="1" x14ac:dyDescent="0.35">
      <c r="A126" s="48" t="s">
        <v>351</v>
      </c>
      <c r="B126" s="53"/>
      <c r="C126" s="48" t="s">
        <v>352</v>
      </c>
      <c r="D126" s="62">
        <f>SUM(D16+D23+D31+D37+D40+D48+D52+D61+D65+D69+D74+D78+D82+D87+D90+D93+D98+D104+D111+D116+D121+D124)*F126</f>
        <v>213495</v>
      </c>
      <c r="E126" s="55">
        <f>IF(D126="Inc.","",D126/UnitCount)</f>
        <v>528.45297029702965</v>
      </c>
      <c r="F126" s="63">
        <v>0.1</v>
      </c>
    </row>
    <row r="127" spans="1:6" ht="15" thickBot="1" x14ac:dyDescent="0.35">
      <c r="A127" s="48" t="s">
        <v>353</v>
      </c>
      <c r="B127" s="53" t="s">
        <v>354</v>
      </c>
      <c r="C127" s="48" t="s">
        <v>355</v>
      </c>
      <c r="D127" s="57">
        <f>D126</f>
        <v>213495</v>
      </c>
      <c r="E127" s="58">
        <f>E126</f>
        <v>528.45297029702965</v>
      </c>
    </row>
    <row r="128" spans="1:6" s="69" customFormat="1" ht="15" thickBot="1" x14ac:dyDescent="0.35">
      <c r="A128" s="64" t="s">
        <v>356</v>
      </c>
      <c r="B128" s="65"/>
      <c r="C128" s="64" t="s">
        <v>357</v>
      </c>
      <c r="D128" s="66">
        <f>D127+D124+D121+D116+D111+D104+D98+D93+D90+D87+D82+D78+D74+D69+D65+D61+D52+D48+D40+D37+D31+D23+D16</f>
        <v>2348445</v>
      </c>
      <c r="E128" s="67">
        <f>E127+E124+E121+E116+E111+E104+E98+E93+E90+E87+E82+E78+E74+E69+E65+E61+E52+E48+E40+E37+E31+E23+E16</f>
        <v>5812.9826732673264</v>
      </c>
      <c r="F128" s="68"/>
    </row>
    <row r="129" spans="1:5" ht="15" hidden="1" thickBot="1" x14ac:dyDescent="0.35">
      <c r="A129" s="52"/>
      <c r="B129" s="52"/>
      <c r="C129" s="52"/>
      <c r="D129" s="70"/>
      <c r="E129" s="71"/>
    </row>
    <row r="130" spans="1:5" ht="15" hidden="1" thickBot="1" x14ac:dyDescent="0.35">
      <c r="A130" s="52" t="s">
        <v>358</v>
      </c>
      <c r="B130" s="53"/>
      <c r="C130" s="52" t="s">
        <v>359</v>
      </c>
      <c r="D130" s="52" t="s">
        <v>360</v>
      </c>
      <c r="E130" s="50"/>
    </row>
    <row r="131" spans="1:5" ht="15" hidden="1" thickBot="1" x14ac:dyDescent="0.35">
      <c r="A131" s="48" t="s">
        <v>361</v>
      </c>
      <c r="B131" s="53"/>
      <c r="C131" s="48" t="s">
        <v>362</v>
      </c>
      <c r="D131" s="49"/>
      <c r="E131" s="50"/>
    </row>
    <row r="132" spans="1:5" ht="15" hidden="1" thickBot="1" x14ac:dyDescent="0.35">
      <c r="A132" s="48" t="s">
        <v>363</v>
      </c>
      <c r="B132" s="53"/>
      <c r="C132" s="48" t="s">
        <v>364</v>
      </c>
      <c r="D132" s="56">
        <v>0</v>
      </c>
      <c r="E132" s="55" t="e">
        <f>IF(D132="Inc.","",D132/RenoUnits)</f>
        <v>#DIV/0!</v>
      </c>
    </row>
    <row r="133" spans="1:5" ht="15" hidden="1" thickBot="1" x14ac:dyDescent="0.35">
      <c r="A133" s="48" t="s">
        <v>365</v>
      </c>
      <c r="B133" s="53"/>
      <c r="C133" s="48" t="s">
        <v>366</v>
      </c>
      <c r="D133" s="56">
        <v>0</v>
      </c>
      <c r="E133" s="55" t="e">
        <f>IF(D133="Inc.","",D133/RenoUnits)</f>
        <v>#DIV/0!</v>
      </c>
    </row>
    <row r="134" spans="1:5" ht="15" hidden="1" thickBot="1" x14ac:dyDescent="0.35">
      <c r="A134" s="48" t="s">
        <v>367</v>
      </c>
      <c r="B134" s="53"/>
      <c r="C134" s="48" t="s">
        <v>368</v>
      </c>
      <c r="D134" s="60">
        <f>E134*RenoUnits</f>
        <v>0</v>
      </c>
      <c r="E134" s="56">
        <v>0</v>
      </c>
    </row>
    <row r="135" spans="1:5" ht="15" hidden="1" thickBot="1" x14ac:dyDescent="0.35">
      <c r="A135" s="48" t="s">
        <v>369</v>
      </c>
      <c r="B135" s="53" t="s">
        <v>370</v>
      </c>
      <c r="C135" s="48" t="s">
        <v>371</v>
      </c>
      <c r="D135" s="57">
        <f>SUM(D132:D134)</f>
        <v>0</v>
      </c>
      <c r="E135" s="58" t="e">
        <f>SUM(E132:E134)</f>
        <v>#DIV/0!</v>
      </c>
    </row>
    <row r="136" spans="1:5" ht="15" hidden="1" thickBot="1" x14ac:dyDescent="0.35">
      <c r="A136" s="48" t="s">
        <v>372</v>
      </c>
      <c r="B136" s="53"/>
      <c r="C136" s="48" t="s">
        <v>373</v>
      </c>
      <c r="D136" s="49"/>
      <c r="E136" s="50"/>
    </row>
    <row r="137" spans="1:5" ht="15" hidden="1" thickBot="1" x14ac:dyDescent="0.35">
      <c r="A137" s="48" t="s">
        <v>374</v>
      </c>
      <c r="B137" s="53"/>
      <c r="C137" s="48" t="s">
        <v>375</v>
      </c>
      <c r="D137" s="60">
        <f>E137*RenoUnits</f>
        <v>0</v>
      </c>
      <c r="E137" s="56">
        <v>0</v>
      </c>
    </row>
    <row r="138" spans="1:5" ht="15" hidden="1" thickBot="1" x14ac:dyDescent="0.35">
      <c r="A138" s="48" t="s">
        <v>376</v>
      </c>
      <c r="B138" s="53" t="s">
        <v>370</v>
      </c>
      <c r="C138" s="48" t="s">
        <v>377</v>
      </c>
      <c r="D138" s="57">
        <f>D137</f>
        <v>0</v>
      </c>
      <c r="E138" s="58">
        <f>E137</f>
        <v>0</v>
      </c>
    </row>
    <row r="139" spans="1:5" ht="15" hidden="1" thickBot="1" x14ac:dyDescent="0.35">
      <c r="A139" s="48" t="s">
        <v>378</v>
      </c>
      <c r="B139" s="53"/>
      <c r="C139" s="48" t="s">
        <v>379</v>
      </c>
      <c r="D139" s="49"/>
      <c r="E139" s="50"/>
    </row>
    <row r="140" spans="1:5" ht="15" hidden="1" thickBot="1" x14ac:dyDescent="0.35">
      <c r="A140" s="48" t="s">
        <v>380</v>
      </c>
      <c r="B140" s="53"/>
      <c r="C140" s="48" t="s">
        <v>381</v>
      </c>
      <c r="D140" s="60">
        <f>E140*RenoUnits</f>
        <v>0</v>
      </c>
      <c r="E140" s="56">
        <v>0</v>
      </c>
    </row>
    <row r="141" spans="1:5" ht="15" hidden="1" thickBot="1" x14ac:dyDescent="0.35">
      <c r="A141" s="48" t="s">
        <v>382</v>
      </c>
      <c r="B141" s="53"/>
      <c r="C141" s="48" t="s">
        <v>383</v>
      </c>
      <c r="D141" s="60">
        <f>E141*RenoUnits</f>
        <v>0</v>
      </c>
      <c r="E141" s="56">
        <v>0</v>
      </c>
    </row>
    <row r="142" spans="1:5" ht="15" hidden="1" thickBot="1" x14ac:dyDescent="0.35">
      <c r="A142" s="48" t="s">
        <v>384</v>
      </c>
      <c r="B142" s="53"/>
      <c r="C142" s="48" t="s">
        <v>385</v>
      </c>
      <c r="D142" s="60">
        <f>E142*RenoUnits</f>
        <v>0</v>
      </c>
      <c r="E142" s="56">
        <v>0</v>
      </c>
    </row>
    <row r="143" spans="1:5" ht="15" hidden="1" thickBot="1" x14ac:dyDescent="0.35">
      <c r="A143" s="48" t="s">
        <v>386</v>
      </c>
      <c r="B143" s="53"/>
      <c r="C143" s="48" t="s">
        <v>387</v>
      </c>
      <c r="D143" s="56">
        <v>0</v>
      </c>
      <c r="E143" s="55" t="e">
        <f>IF(D143="Inc.","",D143/RenoUnits)</f>
        <v>#DIV/0!</v>
      </c>
    </row>
    <row r="144" spans="1:5" ht="15" hidden="1" thickBot="1" x14ac:dyDescent="0.35">
      <c r="A144" s="48" t="s">
        <v>388</v>
      </c>
      <c r="B144" s="53"/>
      <c r="C144" s="48" t="s">
        <v>389</v>
      </c>
      <c r="D144" s="60">
        <f>E144*RenoUnits</f>
        <v>0</v>
      </c>
      <c r="E144" s="56">
        <v>0</v>
      </c>
    </row>
    <row r="145" spans="1:5" ht="15" hidden="1" thickBot="1" x14ac:dyDescent="0.35">
      <c r="A145" s="48" t="s">
        <v>390</v>
      </c>
      <c r="B145" s="53"/>
      <c r="C145" s="48" t="s">
        <v>391</v>
      </c>
      <c r="D145" s="60">
        <f>E145*RenoUnits</f>
        <v>0</v>
      </c>
      <c r="E145" s="56">
        <v>0</v>
      </c>
    </row>
    <row r="146" spans="1:5" ht="15" hidden="1" thickBot="1" x14ac:dyDescent="0.35">
      <c r="A146" s="48" t="s">
        <v>392</v>
      </c>
      <c r="B146" s="53"/>
      <c r="C146" s="48" t="s">
        <v>393</v>
      </c>
      <c r="D146" s="60">
        <f>E146*RenoUnits</f>
        <v>0</v>
      </c>
      <c r="E146" s="56">
        <v>0</v>
      </c>
    </row>
    <row r="147" spans="1:5" ht="15" hidden="1" thickBot="1" x14ac:dyDescent="0.35">
      <c r="A147" s="48" t="s">
        <v>394</v>
      </c>
      <c r="B147" s="53"/>
      <c r="C147" s="48" t="s">
        <v>395</v>
      </c>
      <c r="D147" s="60">
        <f>E147*RenoUnits</f>
        <v>0</v>
      </c>
      <c r="E147" s="56">
        <v>0</v>
      </c>
    </row>
    <row r="148" spans="1:5" ht="15" hidden="1" thickBot="1" x14ac:dyDescent="0.35">
      <c r="A148" s="48" t="s">
        <v>396</v>
      </c>
      <c r="B148" s="53" t="s">
        <v>370</v>
      </c>
      <c r="C148" s="48" t="s">
        <v>397</v>
      </c>
      <c r="D148" s="57">
        <f>SUM(D140:D147)</f>
        <v>0</v>
      </c>
      <c r="E148" s="58" t="e">
        <f>SUM(E140:E147)</f>
        <v>#DIV/0!</v>
      </c>
    </row>
    <row r="149" spans="1:5" ht="15" hidden="1" thickBot="1" x14ac:dyDescent="0.35">
      <c r="A149" s="48" t="s">
        <v>398</v>
      </c>
      <c r="B149" s="53"/>
      <c r="C149" s="48" t="s">
        <v>399</v>
      </c>
      <c r="D149" s="49"/>
      <c r="E149" s="50"/>
    </row>
    <row r="150" spans="1:5" ht="15" hidden="1" thickBot="1" x14ac:dyDescent="0.35">
      <c r="A150" s="48" t="s">
        <v>400</v>
      </c>
      <c r="B150" s="53"/>
      <c r="C150" s="48" t="s">
        <v>401</v>
      </c>
      <c r="D150" s="60">
        <f>E150*RenoUnits</f>
        <v>0</v>
      </c>
      <c r="E150" s="56">
        <v>0</v>
      </c>
    </row>
    <row r="151" spans="1:5" ht="15" hidden="1" thickBot="1" x14ac:dyDescent="0.35">
      <c r="A151" s="48" t="s">
        <v>402</v>
      </c>
      <c r="B151" s="53"/>
      <c r="C151" s="48" t="s">
        <v>403</v>
      </c>
      <c r="D151" s="56">
        <v>0</v>
      </c>
      <c r="E151" s="55" t="e">
        <f>IF(D151="Inc.","",D151/RenoUnits)</f>
        <v>#DIV/0!</v>
      </c>
    </row>
    <row r="152" spans="1:5" ht="15" hidden="1" thickBot="1" x14ac:dyDescent="0.35">
      <c r="A152" s="48" t="s">
        <v>404</v>
      </c>
      <c r="B152" s="53"/>
      <c r="C152" s="48" t="s">
        <v>405</v>
      </c>
      <c r="D152" s="56">
        <v>0</v>
      </c>
      <c r="E152" s="55" t="e">
        <f>IF(D152="Inc.","",D152/RenoUnits)</f>
        <v>#DIV/0!</v>
      </c>
    </row>
    <row r="153" spans="1:5" ht="15" hidden="1" thickBot="1" x14ac:dyDescent="0.35">
      <c r="A153" s="48" t="s">
        <v>406</v>
      </c>
      <c r="B153" s="53" t="s">
        <v>407</v>
      </c>
      <c r="C153" s="48" t="s">
        <v>408</v>
      </c>
      <c r="D153" s="57">
        <f>SUM(D150:D152)</f>
        <v>0</v>
      </c>
      <c r="E153" s="58" t="e">
        <f>SUM(E150:E152)</f>
        <v>#DIV/0!</v>
      </c>
    </row>
    <row r="154" spans="1:5" ht="15" hidden="1" thickBot="1" x14ac:dyDescent="0.35">
      <c r="A154" s="48" t="s">
        <v>409</v>
      </c>
      <c r="B154" s="53"/>
      <c r="C154" s="48" t="s">
        <v>410</v>
      </c>
      <c r="D154" s="49"/>
      <c r="E154" s="50"/>
    </row>
    <row r="155" spans="1:5" ht="15" hidden="1" thickBot="1" x14ac:dyDescent="0.35">
      <c r="A155" s="48" t="s">
        <v>411</v>
      </c>
      <c r="B155" s="53"/>
      <c r="C155" s="48" t="s">
        <v>412</v>
      </c>
      <c r="D155" s="60">
        <v>0</v>
      </c>
      <c r="E155" s="55" t="e">
        <f>IF(D155="Inc.","",D155/RenoUnits)</f>
        <v>#DIV/0!</v>
      </c>
    </row>
    <row r="156" spans="1:5" ht="15" hidden="1" thickBot="1" x14ac:dyDescent="0.35">
      <c r="A156" s="48" t="s">
        <v>413</v>
      </c>
      <c r="B156" s="53"/>
      <c r="C156" s="48" t="s">
        <v>414</v>
      </c>
      <c r="D156" s="60">
        <f>E156*RenoUnits</f>
        <v>0</v>
      </c>
      <c r="E156" s="56">
        <v>0</v>
      </c>
    </row>
    <row r="157" spans="1:5" ht="15" hidden="1" thickBot="1" x14ac:dyDescent="0.35">
      <c r="A157" s="48" t="s">
        <v>415</v>
      </c>
      <c r="B157" s="53"/>
      <c r="C157" s="48" t="s">
        <v>416</v>
      </c>
      <c r="D157" s="60">
        <v>0</v>
      </c>
      <c r="E157" s="55" t="e">
        <f>IF(D157="Inc.","",D157/RenoUnits)</f>
        <v>#DIV/0!</v>
      </c>
    </row>
    <row r="158" spans="1:5" ht="15" hidden="1" thickBot="1" x14ac:dyDescent="0.35">
      <c r="A158" s="48" t="s">
        <v>417</v>
      </c>
      <c r="B158" s="53" t="s">
        <v>418</v>
      </c>
      <c r="C158" s="48" t="s">
        <v>419</v>
      </c>
      <c r="D158" s="57">
        <f>SUM(D155:D157)</f>
        <v>0</v>
      </c>
      <c r="E158" s="58" t="e">
        <f>SUM(E155:E157)</f>
        <v>#DIV/0!</v>
      </c>
    </row>
    <row r="159" spans="1:5" ht="15" hidden="1" thickBot="1" x14ac:dyDescent="0.35">
      <c r="A159" s="48" t="s">
        <v>420</v>
      </c>
      <c r="B159" s="53"/>
      <c r="C159" s="48" t="s">
        <v>421</v>
      </c>
      <c r="D159" s="49"/>
      <c r="E159" s="50"/>
    </row>
    <row r="160" spans="1:5" ht="15" hidden="1" thickBot="1" x14ac:dyDescent="0.35">
      <c r="A160" s="48" t="s">
        <v>422</v>
      </c>
      <c r="B160" s="53"/>
      <c r="C160" s="48" t="s">
        <v>423</v>
      </c>
      <c r="D160" s="56">
        <v>0</v>
      </c>
      <c r="E160" s="55" t="e">
        <f>IF(D160="Inc.","",D160/RenoUnits)</f>
        <v>#DIV/0!</v>
      </c>
    </row>
    <row r="161" spans="1:6" ht="15" hidden="1" thickBot="1" x14ac:dyDescent="0.35">
      <c r="A161" s="48" t="s">
        <v>424</v>
      </c>
      <c r="B161" s="53" t="s">
        <v>418</v>
      </c>
      <c r="C161" s="48" t="s">
        <v>425</v>
      </c>
      <c r="D161" s="57">
        <f>D160</f>
        <v>0</v>
      </c>
      <c r="E161" s="58" t="e">
        <f>E160</f>
        <v>#DIV/0!</v>
      </c>
    </row>
    <row r="162" spans="1:6" ht="15" hidden="1" thickBot="1" x14ac:dyDescent="0.35">
      <c r="A162" s="48" t="s">
        <v>426</v>
      </c>
      <c r="B162" s="53"/>
      <c r="C162" s="48" t="s">
        <v>427</v>
      </c>
      <c r="D162" s="49"/>
      <c r="E162" s="50"/>
    </row>
    <row r="163" spans="1:6" ht="15" hidden="1" thickBot="1" x14ac:dyDescent="0.35">
      <c r="A163" s="48" t="s">
        <v>428</v>
      </c>
      <c r="B163" s="53"/>
      <c r="C163" s="48" t="s">
        <v>429</v>
      </c>
      <c r="D163" s="72">
        <f>(D161+D158+D153+D148+D138+D135)*F163</f>
        <v>0</v>
      </c>
      <c r="E163" s="55" t="e">
        <f>IF(D163="Inc.","",D163/RenoUnits)</f>
        <v>#DIV/0!</v>
      </c>
      <c r="F163" s="63">
        <v>0.1</v>
      </c>
    </row>
    <row r="164" spans="1:6" ht="15" hidden="1" thickBot="1" x14ac:dyDescent="0.35">
      <c r="A164" s="48" t="s">
        <v>430</v>
      </c>
      <c r="B164" s="53" t="s">
        <v>431</v>
      </c>
      <c r="C164" s="48" t="s">
        <v>432</v>
      </c>
      <c r="D164" s="57">
        <f>D163</f>
        <v>0</v>
      </c>
      <c r="E164" s="58" t="e">
        <f>E163</f>
        <v>#DIV/0!</v>
      </c>
    </row>
    <row r="165" spans="1:6" s="77" customFormat="1" ht="15" hidden="1" thickBot="1" x14ac:dyDescent="0.35">
      <c r="A165" s="73" t="s">
        <v>433</v>
      </c>
      <c r="B165" s="73"/>
      <c r="C165" s="73" t="s">
        <v>434</v>
      </c>
      <c r="D165" s="74">
        <f>D164+D161+D158+D153+D148+D138+D135</f>
        <v>0</v>
      </c>
      <c r="E165" s="75" t="e">
        <f>E164+E161+E158+E153+E148+E138+E135</f>
        <v>#DIV/0!</v>
      </c>
      <c r="F165" s="76"/>
    </row>
    <row r="166" spans="1:6" s="83" customFormat="1" x14ac:dyDescent="0.3">
      <c r="A166" s="78" t="s">
        <v>435</v>
      </c>
      <c r="B166" s="79"/>
      <c r="C166" s="79" t="s">
        <v>436</v>
      </c>
      <c r="D166" s="80">
        <f>D165+D128</f>
        <v>2348445</v>
      </c>
      <c r="E166" s="81" t="e">
        <f>E165+E128</f>
        <v>#DIV/0!</v>
      </c>
      <c r="F166" s="82"/>
    </row>
    <row r="167" spans="1:6" x14ac:dyDescent="0.3">
      <c r="A167" s="84"/>
      <c r="B167" s="84"/>
      <c r="C167" s="84"/>
      <c r="D167" s="85"/>
      <c r="E167" s="86"/>
    </row>
    <row r="168" spans="1:6" x14ac:dyDescent="0.3">
      <c r="D168" s="87">
        <f>2288495</f>
        <v>2288495</v>
      </c>
      <c r="E168" s="88" t="e">
        <f>E165-E163</f>
        <v>#DIV/0!</v>
      </c>
    </row>
    <row r="169" spans="1:6" x14ac:dyDescent="0.3">
      <c r="D169" s="87">
        <f>D166-D168</f>
        <v>59950</v>
      </c>
    </row>
  </sheetData>
  <mergeCells count="1">
    <mergeCell ref="A1:F1"/>
  </mergeCells>
  <printOptions gridLines="1"/>
  <pageMargins left="0.25" right="0.25" top="0.75" bottom="0.75" header="0.3" footer="0.3"/>
  <pageSetup scale="64" fitToHeight="0" orientation="portrait" r:id="rId1"/>
  <headerFooter>
    <oddHeader>&amp;R&amp;B&amp;D &amp;T</oddHeader>
    <oddFooter>&amp;C&amp;B Page &amp;P of &amp;N</oddFooter>
  </headerFooter>
  <rowBreaks count="2" manualBreakCount="2">
    <brk id="69" max="5" man="1"/>
    <brk id="1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Settlement Statement</vt:lpstr>
      <vt:lpstr>Loan Terms</vt:lpstr>
      <vt:lpstr>Cash Flows</vt:lpstr>
      <vt:lpstr>Waterfall</vt:lpstr>
      <vt:lpstr>Waterfall Summary</vt:lpstr>
      <vt:lpstr>Closing Costs</vt:lpstr>
      <vt:lpstr>Construction Budget</vt:lpstr>
      <vt:lpstr>'Construction Budget'!Print_Area</vt:lpstr>
      <vt:lpstr>'Construction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Reinhart</dc:creator>
  <cp:lastModifiedBy>Dane Reinhart</cp:lastModifiedBy>
  <dcterms:created xsi:type="dcterms:W3CDTF">2020-07-13T22:26:21Z</dcterms:created>
  <dcterms:modified xsi:type="dcterms:W3CDTF">2020-07-15T19:36:13Z</dcterms:modified>
</cp:coreProperties>
</file>